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utheac\Dropbox\pro\Strathclyde\Fintech research assistant\AGM\"/>
    </mc:Choice>
  </mc:AlternateContent>
  <xr:revisionPtr revIDLastSave="0" documentId="13_ncr:1_{64C9837A-8262-4D21-93B8-5873FD87664D}" xr6:coauthVersionLast="47" xr6:coauthVersionMax="47" xr10:uidLastSave="{00000000-0000-0000-0000-000000000000}"/>
  <bookViews>
    <workbookView xWindow="-108" yWindow="-108" windowWidth="23256" windowHeight="12576" tabRatio="480" activeTab="2" xr2:uid="{00000000-000D-0000-FFFF-FFFF00000000}"/>
  </bookViews>
  <sheets>
    <sheet name="Sheet1" sheetId="1" r:id="rId1"/>
    <sheet name="Sheet2" sheetId="2" r:id="rId2"/>
    <sheet name="Dataset" sheetId="3" r:id="rId3"/>
    <sheet name="ID" sheetId="5" r:id="rId4"/>
  </sheets>
  <definedNames>
    <definedName name="_edn1" localSheetId="0">Sheet1!$A$341</definedName>
    <definedName name="_ednref1" localSheetId="0">Sheet1!$B$22</definedName>
    <definedName name="_xlnm._FilterDatabase" localSheetId="3" hidden="1">ID!$A$1:$C$1832</definedName>
    <definedName name="_xlnm.Print_Area" localSheetId="0">Sheet1!$B$2:$D$338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482" i="3" l="1"/>
  <c r="AB482" i="3"/>
  <c r="Y482" i="3"/>
  <c r="X482" i="3"/>
  <c r="Z482" i="3"/>
  <c r="AA482" i="3"/>
  <c r="AD483" i="3"/>
  <c r="U483" i="3"/>
  <c r="AL483" i="3"/>
  <c r="AH483" i="3"/>
  <c r="AG483" i="3"/>
  <c r="AL482" i="3"/>
  <c r="AH482" i="3"/>
  <c r="AG482" i="3"/>
  <c r="U482" i="3"/>
  <c r="V482" i="3"/>
  <c r="W482" i="3"/>
  <c r="AH1034" i="3"/>
  <c r="AH1035" i="3"/>
  <c r="X1035" i="3"/>
  <c r="U1035" i="3"/>
  <c r="AH1026" i="3"/>
  <c r="AD1026" i="3"/>
  <c r="U1026" i="3"/>
  <c r="U1031" i="3"/>
  <c r="AH1224" i="3"/>
  <c r="AG1224" i="3"/>
  <c r="Y1046" i="3"/>
  <c r="AD1046" i="3"/>
  <c r="AO1046" i="3"/>
  <c r="U1046" i="3"/>
  <c r="AH1298" i="3"/>
  <c r="AH1297" i="3"/>
  <c r="AD1297" i="3"/>
  <c r="U1297" i="3"/>
  <c r="U1284" i="3"/>
  <c r="AO1283" i="3"/>
  <c r="AO1284" i="3"/>
  <c r="U1283" i="3"/>
  <c r="AH1273" i="3"/>
  <c r="AL1273" i="3"/>
  <c r="AG1273" i="3"/>
  <c r="X1273" i="3"/>
  <c r="U1273" i="3"/>
  <c r="AH1290" i="3"/>
  <c r="AH1289" i="3"/>
  <c r="AH1288" i="3"/>
  <c r="AH1287" i="3"/>
  <c r="AH1284" i="3"/>
  <c r="AH1286" i="3"/>
  <c r="AH1283" i="3"/>
  <c r="X1046" i="3"/>
  <c r="AH1291" i="3"/>
  <c r="AK1291" i="3"/>
  <c r="U1291" i="3"/>
  <c r="AH1207" i="3"/>
  <c r="AG1207" i="3"/>
  <c r="P1207" i="3"/>
  <c r="AD1207" i="3"/>
  <c r="AB1207" i="3"/>
  <c r="Y1207" i="3"/>
  <c r="X1207" i="3"/>
  <c r="Z1207" i="3"/>
  <c r="U1207" i="3"/>
  <c r="V1207" i="3"/>
  <c r="W1207" i="3"/>
  <c r="R1207" i="3"/>
  <c r="C1207" i="3"/>
  <c r="AA1207" i="3"/>
  <c r="S1207" i="3"/>
  <c r="AL1370" i="3"/>
  <c r="AH1370" i="3"/>
  <c r="AG1370" i="3"/>
  <c r="X1370" i="3"/>
  <c r="S1370" i="3"/>
  <c r="Y1370" i="3"/>
  <c r="AB1370" i="3"/>
  <c r="U1370" i="3"/>
  <c r="V1370" i="3"/>
  <c r="W1370" i="3"/>
  <c r="R1370" i="3"/>
  <c r="C1370" i="3"/>
  <c r="AF1338" i="3"/>
  <c r="U1338" i="3"/>
  <c r="AH1319" i="3"/>
  <c r="AD1321" i="3"/>
  <c r="U1321" i="3"/>
  <c r="V1321" i="3"/>
  <c r="AH1320" i="3"/>
  <c r="AH1196" i="3"/>
  <c r="AD1196" i="3"/>
  <c r="Y1196" i="3"/>
  <c r="X1196" i="3"/>
  <c r="U1196" i="3"/>
  <c r="AE1330" i="3"/>
  <c r="U1330" i="3"/>
  <c r="AH577" i="3"/>
  <c r="U549" i="3"/>
  <c r="U548" i="3"/>
  <c r="U547" i="3"/>
  <c r="U545" i="3"/>
  <c r="U546" i="3"/>
  <c r="X546" i="3"/>
  <c r="AE546" i="3"/>
  <c r="AE549" i="3"/>
  <c r="AE548" i="3"/>
  <c r="AE547" i="3"/>
  <c r="X545" i="3"/>
  <c r="AE545" i="3"/>
  <c r="X535" i="3"/>
  <c r="U535" i="3"/>
  <c r="AH1368" i="3"/>
  <c r="AL1368" i="3"/>
  <c r="AH422" i="3"/>
  <c r="X332" i="3"/>
  <c r="Y332" i="3"/>
  <c r="U332" i="3"/>
  <c r="V332" i="3"/>
  <c r="W332" i="3"/>
  <c r="X311" i="3"/>
  <c r="AD311" i="3"/>
  <c r="AB311" i="3"/>
  <c r="Y311" i="3"/>
  <c r="U311" i="3"/>
  <c r="V311" i="3"/>
  <c r="W311" i="3"/>
  <c r="AH192" i="3"/>
  <c r="AL192" i="3"/>
  <c r="V144" i="3"/>
  <c r="AB144" i="3"/>
  <c r="X144" i="3"/>
  <c r="Z144" i="3"/>
  <c r="AA144" i="3"/>
  <c r="AG192" i="3"/>
  <c r="Z332" i="3"/>
  <c r="AA332" i="3"/>
  <c r="S144" i="3"/>
  <c r="Z311" i="3"/>
  <c r="AA311" i="3"/>
  <c r="Z1370" i="3"/>
  <c r="AA1370" i="3"/>
  <c r="AD111" i="3"/>
  <c r="Y111" i="3"/>
  <c r="X111" i="3"/>
  <c r="Z111" i="3"/>
  <c r="U111" i="3"/>
  <c r="V111" i="3"/>
  <c r="W111" i="3"/>
  <c r="AE46" i="3"/>
  <c r="U46" i="3"/>
  <c r="V46" i="3"/>
  <c r="AH43" i="3"/>
  <c r="AL43" i="3"/>
  <c r="AG43" i="3"/>
  <c r="AE43" i="3"/>
  <c r="U43" i="3"/>
  <c r="V43" i="3"/>
  <c r="U42" i="3"/>
  <c r="V42" i="3"/>
  <c r="AH42" i="3"/>
  <c r="AL42" i="3"/>
  <c r="Y478" i="3"/>
  <c r="X478" i="3"/>
  <c r="Y477" i="3"/>
  <c r="X477" i="3"/>
  <c r="AG42" i="3"/>
  <c r="AH396" i="3"/>
  <c r="Y396" i="3"/>
  <c r="X396" i="3"/>
  <c r="AH395" i="3"/>
  <c r="AH394" i="3"/>
  <c r="Y394" i="3"/>
  <c r="X394" i="3"/>
  <c r="AH391" i="3"/>
  <c r="AH392" i="3"/>
  <c r="Y393" i="3"/>
  <c r="X393" i="3"/>
  <c r="AH393" i="3"/>
  <c r="Y392" i="3"/>
  <c r="X392" i="3"/>
  <c r="AL391" i="3"/>
  <c r="AB391" i="3"/>
  <c r="Y391" i="3"/>
  <c r="X391" i="3"/>
  <c r="U391" i="3"/>
  <c r="Y395" i="3"/>
  <c r="X395" i="3"/>
  <c r="AL390" i="3"/>
  <c r="AH390" i="3"/>
  <c r="AG390" i="3"/>
  <c r="AB390" i="3"/>
  <c r="Y390" i="3"/>
  <c r="X390" i="3"/>
  <c r="Z390" i="3"/>
  <c r="U390" i="3"/>
  <c r="AH1462" i="3"/>
  <c r="AJ1462" i="3"/>
  <c r="AE1462" i="3"/>
  <c r="X1462" i="3"/>
  <c r="AL489" i="3"/>
  <c r="AH489" i="3"/>
  <c r="AD489" i="3"/>
  <c r="AB489" i="3"/>
  <c r="X489" i="3"/>
  <c r="U489" i="3"/>
  <c r="V489" i="3"/>
  <c r="W489" i="3"/>
  <c r="AH916" i="3"/>
  <c r="AL916" i="3"/>
  <c r="Y916" i="3"/>
  <c r="AD916" i="3"/>
  <c r="X916" i="3"/>
  <c r="U916" i="3"/>
  <c r="X809" i="3"/>
  <c r="AH809" i="3"/>
  <c r="U809" i="3"/>
  <c r="AH488" i="3"/>
  <c r="AL488" i="3"/>
  <c r="AD488" i="3"/>
  <c r="AB488" i="3"/>
  <c r="Y488" i="3"/>
  <c r="U488" i="3"/>
  <c r="V488" i="3"/>
  <c r="W488" i="3"/>
  <c r="U955" i="3"/>
  <c r="AD955" i="3"/>
  <c r="AH955" i="3"/>
  <c r="AJ955" i="3"/>
  <c r="AO955" i="3"/>
  <c r="AJ782" i="3"/>
  <c r="AJ785" i="3"/>
  <c r="AJ784" i="3"/>
  <c r="W121" i="3"/>
  <c r="AH121" i="3"/>
  <c r="AJ121" i="3"/>
  <c r="AL121" i="3"/>
  <c r="AD781" i="3"/>
  <c r="U781" i="3"/>
  <c r="U1409" i="3"/>
  <c r="U1406" i="3"/>
  <c r="U1405" i="3"/>
  <c r="AG1407" i="3"/>
  <c r="X1408" i="3"/>
  <c r="AB1407" i="3"/>
  <c r="X1407" i="3"/>
  <c r="Y1407" i="3"/>
  <c r="U1407" i="3"/>
  <c r="V1407" i="3"/>
  <c r="W1407" i="3"/>
  <c r="X488" i="3"/>
  <c r="Z488" i="3"/>
  <c r="AA488" i="3"/>
  <c r="AG121" i="3"/>
  <c r="Y489" i="3"/>
  <c r="Z489" i="3"/>
  <c r="AA489" i="3"/>
  <c r="Z391" i="3"/>
  <c r="AG488" i="3"/>
  <c r="S1407" i="3"/>
  <c r="Z1407" i="3"/>
  <c r="AA1407" i="3"/>
  <c r="AD371" i="3"/>
  <c r="AD372" i="3"/>
  <c r="AD373" i="3"/>
  <c r="X372" i="3"/>
  <c r="U372" i="3"/>
  <c r="V372" i="3"/>
  <c r="AJ400" i="3"/>
  <c r="AJ398" i="3"/>
  <c r="AJ399" i="3"/>
  <c r="X398" i="3"/>
  <c r="U398" i="3"/>
  <c r="R121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3" i="3"/>
  <c r="C14" i="3"/>
  <c r="C15" i="3"/>
  <c r="C16" i="3"/>
  <c r="C17" i="3"/>
  <c r="C18" i="3"/>
  <c r="C19" i="3"/>
  <c r="C20" i="3"/>
  <c r="C21" i="3"/>
  <c r="C22" i="3"/>
  <c r="C23" i="3"/>
  <c r="C24" i="3"/>
  <c r="C7" i="3"/>
  <c r="C8" i="3"/>
  <c r="C9" i="3"/>
  <c r="C10" i="3"/>
  <c r="C11" i="3"/>
  <c r="C12" i="3"/>
  <c r="C3" i="3"/>
  <c r="C4" i="3"/>
  <c r="C5" i="3"/>
  <c r="C6" i="3"/>
  <c r="C2" i="3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2" i="5"/>
  <c r="AG1832" i="3"/>
  <c r="AB1832" i="3"/>
  <c r="Z1832" i="3"/>
  <c r="AA1832" i="3"/>
  <c r="U1832" i="3"/>
  <c r="V1832" i="3"/>
  <c r="W1832" i="3"/>
  <c r="S1832" i="3"/>
  <c r="R1832" i="3"/>
  <c r="AG1831" i="3"/>
  <c r="AB1831" i="3"/>
  <c r="X1831" i="3"/>
  <c r="U1831" i="3"/>
  <c r="V1831" i="3"/>
  <c r="W1831" i="3"/>
  <c r="R1831" i="3"/>
  <c r="AG1830" i="3"/>
  <c r="AB1830" i="3"/>
  <c r="X1830" i="3"/>
  <c r="Z1830" i="3"/>
  <c r="AA1830" i="3"/>
  <c r="U1830" i="3"/>
  <c r="V1830" i="3"/>
  <c r="W1830" i="3"/>
  <c r="S1830" i="3"/>
  <c r="R1830" i="3"/>
  <c r="AG1829" i="3"/>
  <c r="AB1829" i="3"/>
  <c r="X1829" i="3"/>
  <c r="Z1829" i="3"/>
  <c r="AA1829" i="3"/>
  <c r="U1829" i="3"/>
  <c r="V1829" i="3"/>
  <c r="W1829" i="3"/>
  <c r="R1829" i="3"/>
  <c r="AG1828" i="3"/>
  <c r="AB1828" i="3"/>
  <c r="Z1828" i="3"/>
  <c r="AA1828" i="3"/>
  <c r="U1828" i="3"/>
  <c r="V1828" i="3"/>
  <c r="W1828" i="3"/>
  <c r="S1828" i="3"/>
  <c r="R1828" i="3"/>
  <c r="AH1827" i="3"/>
  <c r="AG1827" i="3"/>
  <c r="AB1827" i="3"/>
  <c r="Y1827" i="3"/>
  <c r="X1827" i="3"/>
  <c r="U1827" i="3"/>
  <c r="V1827" i="3"/>
  <c r="W1827" i="3"/>
  <c r="R1827" i="3"/>
  <c r="AH1826" i="3"/>
  <c r="AG1826" i="3"/>
  <c r="AB1826" i="3"/>
  <c r="Y1826" i="3"/>
  <c r="X1826" i="3"/>
  <c r="U1826" i="3"/>
  <c r="V1826" i="3"/>
  <c r="W1826" i="3"/>
  <c r="R1826" i="3"/>
  <c r="AH1825" i="3"/>
  <c r="AG1825" i="3"/>
  <c r="AB1825" i="3"/>
  <c r="Y1825" i="3"/>
  <c r="X1825" i="3"/>
  <c r="S1825" i="3"/>
  <c r="U1825" i="3"/>
  <c r="V1825" i="3"/>
  <c r="W1825" i="3"/>
  <c r="R1825" i="3"/>
  <c r="AH1824" i="3"/>
  <c r="AG1824" i="3"/>
  <c r="AB1824" i="3"/>
  <c r="Y1824" i="3"/>
  <c r="X1824" i="3"/>
  <c r="U1824" i="3"/>
  <c r="V1824" i="3"/>
  <c r="W1824" i="3"/>
  <c r="S1824" i="3"/>
  <c r="R1824" i="3"/>
  <c r="AH1823" i="3"/>
  <c r="AG1823" i="3"/>
  <c r="AB1823" i="3"/>
  <c r="Y1823" i="3"/>
  <c r="X1823" i="3"/>
  <c r="U1823" i="3"/>
  <c r="V1823" i="3"/>
  <c r="W1823" i="3"/>
  <c r="R1823" i="3"/>
  <c r="AH1822" i="3"/>
  <c r="AG1822" i="3"/>
  <c r="AD1822" i="3"/>
  <c r="AB1822" i="3"/>
  <c r="X1822" i="3"/>
  <c r="U1822" i="3"/>
  <c r="V1822" i="3"/>
  <c r="W1822" i="3"/>
  <c r="R1822" i="3"/>
  <c r="P1822" i="3"/>
  <c r="AH1821" i="3"/>
  <c r="AG1821" i="3"/>
  <c r="AD1821" i="3"/>
  <c r="AB1821" i="3"/>
  <c r="Y1821" i="3"/>
  <c r="X1821" i="3"/>
  <c r="S1821" i="3"/>
  <c r="U1821" i="3"/>
  <c r="V1821" i="3"/>
  <c r="W1821" i="3"/>
  <c r="R1821" i="3"/>
  <c r="P1821" i="3"/>
  <c r="AH1820" i="3"/>
  <c r="AG1820" i="3"/>
  <c r="AB1820" i="3"/>
  <c r="Y1820" i="3"/>
  <c r="X1820" i="3"/>
  <c r="S1820" i="3"/>
  <c r="U1820" i="3"/>
  <c r="V1820" i="3"/>
  <c r="W1820" i="3"/>
  <c r="R1820" i="3"/>
  <c r="P1820" i="3"/>
  <c r="AG1819" i="3"/>
  <c r="AB1819" i="3"/>
  <c r="Y1819" i="3"/>
  <c r="X1819" i="3"/>
  <c r="S1819" i="3"/>
  <c r="U1819" i="3"/>
  <c r="V1819" i="3"/>
  <c r="W1819" i="3"/>
  <c r="R1819" i="3"/>
  <c r="P1819" i="3"/>
  <c r="AG1818" i="3"/>
  <c r="AB1818" i="3"/>
  <c r="X1818" i="3"/>
  <c r="S1818" i="3"/>
  <c r="V1818" i="3"/>
  <c r="W1818" i="3"/>
  <c r="R1818" i="3"/>
  <c r="P1818" i="3"/>
  <c r="AH1817" i="3"/>
  <c r="AG1817" i="3"/>
  <c r="AB1817" i="3"/>
  <c r="Y1817" i="3"/>
  <c r="X1817" i="3"/>
  <c r="S1817" i="3"/>
  <c r="U1817" i="3"/>
  <c r="V1817" i="3"/>
  <c r="W1817" i="3"/>
  <c r="R1817" i="3"/>
  <c r="P1817" i="3"/>
  <c r="AM1816" i="3"/>
  <c r="AH1816" i="3"/>
  <c r="AG1816" i="3"/>
  <c r="AB1816" i="3"/>
  <c r="Y1816" i="3"/>
  <c r="X1816" i="3"/>
  <c r="S1816" i="3"/>
  <c r="U1816" i="3"/>
  <c r="V1816" i="3"/>
  <c r="W1816" i="3"/>
  <c r="R1816" i="3"/>
  <c r="P1816" i="3"/>
  <c r="AM1815" i="3"/>
  <c r="AH1815" i="3"/>
  <c r="AG1815" i="3"/>
  <c r="AB1815" i="3"/>
  <c r="Y1815" i="3"/>
  <c r="X1815" i="3"/>
  <c r="S1815" i="3"/>
  <c r="U1815" i="3"/>
  <c r="V1815" i="3"/>
  <c r="W1815" i="3"/>
  <c r="R1815" i="3"/>
  <c r="P1815" i="3"/>
  <c r="AM1814" i="3"/>
  <c r="AH1814" i="3"/>
  <c r="AG1814" i="3"/>
  <c r="AB1814" i="3"/>
  <c r="Y1814" i="3"/>
  <c r="X1814" i="3"/>
  <c r="S1814" i="3"/>
  <c r="U1814" i="3"/>
  <c r="V1814" i="3"/>
  <c r="W1814" i="3"/>
  <c r="R1814" i="3"/>
  <c r="P1814" i="3"/>
  <c r="AM1813" i="3"/>
  <c r="AH1813" i="3"/>
  <c r="AG1813" i="3"/>
  <c r="AB1813" i="3"/>
  <c r="Y1813" i="3"/>
  <c r="X1813" i="3"/>
  <c r="S1813" i="3"/>
  <c r="U1813" i="3"/>
  <c r="V1813" i="3"/>
  <c r="W1813" i="3"/>
  <c r="R1813" i="3"/>
  <c r="P1813" i="3"/>
  <c r="AH1812" i="3"/>
  <c r="AG1812" i="3"/>
  <c r="AD1812" i="3"/>
  <c r="AB1812" i="3"/>
  <c r="Y1812" i="3"/>
  <c r="X1812" i="3"/>
  <c r="U1812" i="3"/>
  <c r="V1812" i="3"/>
  <c r="W1812" i="3"/>
  <c r="R1812" i="3"/>
  <c r="P1812" i="3"/>
  <c r="AH1811" i="3"/>
  <c r="AG1811" i="3"/>
  <c r="AD1811" i="3"/>
  <c r="AB1811" i="3"/>
  <c r="Y1811" i="3"/>
  <c r="X1811" i="3"/>
  <c r="S1811" i="3"/>
  <c r="U1811" i="3"/>
  <c r="V1811" i="3"/>
  <c r="W1811" i="3"/>
  <c r="R1811" i="3"/>
  <c r="P1811" i="3"/>
  <c r="AH1810" i="3"/>
  <c r="AG1810" i="3"/>
  <c r="AD1810" i="3"/>
  <c r="AB1810" i="3"/>
  <c r="Y1810" i="3"/>
  <c r="X1810" i="3"/>
  <c r="S1810" i="3"/>
  <c r="U1810" i="3"/>
  <c r="V1810" i="3"/>
  <c r="W1810" i="3"/>
  <c r="R1810" i="3"/>
  <c r="P1810" i="3"/>
  <c r="AH1809" i="3"/>
  <c r="AG1809" i="3"/>
  <c r="AD1809" i="3"/>
  <c r="AB1809" i="3"/>
  <c r="Y1809" i="3"/>
  <c r="X1809" i="3"/>
  <c r="S1809" i="3"/>
  <c r="U1809" i="3"/>
  <c r="V1809" i="3"/>
  <c r="W1809" i="3"/>
  <c r="R1809" i="3"/>
  <c r="P1809" i="3"/>
  <c r="AH1808" i="3"/>
  <c r="AG1808" i="3"/>
  <c r="AD1808" i="3"/>
  <c r="AB1808" i="3"/>
  <c r="Y1808" i="3"/>
  <c r="X1808" i="3"/>
  <c r="U1808" i="3"/>
  <c r="V1808" i="3"/>
  <c r="W1808" i="3"/>
  <c r="R1808" i="3"/>
  <c r="P1808" i="3"/>
  <c r="AH1807" i="3"/>
  <c r="AG1807" i="3"/>
  <c r="AB1807" i="3"/>
  <c r="AA1807" i="3"/>
  <c r="U1807" i="3"/>
  <c r="V1807" i="3"/>
  <c r="W1807" i="3"/>
  <c r="S1807" i="3"/>
  <c r="R1807" i="3"/>
  <c r="P1807" i="3"/>
  <c r="AH1806" i="3"/>
  <c r="AG1806" i="3"/>
  <c r="AB1806" i="3"/>
  <c r="AA1806" i="3"/>
  <c r="U1806" i="3"/>
  <c r="V1806" i="3"/>
  <c r="W1806" i="3"/>
  <c r="S1806" i="3"/>
  <c r="R1806" i="3"/>
  <c r="P1806" i="3"/>
  <c r="AH1805" i="3"/>
  <c r="AG1805" i="3"/>
  <c r="AB1805" i="3"/>
  <c r="AA1805" i="3"/>
  <c r="U1805" i="3"/>
  <c r="V1805" i="3"/>
  <c r="W1805" i="3"/>
  <c r="S1805" i="3"/>
  <c r="R1805" i="3"/>
  <c r="P1805" i="3"/>
  <c r="AG1804" i="3"/>
  <c r="AB1804" i="3"/>
  <c r="AA1804" i="3"/>
  <c r="U1804" i="3"/>
  <c r="V1804" i="3"/>
  <c r="W1804" i="3"/>
  <c r="S1804" i="3"/>
  <c r="R1804" i="3"/>
  <c r="P1804" i="3"/>
  <c r="AG1803" i="3"/>
  <c r="AB1803" i="3"/>
  <c r="AA1803" i="3"/>
  <c r="U1803" i="3"/>
  <c r="V1803" i="3"/>
  <c r="W1803" i="3"/>
  <c r="S1803" i="3"/>
  <c r="R1803" i="3"/>
  <c r="P1803" i="3"/>
  <c r="AO1802" i="3"/>
  <c r="AH1802" i="3"/>
  <c r="AG1802" i="3"/>
  <c r="AB1802" i="3"/>
  <c r="AA1802" i="3"/>
  <c r="U1802" i="3"/>
  <c r="V1802" i="3"/>
  <c r="W1802" i="3"/>
  <c r="S1802" i="3"/>
  <c r="R1802" i="3"/>
  <c r="P1802" i="3"/>
  <c r="AO1801" i="3"/>
  <c r="AG1801" i="3"/>
  <c r="AB1801" i="3"/>
  <c r="AA1801" i="3"/>
  <c r="U1801" i="3"/>
  <c r="V1801" i="3"/>
  <c r="W1801" i="3"/>
  <c r="S1801" i="3"/>
  <c r="R1801" i="3"/>
  <c r="P1801" i="3"/>
  <c r="AO1800" i="3"/>
  <c r="AG1800" i="3"/>
  <c r="AB1800" i="3"/>
  <c r="AA1800" i="3"/>
  <c r="U1800" i="3"/>
  <c r="V1800" i="3"/>
  <c r="W1800" i="3"/>
  <c r="S1800" i="3"/>
  <c r="R1800" i="3"/>
  <c r="P1800" i="3"/>
  <c r="AO1799" i="3"/>
  <c r="AG1799" i="3"/>
  <c r="AB1799" i="3"/>
  <c r="AA1799" i="3"/>
  <c r="U1799" i="3"/>
  <c r="V1799" i="3"/>
  <c r="W1799" i="3"/>
  <c r="S1799" i="3"/>
  <c r="R1799" i="3"/>
  <c r="P1799" i="3"/>
  <c r="AO1798" i="3"/>
  <c r="AG1798" i="3"/>
  <c r="AB1798" i="3"/>
  <c r="AA1798" i="3"/>
  <c r="U1798" i="3"/>
  <c r="V1798" i="3"/>
  <c r="W1798" i="3"/>
  <c r="S1798" i="3"/>
  <c r="R1798" i="3"/>
  <c r="P1798" i="3"/>
  <c r="AH1797" i="3"/>
  <c r="AG1797" i="3"/>
  <c r="AB1797" i="3"/>
  <c r="AA1797" i="3"/>
  <c r="U1797" i="3"/>
  <c r="V1797" i="3"/>
  <c r="W1797" i="3"/>
  <c r="S1797" i="3"/>
  <c r="R1797" i="3"/>
  <c r="P1797" i="3"/>
  <c r="AH1796" i="3"/>
  <c r="AG1796" i="3"/>
  <c r="AB1796" i="3"/>
  <c r="AA1796" i="3"/>
  <c r="U1796" i="3"/>
  <c r="V1796" i="3"/>
  <c r="W1796" i="3"/>
  <c r="S1796" i="3"/>
  <c r="R1796" i="3"/>
  <c r="P1796" i="3"/>
  <c r="AH1795" i="3"/>
  <c r="AG1795" i="3"/>
  <c r="AB1795" i="3"/>
  <c r="AA1795" i="3"/>
  <c r="U1795" i="3"/>
  <c r="V1795" i="3"/>
  <c r="W1795" i="3"/>
  <c r="S1795" i="3"/>
  <c r="R1795" i="3"/>
  <c r="P1795" i="3"/>
  <c r="AH1794" i="3"/>
  <c r="AG1794" i="3"/>
  <c r="AB1794" i="3"/>
  <c r="AA1794" i="3"/>
  <c r="U1794" i="3"/>
  <c r="V1794" i="3"/>
  <c r="W1794" i="3"/>
  <c r="S1794" i="3"/>
  <c r="R1794" i="3"/>
  <c r="P1794" i="3"/>
  <c r="AH1793" i="3"/>
  <c r="AG1793" i="3"/>
  <c r="AB1793" i="3"/>
  <c r="AA1793" i="3"/>
  <c r="U1793" i="3"/>
  <c r="V1793" i="3"/>
  <c r="W1793" i="3"/>
  <c r="S1793" i="3"/>
  <c r="R1793" i="3"/>
  <c r="P1793" i="3"/>
  <c r="AH1792" i="3"/>
  <c r="AG1792" i="3"/>
  <c r="AB1792" i="3"/>
  <c r="AA1792" i="3"/>
  <c r="U1792" i="3"/>
  <c r="V1792" i="3"/>
  <c r="W1792" i="3"/>
  <c r="S1792" i="3"/>
  <c r="R1792" i="3"/>
  <c r="P1792" i="3"/>
  <c r="AH1791" i="3"/>
  <c r="AG1791" i="3"/>
  <c r="AB1791" i="3"/>
  <c r="AA1791" i="3"/>
  <c r="U1791" i="3"/>
  <c r="V1791" i="3"/>
  <c r="W1791" i="3"/>
  <c r="S1791" i="3"/>
  <c r="R1791" i="3"/>
  <c r="P1791" i="3"/>
  <c r="AH1790" i="3"/>
  <c r="AG1790" i="3"/>
  <c r="AB1790" i="3"/>
  <c r="AA1790" i="3"/>
  <c r="U1790" i="3"/>
  <c r="V1790" i="3"/>
  <c r="W1790" i="3"/>
  <c r="S1790" i="3"/>
  <c r="R1790" i="3"/>
  <c r="P1790" i="3"/>
  <c r="AH1789" i="3"/>
  <c r="AG1789" i="3"/>
  <c r="AB1789" i="3"/>
  <c r="AA1789" i="3"/>
  <c r="U1789" i="3"/>
  <c r="V1789" i="3"/>
  <c r="W1789" i="3"/>
  <c r="S1789" i="3"/>
  <c r="R1789" i="3"/>
  <c r="P1789" i="3"/>
  <c r="AH1788" i="3"/>
  <c r="AG1788" i="3"/>
  <c r="AB1788" i="3"/>
  <c r="AA1788" i="3"/>
  <c r="U1788" i="3"/>
  <c r="V1788" i="3"/>
  <c r="W1788" i="3"/>
  <c r="S1788" i="3"/>
  <c r="R1788" i="3"/>
  <c r="P1788" i="3"/>
  <c r="AG1787" i="3"/>
  <c r="AB1787" i="3"/>
  <c r="AA1787" i="3"/>
  <c r="U1787" i="3"/>
  <c r="V1787" i="3"/>
  <c r="W1787" i="3"/>
  <c r="S1787" i="3"/>
  <c r="R1787" i="3"/>
  <c r="AH1786" i="3"/>
  <c r="AG1786" i="3"/>
  <c r="AB1786" i="3"/>
  <c r="AA1786" i="3"/>
  <c r="U1786" i="3"/>
  <c r="V1786" i="3"/>
  <c r="W1786" i="3"/>
  <c r="S1786" i="3"/>
  <c r="R1786" i="3"/>
  <c r="AH1785" i="3"/>
  <c r="AG1785" i="3"/>
  <c r="AB1785" i="3"/>
  <c r="AA1785" i="3"/>
  <c r="U1785" i="3"/>
  <c r="V1785" i="3"/>
  <c r="W1785" i="3"/>
  <c r="S1785" i="3"/>
  <c r="R1785" i="3"/>
  <c r="AH1784" i="3"/>
  <c r="AG1784" i="3"/>
  <c r="AB1784" i="3"/>
  <c r="AA1784" i="3"/>
  <c r="U1784" i="3"/>
  <c r="V1784" i="3"/>
  <c r="W1784" i="3"/>
  <c r="S1784" i="3"/>
  <c r="R1784" i="3"/>
  <c r="AH1783" i="3"/>
  <c r="AG1783" i="3"/>
  <c r="AB1783" i="3"/>
  <c r="AA1783" i="3"/>
  <c r="U1783" i="3"/>
  <c r="V1783" i="3"/>
  <c r="W1783" i="3"/>
  <c r="S1783" i="3"/>
  <c r="R1783" i="3"/>
  <c r="AH1782" i="3"/>
  <c r="AG1782" i="3"/>
  <c r="AB1782" i="3"/>
  <c r="AA1782" i="3"/>
  <c r="U1782" i="3"/>
  <c r="V1782" i="3"/>
  <c r="W1782" i="3"/>
  <c r="S1782" i="3"/>
  <c r="R1782" i="3"/>
  <c r="AH1781" i="3"/>
  <c r="AG1781" i="3"/>
  <c r="AB1781" i="3"/>
  <c r="AA1781" i="3"/>
  <c r="U1781" i="3"/>
  <c r="V1781" i="3"/>
  <c r="W1781" i="3"/>
  <c r="S1781" i="3"/>
  <c r="R1781" i="3"/>
  <c r="AH1780" i="3"/>
  <c r="AG1780" i="3"/>
  <c r="AB1780" i="3"/>
  <c r="AA1780" i="3"/>
  <c r="U1780" i="3"/>
  <c r="V1780" i="3"/>
  <c r="W1780" i="3"/>
  <c r="S1780" i="3"/>
  <c r="R1780" i="3"/>
  <c r="AH1779" i="3"/>
  <c r="AG1779" i="3"/>
  <c r="AB1779" i="3"/>
  <c r="AA1779" i="3"/>
  <c r="U1779" i="3"/>
  <c r="V1779" i="3"/>
  <c r="W1779" i="3"/>
  <c r="S1779" i="3"/>
  <c r="R1779" i="3"/>
  <c r="AH1778" i="3"/>
  <c r="AG1778" i="3"/>
  <c r="AB1778" i="3"/>
  <c r="AA1778" i="3"/>
  <c r="U1778" i="3"/>
  <c r="V1778" i="3"/>
  <c r="W1778" i="3"/>
  <c r="S1778" i="3"/>
  <c r="R1778" i="3"/>
  <c r="AH1777" i="3"/>
  <c r="AG1777" i="3"/>
  <c r="AB1777" i="3"/>
  <c r="AA1777" i="3"/>
  <c r="U1777" i="3"/>
  <c r="V1777" i="3"/>
  <c r="W1777" i="3"/>
  <c r="S1777" i="3"/>
  <c r="R1777" i="3"/>
  <c r="AH1776" i="3"/>
  <c r="AG1776" i="3"/>
  <c r="AB1776" i="3"/>
  <c r="AA1776" i="3"/>
  <c r="U1776" i="3"/>
  <c r="V1776" i="3"/>
  <c r="W1776" i="3"/>
  <c r="S1776" i="3"/>
  <c r="R1776" i="3"/>
  <c r="AH1775" i="3"/>
  <c r="AG1775" i="3"/>
  <c r="AB1775" i="3"/>
  <c r="AA1775" i="3"/>
  <c r="U1775" i="3"/>
  <c r="V1775" i="3"/>
  <c r="W1775" i="3"/>
  <c r="S1775" i="3"/>
  <c r="R1775" i="3"/>
  <c r="AH1774" i="3"/>
  <c r="AG1774" i="3"/>
  <c r="AB1774" i="3"/>
  <c r="AA1774" i="3"/>
  <c r="U1774" i="3"/>
  <c r="V1774" i="3"/>
  <c r="W1774" i="3"/>
  <c r="S1774" i="3"/>
  <c r="R1774" i="3"/>
  <c r="AH1773" i="3"/>
  <c r="AG1773" i="3"/>
  <c r="AB1773" i="3"/>
  <c r="AA1773" i="3"/>
  <c r="U1773" i="3"/>
  <c r="V1773" i="3"/>
  <c r="W1773" i="3"/>
  <c r="S1773" i="3"/>
  <c r="R1773" i="3"/>
  <c r="AH1772" i="3"/>
  <c r="AG1772" i="3"/>
  <c r="AB1772" i="3"/>
  <c r="AA1772" i="3"/>
  <c r="V1772" i="3"/>
  <c r="W1772" i="3"/>
  <c r="S1772" i="3"/>
  <c r="R1772" i="3"/>
  <c r="P1772" i="3"/>
  <c r="AH1771" i="3"/>
  <c r="AG1771" i="3"/>
  <c r="AB1771" i="3"/>
  <c r="AA1771" i="3"/>
  <c r="V1771" i="3"/>
  <c r="W1771" i="3"/>
  <c r="S1771" i="3"/>
  <c r="R1771" i="3"/>
  <c r="P1771" i="3"/>
  <c r="AH1770" i="3"/>
  <c r="AG1770" i="3"/>
  <c r="AB1770" i="3"/>
  <c r="AA1770" i="3"/>
  <c r="V1770" i="3"/>
  <c r="W1770" i="3"/>
  <c r="S1770" i="3"/>
  <c r="R1770" i="3"/>
  <c r="P1770" i="3"/>
  <c r="AH1769" i="3"/>
  <c r="AG1769" i="3"/>
  <c r="AB1769" i="3"/>
  <c r="AA1769" i="3"/>
  <c r="U1769" i="3"/>
  <c r="V1769" i="3"/>
  <c r="W1769" i="3"/>
  <c r="S1769" i="3"/>
  <c r="R1769" i="3"/>
  <c r="P1769" i="3"/>
  <c r="AH1768" i="3"/>
  <c r="AG1768" i="3"/>
  <c r="AB1768" i="3"/>
  <c r="AA1768" i="3"/>
  <c r="U1768" i="3"/>
  <c r="V1768" i="3"/>
  <c r="W1768" i="3"/>
  <c r="S1768" i="3"/>
  <c r="R1768" i="3"/>
  <c r="P1768" i="3"/>
  <c r="AG1767" i="3"/>
  <c r="AB1767" i="3"/>
  <c r="AA1767" i="3"/>
  <c r="U1767" i="3"/>
  <c r="V1767" i="3"/>
  <c r="W1767" i="3"/>
  <c r="S1767" i="3"/>
  <c r="R1767" i="3"/>
  <c r="AH1766" i="3"/>
  <c r="AG1766" i="3"/>
  <c r="AB1766" i="3"/>
  <c r="AA1766" i="3"/>
  <c r="U1766" i="3"/>
  <c r="V1766" i="3"/>
  <c r="W1766" i="3"/>
  <c r="S1766" i="3"/>
  <c r="R1766" i="3"/>
  <c r="AH1765" i="3"/>
  <c r="AG1765" i="3"/>
  <c r="AB1765" i="3"/>
  <c r="AA1765" i="3"/>
  <c r="U1765" i="3"/>
  <c r="V1765" i="3"/>
  <c r="W1765" i="3"/>
  <c r="S1765" i="3"/>
  <c r="R1765" i="3"/>
  <c r="AH1764" i="3"/>
  <c r="AG1764" i="3"/>
  <c r="AB1764" i="3"/>
  <c r="AA1764" i="3"/>
  <c r="U1764" i="3"/>
  <c r="V1764" i="3"/>
  <c r="W1764" i="3"/>
  <c r="S1764" i="3"/>
  <c r="R1764" i="3"/>
  <c r="AH1763" i="3"/>
  <c r="AG1763" i="3"/>
  <c r="AB1763" i="3"/>
  <c r="AA1763" i="3"/>
  <c r="U1763" i="3"/>
  <c r="V1763" i="3"/>
  <c r="W1763" i="3"/>
  <c r="S1763" i="3"/>
  <c r="R1763" i="3"/>
  <c r="AH1762" i="3"/>
  <c r="AG1762" i="3"/>
  <c r="AB1762" i="3"/>
  <c r="AA1762" i="3"/>
  <c r="U1762" i="3"/>
  <c r="V1762" i="3"/>
  <c r="W1762" i="3"/>
  <c r="S1762" i="3"/>
  <c r="R1762" i="3"/>
  <c r="AH1761" i="3"/>
  <c r="AG1761" i="3"/>
  <c r="AB1761" i="3"/>
  <c r="AA1761" i="3"/>
  <c r="U1761" i="3"/>
  <c r="V1761" i="3"/>
  <c r="W1761" i="3"/>
  <c r="S1761" i="3"/>
  <c r="R1761" i="3"/>
  <c r="AH1760" i="3"/>
  <c r="AG1760" i="3"/>
  <c r="AB1760" i="3"/>
  <c r="AA1760" i="3"/>
  <c r="U1760" i="3"/>
  <c r="V1760" i="3"/>
  <c r="W1760" i="3"/>
  <c r="S1760" i="3"/>
  <c r="R1760" i="3"/>
  <c r="AH1759" i="3"/>
  <c r="AG1759" i="3"/>
  <c r="AB1759" i="3"/>
  <c r="AA1759" i="3"/>
  <c r="U1759" i="3"/>
  <c r="V1759" i="3"/>
  <c r="W1759" i="3"/>
  <c r="S1759" i="3"/>
  <c r="R1759" i="3"/>
  <c r="AH1758" i="3"/>
  <c r="AG1758" i="3"/>
  <c r="AB1758" i="3"/>
  <c r="AA1758" i="3"/>
  <c r="U1758" i="3"/>
  <c r="V1758" i="3"/>
  <c r="W1758" i="3"/>
  <c r="S1758" i="3"/>
  <c r="R1758" i="3"/>
  <c r="AJ1757" i="3"/>
  <c r="P1757" i="3"/>
  <c r="AG1757" i="3"/>
  <c r="AB1757" i="3"/>
  <c r="AA1757" i="3"/>
  <c r="U1757" i="3"/>
  <c r="V1757" i="3"/>
  <c r="W1757" i="3"/>
  <c r="S1757" i="3"/>
  <c r="R1757" i="3"/>
  <c r="AJ1756" i="3"/>
  <c r="P1756" i="3"/>
  <c r="AG1756" i="3"/>
  <c r="AB1756" i="3"/>
  <c r="AA1756" i="3"/>
  <c r="U1756" i="3"/>
  <c r="V1756" i="3"/>
  <c r="W1756" i="3"/>
  <c r="S1756" i="3"/>
  <c r="R1756" i="3"/>
  <c r="AJ1755" i="3"/>
  <c r="P1755" i="3"/>
  <c r="AG1755" i="3"/>
  <c r="AB1755" i="3"/>
  <c r="AA1755" i="3"/>
  <c r="U1755" i="3"/>
  <c r="V1755" i="3"/>
  <c r="W1755" i="3"/>
  <c r="S1755" i="3"/>
  <c r="R1755" i="3"/>
  <c r="AJ1754" i="3"/>
  <c r="P1754" i="3"/>
  <c r="AG1754" i="3"/>
  <c r="AB1754" i="3"/>
  <c r="AA1754" i="3"/>
  <c r="U1754" i="3"/>
  <c r="V1754" i="3"/>
  <c r="W1754" i="3"/>
  <c r="S1754" i="3"/>
  <c r="R1754" i="3"/>
  <c r="AJ1753" i="3"/>
  <c r="P1753" i="3"/>
  <c r="AG1753" i="3"/>
  <c r="AB1753" i="3"/>
  <c r="AA1753" i="3"/>
  <c r="U1753" i="3"/>
  <c r="V1753" i="3"/>
  <c r="W1753" i="3"/>
  <c r="S1753" i="3"/>
  <c r="R1753" i="3"/>
  <c r="AG1752" i="3"/>
  <c r="AB1752" i="3"/>
  <c r="AA1752" i="3"/>
  <c r="V1752" i="3"/>
  <c r="W1752" i="3"/>
  <c r="S1752" i="3"/>
  <c r="R1752" i="3"/>
  <c r="P1752" i="3"/>
  <c r="AO1751" i="3"/>
  <c r="AG1751" i="3"/>
  <c r="AB1751" i="3"/>
  <c r="AA1751" i="3"/>
  <c r="U1751" i="3"/>
  <c r="V1751" i="3"/>
  <c r="W1751" i="3"/>
  <c r="S1751" i="3"/>
  <c r="R1751" i="3"/>
  <c r="P1751" i="3"/>
  <c r="AO1750" i="3"/>
  <c r="AG1750" i="3"/>
  <c r="AB1750" i="3"/>
  <c r="AA1750" i="3"/>
  <c r="U1750" i="3"/>
  <c r="V1750" i="3"/>
  <c r="W1750" i="3"/>
  <c r="S1750" i="3"/>
  <c r="R1750" i="3"/>
  <c r="P1750" i="3"/>
  <c r="AO1749" i="3"/>
  <c r="AG1749" i="3"/>
  <c r="AB1749" i="3"/>
  <c r="AA1749" i="3"/>
  <c r="U1749" i="3"/>
  <c r="V1749" i="3"/>
  <c r="W1749" i="3"/>
  <c r="S1749" i="3"/>
  <c r="R1749" i="3"/>
  <c r="P1749" i="3"/>
  <c r="AH1748" i="3"/>
  <c r="AG1748" i="3"/>
  <c r="AB1748" i="3"/>
  <c r="AA1748" i="3"/>
  <c r="U1748" i="3"/>
  <c r="V1748" i="3"/>
  <c r="W1748" i="3"/>
  <c r="S1748" i="3"/>
  <c r="R1748" i="3"/>
  <c r="P1748" i="3"/>
  <c r="AH1747" i="3"/>
  <c r="AG1747" i="3"/>
  <c r="AB1747" i="3"/>
  <c r="AA1747" i="3"/>
  <c r="U1747" i="3"/>
  <c r="V1747" i="3"/>
  <c r="W1747" i="3"/>
  <c r="S1747" i="3"/>
  <c r="R1747" i="3"/>
  <c r="P1747" i="3"/>
  <c r="AH1746" i="3"/>
  <c r="AG1746" i="3"/>
  <c r="AB1746" i="3"/>
  <c r="AA1746" i="3"/>
  <c r="U1746" i="3"/>
  <c r="V1746" i="3"/>
  <c r="W1746" i="3"/>
  <c r="S1746" i="3"/>
  <c r="R1746" i="3"/>
  <c r="P1746" i="3"/>
  <c r="AH1745" i="3"/>
  <c r="AG1745" i="3"/>
  <c r="AB1745" i="3"/>
  <c r="AA1745" i="3"/>
  <c r="U1745" i="3"/>
  <c r="V1745" i="3"/>
  <c r="W1745" i="3"/>
  <c r="S1745" i="3"/>
  <c r="R1745" i="3"/>
  <c r="P1745" i="3"/>
  <c r="AH1744" i="3"/>
  <c r="AG1744" i="3"/>
  <c r="AB1744" i="3"/>
  <c r="AA1744" i="3"/>
  <c r="U1744" i="3"/>
  <c r="V1744" i="3"/>
  <c r="W1744" i="3"/>
  <c r="S1744" i="3"/>
  <c r="R1744" i="3"/>
  <c r="P1744" i="3"/>
  <c r="AH1743" i="3"/>
  <c r="AG1743" i="3"/>
  <c r="AB1743" i="3"/>
  <c r="AA1743" i="3"/>
  <c r="U1743" i="3"/>
  <c r="V1743" i="3"/>
  <c r="W1743" i="3"/>
  <c r="S1743" i="3"/>
  <c r="R1743" i="3"/>
  <c r="AH1742" i="3"/>
  <c r="AG1742" i="3"/>
  <c r="AB1742" i="3"/>
  <c r="AA1742" i="3"/>
  <c r="U1742" i="3"/>
  <c r="V1742" i="3"/>
  <c r="W1742" i="3"/>
  <c r="S1742" i="3"/>
  <c r="R1742" i="3"/>
  <c r="AH1741" i="3"/>
  <c r="AG1741" i="3"/>
  <c r="AB1741" i="3"/>
  <c r="AA1741" i="3"/>
  <c r="U1741" i="3"/>
  <c r="V1741" i="3"/>
  <c r="W1741" i="3"/>
  <c r="S1741" i="3"/>
  <c r="R1741" i="3"/>
  <c r="AH1740" i="3"/>
  <c r="AG1740" i="3"/>
  <c r="AB1740" i="3"/>
  <c r="AA1740" i="3"/>
  <c r="U1740" i="3"/>
  <c r="V1740" i="3"/>
  <c r="W1740" i="3"/>
  <c r="S1740" i="3"/>
  <c r="R1740" i="3"/>
  <c r="AH1739" i="3"/>
  <c r="AG1739" i="3"/>
  <c r="AB1739" i="3"/>
  <c r="AA1739" i="3"/>
  <c r="U1739" i="3"/>
  <c r="V1739" i="3"/>
  <c r="W1739" i="3"/>
  <c r="S1739" i="3"/>
  <c r="R1739" i="3"/>
  <c r="AH1738" i="3"/>
  <c r="AG1738" i="3"/>
  <c r="AB1738" i="3"/>
  <c r="AA1738" i="3"/>
  <c r="U1738" i="3"/>
  <c r="V1738" i="3"/>
  <c r="W1738" i="3"/>
  <c r="S1738" i="3"/>
  <c r="R1738" i="3"/>
  <c r="P1738" i="3"/>
  <c r="AH1737" i="3"/>
  <c r="AG1737" i="3"/>
  <c r="AB1737" i="3"/>
  <c r="AA1737" i="3"/>
  <c r="U1737" i="3"/>
  <c r="V1737" i="3"/>
  <c r="W1737" i="3"/>
  <c r="S1737" i="3"/>
  <c r="R1737" i="3"/>
  <c r="P1737" i="3"/>
  <c r="AH1736" i="3"/>
  <c r="AG1736" i="3"/>
  <c r="AB1736" i="3"/>
  <c r="AA1736" i="3"/>
  <c r="U1736" i="3"/>
  <c r="V1736" i="3"/>
  <c r="W1736" i="3"/>
  <c r="S1736" i="3"/>
  <c r="R1736" i="3"/>
  <c r="P1736" i="3"/>
  <c r="AH1735" i="3"/>
  <c r="AG1735" i="3"/>
  <c r="AB1735" i="3"/>
  <c r="AA1735" i="3"/>
  <c r="U1735" i="3"/>
  <c r="V1735" i="3"/>
  <c r="W1735" i="3"/>
  <c r="S1735" i="3"/>
  <c r="R1735" i="3"/>
  <c r="P1735" i="3"/>
  <c r="AH1734" i="3"/>
  <c r="AG1734" i="3"/>
  <c r="AE1734" i="3"/>
  <c r="AB1734" i="3"/>
  <c r="AA1734" i="3"/>
  <c r="U1734" i="3"/>
  <c r="V1734" i="3"/>
  <c r="W1734" i="3"/>
  <c r="S1734" i="3"/>
  <c r="R1734" i="3"/>
  <c r="P1734" i="3"/>
  <c r="AH1733" i="3"/>
  <c r="AG1733" i="3"/>
  <c r="AB1733" i="3"/>
  <c r="AA1733" i="3"/>
  <c r="U1733" i="3"/>
  <c r="V1733" i="3"/>
  <c r="W1733" i="3"/>
  <c r="S1733" i="3"/>
  <c r="R1733" i="3"/>
  <c r="P1733" i="3"/>
  <c r="AH1732" i="3"/>
  <c r="AG1732" i="3"/>
  <c r="AB1732" i="3"/>
  <c r="AA1732" i="3"/>
  <c r="U1732" i="3"/>
  <c r="V1732" i="3"/>
  <c r="W1732" i="3"/>
  <c r="S1732" i="3"/>
  <c r="R1732" i="3"/>
  <c r="P1732" i="3"/>
  <c r="AH1731" i="3"/>
  <c r="AG1731" i="3"/>
  <c r="AB1731" i="3"/>
  <c r="AA1731" i="3"/>
  <c r="U1731" i="3"/>
  <c r="V1731" i="3"/>
  <c r="W1731" i="3"/>
  <c r="S1731" i="3"/>
  <c r="R1731" i="3"/>
  <c r="P1731" i="3"/>
  <c r="AH1730" i="3"/>
  <c r="AG1730" i="3"/>
  <c r="AB1730" i="3"/>
  <c r="AA1730" i="3"/>
  <c r="U1730" i="3"/>
  <c r="V1730" i="3"/>
  <c r="W1730" i="3"/>
  <c r="S1730" i="3"/>
  <c r="R1730" i="3"/>
  <c r="P1730" i="3"/>
  <c r="AH1729" i="3"/>
  <c r="AG1729" i="3"/>
  <c r="AB1729" i="3"/>
  <c r="AA1729" i="3"/>
  <c r="U1729" i="3"/>
  <c r="V1729" i="3"/>
  <c r="W1729" i="3"/>
  <c r="S1729" i="3"/>
  <c r="R1729" i="3"/>
  <c r="P1729" i="3"/>
  <c r="AO1728" i="3"/>
  <c r="AH1728" i="3"/>
  <c r="AG1728" i="3"/>
  <c r="AB1728" i="3"/>
  <c r="AA1728" i="3"/>
  <c r="U1728" i="3"/>
  <c r="V1728" i="3"/>
  <c r="W1728" i="3"/>
  <c r="S1728" i="3"/>
  <c r="R1728" i="3"/>
  <c r="P1728" i="3"/>
  <c r="AO1727" i="3"/>
  <c r="AH1727" i="3"/>
  <c r="AG1727" i="3"/>
  <c r="AB1727" i="3"/>
  <c r="AA1727" i="3"/>
  <c r="U1727" i="3"/>
  <c r="V1727" i="3"/>
  <c r="W1727" i="3"/>
  <c r="S1727" i="3"/>
  <c r="R1727" i="3"/>
  <c r="P1727" i="3"/>
  <c r="AO1726" i="3"/>
  <c r="AH1726" i="3"/>
  <c r="AG1726" i="3"/>
  <c r="AE1726" i="3"/>
  <c r="AB1726" i="3"/>
  <c r="AA1726" i="3"/>
  <c r="U1726" i="3"/>
  <c r="V1726" i="3"/>
  <c r="W1726" i="3"/>
  <c r="S1726" i="3"/>
  <c r="R1726" i="3"/>
  <c r="P1726" i="3"/>
  <c r="AO1725" i="3"/>
  <c r="AH1725" i="3"/>
  <c r="AG1725" i="3"/>
  <c r="AB1725" i="3"/>
  <c r="AA1725" i="3"/>
  <c r="U1725" i="3"/>
  <c r="V1725" i="3"/>
  <c r="W1725" i="3"/>
  <c r="S1725" i="3"/>
  <c r="R1725" i="3"/>
  <c r="P1725" i="3"/>
  <c r="AH1724" i="3"/>
  <c r="AG1724" i="3"/>
  <c r="AB1724" i="3"/>
  <c r="AA1724" i="3"/>
  <c r="U1724" i="3"/>
  <c r="V1724" i="3"/>
  <c r="W1724" i="3"/>
  <c r="S1724" i="3"/>
  <c r="R1724" i="3"/>
  <c r="P1724" i="3"/>
  <c r="AJ1723" i="3"/>
  <c r="P1723" i="3"/>
  <c r="AH1723" i="3"/>
  <c r="AG1723" i="3"/>
  <c r="AB1723" i="3"/>
  <c r="AA1723" i="3"/>
  <c r="U1723" i="3"/>
  <c r="V1723" i="3"/>
  <c r="W1723" i="3"/>
  <c r="S1723" i="3"/>
  <c r="R1723" i="3"/>
  <c r="AJ1722" i="3"/>
  <c r="P1722" i="3"/>
  <c r="AH1722" i="3"/>
  <c r="AG1722" i="3"/>
  <c r="AB1722" i="3"/>
  <c r="AA1722" i="3"/>
  <c r="U1722" i="3"/>
  <c r="V1722" i="3"/>
  <c r="W1722" i="3"/>
  <c r="S1722" i="3"/>
  <c r="R1722" i="3"/>
  <c r="AJ1721" i="3"/>
  <c r="P1721" i="3"/>
  <c r="AH1721" i="3"/>
  <c r="AG1721" i="3"/>
  <c r="AB1721" i="3"/>
  <c r="AA1721" i="3"/>
  <c r="U1721" i="3"/>
  <c r="V1721" i="3"/>
  <c r="W1721" i="3"/>
  <c r="S1721" i="3"/>
  <c r="R1721" i="3"/>
  <c r="AJ1720" i="3"/>
  <c r="P1720" i="3"/>
  <c r="AH1720" i="3"/>
  <c r="AG1720" i="3"/>
  <c r="AB1720" i="3"/>
  <c r="AA1720" i="3"/>
  <c r="U1720" i="3"/>
  <c r="V1720" i="3"/>
  <c r="W1720" i="3"/>
  <c r="S1720" i="3"/>
  <c r="R1720" i="3"/>
  <c r="AJ1719" i="3"/>
  <c r="P1719" i="3"/>
  <c r="AH1719" i="3"/>
  <c r="AG1719" i="3"/>
  <c r="AB1719" i="3"/>
  <c r="AA1719" i="3"/>
  <c r="U1719" i="3"/>
  <c r="V1719" i="3"/>
  <c r="W1719" i="3"/>
  <c r="S1719" i="3"/>
  <c r="R1719" i="3"/>
  <c r="AO1718" i="3"/>
  <c r="AH1718" i="3"/>
  <c r="AG1718" i="3"/>
  <c r="AB1718" i="3"/>
  <c r="AA1718" i="3"/>
  <c r="V1718" i="3"/>
  <c r="U1718" i="3"/>
  <c r="W1718" i="3"/>
  <c r="S1718" i="3"/>
  <c r="R1718" i="3"/>
  <c r="P1718" i="3"/>
  <c r="AO1717" i="3"/>
  <c r="AH1717" i="3"/>
  <c r="AG1717" i="3"/>
  <c r="AB1717" i="3"/>
  <c r="AA1717" i="3"/>
  <c r="V1717" i="3"/>
  <c r="U1717" i="3"/>
  <c r="S1717" i="3"/>
  <c r="R1717" i="3"/>
  <c r="P1717" i="3"/>
  <c r="AO1716" i="3"/>
  <c r="AH1716" i="3"/>
  <c r="AG1716" i="3"/>
  <c r="AB1716" i="3"/>
  <c r="AA1716" i="3"/>
  <c r="U1716" i="3"/>
  <c r="V1716" i="3"/>
  <c r="W1716" i="3"/>
  <c r="S1716" i="3"/>
  <c r="R1716" i="3"/>
  <c r="P1716" i="3"/>
  <c r="AO1715" i="3"/>
  <c r="AH1715" i="3"/>
  <c r="AG1715" i="3"/>
  <c r="AB1715" i="3"/>
  <c r="AA1715" i="3"/>
  <c r="U1715" i="3"/>
  <c r="V1715" i="3"/>
  <c r="W1715" i="3"/>
  <c r="S1715" i="3"/>
  <c r="R1715" i="3"/>
  <c r="P1715" i="3"/>
  <c r="AO1714" i="3"/>
  <c r="AH1714" i="3"/>
  <c r="AG1714" i="3"/>
  <c r="AB1714" i="3"/>
  <c r="AA1714" i="3"/>
  <c r="U1714" i="3"/>
  <c r="V1714" i="3"/>
  <c r="W1714" i="3"/>
  <c r="S1714" i="3"/>
  <c r="R1714" i="3"/>
  <c r="P1714" i="3"/>
  <c r="AK1713" i="3"/>
  <c r="AH1713" i="3"/>
  <c r="AG1713" i="3"/>
  <c r="AB1713" i="3"/>
  <c r="AA1713" i="3"/>
  <c r="U1713" i="3"/>
  <c r="V1713" i="3"/>
  <c r="W1713" i="3"/>
  <c r="S1713" i="3"/>
  <c r="R1713" i="3"/>
  <c r="P1713" i="3"/>
  <c r="M1713" i="3"/>
  <c r="L1713" i="3"/>
  <c r="AH1712" i="3"/>
  <c r="AG1712" i="3"/>
  <c r="AB1712" i="3"/>
  <c r="AA1712" i="3"/>
  <c r="U1712" i="3"/>
  <c r="V1712" i="3"/>
  <c r="W1712" i="3"/>
  <c r="S1712" i="3"/>
  <c r="R1712" i="3"/>
  <c r="P1712" i="3"/>
  <c r="M1712" i="3"/>
  <c r="L1712" i="3"/>
  <c r="AH1711" i="3"/>
  <c r="AG1711" i="3"/>
  <c r="AB1711" i="3"/>
  <c r="AA1711" i="3"/>
  <c r="U1711" i="3"/>
  <c r="V1711" i="3"/>
  <c r="W1711" i="3"/>
  <c r="S1711" i="3"/>
  <c r="R1711" i="3"/>
  <c r="P1711" i="3"/>
  <c r="AH1710" i="3"/>
  <c r="AG1710" i="3"/>
  <c r="AB1710" i="3"/>
  <c r="AA1710" i="3"/>
  <c r="U1710" i="3"/>
  <c r="V1710" i="3"/>
  <c r="W1710" i="3"/>
  <c r="S1710" i="3"/>
  <c r="R1710" i="3"/>
  <c r="L1710" i="3"/>
  <c r="AH1709" i="3"/>
  <c r="AG1709" i="3"/>
  <c r="AB1709" i="3"/>
  <c r="AA1709" i="3"/>
  <c r="U1709" i="3"/>
  <c r="V1709" i="3"/>
  <c r="W1709" i="3"/>
  <c r="S1709" i="3"/>
  <c r="R1709" i="3"/>
  <c r="M1709" i="3"/>
  <c r="L1709" i="3"/>
  <c r="AH1708" i="3"/>
  <c r="AG1708" i="3"/>
  <c r="AB1708" i="3"/>
  <c r="AA1708" i="3"/>
  <c r="U1708" i="3"/>
  <c r="V1708" i="3"/>
  <c r="W1708" i="3"/>
  <c r="S1708" i="3"/>
  <c r="R1708" i="3"/>
  <c r="P1708" i="3"/>
  <c r="AH1707" i="3"/>
  <c r="AG1707" i="3"/>
  <c r="AB1707" i="3"/>
  <c r="AA1707" i="3"/>
  <c r="U1707" i="3"/>
  <c r="V1707" i="3"/>
  <c r="W1707" i="3"/>
  <c r="S1707" i="3"/>
  <c r="R1707" i="3"/>
  <c r="P1707" i="3"/>
  <c r="AH1706" i="3"/>
  <c r="AG1706" i="3"/>
  <c r="AB1706" i="3"/>
  <c r="AA1706" i="3"/>
  <c r="U1706" i="3"/>
  <c r="V1706" i="3"/>
  <c r="W1706" i="3"/>
  <c r="S1706" i="3"/>
  <c r="R1706" i="3"/>
  <c r="P1706" i="3"/>
  <c r="AH1705" i="3"/>
  <c r="AG1705" i="3"/>
  <c r="AB1705" i="3"/>
  <c r="AA1705" i="3"/>
  <c r="U1705" i="3"/>
  <c r="V1705" i="3"/>
  <c r="W1705" i="3"/>
  <c r="S1705" i="3"/>
  <c r="R1705" i="3"/>
  <c r="P1705" i="3"/>
  <c r="AH1704" i="3"/>
  <c r="AG1704" i="3"/>
  <c r="AB1704" i="3"/>
  <c r="AA1704" i="3"/>
  <c r="U1704" i="3"/>
  <c r="V1704" i="3"/>
  <c r="W1704" i="3"/>
  <c r="S1704" i="3"/>
  <c r="R1704" i="3"/>
  <c r="P1704" i="3"/>
  <c r="AH1703" i="3"/>
  <c r="AG1703" i="3"/>
  <c r="AB1703" i="3"/>
  <c r="AA1703" i="3"/>
  <c r="U1703" i="3"/>
  <c r="V1703" i="3"/>
  <c r="W1703" i="3"/>
  <c r="S1703" i="3"/>
  <c r="R1703" i="3"/>
  <c r="P1703" i="3"/>
  <c r="AH1702" i="3"/>
  <c r="AG1702" i="3"/>
  <c r="AB1702" i="3"/>
  <c r="AA1702" i="3"/>
  <c r="U1702" i="3"/>
  <c r="V1702" i="3"/>
  <c r="W1702" i="3"/>
  <c r="S1702" i="3"/>
  <c r="R1702" i="3"/>
  <c r="P1702" i="3"/>
  <c r="AH1701" i="3"/>
  <c r="AG1701" i="3"/>
  <c r="AB1701" i="3"/>
  <c r="AA1701" i="3"/>
  <c r="U1701" i="3"/>
  <c r="V1701" i="3"/>
  <c r="W1701" i="3"/>
  <c r="S1701" i="3"/>
  <c r="R1701" i="3"/>
  <c r="AH1700" i="3"/>
  <c r="AG1700" i="3"/>
  <c r="AB1700" i="3"/>
  <c r="AA1700" i="3"/>
  <c r="U1700" i="3"/>
  <c r="V1700" i="3"/>
  <c r="W1700" i="3"/>
  <c r="S1700" i="3"/>
  <c r="R1700" i="3"/>
  <c r="AH1699" i="3"/>
  <c r="AG1699" i="3"/>
  <c r="AB1699" i="3"/>
  <c r="AA1699" i="3"/>
  <c r="U1699" i="3"/>
  <c r="V1699" i="3"/>
  <c r="W1699" i="3"/>
  <c r="S1699" i="3"/>
  <c r="R1699" i="3"/>
  <c r="AH1698" i="3"/>
  <c r="AG1698" i="3"/>
  <c r="AB1698" i="3"/>
  <c r="AA1698" i="3"/>
  <c r="U1698" i="3"/>
  <c r="V1698" i="3"/>
  <c r="W1698" i="3"/>
  <c r="S1698" i="3"/>
  <c r="R1698" i="3"/>
  <c r="P1698" i="3"/>
  <c r="AH1697" i="3"/>
  <c r="AG1697" i="3"/>
  <c r="AB1697" i="3"/>
  <c r="AA1697" i="3"/>
  <c r="U1697" i="3"/>
  <c r="V1697" i="3"/>
  <c r="W1697" i="3"/>
  <c r="S1697" i="3"/>
  <c r="R1697" i="3"/>
  <c r="P1697" i="3"/>
  <c r="AH1696" i="3"/>
  <c r="AG1696" i="3"/>
  <c r="AB1696" i="3"/>
  <c r="AA1696" i="3"/>
  <c r="U1696" i="3"/>
  <c r="V1696" i="3"/>
  <c r="W1696" i="3"/>
  <c r="S1696" i="3"/>
  <c r="R1696" i="3"/>
  <c r="P1696" i="3"/>
  <c r="AH1695" i="3"/>
  <c r="AG1695" i="3"/>
  <c r="AB1695" i="3"/>
  <c r="AA1695" i="3"/>
  <c r="U1695" i="3"/>
  <c r="V1695" i="3"/>
  <c r="W1695" i="3"/>
  <c r="S1695" i="3"/>
  <c r="R1695" i="3"/>
  <c r="P1695" i="3"/>
  <c r="AH1694" i="3"/>
  <c r="AG1694" i="3"/>
  <c r="AB1694" i="3"/>
  <c r="AA1694" i="3"/>
  <c r="V1694" i="3"/>
  <c r="S1694" i="3"/>
  <c r="R1694" i="3"/>
  <c r="P1694" i="3"/>
  <c r="AH1693" i="3"/>
  <c r="AG1693" i="3"/>
  <c r="AB1693" i="3"/>
  <c r="AA1693" i="3"/>
  <c r="U1693" i="3"/>
  <c r="V1693" i="3"/>
  <c r="W1693" i="3"/>
  <c r="S1693" i="3"/>
  <c r="R1693" i="3"/>
  <c r="P1693" i="3"/>
  <c r="AH1692" i="3"/>
  <c r="AG1692" i="3"/>
  <c r="AB1692" i="3"/>
  <c r="AA1692" i="3"/>
  <c r="U1692" i="3"/>
  <c r="V1692" i="3"/>
  <c r="W1692" i="3"/>
  <c r="S1692" i="3"/>
  <c r="R1692" i="3"/>
  <c r="P1692" i="3"/>
  <c r="AH1691" i="3"/>
  <c r="AG1691" i="3"/>
  <c r="AB1691" i="3"/>
  <c r="AA1691" i="3"/>
  <c r="U1691" i="3"/>
  <c r="V1691" i="3"/>
  <c r="W1691" i="3"/>
  <c r="S1691" i="3"/>
  <c r="R1691" i="3"/>
  <c r="P1691" i="3"/>
  <c r="AH1690" i="3"/>
  <c r="AG1690" i="3"/>
  <c r="AB1690" i="3"/>
  <c r="AA1690" i="3"/>
  <c r="U1690" i="3"/>
  <c r="V1690" i="3"/>
  <c r="W1690" i="3"/>
  <c r="S1690" i="3"/>
  <c r="R1690" i="3"/>
  <c r="P1690" i="3"/>
  <c r="AG1689" i="3"/>
  <c r="AB1689" i="3"/>
  <c r="AA1689" i="3"/>
  <c r="U1689" i="3"/>
  <c r="V1689" i="3"/>
  <c r="W1689" i="3"/>
  <c r="S1689" i="3"/>
  <c r="R1689" i="3"/>
  <c r="P1689" i="3"/>
  <c r="AH1688" i="3"/>
  <c r="AG1688" i="3"/>
  <c r="AB1688" i="3"/>
  <c r="AA1688" i="3"/>
  <c r="U1688" i="3"/>
  <c r="V1688" i="3"/>
  <c r="W1688" i="3"/>
  <c r="S1688" i="3"/>
  <c r="R1688" i="3"/>
  <c r="AH1687" i="3"/>
  <c r="AG1687" i="3"/>
  <c r="AB1687" i="3"/>
  <c r="AA1687" i="3"/>
  <c r="U1687" i="3"/>
  <c r="V1687" i="3"/>
  <c r="W1687" i="3"/>
  <c r="S1687" i="3"/>
  <c r="R1687" i="3"/>
  <c r="P1687" i="3"/>
  <c r="AH1686" i="3"/>
  <c r="AG1686" i="3"/>
  <c r="AB1686" i="3"/>
  <c r="AA1686" i="3"/>
  <c r="U1686" i="3"/>
  <c r="V1686" i="3"/>
  <c r="W1686" i="3"/>
  <c r="S1686" i="3"/>
  <c r="R1686" i="3"/>
  <c r="AH1685" i="3"/>
  <c r="AG1685" i="3"/>
  <c r="AB1685" i="3"/>
  <c r="U1685" i="3"/>
  <c r="V1685" i="3"/>
  <c r="W1685" i="3"/>
  <c r="S1685" i="3"/>
  <c r="R1685" i="3"/>
  <c r="P1685" i="3"/>
  <c r="AH1684" i="3"/>
  <c r="AG1684" i="3"/>
  <c r="AB1684" i="3"/>
  <c r="AA1684" i="3"/>
  <c r="U1684" i="3"/>
  <c r="V1684" i="3"/>
  <c r="W1684" i="3"/>
  <c r="S1684" i="3"/>
  <c r="R1684" i="3"/>
  <c r="AH1683" i="3"/>
  <c r="AG1683" i="3"/>
  <c r="AB1683" i="3"/>
  <c r="AA1683" i="3"/>
  <c r="U1683" i="3"/>
  <c r="V1683" i="3"/>
  <c r="W1683" i="3"/>
  <c r="S1683" i="3"/>
  <c r="R1683" i="3"/>
  <c r="P1683" i="3"/>
  <c r="AH1682" i="3"/>
  <c r="AG1682" i="3"/>
  <c r="AB1682" i="3"/>
  <c r="AA1682" i="3"/>
  <c r="U1682" i="3"/>
  <c r="V1682" i="3"/>
  <c r="W1682" i="3"/>
  <c r="S1682" i="3"/>
  <c r="R1682" i="3"/>
  <c r="AH1681" i="3"/>
  <c r="AG1681" i="3"/>
  <c r="AB1681" i="3"/>
  <c r="AA1681" i="3"/>
  <c r="U1681" i="3"/>
  <c r="V1681" i="3"/>
  <c r="W1681" i="3"/>
  <c r="S1681" i="3"/>
  <c r="R1681" i="3"/>
  <c r="P1681" i="3"/>
  <c r="AH1680" i="3"/>
  <c r="AG1680" i="3"/>
  <c r="AB1680" i="3"/>
  <c r="AA1680" i="3"/>
  <c r="U1680" i="3"/>
  <c r="V1680" i="3"/>
  <c r="W1680" i="3"/>
  <c r="S1680" i="3"/>
  <c r="R1680" i="3"/>
  <c r="AH1679" i="3"/>
  <c r="AG1679" i="3"/>
  <c r="AB1679" i="3"/>
  <c r="AA1679" i="3"/>
  <c r="U1679" i="3"/>
  <c r="V1679" i="3"/>
  <c r="W1679" i="3"/>
  <c r="S1679" i="3"/>
  <c r="R1679" i="3"/>
  <c r="P1679" i="3"/>
  <c r="AH1678" i="3"/>
  <c r="AG1678" i="3"/>
  <c r="AB1678" i="3"/>
  <c r="AA1678" i="3"/>
  <c r="U1678" i="3"/>
  <c r="V1678" i="3"/>
  <c r="W1678" i="3"/>
  <c r="S1678" i="3"/>
  <c r="R1678" i="3"/>
  <c r="P1678" i="3"/>
  <c r="AH1677" i="3"/>
  <c r="AG1677" i="3"/>
  <c r="AB1677" i="3"/>
  <c r="AA1677" i="3"/>
  <c r="U1677" i="3"/>
  <c r="V1677" i="3"/>
  <c r="W1677" i="3"/>
  <c r="S1677" i="3"/>
  <c r="R1677" i="3"/>
  <c r="P1677" i="3"/>
  <c r="AH1676" i="3"/>
  <c r="AG1676" i="3"/>
  <c r="AB1676" i="3"/>
  <c r="AA1676" i="3"/>
  <c r="U1676" i="3"/>
  <c r="V1676" i="3"/>
  <c r="W1676" i="3"/>
  <c r="S1676" i="3"/>
  <c r="R1676" i="3"/>
  <c r="P1676" i="3"/>
  <c r="AH1675" i="3"/>
  <c r="AG1675" i="3"/>
  <c r="AB1675" i="3"/>
  <c r="AA1675" i="3"/>
  <c r="U1675" i="3"/>
  <c r="V1675" i="3"/>
  <c r="W1675" i="3"/>
  <c r="S1675" i="3"/>
  <c r="R1675" i="3"/>
  <c r="P1675" i="3"/>
  <c r="AH1674" i="3"/>
  <c r="AG1674" i="3"/>
  <c r="AB1674" i="3"/>
  <c r="AA1674" i="3"/>
  <c r="U1674" i="3"/>
  <c r="V1674" i="3"/>
  <c r="W1674" i="3"/>
  <c r="S1674" i="3"/>
  <c r="R1674" i="3"/>
  <c r="P1674" i="3"/>
  <c r="AH1673" i="3"/>
  <c r="AG1673" i="3"/>
  <c r="AB1673" i="3"/>
  <c r="AA1673" i="3"/>
  <c r="U1673" i="3"/>
  <c r="V1673" i="3"/>
  <c r="W1673" i="3"/>
  <c r="S1673" i="3"/>
  <c r="R1673" i="3"/>
  <c r="P1673" i="3"/>
  <c r="AH1672" i="3"/>
  <c r="AG1672" i="3"/>
  <c r="AB1672" i="3"/>
  <c r="AA1672" i="3"/>
  <c r="U1672" i="3"/>
  <c r="V1672" i="3"/>
  <c r="W1672" i="3"/>
  <c r="S1672" i="3"/>
  <c r="R1672" i="3"/>
  <c r="P1672" i="3"/>
  <c r="AH1671" i="3"/>
  <c r="AG1671" i="3"/>
  <c r="AB1671" i="3"/>
  <c r="AA1671" i="3"/>
  <c r="U1671" i="3"/>
  <c r="V1671" i="3"/>
  <c r="W1671" i="3"/>
  <c r="S1671" i="3"/>
  <c r="R1671" i="3"/>
  <c r="P1671" i="3"/>
  <c r="AH1670" i="3"/>
  <c r="AG1670" i="3"/>
  <c r="AB1670" i="3"/>
  <c r="AA1670" i="3"/>
  <c r="U1670" i="3"/>
  <c r="V1670" i="3"/>
  <c r="W1670" i="3"/>
  <c r="S1670" i="3"/>
  <c r="R1670" i="3"/>
  <c r="P1670" i="3"/>
  <c r="AH1669" i="3"/>
  <c r="AG1669" i="3"/>
  <c r="AB1669" i="3"/>
  <c r="AA1669" i="3"/>
  <c r="U1669" i="3"/>
  <c r="V1669" i="3"/>
  <c r="W1669" i="3"/>
  <c r="S1669" i="3"/>
  <c r="R1669" i="3"/>
  <c r="P1669" i="3"/>
  <c r="AH1668" i="3"/>
  <c r="AG1668" i="3"/>
  <c r="AB1668" i="3"/>
  <c r="AA1668" i="3"/>
  <c r="U1668" i="3"/>
  <c r="V1668" i="3"/>
  <c r="W1668" i="3"/>
  <c r="S1668" i="3"/>
  <c r="R1668" i="3"/>
  <c r="P1668" i="3"/>
  <c r="AH1667" i="3"/>
  <c r="AG1667" i="3"/>
  <c r="AB1667" i="3"/>
  <c r="AA1667" i="3"/>
  <c r="U1667" i="3"/>
  <c r="V1667" i="3"/>
  <c r="W1667" i="3"/>
  <c r="S1667" i="3"/>
  <c r="R1667" i="3"/>
  <c r="P1667" i="3"/>
  <c r="AH1666" i="3"/>
  <c r="AG1666" i="3"/>
  <c r="AB1666" i="3"/>
  <c r="AA1666" i="3"/>
  <c r="U1666" i="3"/>
  <c r="V1666" i="3"/>
  <c r="W1666" i="3"/>
  <c r="S1666" i="3"/>
  <c r="R1666" i="3"/>
  <c r="P1666" i="3"/>
  <c r="AG1665" i="3"/>
  <c r="AB1665" i="3"/>
  <c r="AA1665" i="3"/>
  <c r="U1665" i="3"/>
  <c r="V1665" i="3"/>
  <c r="W1665" i="3"/>
  <c r="S1665" i="3"/>
  <c r="R1665" i="3"/>
  <c r="P1665" i="3"/>
  <c r="AH1664" i="3"/>
  <c r="AG1664" i="3"/>
  <c r="AB1664" i="3"/>
  <c r="AA1664" i="3"/>
  <c r="U1664" i="3"/>
  <c r="V1664" i="3"/>
  <c r="W1664" i="3"/>
  <c r="S1664" i="3"/>
  <c r="R1664" i="3"/>
  <c r="P1664" i="3"/>
  <c r="AO1663" i="3"/>
  <c r="AH1663" i="3"/>
  <c r="AG1663" i="3"/>
  <c r="AB1663" i="3"/>
  <c r="AA1663" i="3"/>
  <c r="U1663" i="3"/>
  <c r="V1663" i="3"/>
  <c r="W1663" i="3"/>
  <c r="S1663" i="3"/>
  <c r="R1663" i="3"/>
  <c r="P1663" i="3"/>
  <c r="AO1662" i="3"/>
  <c r="AH1662" i="3"/>
  <c r="AG1662" i="3"/>
  <c r="AB1662" i="3"/>
  <c r="AA1662" i="3"/>
  <c r="U1662" i="3"/>
  <c r="V1662" i="3"/>
  <c r="W1662" i="3"/>
  <c r="S1662" i="3"/>
  <c r="R1662" i="3"/>
  <c r="P1662" i="3"/>
  <c r="AO1661" i="3"/>
  <c r="AH1661" i="3"/>
  <c r="AG1661" i="3"/>
  <c r="AB1661" i="3"/>
  <c r="AA1661" i="3"/>
  <c r="U1661" i="3"/>
  <c r="V1661" i="3"/>
  <c r="W1661" i="3"/>
  <c r="S1661" i="3"/>
  <c r="R1661" i="3"/>
  <c r="P1661" i="3"/>
  <c r="AO1660" i="3"/>
  <c r="AH1660" i="3"/>
  <c r="AG1660" i="3"/>
  <c r="AB1660" i="3"/>
  <c r="AA1660" i="3"/>
  <c r="U1660" i="3"/>
  <c r="V1660" i="3"/>
  <c r="W1660" i="3"/>
  <c r="S1660" i="3"/>
  <c r="R1660" i="3"/>
  <c r="P1660" i="3"/>
  <c r="AO1659" i="3"/>
  <c r="AH1659" i="3"/>
  <c r="AG1659" i="3"/>
  <c r="AB1659" i="3"/>
  <c r="AA1659" i="3"/>
  <c r="U1659" i="3"/>
  <c r="V1659" i="3"/>
  <c r="W1659" i="3"/>
  <c r="S1659" i="3"/>
  <c r="R1659" i="3"/>
  <c r="P1659" i="3"/>
  <c r="AG1658" i="3"/>
  <c r="AB1658" i="3"/>
  <c r="AA1658" i="3"/>
  <c r="U1658" i="3"/>
  <c r="V1658" i="3"/>
  <c r="W1658" i="3"/>
  <c r="S1658" i="3"/>
  <c r="R1658" i="3"/>
  <c r="P1658" i="3"/>
  <c r="AG1657" i="3"/>
  <c r="AB1657" i="3"/>
  <c r="AA1657" i="3"/>
  <c r="U1657" i="3"/>
  <c r="V1657" i="3"/>
  <c r="W1657" i="3"/>
  <c r="S1657" i="3"/>
  <c r="R1657" i="3"/>
  <c r="P1657" i="3"/>
  <c r="AG1656" i="3"/>
  <c r="AB1656" i="3"/>
  <c r="AA1656" i="3"/>
  <c r="U1656" i="3"/>
  <c r="V1656" i="3"/>
  <c r="W1656" i="3"/>
  <c r="S1656" i="3"/>
  <c r="R1656" i="3"/>
  <c r="P1656" i="3"/>
  <c r="AG1655" i="3"/>
  <c r="AB1655" i="3"/>
  <c r="AA1655" i="3"/>
  <c r="U1655" i="3"/>
  <c r="V1655" i="3"/>
  <c r="W1655" i="3"/>
  <c r="S1655" i="3"/>
  <c r="R1655" i="3"/>
  <c r="P1655" i="3"/>
  <c r="AH1654" i="3"/>
  <c r="AG1654" i="3"/>
  <c r="AB1654" i="3"/>
  <c r="AA1654" i="3"/>
  <c r="U1654" i="3"/>
  <c r="V1654" i="3"/>
  <c r="W1654" i="3"/>
  <c r="S1654" i="3"/>
  <c r="R1654" i="3"/>
  <c r="P1654" i="3"/>
  <c r="AH1653" i="3"/>
  <c r="AG1653" i="3"/>
  <c r="AB1653" i="3"/>
  <c r="AA1653" i="3"/>
  <c r="U1653" i="3"/>
  <c r="V1653" i="3"/>
  <c r="W1653" i="3"/>
  <c r="S1653" i="3"/>
  <c r="R1653" i="3"/>
  <c r="AH1652" i="3"/>
  <c r="AG1652" i="3"/>
  <c r="AB1652" i="3"/>
  <c r="AA1652" i="3"/>
  <c r="U1652" i="3"/>
  <c r="V1652" i="3"/>
  <c r="W1652" i="3"/>
  <c r="S1652" i="3"/>
  <c r="R1652" i="3"/>
  <c r="AL1651" i="3"/>
  <c r="AH1651" i="3"/>
  <c r="AG1651" i="3"/>
  <c r="AB1651" i="3"/>
  <c r="AA1651" i="3"/>
  <c r="U1651" i="3"/>
  <c r="V1651" i="3"/>
  <c r="W1651" i="3"/>
  <c r="S1651" i="3"/>
  <c r="R1651" i="3"/>
  <c r="AH1650" i="3"/>
  <c r="AG1650" i="3"/>
  <c r="AB1650" i="3"/>
  <c r="AA1650" i="3"/>
  <c r="U1650" i="3"/>
  <c r="V1650" i="3"/>
  <c r="W1650" i="3"/>
  <c r="S1650" i="3"/>
  <c r="R1650" i="3"/>
  <c r="AH1649" i="3"/>
  <c r="AG1649" i="3"/>
  <c r="AB1649" i="3"/>
  <c r="AA1649" i="3"/>
  <c r="U1649" i="3"/>
  <c r="V1649" i="3"/>
  <c r="W1649" i="3"/>
  <c r="S1649" i="3"/>
  <c r="R1649" i="3"/>
  <c r="AH1648" i="3"/>
  <c r="AG1648" i="3"/>
  <c r="AB1648" i="3"/>
  <c r="AA1648" i="3"/>
  <c r="U1648" i="3"/>
  <c r="V1648" i="3"/>
  <c r="W1648" i="3"/>
  <c r="S1648" i="3"/>
  <c r="R1648" i="3"/>
  <c r="AH1647" i="3"/>
  <c r="AG1647" i="3"/>
  <c r="AB1647" i="3"/>
  <c r="AA1647" i="3"/>
  <c r="U1647" i="3"/>
  <c r="V1647" i="3"/>
  <c r="W1647" i="3"/>
  <c r="S1647" i="3"/>
  <c r="R1647" i="3"/>
  <c r="AH1646" i="3"/>
  <c r="AG1646" i="3"/>
  <c r="AB1646" i="3"/>
  <c r="AA1646" i="3"/>
  <c r="U1646" i="3"/>
  <c r="V1646" i="3"/>
  <c r="W1646" i="3"/>
  <c r="S1646" i="3"/>
  <c r="R1646" i="3"/>
  <c r="AH1645" i="3"/>
  <c r="AG1645" i="3"/>
  <c r="AB1645" i="3"/>
  <c r="AA1645" i="3"/>
  <c r="U1645" i="3"/>
  <c r="V1645" i="3"/>
  <c r="W1645" i="3"/>
  <c r="S1645" i="3"/>
  <c r="R1645" i="3"/>
  <c r="AH1644" i="3"/>
  <c r="AG1644" i="3"/>
  <c r="AB1644" i="3"/>
  <c r="AA1644" i="3"/>
  <c r="U1644" i="3"/>
  <c r="V1644" i="3"/>
  <c r="W1644" i="3"/>
  <c r="S1644" i="3"/>
  <c r="R1644" i="3"/>
  <c r="AG1643" i="3"/>
  <c r="AB1643" i="3"/>
  <c r="AA1643" i="3"/>
  <c r="U1643" i="3"/>
  <c r="V1643" i="3"/>
  <c r="W1643" i="3"/>
  <c r="S1643" i="3"/>
  <c r="R1643" i="3"/>
  <c r="AH1642" i="3"/>
  <c r="AG1642" i="3"/>
  <c r="AB1642" i="3"/>
  <c r="AA1642" i="3"/>
  <c r="U1642" i="3"/>
  <c r="V1642" i="3"/>
  <c r="W1642" i="3"/>
  <c r="S1642" i="3"/>
  <c r="R1642" i="3"/>
  <c r="P1642" i="3"/>
  <c r="AG1641" i="3"/>
  <c r="AB1641" i="3"/>
  <c r="AA1641" i="3"/>
  <c r="U1641" i="3"/>
  <c r="V1641" i="3"/>
  <c r="W1641" i="3"/>
  <c r="S1641" i="3"/>
  <c r="R1641" i="3"/>
  <c r="AH1640" i="3"/>
  <c r="AG1640" i="3"/>
  <c r="AB1640" i="3"/>
  <c r="AA1640" i="3"/>
  <c r="U1640" i="3"/>
  <c r="V1640" i="3"/>
  <c r="W1640" i="3"/>
  <c r="S1640" i="3"/>
  <c r="R1640" i="3"/>
  <c r="P1640" i="3"/>
  <c r="AG1639" i="3"/>
  <c r="AB1639" i="3"/>
  <c r="AA1639" i="3"/>
  <c r="U1639" i="3"/>
  <c r="V1639" i="3"/>
  <c r="W1639" i="3"/>
  <c r="S1639" i="3"/>
  <c r="R1639" i="3"/>
  <c r="P1639" i="3"/>
  <c r="AG1638" i="3"/>
  <c r="AB1638" i="3"/>
  <c r="AA1638" i="3"/>
  <c r="U1638" i="3"/>
  <c r="V1638" i="3"/>
  <c r="W1638" i="3"/>
  <c r="S1638" i="3"/>
  <c r="R1638" i="3"/>
  <c r="P1638" i="3"/>
  <c r="AG1637" i="3"/>
  <c r="AB1637" i="3"/>
  <c r="AA1637" i="3"/>
  <c r="U1637" i="3"/>
  <c r="V1637" i="3"/>
  <c r="W1637" i="3"/>
  <c r="S1637" i="3"/>
  <c r="R1637" i="3"/>
  <c r="P1637" i="3"/>
  <c r="AG1636" i="3"/>
  <c r="AB1636" i="3"/>
  <c r="AA1636" i="3"/>
  <c r="U1636" i="3"/>
  <c r="V1636" i="3"/>
  <c r="W1636" i="3"/>
  <c r="S1636" i="3"/>
  <c r="R1636" i="3"/>
  <c r="P1636" i="3"/>
  <c r="AG1635" i="3"/>
  <c r="AB1635" i="3"/>
  <c r="AA1635" i="3"/>
  <c r="U1635" i="3"/>
  <c r="V1635" i="3"/>
  <c r="W1635" i="3"/>
  <c r="S1635" i="3"/>
  <c r="R1635" i="3"/>
  <c r="P1635" i="3"/>
  <c r="AG1634" i="3"/>
  <c r="AB1634" i="3"/>
  <c r="AA1634" i="3"/>
  <c r="U1634" i="3"/>
  <c r="V1634" i="3"/>
  <c r="W1634" i="3"/>
  <c r="S1634" i="3"/>
  <c r="R1634" i="3"/>
  <c r="P1634" i="3"/>
  <c r="AH1633" i="3"/>
  <c r="AG1633" i="3"/>
  <c r="AB1633" i="3"/>
  <c r="AA1633" i="3"/>
  <c r="U1633" i="3"/>
  <c r="V1633" i="3"/>
  <c r="W1633" i="3"/>
  <c r="S1633" i="3"/>
  <c r="R1633" i="3"/>
  <c r="P1633" i="3"/>
  <c r="AH1632" i="3"/>
  <c r="AG1632" i="3"/>
  <c r="AB1632" i="3"/>
  <c r="AA1632" i="3"/>
  <c r="U1632" i="3"/>
  <c r="V1632" i="3"/>
  <c r="W1632" i="3"/>
  <c r="S1632" i="3"/>
  <c r="R1632" i="3"/>
  <c r="P1632" i="3"/>
  <c r="AH1631" i="3"/>
  <c r="AG1631" i="3"/>
  <c r="AB1631" i="3"/>
  <c r="AA1631" i="3"/>
  <c r="U1631" i="3"/>
  <c r="V1631" i="3"/>
  <c r="W1631" i="3"/>
  <c r="S1631" i="3"/>
  <c r="R1631" i="3"/>
  <c r="P1631" i="3"/>
  <c r="AH1630" i="3"/>
  <c r="AG1630" i="3"/>
  <c r="AB1630" i="3"/>
  <c r="AA1630" i="3"/>
  <c r="U1630" i="3"/>
  <c r="V1630" i="3"/>
  <c r="W1630" i="3"/>
  <c r="S1630" i="3"/>
  <c r="R1630" i="3"/>
  <c r="P1630" i="3"/>
  <c r="AH1629" i="3"/>
  <c r="AG1629" i="3"/>
  <c r="AB1629" i="3"/>
  <c r="AA1629" i="3"/>
  <c r="U1629" i="3"/>
  <c r="V1629" i="3"/>
  <c r="W1629" i="3"/>
  <c r="S1629" i="3"/>
  <c r="R1629" i="3"/>
  <c r="P1629" i="3"/>
  <c r="AH1628" i="3"/>
  <c r="AG1628" i="3"/>
  <c r="AB1628" i="3"/>
  <c r="AA1628" i="3"/>
  <c r="U1628" i="3"/>
  <c r="V1628" i="3"/>
  <c r="W1628" i="3"/>
  <c r="S1628" i="3"/>
  <c r="R1628" i="3"/>
  <c r="P1628" i="3"/>
  <c r="AH1627" i="3"/>
  <c r="AG1627" i="3"/>
  <c r="AB1627" i="3"/>
  <c r="AA1627" i="3"/>
  <c r="U1627" i="3"/>
  <c r="V1627" i="3"/>
  <c r="W1627" i="3"/>
  <c r="S1627" i="3"/>
  <c r="R1627" i="3"/>
  <c r="P1627" i="3"/>
  <c r="AH1626" i="3"/>
  <c r="AG1626" i="3"/>
  <c r="AB1626" i="3"/>
  <c r="AA1626" i="3"/>
  <c r="U1626" i="3"/>
  <c r="V1626" i="3"/>
  <c r="W1626" i="3"/>
  <c r="S1626" i="3"/>
  <c r="R1626" i="3"/>
  <c r="P1626" i="3"/>
  <c r="AH1625" i="3"/>
  <c r="AG1625" i="3"/>
  <c r="AB1625" i="3"/>
  <c r="AA1625" i="3"/>
  <c r="U1625" i="3"/>
  <c r="V1625" i="3"/>
  <c r="W1625" i="3"/>
  <c r="S1625" i="3"/>
  <c r="R1625" i="3"/>
  <c r="P1625" i="3"/>
  <c r="AH1624" i="3"/>
  <c r="AG1624" i="3"/>
  <c r="AB1624" i="3"/>
  <c r="AA1624" i="3"/>
  <c r="U1624" i="3"/>
  <c r="V1624" i="3"/>
  <c r="W1624" i="3"/>
  <c r="S1624" i="3"/>
  <c r="R1624" i="3"/>
  <c r="P1624" i="3"/>
  <c r="AG1623" i="3"/>
  <c r="AB1623" i="3"/>
  <c r="AA1623" i="3"/>
  <c r="U1623" i="3"/>
  <c r="V1623" i="3"/>
  <c r="W1623" i="3"/>
  <c r="S1623" i="3"/>
  <c r="R1623" i="3"/>
  <c r="AH1622" i="3"/>
  <c r="AG1622" i="3"/>
  <c r="AB1622" i="3"/>
  <c r="AA1622" i="3"/>
  <c r="U1622" i="3"/>
  <c r="V1622" i="3"/>
  <c r="W1622" i="3"/>
  <c r="S1622" i="3"/>
  <c r="R1622" i="3"/>
  <c r="P1622" i="3"/>
  <c r="AG1621" i="3"/>
  <c r="AB1621" i="3"/>
  <c r="AA1621" i="3"/>
  <c r="U1621" i="3"/>
  <c r="V1621" i="3"/>
  <c r="W1621" i="3"/>
  <c r="S1621" i="3"/>
  <c r="R1621" i="3"/>
  <c r="AH1620" i="3"/>
  <c r="AG1620" i="3"/>
  <c r="AB1620" i="3"/>
  <c r="AA1620" i="3"/>
  <c r="U1620" i="3"/>
  <c r="V1620" i="3"/>
  <c r="W1620" i="3"/>
  <c r="S1620" i="3"/>
  <c r="R1620" i="3"/>
  <c r="P1620" i="3"/>
  <c r="AG1619" i="3"/>
  <c r="AB1619" i="3"/>
  <c r="AA1619" i="3"/>
  <c r="U1619" i="3"/>
  <c r="V1619" i="3"/>
  <c r="S1619" i="3"/>
  <c r="R1619" i="3"/>
  <c r="AH1618" i="3"/>
  <c r="AG1618" i="3"/>
  <c r="AB1618" i="3"/>
  <c r="AA1618" i="3"/>
  <c r="U1618" i="3"/>
  <c r="V1618" i="3"/>
  <c r="W1618" i="3"/>
  <c r="S1618" i="3"/>
  <c r="R1618" i="3"/>
  <c r="P1618" i="3"/>
  <c r="AG1617" i="3"/>
  <c r="AB1617" i="3"/>
  <c r="AA1617" i="3"/>
  <c r="U1617" i="3"/>
  <c r="V1617" i="3"/>
  <c r="W1617" i="3"/>
  <c r="S1617" i="3"/>
  <c r="R1617" i="3"/>
  <c r="AH1616" i="3"/>
  <c r="AG1616" i="3"/>
  <c r="AB1616" i="3"/>
  <c r="AA1616" i="3"/>
  <c r="U1616" i="3"/>
  <c r="V1616" i="3"/>
  <c r="W1616" i="3"/>
  <c r="S1616" i="3"/>
  <c r="R1616" i="3"/>
  <c r="P1616" i="3"/>
  <c r="AH1615" i="3"/>
  <c r="AG1615" i="3"/>
  <c r="AB1615" i="3"/>
  <c r="AA1615" i="3"/>
  <c r="U1615" i="3"/>
  <c r="V1615" i="3"/>
  <c r="W1615" i="3"/>
  <c r="S1615" i="3"/>
  <c r="R1615" i="3"/>
  <c r="P1615" i="3"/>
  <c r="AH1614" i="3"/>
  <c r="AG1614" i="3"/>
  <c r="AB1614" i="3"/>
  <c r="AA1614" i="3"/>
  <c r="U1614" i="3"/>
  <c r="V1614" i="3"/>
  <c r="W1614" i="3"/>
  <c r="S1614" i="3"/>
  <c r="R1614" i="3"/>
  <c r="P1614" i="3"/>
  <c r="AG1613" i="3"/>
  <c r="AB1613" i="3"/>
  <c r="AA1613" i="3"/>
  <c r="U1613" i="3"/>
  <c r="V1613" i="3"/>
  <c r="W1613" i="3"/>
  <c r="S1613" i="3"/>
  <c r="R1613" i="3"/>
  <c r="P1613" i="3"/>
  <c r="AH1612" i="3"/>
  <c r="AG1612" i="3"/>
  <c r="AB1612" i="3"/>
  <c r="AA1612" i="3"/>
  <c r="U1612" i="3"/>
  <c r="V1612" i="3"/>
  <c r="W1612" i="3"/>
  <c r="S1612" i="3"/>
  <c r="R1612" i="3"/>
  <c r="P1612" i="3"/>
  <c r="AG1611" i="3"/>
  <c r="AB1611" i="3"/>
  <c r="AA1611" i="3"/>
  <c r="U1611" i="3"/>
  <c r="V1611" i="3"/>
  <c r="W1611" i="3"/>
  <c r="S1611" i="3"/>
  <c r="R1611" i="3"/>
  <c r="P1611" i="3"/>
  <c r="AH1610" i="3"/>
  <c r="AG1610" i="3"/>
  <c r="AB1610" i="3"/>
  <c r="AA1610" i="3"/>
  <c r="U1610" i="3"/>
  <c r="V1610" i="3"/>
  <c r="W1610" i="3"/>
  <c r="S1610" i="3"/>
  <c r="R1610" i="3"/>
  <c r="P1610" i="3"/>
  <c r="AG1609" i="3"/>
  <c r="AB1609" i="3"/>
  <c r="AA1609" i="3"/>
  <c r="U1609" i="3"/>
  <c r="V1609" i="3"/>
  <c r="W1609" i="3"/>
  <c r="S1609" i="3"/>
  <c r="R1609" i="3"/>
  <c r="P1609" i="3"/>
  <c r="AH1608" i="3"/>
  <c r="AG1608" i="3"/>
  <c r="AB1608" i="3"/>
  <c r="AA1608" i="3"/>
  <c r="U1608" i="3"/>
  <c r="V1608" i="3"/>
  <c r="W1608" i="3"/>
  <c r="S1608" i="3"/>
  <c r="R1608" i="3"/>
  <c r="P1608" i="3"/>
  <c r="AG1607" i="3"/>
  <c r="AB1607" i="3"/>
  <c r="AA1607" i="3"/>
  <c r="U1607" i="3"/>
  <c r="V1607" i="3"/>
  <c r="W1607" i="3"/>
  <c r="S1607" i="3"/>
  <c r="R1607" i="3"/>
  <c r="P1607" i="3"/>
  <c r="AH1606" i="3"/>
  <c r="AG1606" i="3"/>
  <c r="AB1606" i="3"/>
  <c r="AA1606" i="3"/>
  <c r="U1606" i="3"/>
  <c r="V1606" i="3"/>
  <c r="W1606" i="3"/>
  <c r="S1606" i="3"/>
  <c r="R1606" i="3"/>
  <c r="P1606" i="3"/>
  <c r="AG1605" i="3"/>
  <c r="AB1605" i="3"/>
  <c r="AA1605" i="3"/>
  <c r="U1605" i="3"/>
  <c r="V1605" i="3"/>
  <c r="W1605" i="3"/>
  <c r="S1605" i="3"/>
  <c r="R1605" i="3"/>
  <c r="P1605" i="3"/>
  <c r="AJ1604" i="3"/>
  <c r="P1604" i="3"/>
  <c r="AH1604" i="3"/>
  <c r="AG1604" i="3"/>
  <c r="AB1604" i="3"/>
  <c r="AA1604" i="3"/>
  <c r="U1604" i="3"/>
  <c r="V1604" i="3"/>
  <c r="W1604" i="3"/>
  <c r="S1604" i="3"/>
  <c r="R1604" i="3"/>
  <c r="AH1603" i="3"/>
  <c r="AG1603" i="3"/>
  <c r="AB1603" i="3"/>
  <c r="AA1603" i="3"/>
  <c r="U1603" i="3"/>
  <c r="V1603" i="3"/>
  <c r="W1603" i="3"/>
  <c r="S1603" i="3"/>
  <c r="R1603" i="3"/>
  <c r="P1603" i="3"/>
  <c r="AJ1602" i="3"/>
  <c r="P1602" i="3"/>
  <c r="AH1602" i="3"/>
  <c r="AG1602" i="3"/>
  <c r="AB1602" i="3"/>
  <c r="AA1602" i="3"/>
  <c r="U1602" i="3"/>
  <c r="V1602" i="3"/>
  <c r="W1602" i="3"/>
  <c r="S1602" i="3"/>
  <c r="R1602" i="3"/>
  <c r="AG1601" i="3"/>
  <c r="AB1601" i="3"/>
  <c r="AA1601" i="3"/>
  <c r="U1601" i="3"/>
  <c r="V1601" i="3"/>
  <c r="W1601" i="3"/>
  <c r="S1601" i="3"/>
  <c r="R1601" i="3"/>
  <c r="P1601" i="3"/>
  <c r="AG1600" i="3"/>
  <c r="AB1600" i="3"/>
  <c r="AA1600" i="3"/>
  <c r="U1600" i="3"/>
  <c r="V1600" i="3"/>
  <c r="W1600" i="3"/>
  <c r="S1600" i="3"/>
  <c r="R1600" i="3"/>
  <c r="P1600" i="3"/>
  <c r="AG1599" i="3"/>
  <c r="AB1599" i="3"/>
  <c r="AA1599" i="3"/>
  <c r="U1599" i="3"/>
  <c r="V1599" i="3"/>
  <c r="W1599" i="3"/>
  <c r="S1599" i="3"/>
  <c r="R1599" i="3"/>
  <c r="P1599" i="3"/>
  <c r="AG1598" i="3"/>
  <c r="AB1598" i="3"/>
  <c r="AA1598" i="3"/>
  <c r="U1598" i="3"/>
  <c r="V1598" i="3"/>
  <c r="W1598" i="3"/>
  <c r="S1598" i="3"/>
  <c r="R1598" i="3"/>
  <c r="P1598" i="3"/>
  <c r="AG1597" i="3"/>
  <c r="AB1597" i="3"/>
  <c r="AA1597" i="3"/>
  <c r="U1597" i="3"/>
  <c r="V1597" i="3"/>
  <c r="W1597" i="3"/>
  <c r="S1597" i="3"/>
  <c r="R1597" i="3"/>
  <c r="P1597" i="3"/>
  <c r="AO1596" i="3"/>
  <c r="AH1596" i="3"/>
  <c r="AG1596" i="3"/>
  <c r="AB1596" i="3"/>
  <c r="AA1596" i="3"/>
  <c r="U1596" i="3"/>
  <c r="V1596" i="3"/>
  <c r="W1596" i="3"/>
  <c r="S1596" i="3"/>
  <c r="R1596" i="3"/>
  <c r="AO1595" i="3"/>
  <c r="AH1595" i="3"/>
  <c r="AG1595" i="3"/>
  <c r="AB1595" i="3"/>
  <c r="AA1595" i="3"/>
  <c r="U1595" i="3"/>
  <c r="V1595" i="3"/>
  <c r="W1595" i="3"/>
  <c r="S1595" i="3"/>
  <c r="R1595" i="3"/>
  <c r="AO1594" i="3"/>
  <c r="AH1594" i="3"/>
  <c r="AG1594" i="3"/>
  <c r="AB1594" i="3"/>
  <c r="AA1594" i="3"/>
  <c r="U1594" i="3"/>
  <c r="V1594" i="3"/>
  <c r="W1594" i="3"/>
  <c r="S1594" i="3"/>
  <c r="R1594" i="3"/>
  <c r="AO1593" i="3"/>
  <c r="AH1593" i="3"/>
  <c r="AG1593" i="3"/>
  <c r="AB1593" i="3"/>
  <c r="AA1593" i="3"/>
  <c r="U1593" i="3"/>
  <c r="V1593" i="3"/>
  <c r="W1593" i="3"/>
  <c r="S1593" i="3"/>
  <c r="R1593" i="3"/>
  <c r="AO1592" i="3"/>
  <c r="AH1592" i="3"/>
  <c r="AG1592" i="3"/>
  <c r="AB1592" i="3"/>
  <c r="AA1592" i="3"/>
  <c r="U1592" i="3"/>
  <c r="V1592" i="3"/>
  <c r="W1592" i="3"/>
  <c r="S1592" i="3"/>
  <c r="R1592" i="3"/>
  <c r="AB1591" i="3"/>
  <c r="X1591" i="3"/>
  <c r="U1591" i="3"/>
  <c r="V1591" i="3"/>
  <c r="W1591" i="3"/>
  <c r="R1591" i="3"/>
  <c r="AH1590" i="3"/>
  <c r="AG1590" i="3"/>
  <c r="AB1590" i="3"/>
  <c r="AA1590" i="3"/>
  <c r="U1590" i="3"/>
  <c r="V1590" i="3"/>
  <c r="W1590" i="3"/>
  <c r="S1590" i="3"/>
  <c r="R1590" i="3"/>
  <c r="P1590" i="3"/>
  <c r="AB1589" i="3"/>
  <c r="X1589" i="3"/>
  <c r="U1589" i="3"/>
  <c r="V1589" i="3"/>
  <c r="W1589" i="3"/>
  <c r="R1589" i="3"/>
  <c r="AH1588" i="3"/>
  <c r="AG1588" i="3"/>
  <c r="AB1588" i="3"/>
  <c r="AA1588" i="3"/>
  <c r="U1588" i="3"/>
  <c r="V1588" i="3"/>
  <c r="W1588" i="3"/>
  <c r="S1588" i="3"/>
  <c r="R1588" i="3"/>
  <c r="P1588" i="3"/>
  <c r="AG1587" i="3"/>
  <c r="AB1587" i="3"/>
  <c r="X1587" i="3"/>
  <c r="AA1587" i="3"/>
  <c r="U1587" i="3"/>
  <c r="V1587" i="3"/>
  <c r="W1587" i="3"/>
  <c r="R1587" i="3"/>
  <c r="AH1586" i="3"/>
  <c r="AG1586" i="3"/>
  <c r="AB1586" i="3"/>
  <c r="AA1586" i="3"/>
  <c r="U1586" i="3"/>
  <c r="V1586" i="3"/>
  <c r="W1586" i="3"/>
  <c r="S1586" i="3"/>
  <c r="R1586" i="3"/>
  <c r="P1586" i="3"/>
  <c r="AH1585" i="3"/>
  <c r="AG1585" i="3"/>
  <c r="AB1585" i="3"/>
  <c r="AA1585" i="3"/>
  <c r="U1585" i="3"/>
  <c r="V1585" i="3"/>
  <c r="W1585" i="3"/>
  <c r="S1585" i="3"/>
  <c r="R1585" i="3"/>
  <c r="P1585" i="3"/>
  <c r="AH1584" i="3"/>
  <c r="AG1584" i="3"/>
  <c r="AB1584" i="3"/>
  <c r="AA1584" i="3"/>
  <c r="U1584" i="3"/>
  <c r="V1584" i="3"/>
  <c r="W1584" i="3"/>
  <c r="S1584" i="3"/>
  <c r="R1584" i="3"/>
  <c r="P1584" i="3"/>
  <c r="AH1583" i="3"/>
  <c r="AG1583" i="3"/>
  <c r="AB1583" i="3"/>
  <c r="X1583" i="3"/>
  <c r="U1583" i="3"/>
  <c r="V1583" i="3"/>
  <c r="W1583" i="3"/>
  <c r="R1583" i="3"/>
  <c r="P1583" i="3"/>
  <c r="AH1582" i="3"/>
  <c r="AG1582" i="3"/>
  <c r="AB1582" i="3"/>
  <c r="AA1582" i="3"/>
  <c r="U1582" i="3"/>
  <c r="V1582" i="3"/>
  <c r="W1582" i="3"/>
  <c r="S1582" i="3"/>
  <c r="R1582" i="3"/>
  <c r="AH1581" i="3"/>
  <c r="AG1581" i="3"/>
  <c r="AB1581" i="3"/>
  <c r="AA1581" i="3"/>
  <c r="W1581" i="3"/>
  <c r="S1581" i="3"/>
  <c r="R1581" i="3"/>
  <c r="P1581" i="3"/>
  <c r="AH1580" i="3"/>
  <c r="AG1580" i="3"/>
  <c r="AB1580" i="3"/>
  <c r="AA1580" i="3"/>
  <c r="W1580" i="3"/>
  <c r="S1580" i="3"/>
  <c r="R1580" i="3"/>
  <c r="P1580" i="3"/>
  <c r="AH1579" i="3"/>
  <c r="AG1579" i="3"/>
  <c r="AB1579" i="3"/>
  <c r="AA1579" i="3"/>
  <c r="W1579" i="3"/>
  <c r="S1579" i="3"/>
  <c r="R1579" i="3"/>
  <c r="P1579" i="3"/>
  <c r="AH1578" i="3"/>
  <c r="AG1578" i="3"/>
  <c r="AB1578" i="3"/>
  <c r="AA1578" i="3"/>
  <c r="W1578" i="3"/>
  <c r="S1578" i="3"/>
  <c r="R1578" i="3"/>
  <c r="P1578" i="3"/>
  <c r="AH1577" i="3"/>
  <c r="AG1577" i="3"/>
  <c r="AB1577" i="3"/>
  <c r="AA1577" i="3"/>
  <c r="W1577" i="3"/>
  <c r="S1577" i="3"/>
  <c r="R1577" i="3"/>
  <c r="P1577" i="3"/>
  <c r="AH1576" i="3"/>
  <c r="AG1576" i="3"/>
  <c r="AB1576" i="3"/>
  <c r="AA1576" i="3"/>
  <c r="U1576" i="3"/>
  <c r="W1576" i="3"/>
  <c r="S1576" i="3"/>
  <c r="R1576" i="3"/>
  <c r="AH1575" i="3"/>
  <c r="AG1575" i="3"/>
  <c r="AB1575" i="3"/>
  <c r="AA1575" i="3"/>
  <c r="U1575" i="3"/>
  <c r="W1575" i="3"/>
  <c r="S1575" i="3"/>
  <c r="R1575" i="3"/>
  <c r="AH1574" i="3"/>
  <c r="AG1574" i="3"/>
  <c r="AB1574" i="3"/>
  <c r="AA1574" i="3"/>
  <c r="U1574" i="3"/>
  <c r="W1574" i="3"/>
  <c r="S1574" i="3"/>
  <c r="R1574" i="3"/>
  <c r="AH1573" i="3"/>
  <c r="AG1573" i="3"/>
  <c r="AB1573" i="3"/>
  <c r="AA1573" i="3"/>
  <c r="U1573" i="3"/>
  <c r="W1573" i="3"/>
  <c r="S1573" i="3"/>
  <c r="R1573" i="3"/>
  <c r="AH1572" i="3"/>
  <c r="AG1572" i="3"/>
  <c r="AB1572" i="3"/>
  <c r="AA1572" i="3"/>
  <c r="U1572" i="3"/>
  <c r="W1572" i="3"/>
  <c r="S1572" i="3"/>
  <c r="R1572" i="3"/>
  <c r="AH1571" i="3"/>
  <c r="AG1571" i="3"/>
  <c r="AB1571" i="3"/>
  <c r="AA1571" i="3"/>
  <c r="U1571" i="3"/>
  <c r="W1571" i="3"/>
  <c r="S1571" i="3"/>
  <c r="R1571" i="3"/>
  <c r="AH1570" i="3"/>
  <c r="AG1570" i="3"/>
  <c r="AB1570" i="3"/>
  <c r="AA1570" i="3"/>
  <c r="U1570" i="3"/>
  <c r="W1570" i="3"/>
  <c r="S1570" i="3"/>
  <c r="R1570" i="3"/>
  <c r="AH1569" i="3"/>
  <c r="AG1569" i="3"/>
  <c r="AB1569" i="3"/>
  <c r="AA1569" i="3"/>
  <c r="U1569" i="3"/>
  <c r="V1569" i="3"/>
  <c r="W1569" i="3"/>
  <c r="S1569" i="3"/>
  <c r="R1569" i="3"/>
  <c r="P1569" i="3"/>
  <c r="AH1568" i="3"/>
  <c r="AG1568" i="3"/>
  <c r="AB1568" i="3"/>
  <c r="AA1568" i="3"/>
  <c r="U1568" i="3"/>
  <c r="V1568" i="3"/>
  <c r="W1568" i="3"/>
  <c r="S1568" i="3"/>
  <c r="R1568" i="3"/>
  <c r="P1568" i="3"/>
  <c r="AH1567" i="3"/>
  <c r="AG1567" i="3"/>
  <c r="AB1567" i="3"/>
  <c r="AA1567" i="3"/>
  <c r="U1567" i="3"/>
  <c r="V1567" i="3"/>
  <c r="W1567" i="3"/>
  <c r="S1567" i="3"/>
  <c r="R1567" i="3"/>
  <c r="P1567" i="3"/>
  <c r="AH1566" i="3"/>
  <c r="AG1566" i="3"/>
  <c r="AB1566" i="3"/>
  <c r="AA1566" i="3"/>
  <c r="U1566" i="3"/>
  <c r="V1566" i="3"/>
  <c r="W1566" i="3"/>
  <c r="S1566" i="3"/>
  <c r="R1566" i="3"/>
  <c r="P1566" i="3"/>
  <c r="AH1565" i="3"/>
  <c r="AG1565" i="3"/>
  <c r="AB1565" i="3"/>
  <c r="AA1565" i="3"/>
  <c r="U1565" i="3"/>
  <c r="V1565" i="3"/>
  <c r="W1565" i="3"/>
  <c r="S1565" i="3"/>
  <c r="R1565" i="3"/>
  <c r="P1565" i="3"/>
  <c r="AH1564" i="3"/>
  <c r="AG1564" i="3"/>
  <c r="AB1564" i="3"/>
  <c r="AA1564" i="3"/>
  <c r="U1564" i="3"/>
  <c r="V1564" i="3"/>
  <c r="W1564" i="3"/>
  <c r="S1564" i="3"/>
  <c r="R1564" i="3"/>
  <c r="P1564" i="3"/>
  <c r="AH1563" i="3"/>
  <c r="AG1563" i="3"/>
  <c r="AB1563" i="3"/>
  <c r="AA1563" i="3"/>
  <c r="U1563" i="3"/>
  <c r="V1563" i="3"/>
  <c r="W1563" i="3"/>
  <c r="S1563" i="3"/>
  <c r="R1563" i="3"/>
  <c r="P1563" i="3"/>
  <c r="AH1562" i="3"/>
  <c r="AG1562" i="3"/>
  <c r="AE1562" i="3"/>
  <c r="AB1562" i="3"/>
  <c r="AA1562" i="3"/>
  <c r="U1562" i="3"/>
  <c r="V1562" i="3"/>
  <c r="W1562" i="3"/>
  <c r="S1562" i="3"/>
  <c r="R1562" i="3"/>
  <c r="P1562" i="3"/>
  <c r="AH1561" i="3"/>
  <c r="AG1561" i="3"/>
  <c r="AE1561" i="3"/>
  <c r="AB1561" i="3"/>
  <c r="AA1561" i="3"/>
  <c r="U1561" i="3"/>
  <c r="V1561" i="3"/>
  <c r="W1561" i="3"/>
  <c r="S1561" i="3"/>
  <c r="R1561" i="3"/>
  <c r="P1561" i="3"/>
  <c r="AG1560" i="3"/>
  <c r="AB1560" i="3"/>
  <c r="AA1560" i="3"/>
  <c r="V1560" i="3"/>
  <c r="W1560" i="3"/>
  <c r="S1560" i="3"/>
  <c r="R1560" i="3"/>
  <c r="P1560" i="3"/>
  <c r="AH1559" i="3"/>
  <c r="AG1559" i="3"/>
  <c r="AB1559" i="3"/>
  <c r="AA1559" i="3"/>
  <c r="U1559" i="3"/>
  <c r="V1559" i="3"/>
  <c r="W1559" i="3"/>
  <c r="S1559" i="3"/>
  <c r="R1559" i="3"/>
  <c r="P1559" i="3"/>
  <c r="AG1558" i="3"/>
  <c r="AB1558" i="3"/>
  <c r="AA1558" i="3"/>
  <c r="U1558" i="3"/>
  <c r="V1558" i="3"/>
  <c r="W1558" i="3"/>
  <c r="S1558" i="3"/>
  <c r="R1558" i="3"/>
  <c r="P1558" i="3"/>
  <c r="AG1557" i="3"/>
  <c r="AB1557" i="3"/>
  <c r="AA1557" i="3"/>
  <c r="U1557" i="3"/>
  <c r="V1557" i="3"/>
  <c r="W1557" i="3"/>
  <c r="S1557" i="3"/>
  <c r="R1557" i="3"/>
  <c r="P1557" i="3"/>
  <c r="AG1556" i="3"/>
  <c r="AB1556" i="3"/>
  <c r="AA1556" i="3"/>
  <c r="U1556" i="3"/>
  <c r="V1556" i="3"/>
  <c r="W1556" i="3"/>
  <c r="S1556" i="3"/>
  <c r="R1556" i="3"/>
  <c r="P1556" i="3"/>
  <c r="AH1555" i="3"/>
  <c r="AG1555" i="3"/>
  <c r="AB1555" i="3"/>
  <c r="AA1555" i="3"/>
  <c r="U1555" i="3"/>
  <c r="V1555" i="3"/>
  <c r="W1555" i="3"/>
  <c r="S1555" i="3"/>
  <c r="R1555" i="3"/>
  <c r="P1555" i="3"/>
  <c r="AH1554" i="3"/>
  <c r="AG1554" i="3"/>
  <c r="AB1554" i="3"/>
  <c r="AA1554" i="3"/>
  <c r="U1554" i="3"/>
  <c r="V1554" i="3"/>
  <c r="W1554" i="3"/>
  <c r="S1554" i="3"/>
  <c r="R1554" i="3"/>
  <c r="P1554" i="3"/>
  <c r="AH1553" i="3"/>
  <c r="AG1553" i="3"/>
  <c r="AB1553" i="3"/>
  <c r="AA1553" i="3"/>
  <c r="U1553" i="3"/>
  <c r="V1553" i="3"/>
  <c r="W1553" i="3"/>
  <c r="S1553" i="3"/>
  <c r="R1553" i="3"/>
  <c r="P1553" i="3"/>
  <c r="AH1552" i="3"/>
  <c r="AG1552" i="3"/>
  <c r="AB1552" i="3"/>
  <c r="AA1552" i="3"/>
  <c r="U1552" i="3"/>
  <c r="V1552" i="3"/>
  <c r="W1552" i="3"/>
  <c r="S1552" i="3"/>
  <c r="R1552" i="3"/>
  <c r="P1552" i="3"/>
  <c r="AH1551" i="3"/>
  <c r="AG1551" i="3"/>
  <c r="AB1551" i="3"/>
  <c r="AA1551" i="3"/>
  <c r="U1551" i="3"/>
  <c r="V1551" i="3"/>
  <c r="W1551" i="3"/>
  <c r="S1551" i="3"/>
  <c r="R1551" i="3"/>
  <c r="P1551" i="3"/>
  <c r="AH1550" i="3"/>
  <c r="AG1550" i="3"/>
  <c r="AE1550" i="3"/>
  <c r="AB1550" i="3"/>
  <c r="AA1550" i="3"/>
  <c r="U1550" i="3"/>
  <c r="V1550" i="3"/>
  <c r="W1550" i="3"/>
  <c r="S1550" i="3"/>
  <c r="R1550" i="3"/>
  <c r="P1550" i="3"/>
  <c r="AH1549" i="3"/>
  <c r="AG1549" i="3"/>
  <c r="AB1549" i="3"/>
  <c r="AA1549" i="3"/>
  <c r="U1549" i="3"/>
  <c r="V1549" i="3"/>
  <c r="W1549" i="3"/>
  <c r="S1549" i="3"/>
  <c r="R1549" i="3"/>
  <c r="P1549" i="3"/>
  <c r="AH1548" i="3"/>
  <c r="AG1548" i="3"/>
  <c r="AB1548" i="3"/>
  <c r="AA1548" i="3"/>
  <c r="U1548" i="3"/>
  <c r="V1548" i="3"/>
  <c r="W1548" i="3"/>
  <c r="S1548" i="3"/>
  <c r="R1548" i="3"/>
  <c r="P1548" i="3"/>
  <c r="AH1547" i="3"/>
  <c r="AG1547" i="3"/>
  <c r="AB1547" i="3"/>
  <c r="AA1547" i="3"/>
  <c r="U1547" i="3"/>
  <c r="V1547" i="3"/>
  <c r="W1547" i="3"/>
  <c r="S1547" i="3"/>
  <c r="R1547" i="3"/>
  <c r="P1547" i="3"/>
  <c r="AH1546" i="3"/>
  <c r="AG1546" i="3"/>
  <c r="AB1546" i="3"/>
  <c r="AA1546" i="3"/>
  <c r="U1546" i="3"/>
  <c r="V1546" i="3"/>
  <c r="W1546" i="3"/>
  <c r="S1546" i="3"/>
  <c r="R1546" i="3"/>
  <c r="P1546" i="3"/>
  <c r="AH1545" i="3"/>
  <c r="AG1545" i="3"/>
  <c r="AB1545" i="3"/>
  <c r="AA1545" i="3"/>
  <c r="U1545" i="3"/>
  <c r="V1545" i="3"/>
  <c r="W1545" i="3"/>
  <c r="S1545" i="3"/>
  <c r="R1545" i="3"/>
  <c r="P1545" i="3"/>
  <c r="AH1544" i="3"/>
  <c r="AG1544" i="3"/>
  <c r="AB1544" i="3"/>
  <c r="AA1544" i="3"/>
  <c r="U1544" i="3"/>
  <c r="V1544" i="3"/>
  <c r="W1544" i="3"/>
  <c r="S1544" i="3"/>
  <c r="R1544" i="3"/>
  <c r="P1544" i="3"/>
  <c r="AH1543" i="3"/>
  <c r="AG1543" i="3"/>
  <c r="AB1543" i="3"/>
  <c r="AA1543" i="3"/>
  <c r="U1543" i="3"/>
  <c r="V1543" i="3"/>
  <c r="W1543" i="3"/>
  <c r="S1543" i="3"/>
  <c r="R1543" i="3"/>
  <c r="P1543" i="3"/>
  <c r="AH1542" i="3"/>
  <c r="AG1542" i="3"/>
  <c r="AB1542" i="3"/>
  <c r="AA1542" i="3"/>
  <c r="U1542" i="3"/>
  <c r="V1542" i="3"/>
  <c r="W1542" i="3"/>
  <c r="S1542" i="3"/>
  <c r="R1542" i="3"/>
  <c r="P1542" i="3"/>
  <c r="AH1541" i="3"/>
  <c r="AG1541" i="3"/>
  <c r="AB1541" i="3"/>
  <c r="AA1541" i="3"/>
  <c r="U1541" i="3"/>
  <c r="V1541" i="3"/>
  <c r="W1541" i="3"/>
  <c r="S1541" i="3"/>
  <c r="R1541" i="3"/>
  <c r="P1541" i="3"/>
  <c r="AH1540" i="3"/>
  <c r="AG1540" i="3"/>
  <c r="AB1540" i="3"/>
  <c r="AA1540" i="3"/>
  <c r="U1540" i="3"/>
  <c r="V1540" i="3"/>
  <c r="W1540" i="3"/>
  <c r="S1540" i="3"/>
  <c r="R1540" i="3"/>
  <c r="P1540" i="3"/>
  <c r="AH1539" i="3"/>
  <c r="AG1539" i="3"/>
  <c r="AB1539" i="3"/>
  <c r="AA1539" i="3"/>
  <c r="U1539" i="3"/>
  <c r="V1539" i="3"/>
  <c r="W1539" i="3"/>
  <c r="S1539" i="3"/>
  <c r="R1539" i="3"/>
  <c r="P1539" i="3"/>
  <c r="AH1538" i="3"/>
  <c r="AG1538" i="3"/>
  <c r="AB1538" i="3"/>
  <c r="AA1538" i="3"/>
  <c r="U1538" i="3"/>
  <c r="V1538" i="3"/>
  <c r="W1538" i="3"/>
  <c r="S1538" i="3"/>
  <c r="R1538" i="3"/>
  <c r="P1538" i="3"/>
  <c r="AH1537" i="3"/>
  <c r="AG1537" i="3"/>
  <c r="AB1537" i="3"/>
  <c r="AA1537" i="3"/>
  <c r="U1537" i="3"/>
  <c r="V1537" i="3"/>
  <c r="W1537" i="3"/>
  <c r="S1537" i="3"/>
  <c r="R1537" i="3"/>
  <c r="P1537" i="3"/>
  <c r="AH1536" i="3"/>
  <c r="AG1536" i="3"/>
  <c r="AB1536" i="3"/>
  <c r="AA1536" i="3"/>
  <c r="U1536" i="3"/>
  <c r="V1536" i="3"/>
  <c r="W1536" i="3"/>
  <c r="S1536" i="3"/>
  <c r="R1536" i="3"/>
  <c r="P1536" i="3"/>
  <c r="AH1535" i="3"/>
  <c r="AG1535" i="3"/>
  <c r="AB1535" i="3"/>
  <c r="AA1535" i="3"/>
  <c r="U1535" i="3"/>
  <c r="V1535" i="3"/>
  <c r="W1535" i="3"/>
  <c r="S1535" i="3"/>
  <c r="R1535" i="3"/>
  <c r="P1535" i="3"/>
  <c r="AG1534" i="3"/>
  <c r="AB1534" i="3"/>
  <c r="AA1534" i="3"/>
  <c r="U1534" i="3"/>
  <c r="V1534" i="3"/>
  <c r="W1534" i="3"/>
  <c r="S1534" i="3"/>
  <c r="R1534" i="3"/>
  <c r="P1534" i="3"/>
  <c r="AG1533" i="3"/>
  <c r="AB1533" i="3"/>
  <c r="AA1533" i="3"/>
  <c r="U1533" i="3"/>
  <c r="V1533" i="3"/>
  <c r="W1533" i="3"/>
  <c r="S1533" i="3"/>
  <c r="R1533" i="3"/>
  <c r="P1533" i="3"/>
  <c r="AG1532" i="3"/>
  <c r="AB1532" i="3"/>
  <c r="AA1532" i="3"/>
  <c r="U1532" i="3"/>
  <c r="V1532" i="3"/>
  <c r="W1532" i="3"/>
  <c r="S1532" i="3"/>
  <c r="R1532" i="3"/>
  <c r="P1532" i="3"/>
  <c r="AG1531" i="3"/>
  <c r="AB1531" i="3"/>
  <c r="AA1531" i="3"/>
  <c r="U1531" i="3"/>
  <c r="V1531" i="3"/>
  <c r="W1531" i="3"/>
  <c r="S1531" i="3"/>
  <c r="R1531" i="3"/>
  <c r="P1531" i="3"/>
  <c r="AH1530" i="3"/>
  <c r="AG1530" i="3"/>
  <c r="AB1530" i="3"/>
  <c r="AA1530" i="3"/>
  <c r="U1530" i="3"/>
  <c r="V1530" i="3"/>
  <c r="W1530" i="3"/>
  <c r="S1530" i="3"/>
  <c r="R1530" i="3"/>
  <c r="P1530" i="3"/>
  <c r="AH1529" i="3"/>
  <c r="AG1529" i="3"/>
  <c r="AB1529" i="3"/>
  <c r="AA1529" i="3"/>
  <c r="U1529" i="3"/>
  <c r="V1529" i="3"/>
  <c r="W1529" i="3"/>
  <c r="S1529" i="3"/>
  <c r="R1529" i="3"/>
  <c r="P1529" i="3"/>
  <c r="AH1528" i="3"/>
  <c r="AG1528" i="3"/>
  <c r="AB1528" i="3"/>
  <c r="AA1528" i="3"/>
  <c r="U1528" i="3"/>
  <c r="V1528" i="3"/>
  <c r="W1528" i="3"/>
  <c r="S1528" i="3"/>
  <c r="R1528" i="3"/>
  <c r="P1528" i="3"/>
  <c r="AH1527" i="3"/>
  <c r="AG1527" i="3"/>
  <c r="AB1527" i="3"/>
  <c r="AA1527" i="3"/>
  <c r="U1527" i="3"/>
  <c r="V1527" i="3"/>
  <c r="W1527" i="3"/>
  <c r="S1527" i="3"/>
  <c r="R1527" i="3"/>
  <c r="P1527" i="3"/>
  <c r="AH1526" i="3"/>
  <c r="AG1526" i="3"/>
  <c r="AB1526" i="3"/>
  <c r="AA1526" i="3"/>
  <c r="U1526" i="3"/>
  <c r="V1526" i="3"/>
  <c r="W1526" i="3"/>
  <c r="S1526" i="3"/>
  <c r="R1526" i="3"/>
  <c r="P1526" i="3"/>
  <c r="AH1525" i="3"/>
  <c r="AG1525" i="3"/>
  <c r="AB1525" i="3"/>
  <c r="AA1525" i="3"/>
  <c r="U1525" i="3"/>
  <c r="V1525" i="3"/>
  <c r="W1525" i="3"/>
  <c r="S1525" i="3"/>
  <c r="R1525" i="3"/>
  <c r="P1525" i="3"/>
  <c r="AH1524" i="3"/>
  <c r="AG1524" i="3"/>
  <c r="AB1524" i="3"/>
  <c r="AA1524" i="3"/>
  <c r="U1524" i="3"/>
  <c r="V1524" i="3"/>
  <c r="W1524" i="3"/>
  <c r="S1524" i="3"/>
  <c r="R1524" i="3"/>
  <c r="P1524" i="3"/>
  <c r="AH1523" i="3"/>
  <c r="AG1523" i="3"/>
  <c r="AB1523" i="3"/>
  <c r="AA1523" i="3"/>
  <c r="U1523" i="3"/>
  <c r="V1523" i="3"/>
  <c r="W1523" i="3"/>
  <c r="S1523" i="3"/>
  <c r="R1523" i="3"/>
  <c r="P1523" i="3"/>
  <c r="AH1522" i="3"/>
  <c r="AG1522" i="3"/>
  <c r="AB1522" i="3"/>
  <c r="AA1522" i="3"/>
  <c r="U1522" i="3"/>
  <c r="V1522" i="3"/>
  <c r="W1522" i="3"/>
  <c r="S1522" i="3"/>
  <c r="R1522" i="3"/>
  <c r="P1522" i="3"/>
  <c r="AH1521" i="3"/>
  <c r="AG1521" i="3"/>
  <c r="AB1521" i="3"/>
  <c r="AA1521" i="3"/>
  <c r="U1521" i="3"/>
  <c r="V1521" i="3"/>
  <c r="W1521" i="3"/>
  <c r="S1521" i="3"/>
  <c r="R1521" i="3"/>
  <c r="P1521" i="3"/>
  <c r="AH1520" i="3"/>
  <c r="AG1520" i="3"/>
  <c r="AB1520" i="3"/>
  <c r="AA1520" i="3"/>
  <c r="U1520" i="3"/>
  <c r="V1520" i="3"/>
  <c r="W1520" i="3"/>
  <c r="S1520" i="3"/>
  <c r="R1520" i="3"/>
  <c r="P1520" i="3"/>
  <c r="AH1519" i="3"/>
  <c r="AG1519" i="3"/>
  <c r="AB1519" i="3"/>
  <c r="AA1519" i="3"/>
  <c r="U1519" i="3"/>
  <c r="V1519" i="3"/>
  <c r="W1519" i="3"/>
  <c r="S1519" i="3"/>
  <c r="R1519" i="3"/>
  <c r="P1519" i="3"/>
  <c r="AH1518" i="3"/>
  <c r="AG1518" i="3"/>
  <c r="AB1518" i="3"/>
  <c r="AA1518" i="3"/>
  <c r="U1518" i="3"/>
  <c r="V1518" i="3"/>
  <c r="W1518" i="3"/>
  <c r="S1518" i="3"/>
  <c r="R1518" i="3"/>
  <c r="P1518" i="3"/>
  <c r="AG1517" i="3"/>
  <c r="AB1517" i="3"/>
  <c r="AA1517" i="3"/>
  <c r="U1517" i="3"/>
  <c r="V1517" i="3"/>
  <c r="W1517" i="3"/>
  <c r="S1517" i="3"/>
  <c r="R1517" i="3"/>
  <c r="P1517" i="3"/>
  <c r="AG1516" i="3"/>
  <c r="AB1516" i="3"/>
  <c r="AA1516" i="3"/>
  <c r="U1516" i="3"/>
  <c r="V1516" i="3"/>
  <c r="W1516" i="3"/>
  <c r="S1516" i="3"/>
  <c r="R1516" i="3"/>
  <c r="P1516" i="3"/>
  <c r="AH1515" i="3"/>
  <c r="AG1515" i="3"/>
  <c r="AB1515" i="3"/>
  <c r="AA1515" i="3"/>
  <c r="U1515" i="3"/>
  <c r="V1515" i="3"/>
  <c r="W1515" i="3"/>
  <c r="S1515" i="3"/>
  <c r="R1515" i="3"/>
  <c r="P1515" i="3"/>
  <c r="AH1514" i="3"/>
  <c r="AG1514" i="3"/>
  <c r="AB1514" i="3"/>
  <c r="AA1514" i="3"/>
  <c r="U1514" i="3"/>
  <c r="V1514" i="3"/>
  <c r="W1514" i="3"/>
  <c r="S1514" i="3"/>
  <c r="R1514" i="3"/>
  <c r="P1514" i="3"/>
  <c r="AH1513" i="3"/>
  <c r="AG1513" i="3"/>
  <c r="AB1513" i="3"/>
  <c r="AA1513" i="3"/>
  <c r="U1513" i="3"/>
  <c r="V1513" i="3"/>
  <c r="W1513" i="3"/>
  <c r="S1513" i="3"/>
  <c r="R1513" i="3"/>
  <c r="P1513" i="3"/>
  <c r="AJ1512" i="3"/>
  <c r="P1512" i="3"/>
  <c r="AH1512" i="3"/>
  <c r="AG1512" i="3"/>
  <c r="AB1512" i="3"/>
  <c r="AA1512" i="3"/>
  <c r="U1512" i="3"/>
  <c r="V1512" i="3"/>
  <c r="W1512" i="3"/>
  <c r="S1512" i="3"/>
  <c r="R1512" i="3"/>
  <c r="AJ1511" i="3"/>
  <c r="P1511" i="3"/>
  <c r="AH1511" i="3"/>
  <c r="AG1511" i="3"/>
  <c r="AB1511" i="3"/>
  <c r="AA1511" i="3"/>
  <c r="U1511" i="3"/>
  <c r="V1511" i="3"/>
  <c r="W1511" i="3"/>
  <c r="S1511" i="3"/>
  <c r="R1511" i="3"/>
  <c r="AG1510" i="3"/>
  <c r="AB1510" i="3"/>
  <c r="AA1510" i="3"/>
  <c r="V1510" i="3"/>
  <c r="S1510" i="3"/>
  <c r="R1510" i="3"/>
  <c r="P1510" i="3"/>
  <c r="AG1509" i="3"/>
  <c r="AB1509" i="3"/>
  <c r="AA1509" i="3"/>
  <c r="V1509" i="3"/>
  <c r="S1509" i="3"/>
  <c r="R1509" i="3"/>
  <c r="P1509" i="3"/>
  <c r="AG1508" i="3"/>
  <c r="AB1508" i="3"/>
  <c r="AA1508" i="3"/>
  <c r="V1508" i="3"/>
  <c r="U1508" i="3"/>
  <c r="S1508" i="3"/>
  <c r="R1508" i="3"/>
  <c r="P1508" i="3"/>
  <c r="AG1507" i="3"/>
  <c r="AB1507" i="3"/>
  <c r="AA1507" i="3"/>
  <c r="V1507" i="3"/>
  <c r="S1507" i="3"/>
  <c r="R1507" i="3"/>
  <c r="P1507" i="3"/>
  <c r="AG1506" i="3"/>
  <c r="AB1506" i="3"/>
  <c r="AA1506" i="3"/>
  <c r="V1506" i="3"/>
  <c r="S1506" i="3"/>
  <c r="R1506" i="3"/>
  <c r="P1506" i="3"/>
  <c r="AJ1505" i="3"/>
  <c r="P1505" i="3"/>
  <c r="AH1505" i="3"/>
  <c r="AG1505" i="3"/>
  <c r="AB1505" i="3"/>
  <c r="AA1505" i="3"/>
  <c r="U1505" i="3"/>
  <c r="V1505" i="3"/>
  <c r="W1505" i="3"/>
  <c r="S1505" i="3"/>
  <c r="R1505" i="3"/>
  <c r="AG1504" i="3"/>
  <c r="AB1504" i="3"/>
  <c r="AA1504" i="3"/>
  <c r="U1504" i="3"/>
  <c r="V1504" i="3"/>
  <c r="W1504" i="3"/>
  <c r="S1504" i="3"/>
  <c r="R1504" i="3"/>
  <c r="AJ1503" i="3"/>
  <c r="P1503" i="3"/>
  <c r="AH1503" i="3"/>
  <c r="AG1503" i="3"/>
  <c r="AB1503" i="3"/>
  <c r="AA1503" i="3"/>
  <c r="U1503" i="3"/>
  <c r="V1503" i="3"/>
  <c r="W1503" i="3"/>
  <c r="S1503" i="3"/>
  <c r="R1503" i="3"/>
  <c r="AG1502" i="3"/>
  <c r="AB1502" i="3"/>
  <c r="AA1502" i="3"/>
  <c r="U1502" i="3"/>
  <c r="V1502" i="3"/>
  <c r="W1502" i="3"/>
  <c r="S1502" i="3"/>
  <c r="R1502" i="3"/>
  <c r="AH1501" i="3"/>
  <c r="AG1501" i="3"/>
  <c r="AB1501" i="3"/>
  <c r="AA1501" i="3"/>
  <c r="U1501" i="3"/>
  <c r="V1501" i="3"/>
  <c r="W1501" i="3"/>
  <c r="S1501" i="3"/>
  <c r="R1501" i="3"/>
  <c r="P1501" i="3"/>
  <c r="AG1500" i="3"/>
  <c r="AB1500" i="3"/>
  <c r="AA1500" i="3"/>
  <c r="U1500" i="3"/>
  <c r="V1500" i="3"/>
  <c r="W1500" i="3"/>
  <c r="S1500" i="3"/>
  <c r="R1500" i="3"/>
  <c r="AH1499" i="3"/>
  <c r="AG1499" i="3"/>
  <c r="AB1499" i="3"/>
  <c r="AA1499" i="3"/>
  <c r="U1499" i="3"/>
  <c r="V1499" i="3"/>
  <c r="W1499" i="3"/>
  <c r="S1499" i="3"/>
  <c r="R1499" i="3"/>
  <c r="P1499" i="3"/>
  <c r="AG1498" i="3"/>
  <c r="AB1498" i="3"/>
  <c r="AA1498" i="3"/>
  <c r="U1498" i="3"/>
  <c r="V1498" i="3"/>
  <c r="W1498" i="3"/>
  <c r="S1498" i="3"/>
  <c r="R1498" i="3"/>
  <c r="AH1497" i="3"/>
  <c r="AG1497" i="3"/>
  <c r="AB1497" i="3"/>
  <c r="AA1497" i="3"/>
  <c r="U1497" i="3"/>
  <c r="V1497" i="3"/>
  <c r="W1497" i="3"/>
  <c r="S1497" i="3"/>
  <c r="R1497" i="3"/>
  <c r="P1497" i="3"/>
  <c r="AG1496" i="3"/>
  <c r="AB1496" i="3"/>
  <c r="AA1496" i="3"/>
  <c r="U1496" i="3"/>
  <c r="T1496" i="3"/>
  <c r="R1496" i="3"/>
  <c r="AG1495" i="3"/>
  <c r="AB1495" i="3"/>
  <c r="AA1495" i="3"/>
  <c r="V1495" i="3"/>
  <c r="W1495" i="3"/>
  <c r="S1495" i="3"/>
  <c r="R1495" i="3"/>
  <c r="P1495" i="3"/>
  <c r="AG1494" i="3"/>
  <c r="AB1494" i="3"/>
  <c r="AA1494" i="3"/>
  <c r="V1494" i="3"/>
  <c r="W1494" i="3"/>
  <c r="S1494" i="3"/>
  <c r="R1494" i="3"/>
  <c r="P1494" i="3"/>
  <c r="AG1493" i="3"/>
  <c r="AB1493" i="3"/>
  <c r="AA1493" i="3"/>
  <c r="V1493" i="3"/>
  <c r="W1493" i="3"/>
  <c r="S1493" i="3"/>
  <c r="R1493" i="3"/>
  <c r="P1493" i="3"/>
  <c r="AG1492" i="3"/>
  <c r="AB1492" i="3"/>
  <c r="AA1492" i="3"/>
  <c r="U1492" i="3"/>
  <c r="V1492" i="3"/>
  <c r="W1492" i="3"/>
  <c r="S1492" i="3"/>
  <c r="R1492" i="3"/>
  <c r="P1492" i="3"/>
  <c r="AG1491" i="3"/>
  <c r="AB1491" i="3"/>
  <c r="AA1491" i="3"/>
  <c r="U1491" i="3"/>
  <c r="V1491" i="3"/>
  <c r="W1491" i="3"/>
  <c r="S1491" i="3"/>
  <c r="R1491" i="3"/>
  <c r="P1491" i="3"/>
  <c r="AH1490" i="3"/>
  <c r="AG1490" i="3"/>
  <c r="AB1490" i="3"/>
  <c r="AA1490" i="3"/>
  <c r="U1490" i="3"/>
  <c r="V1490" i="3"/>
  <c r="W1490" i="3"/>
  <c r="S1490" i="3"/>
  <c r="R1490" i="3"/>
  <c r="P1490" i="3"/>
  <c r="AH1489" i="3"/>
  <c r="AG1489" i="3"/>
  <c r="AB1489" i="3"/>
  <c r="AA1489" i="3"/>
  <c r="U1489" i="3"/>
  <c r="T1489" i="3"/>
  <c r="R1489" i="3"/>
  <c r="P1489" i="3"/>
  <c r="AH1488" i="3"/>
  <c r="AG1488" i="3"/>
  <c r="AB1488" i="3"/>
  <c r="AA1488" i="3"/>
  <c r="U1488" i="3"/>
  <c r="V1488" i="3"/>
  <c r="W1488" i="3"/>
  <c r="S1488" i="3"/>
  <c r="R1488" i="3"/>
  <c r="P1488" i="3"/>
  <c r="AH1487" i="3"/>
  <c r="AG1487" i="3"/>
  <c r="AB1487" i="3"/>
  <c r="AA1487" i="3"/>
  <c r="U1487" i="3"/>
  <c r="T1487" i="3"/>
  <c r="S1487" i="3"/>
  <c r="R1487" i="3"/>
  <c r="P1487" i="3"/>
  <c r="AH1486" i="3"/>
  <c r="AG1486" i="3"/>
  <c r="AB1486" i="3"/>
  <c r="AA1486" i="3"/>
  <c r="U1486" i="3"/>
  <c r="V1486" i="3"/>
  <c r="W1486" i="3"/>
  <c r="S1486" i="3"/>
  <c r="R1486" i="3"/>
  <c r="P1486" i="3"/>
  <c r="AH1485" i="3"/>
  <c r="AG1485" i="3"/>
  <c r="AB1485" i="3"/>
  <c r="AA1485" i="3"/>
  <c r="U1485" i="3"/>
  <c r="V1485" i="3"/>
  <c r="W1485" i="3"/>
  <c r="S1485" i="3"/>
  <c r="R1485" i="3"/>
  <c r="P1485" i="3"/>
  <c r="AH1484" i="3"/>
  <c r="AG1484" i="3"/>
  <c r="AB1484" i="3"/>
  <c r="AA1484" i="3"/>
  <c r="U1484" i="3"/>
  <c r="V1484" i="3"/>
  <c r="W1484" i="3"/>
  <c r="S1484" i="3"/>
  <c r="R1484" i="3"/>
  <c r="P1484" i="3"/>
  <c r="AH1483" i="3"/>
  <c r="AG1483" i="3"/>
  <c r="AB1483" i="3"/>
  <c r="AA1483" i="3"/>
  <c r="U1483" i="3"/>
  <c r="V1483" i="3"/>
  <c r="W1483" i="3"/>
  <c r="S1483" i="3"/>
  <c r="R1483" i="3"/>
  <c r="P1483" i="3"/>
  <c r="AH1482" i="3"/>
  <c r="AG1482" i="3"/>
  <c r="AB1482" i="3"/>
  <c r="AA1482" i="3"/>
  <c r="U1482" i="3"/>
  <c r="V1482" i="3"/>
  <c r="W1482" i="3"/>
  <c r="S1482" i="3"/>
  <c r="R1482" i="3"/>
  <c r="P1482" i="3"/>
  <c r="AH1481" i="3"/>
  <c r="AG1481" i="3"/>
  <c r="AB1481" i="3"/>
  <c r="AA1481" i="3"/>
  <c r="U1481" i="3"/>
  <c r="V1481" i="3"/>
  <c r="W1481" i="3"/>
  <c r="S1481" i="3"/>
  <c r="R1481" i="3"/>
  <c r="P1481" i="3"/>
  <c r="AH1480" i="3"/>
  <c r="AG1480" i="3"/>
  <c r="AB1480" i="3"/>
  <c r="AA1480" i="3"/>
  <c r="U1480" i="3"/>
  <c r="V1480" i="3"/>
  <c r="W1480" i="3"/>
  <c r="S1480" i="3"/>
  <c r="R1480" i="3"/>
  <c r="AH1479" i="3"/>
  <c r="AG1479" i="3"/>
  <c r="AB1479" i="3"/>
  <c r="AA1479" i="3"/>
  <c r="U1479" i="3"/>
  <c r="V1479" i="3"/>
  <c r="W1479" i="3"/>
  <c r="S1479" i="3"/>
  <c r="R1479" i="3"/>
  <c r="AH1478" i="3"/>
  <c r="AG1478" i="3"/>
  <c r="AB1478" i="3"/>
  <c r="AA1478" i="3"/>
  <c r="U1478" i="3"/>
  <c r="V1478" i="3"/>
  <c r="W1478" i="3"/>
  <c r="S1478" i="3"/>
  <c r="R1478" i="3"/>
  <c r="AH1477" i="3"/>
  <c r="AG1477" i="3"/>
  <c r="AB1477" i="3"/>
  <c r="AA1477" i="3"/>
  <c r="U1477" i="3"/>
  <c r="V1477" i="3"/>
  <c r="W1477" i="3"/>
  <c r="S1477" i="3"/>
  <c r="R1477" i="3"/>
  <c r="AH1476" i="3"/>
  <c r="AG1476" i="3"/>
  <c r="AB1476" i="3"/>
  <c r="AA1476" i="3"/>
  <c r="U1476" i="3"/>
  <c r="V1476" i="3"/>
  <c r="W1476" i="3"/>
  <c r="S1476" i="3"/>
  <c r="R1476" i="3"/>
  <c r="AH1475" i="3"/>
  <c r="AG1475" i="3"/>
  <c r="AB1475" i="3"/>
  <c r="AA1475" i="3"/>
  <c r="U1475" i="3"/>
  <c r="V1475" i="3"/>
  <c r="W1475" i="3"/>
  <c r="S1475" i="3"/>
  <c r="R1475" i="3"/>
  <c r="AH1474" i="3"/>
  <c r="AG1474" i="3"/>
  <c r="AB1474" i="3"/>
  <c r="AA1474" i="3"/>
  <c r="U1474" i="3"/>
  <c r="V1474" i="3"/>
  <c r="W1474" i="3"/>
  <c r="S1474" i="3"/>
  <c r="R1474" i="3"/>
  <c r="AH1473" i="3"/>
  <c r="AG1473" i="3"/>
  <c r="AB1473" i="3"/>
  <c r="AA1473" i="3"/>
  <c r="U1473" i="3"/>
  <c r="V1473" i="3"/>
  <c r="W1473" i="3"/>
  <c r="S1473" i="3"/>
  <c r="R1473" i="3"/>
  <c r="AH1472" i="3"/>
  <c r="AG1472" i="3"/>
  <c r="AB1472" i="3"/>
  <c r="AA1472" i="3"/>
  <c r="U1472" i="3"/>
  <c r="V1472" i="3"/>
  <c r="W1472" i="3"/>
  <c r="S1472" i="3"/>
  <c r="R1472" i="3"/>
  <c r="AH1471" i="3"/>
  <c r="AG1471" i="3"/>
  <c r="AB1471" i="3"/>
  <c r="AA1471" i="3"/>
  <c r="U1471" i="3"/>
  <c r="V1471" i="3"/>
  <c r="W1471" i="3"/>
  <c r="S1471" i="3"/>
  <c r="R1471" i="3"/>
  <c r="AG1470" i="3"/>
  <c r="AB1470" i="3"/>
  <c r="AA1470" i="3"/>
  <c r="V1470" i="3"/>
  <c r="W1470" i="3"/>
  <c r="S1470" i="3"/>
  <c r="R1470" i="3"/>
  <c r="P1470" i="3"/>
  <c r="AG1469" i="3"/>
  <c r="AB1469" i="3"/>
  <c r="AA1469" i="3"/>
  <c r="V1469" i="3"/>
  <c r="W1469" i="3"/>
  <c r="S1469" i="3"/>
  <c r="R1469" i="3"/>
  <c r="P1469" i="3"/>
  <c r="AH1468" i="3"/>
  <c r="AG1468" i="3"/>
  <c r="AB1468" i="3"/>
  <c r="AA1468" i="3"/>
  <c r="U1468" i="3"/>
  <c r="V1468" i="3"/>
  <c r="W1468" i="3"/>
  <c r="S1468" i="3"/>
  <c r="R1468" i="3"/>
  <c r="P1468" i="3"/>
  <c r="AH1467" i="3"/>
  <c r="AG1467" i="3"/>
  <c r="AB1467" i="3"/>
  <c r="AA1467" i="3"/>
  <c r="U1467" i="3"/>
  <c r="V1467" i="3"/>
  <c r="W1467" i="3"/>
  <c r="S1467" i="3"/>
  <c r="R1467" i="3"/>
  <c r="P1467" i="3"/>
  <c r="AH1466" i="3"/>
  <c r="AG1466" i="3"/>
  <c r="AB1466" i="3"/>
  <c r="AA1466" i="3"/>
  <c r="U1466" i="3"/>
  <c r="V1466" i="3"/>
  <c r="W1466" i="3"/>
  <c r="S1466" i="3"/>
  <c r="R1466" i="3"/>
  <c r="P1466" i="3"/>
  <c r="AH1465" i="3"/>
  <c r="AG1465" i="3"/>
  <c r="AB1465" i="3"/>
  <c r="AA1465" i="3"/>
  <c r="U1465" i="3"/>
  <c r="V1465" i="3"/>
  <c r="W1465" i="3"/>
  <c r="S1465" i="3"/>
  <c r="R1465" i="3"/>
  <c r="P1465" i="3"/>
  <c r="AH1464" i="3"/>
  <c r="AG1464" i="3"/>
  <c r="AB1464" i="3"/>
  <c r="AA1464" i="3"/>
  <c r="U1464" i="3"/>
  <c r="V1464" i="3"/>
  <c r="W1464" i="3"/>
  <c r="S1464" i="3"/>
  <c r="R1464" i="3"/>
  <c r="P1464" i="3"/>
  <c r="AH1463" i="3"/>
  <c r="AG1463" i="3"/>
  <c r="AB1463" i="3"/>
  <c r="AA1463" i="3"/>
  <c r="U1463" i="3"/>
  <c r="V1463" i="3"/>
  <c r="W1463" i="3"/>
  <c r="S1463" i="3"/>
  <c r="R1463" i="3"/>
  <c r="P1463" i="3"/>
  <c r="AG1462" i="3"/>
  <c r="AB1462" i="3"/>
  <c r="AA1462" i="3"/>
  <c r="V1462" i="3"/>
  <c r="W1462" i="3"/>
  <c r="S1462" i="3"/>
  <c r="R1462" i="3"/>
  <c r="P1462" i="3"/>
  <c r="AH1461" i="3"/>
  <c r="AG1461" i="3"/>
  <c r="AB1461" i="3"/>
  <c r="AA1461" i="3"/>
  <c r="U1461" i="3"/>
  <c r="V1461" i="3"/>
  <c r="W1461" i="3"/>
  <c r="S1461" i="3"/>
  <c r="R1461" i="3"/>
  <c r="P1461" i="3"/>
  <c r="AH1460" i="3"/>
  <c r="AG1460" i="3"/>
  <c r="AB1460" i="3"/>
  <c r="AA1460" i="3"/>
  <c r="U1460" i="3"/>
  <c r="V1460" i="3"/>
  <c r="W1460" i="3"/>
  <c r="S1460" i="3"/>
  <c r="R1460" i="3"/>
  <c r="P1460" i="3"/>
  <c r="AH1459" i="3"/>
  <c r="AG1459" i="3"/>
  <c r="AB1459" i="3"/>
  <c r="Y1459" i="3"/>
  <c r="X1459" i="3"/>
  <c r="U1459" i="3"/>
  <c r="V1459" i="3"/>
  <c r="W1459" i="3"/>
  <c r="R1459" i="3"/>
  <c r="P1459" i="3"/>
  <c r="AH1458" i="3"/>
  <c r="AG1458" i="3"/>
  <c r="AB1458" i="3"/>
  <c r="Y1458" i="3"/>
  <c r="X1458" i="3"/>
  <c r="S1458" i="3"/>
  <c r="U1458" i="3"/>
  <c r="V1458" i="3"/>
  <c r="W1458" i="3"/>
  <c r="R1458" i="3"/>
  <c r="P1458" i="3"/>
  <c r="AH1457" i="3"/>
  <c r="AG1457" i="3"/>
  <c r="AB1457" i="3"/>
  <c r="Y1457" i="3"/>
  <c r="X1457" i="3"/>
  <c r="U1457" i="3"/>
  <c r="V1457" i="3"/>
  <c r="W1457" i="3"/>
  <c r="R1457" i="3"/>
  <c r="P1457" i="3"/>
  <c r="AH1456" i="3"/>
  <c r="AG1456" i="3"/>
  <c r="AD1456" i="3"/>
  <c r="AB1456" i="3"/>
  <c r="Y1456" i="3"/>
  <c r="X1456" i="3"/>
  <c r="S1456" i="3"/>
  <c r="U1456" i="3"/>
  <c r="V1456" i="3"/>
  <c r="W1456" i="3"/>
  <c r="R1456" i="3"/>
  <c r="P1456" i="3"/>
  <c r="AJ1455" i="3"/>
  <c r="P1455" i="3"/>
  <c r="AH1455" i="3"/>
  <c r="AG1455" i="3"/>
  <c r="AB1455" i="3"/>
  <c r="Y1455" i="3"/>
  <c r="X1455" i="3"/>
  <c r="U1455" i="3"/>
  <c r="V1455" i="3"/>
  <c r="W1455" i="3"/>
  <c r="R1455" i="3"/>
  <c r="AL1454" i="3"/>
  <c r="AH1454" i="3"/>
  <c r="AD1454" i="3"/>
  <c r="AB1454" i="3"/>
  <c r="Y1454" i="3"/>
  <c r="X1454" i="3"/>
  <c r="U1454" i="3"/>
  <c r="V1454" i="3"/>
  <c r="W1454" i="3"/>
  <c r="R1454" i="3"/>
  <c r="P1454" i="3"/>
  <c r="AL1453" i="3"/>
  <c r="AJ1453" i="3"/>
  <c r="P1453" i="3"/>
  <c r="AH1453" i="3"/>
  <c r="AD1453" i="3"/>
  <c r="AB1453" i="3"/>
  <c r="Y1453" i="3"/>
  <c r="X1453" i="3"/>
  <c r="S1453" i="3"/>
  <c r="U1453" i="3"/>
  <c r="V1453" i="3"/>
  <c r="W1453" i="3"/>
  <c r="R1453" i="3"/>
  <c r="AO1452" i="3"/>
  <c r="AL1452" i="3"/>
  <c r="AJ1452" i="3"/>
  <c r="P1452" i="3"/>
  <c r="AH1452" i="3"/>
  <c r="AD1452" i="3"/>
  <c r="AB1452" i="3"/>
  <c r="Y1452" i="3"/>
  <c r="X1452" i="3"/>
  <c r="U1452" i="3"/>
  <c r="V1452" i="3"/>
  <c r="W1452" i="3"/>
  <c r="R1452" i="3"/>
  <c r="AO1451" i="3"/>
  <c r="AL1451" i="3"/>
  <c r="AJ1451" i="3"/>
  <c r="P1451" i="3"/>
  <c r="AH1451" i="3"/>
  <c r="AD1451" i="3"/>
  <c r="AB1451" i="3"/>
  <c r="Y1451" i="3"/>
  <c r="X1451" i="3"/>
  <c r="S1451" i="3"/>
  <c r="U1451" i="3"/>
  <c r="V1451" i="3"/>
  <c r="W1451" i="3"/>
  <c r="R1451" i="3"/>
  <c r="AO1450" i="3"/>
  <c r="AL1450" i="3"/>
  <c r="AJ1450" i="3"/>
  <c r="P1450" i="3"/>
  <c r="AH1450" i="3"/>
  <c r="AD1450" i="3"/>
  <c r="AB1450" i="3"/>
  <c r="Y1450" i="3"/>
  <c r="X1450" i="3"/>
  <c r="U1450" i="3"/>
  <c r="V1450" i="3"/>
  <c r="W1450" i="3"/>
  <c r="R1450" i="3"/>
  <c r="AL1449" i="3"/>
  <c r="AH1449" i="3"/>
  <c r="AB1449" i="3"/>
  <c r="Y1449" i="3"/>
  <c r="X1449" i="3"/>
  <c r="U1449" i="3"/>
  <c r="V1449" i="3"/>
  <c r="W1449" i="3"/>
  <c r="R1449" i="3"/>
  <c r="P1449" i="3"/>
  <c r="AL1448" i="3"/>
  <c r="AH1448" i="3"/>
  <c r="AB1448" i="3"/>
  <c r="Y1448" i="3"/>
  <c r="X1448" i="3"/>
  <c r="U1448" i="3"/>
  <c r="V1448" i="3"/>
  <c r="W1448" i="3"/>
  <c r="R1448" i="3"/>
  <c r="P1448" i="3"/>
  <c r="AL1447" i="3"/>
  <c r="AH1447" i="3"/>
  <c r="AB1447" i="3"/>
  <c r="Y1447" i="3"/>
  <c r="X1447" i="3"/>
  <c r="S1447" i="3"/>
  <c r="U1447" i="3"/>
  <c r="V1447" i="3"/>
  <c r="W1447" i="3"/>
  <c r="R1447" i="3"/>
  <c r="P1447" i="3"/>
  <c r="AL1446" i="3"/>
  <c r="AG1446" i="3"/>
  <c r="AD1446" i="3"/>
  <c r="AB1446" i="3"/>
  <c r="Y1446" i="3"/>
  <c r="X1446" i="3"/>
  <c r="U1446" i="3"/>
  <c r="V1446" i="3"/>
  <c r="W1446" i="3"/>
  <c r="R1446" i="3"/>
  <c r="P1446" i="3"/>
  <c r="AL1445" i="3"/>
  <c r="AG1445" i="3"/>
  <c r="AB1445" i="3"/>
  <c r="Y1445" i="3"/>
  <c r="X1445" i="3"/>
  <c r="S1445" i="3"/>
  <c r="U1445" i="3"/>
  <c r="V1445" i="3"/>
  <c r="W1445" i="3"/>
  <c r="R1445" i="3"/>
  <c r="P1445" i="3"/>
  <c r="AO1444" i="3"/>
  <c r="AH1444" i="3"/>
  <c r="AG1444" i="3"/>
  <c r="AB1444" i="3"/>
  <c r="Y1444" i="3"/>
  <c r="X1444" i="3"/>
  <c r="V1444" i="3"/>
  <c r="U1444" i="3"/>
  <c r="R1444" i="3"/>
  <c r="P1444" i="3"/>
  <c r="AO1443" i="3"/>
  <c r="AH1443" i="3"/>
  <c r="AG1443" i="3"/>
  <c r="AB1443" i="3"/>
  <c r="Y1443" i="3"/>
  <c r="X1443" i="3"/>
  <c r="S1443" i="3"/>
  <c r="V1443" i="3"/>
  <c r="U1443" i="3"/>
  <c r="R1443" i="3"/>
  <c r="P1443" i="3"/>
  <c r="AO1442" i="3"/>
  <c r="AH1442" i="3"/>
  <c r="AG1442" i="3"/>
  <c r="AB1442" i="3"/>
  <c r="Y1442" i="3"/>
  <c r="X1442" i="3"/>
  <c r="V1442" i="3"/>
  <c r="U1442" i="3"/>
  <c r="R1442" i="3"/>
  <c r="P1442" i="3"/>
  <c r="AO1441" i="3"/>
  <c r="AH1441" i="3"/>
  <c r="AG1441" i="3"/>
  <c r="AB1441" i="3"/>
  <c r="Y1441" i="3"/>
  <c r="X1441" i="3"/>
  <c r="S1441" i="3"/>
  <c r="V1441" i="3"/>
  <c r="R1441" i="3"/>
  <c r="P1441" i="3"/>
  <c r="AO1440" i="3"/>
  <c r="AH1440" i="3"/>
  <c r="AG1440" i="3"/>
  <c r="AB1440" i="3"/>
  <c r="Y1440" i="3"/>
  <c r="X1440" i="3"/>
  <c r="U1440" i="3"/>
  <c r="W1440" i="3"/>
  <c r="R1440" i="3"/>
  <c r="P1440" i="3"/>
  <c r="AH1439" i="3"/>
  <c r="AG1439" i="3"/>
  <c r="AB1439" i="3"/>
  <c r="Y1439" i="3"/>
  <c r="X1439" i="3"/>
  <c r="Z1439" i="3"/>
  <c r="AA1439" i="3"/>
  <c r="V1439" i="3"/>
  <c r="W1439" i="3"/>
  <c r="R1439" i="3"/>
  <c r="P1439" i="3"/>
  <c r="AH1438" i="3"/>
  <c r="AG1438" i="3"/>
  <c r="AB1438" i="3"/>
  <c r="Y1438" i="3"/>
  <c r="X1438" i="3"/>
  <c r="V1438" i="3"/>
  <c r="W1438" i="3"/>
  <c r="R1438" i="3"/>
  <c r="P1438" i="3"/>
  <c r="AH1437" i="3"/>
  <c r="AG1437" i="3"/>
  <c r="AB1437" i="3"/>
  <c r="Y1437" i="3"/>
  <c r="X1437" i="3"/>
  <c r="V1437" i="3"/>
  <c r="W1437" i="3"/>
  <c r="R1437" i="3"/>
  <c r="P1437" i="3"/>
  <c r="AH1436" i="3"/>
  <c r="AG1436" i="3"/>
  <c r="AB1436" i="3"/>
  <c r="Y1436" i="3"/>
  <c r="X1436" i="3"/>
  <c r="V1436" i="3"/>
  <c r="W1436" i="3"/>
  <c r="R1436" i="3"/>
  <c r="P1436" i="3"/>
  <c r="AH1435" i="3"/>
  <c r="AG1435" i="3"/>
  <c r="AB1435" i="3"/>
  <c r="Y1435" i="3"/>
  <c r="X1435" i="3"/>
  <c r="Z1435" i="3"/>
  <c r="AA1435" i="3"/>
  <c r="U1435" i="3"/>
  <c r="V1435" i="3"/>
  <c r="W1435" i="3"/>
  <c r="R1435" i="3"/>
  <c r="P1435" i="3"/>
  <c r="AH1434" i="3"/>
  <c r="AG1434" i="3"/>
  <c r="AB1434" i="3"/>
  <c r="Y1434" i="3"/>
  <c r="X1434" i="3"/>
  <c r="V1434" i="3"/>
  <c r="R1434" i="3"/>
  <c r="AH1433" i="3"/>
  <c r="AG1433" i="3"/>
  <c r="AB1433" i="3"/>
  <c r="Y1433" i="3"/>
  <c r="X1433" i="3"/>
  <c r="V1433" i="3"/>
  <c r="R1433" i="3"/>
  <c r="AH1432" i="3"/>
  <c r="AG1432" i="3"/>
  <c r="AE1432" i="3"/>
  <c r="AD1432" i="3"/>
  <c r="AB1432" i="3"/>
  <c r="Y1432" i="3"/>
  <c r="V1432" i="3"/>
  <c r="R1432" i="3"/>
  <c r="AK1431" i="3"/>
  <c r="AH1431" i="3"/>
  <c r="AG1431" i="3"/>
  <c r="AB1431" i="3"/>
  <c r="Y1431" i="3"/>
  <c r="X1431" i="3"/>
  <c r="S1431" i="3"/>
  <c r="V1431" i="3"/>
  <c r="R1431" i="3"/>
  <c r="AH1430" i="3"/>
  <c r="AG1430" i="3"/>
  <c r="AB1430" i="3"/>
  <c r="Y1430" i="3"/>
  <c r="X1430" i="3"/>
  <c r="V1430" i="3"/>
  <c r="U1430" i="3"/>
  <c r="R1430" i="3"/>
  <c r="AG1429" i="3"/>
  <c r="AB1429" i="3"/>
  <c r="Z1429" i="3"/>
  <c r="AA1429" i="3"/>
  <c r="V1429" i="3"/>
  <c r="W1429" i="3"/>
  <c r="S1429" i="3"/>
  <c r="R1429" i="3"/>
  <c r="P1429" i="3"/>
  <c r="AG1428" i="3"/>
  <c r="AB1428" i="3"/>
  <c r="Z1428" i="3"/>
  <c r="AA1428" i="3"/>
  <c r="V1428" i="3"/>
  <c r="W1428" i="3"/>
  <c r="S1428" i="3"/>
  <c r="R1428" i="3"/>
  <c r="P1428" i="3"/>
  <c r="AG1427" i="3"/>
  <c r="AB1427" i="3"/>
  <c r="Z1427" i="3"/>
  <c r="AA1427" i="3"/>
  <c r="V1427" i="3"/>
  <c r="W1427" i="3"/>
  <c r="S1427" i="3"/>
  <c r="R1427" i="3"/>
  <c r="P1427" i="3"/>
  <c r="AO1426" i="3"/>
  <c r="AJ1426" i="3"/>
  <c r="P1426" i="3"/>
  <c r="AG1426" i="3"/>
  <c r="AD1426" i="3"/>
  <c r="AB1426" i="3"/>
  <c r="Y1426" i="3"/>
  <c r="X1426" i="3"/>
  <c r="S1426" i="3"/>
  <c r="U1426" i="3"/>
  <c r="V1426" i="3"/>
  <c r="W1426" i="3"/>
  <c r="R1426" i="3"/>
  <c r="AG1425" i="3"/>
  <c r="S1425" i="3"/>
  <c r="R1425" i="3"/>
  <c r="P1425" i="3"/>
  <c r="AG1424" i="3"/>
  <c r="AB1424" i="3"/>
  <c r="X1424" i="3"/>
  <c r="U1424" i="3"/>
  <c r="V1424" i="3"/>
  <c r="W1424" i="3"/>
  <c r="R1424" i="3"/>
  <c r="P1424" i="3"/>
  <c r="AG1423" i="3"/>
  <c r="S1423" i="3"/>
  <c r="R1423" i="3"/>
  <c r="P1423" i="3"/>
  <c r="AG1422" i="3"/>
  <c r="AB1422" i="3"/>
  <c r="Z1422" i="3"/>
  <c r="AA1422" i="3"/>
  <c r="V1422" i="3"/>
  <c r="W1422" i="3"/>
  <c r="S1422" i="3"/>
  <c r="R1422" i="3"/>
  <c r="P1422" i="3"/>
  <c r="AO1421" i="3"/>
  <c r="AG1421" i="3"/>
  <c r="Y1421" i="3"/>
  <c r="X1421" i="3"/>
  <c r="U1421" i="3"/>
  <c r="V1421" i="3"/>
  <c r="W1421" i="3"/>
  <c r="R1421" i="3"/>
  <c r="P1421" i="3"/>
  <c r="S1420" i="3"/>
  <c r="R1420" i="3"/>
  <c r="P1420" i="3"/>
  <c r="AJ1419" i="3"/>
  <c r="P1419" i="3"/>
  <c r="AG1419" i="3"/>
  <c r="AB1419" i="3"/>
  <c r="X1419" i="3"/>
  <c r="Z1419" i="3"/>
  <c r="AA1419" i="3"/>
  <c r="U1419" i="3"/>
  <c r="V1419" i="3"/>
  <c r="W1419" i="3"/>
  <c r="R1419" i="3"/>
  <c r="AJ1418" i="3"/>
  <c r="P1418" i="3"/>
  <c r="AG1418" i="3"/>
  <c r="AB1418" i="3"/>
  <c r="X1418" i="3"/>
  <c r="Z1418" i="3"/>
  <c r="AA1418" i="3"/>
  <c r="U1418" i="3"/>
  <c r="V1418" i="3"/>
  <c r="W1418" i="3"/>
  <c r="R1418" i="3"/>
  <c r="AO1417" i="3"/>
  <c r="AJ1417" i="3"/>
  <c r="P1417" i="3"/>
  <c r="AG1417" i="3"/>
  <c r="AB1417" i="3"/>
  <c r="Y1417" i="3"/>
  <c r="X1417" i="3"/>
  <c r="U1417" i="3"/>
  <c r="V1417" i="3"/>
  <c r="W1417" i="3"/>
  <c r="R1417" i="3"/>
  <c r="AO1416" i="3"/>
  <c r="AJ1416" i="3"/>
  <c r="P1416" i="3"/>
  <c r="AH1416" i="3"/>
  <c r="AG1416" i="3"/>
  <c r="AB1416" i="3"/>
  <c r="Y1416" i="3"/>
  <c r="X1416" i="3"/>
  <c r="U1416" i="3"/>
  <c r="V1416" i="3"/>
  <c r="W1416" i="3"/>
  <c r="R1416" i="3"/>
  <c r="AO1415" i="3"/>
  <c r="AJ1415" i="3"/>
  <c r="AG1415" i="3"/>
  <c r="AB1415" i="3"/>
  <c r="Y1415" i="3"/>
  <c r="X1415" i="3"/>
  <c r="S1415" i="3"/>
  <c r="U1415" i="3"/>
  <c r="V1415" i="3"/>
  <c r="W1415" i="3"/>
  <c r="R1415" i="3"/>
  <c r="P1415" i="3"/>
  <c r="AL1414" i="3"/>
  <c r="AH1414" i="3"/>
  <c r="AB1414" i="3"/>
  <c r="X1414" i="3"/>
  <c r="Z1414" i="3"/>
  <c r="AA1414" i="3"/>
  <c r="V1414" i="3"/>
  <c r="U1414" i="3"/>
  <c r="W1414" i="3"/>
  <c r="R1414" i="3"/>
  <c r="P1414" i="3"/>
  <c r="AJ1413" i="3"/>
  <c r="P1413" i="3"/>
  <c r="AH1413" i="3"/>
  <c r="AG1413" i="3"/>
  <c r="AB1413" i="3"/>
  <c r="X1413" i="3"/>
  <c r="Z1413" i="3"/>
  <c r="AA1413" i="3"/>
  <c r="V1413" i="3"/>
  <c r="U1413" i="3"/>
  <c r="W1413" i="3"/>
  <c r="R1413" i="3"/>
  <c r="AH1412" i="3"/>
  <c r="AG1412" i="3"/>
  <c r="AB1412" i="3"/>
  <c r="X1412" i="3"/>
  <c r="U1412" i="3"/>
  <c r="V1412" i="3"/>
  <c r="W1412" i="3"/>
  <c r="R1412" i="3"/>
  <c r="P1412" i="3"/>
  <c r="AJ1411" i="3"/>
  <c r="P1411" i="3"/>
  <c r="AH1411" i="3"/>
  <c r="AG1411" i="3"/>
  <c r="AB1411" i="3"/>
  <c r="X1411" i="3"/>
  <c r="U1411" i="3"/>
  <c r="V1411" i="3"/>
  <c r="W1411" i="3"/>
  <c r="R1411" i="3"/>
  <c r="AG1410" i="3"/>
  <c r="S1410" i="3"/>
  <c r="R1410" i="3"/>
  <c r="P1410" i="3"/>
  <c r="AG1409" i="3"/>
  <c r="AB1409" i="3"/>
  <c r="X1409" i="3"/>
  <c r="V1409" i="3"/>
  <c r="W1409" i="3"/>
  <c r="R1409" i="3"/>
  <c r="P1409" i="3"/>
  <c r="AG1408" i="3"/>
  <c r="AD1408" i="3"/>
  <c r="AB1408" i="3"/>
  <c r="U1408" i="3"/>
  <c r="V1408" i="3"/>
  <c r="W1408" i="3"/>
  <c r="R1408" i="3"/>
  <c r="P1408" i="3"/>
  <c r="R1407" i="3"/>
  <c r="P1407" i="3"/>
  <c r="AG1406" i="3"/>
  <c r="AB1406" i="3"/>
  <c r="Y1406" i="3"/>
  <c r="X1406" i="3"/>
  <c r="S1406" i="3"/>
  <c r="V1406" i="3"/>
  <c r="W1406" i="3"/>
  <c r="R1406" i="3"/>
  <c r="P1406" i="3"/>
  <c r="AH1405" i="3"/>
  <c r="AG1405" i="3"/>
  <c r="AB1405" i="3"/>
  <c r="Y1405" i="3"/>
  <c r="X1405" i="3"/>
  <c r="S1405" i="3"/>
  <c r="V1405" i="3"/>
  <c r="W1405" i="3"/>
  <c r="R1405" i="3"/>
  <c r="P1405" i="3"/>
  <c r="AG1404" i="3"/>
  <c r="AB1404" i="3"/>
  <c r="Y1404" i="3"/>
  <c r="X1404" i="3"/>
  <c r="U1404" i="3"/>
  <c r="V1404" i="3"/>
  <c r="W1404" i="3"/>
  <c r="R1404" i="3"/>
  <c r="P1404" i="3"/>
  <c r="AH1403" i="3"/>
  <c r="AG1403" i="3"/>
  <c r="AB1403" i="3"/>
  <c r="Y1403" i="3"/>
  <c r="X1403" i="3"/>
  <c r="Z1403" i="3"/>
  <c r="AA1403" i="3"/>
  <c r="U1403" i="3"/>
  <c r="V1403" i="3"/>
  <c r="W1403" i="3"/>
  <c r="R1403" i="3"/>
  <c r="P1403" i="3"/>
  <c r="AH1402" i="3"/>
  <c r="AG1402" i="3"/>
  <c r="AB1402" i="3"/>
  <c r="Y1402" i="3"/>
  <c r="X1402" i="3"/>
  <c r="U1402" i="3"/>
  <c r="V1402" i="3"/>
  <c r="W1402" i="3"/>
  <c r="R1402" i="3"/>
  <c r="P1402" i="3"/>
  <c r="AH1401" i="3"/>
  <c r="AG1401" i="3"/>
  <c r="AB1401" i="3"/>
  <c r="Y1401" i="3"/>
  <c r="X1401" i="3"/>
  <c r="U1401" i="3"/>
  <c r="V1401" i="3"/>
  <c r="W1401" i="3"/>
  <c r="R1401" i="3"/>
  <c r="P1401" i="3"/>
  <c r="AH1400" i="3"/>
  <c r="AG1400" i="3"/>
  <c r="AB1400" i="3"/>
  <c r="Y1400" i="3"/>
  <c r="X1400" i="3"/>
  <c r="U1400" i="3"/>
  <c r="V1400" i="3"/>
  <c r="W1400" i="3"/>
  <c r="R1400" i="3"/>
  <c r="P1400" i="3"/>
  <c r="AH1399" i="3"/>
  <c r="AG1399" i="3"/>
  <c r="AD1399" i="3"/>
  <c r="AB1399" i="3"/>
  <c r="X1399" i="3"/>
  <c r="Z1399" i="3"/>
  <c r="AA1399" i="3"/>
  <c r="U1399" i="3"/>
  <c r="V1399" i="3"/>
  <c r="W1399" i="3"/>
  <c r="R1399" i="3"/>
  <c r="AH1398" i="3"/>
  <c r="AG1398" i="3"/>
  <c r="AB1398" i="3"/>
  <c r="X1398" i="3"/>
  <c r="U1398" i="3"/>
  <c r="V1398" i="3"/>
  <c r="W1398" i="3"/>
  <c r="R1398" i="3"/>
  <c r="P1398" i="3"/>
  <c r="AH1397" i="3"/>
  <c r="AG1397" i="3"/>
  <c r="AB1397" i="3"/>
  <c r="X1397" i="3"/>
  <c r="Z1397" i="3"/>
  <c r="AA1397" i="3"/>
  <c r="U1397" i="3"/>
  <c r="V1397" i="3"/>
  <c r="W1397" i="3"/>
  <c r="R1397" i="3"/>
  <c r="P1397" i="3"/>
  <c r="AH1396" i="3"/>
  <c r="AG1396" i="3"/>
  <c r="AD1396" i="3"/>
  <c r="AB1396" i="3"/>
  <c r="X1396" i="3"/>
  <c r="U1396" i="3"/>
  <c r="V1396" i="3"/>
  <c r="W1396" i="3"/>
  <c r="R1396" i="3"/>
  <c r="P1396" i="3"/>
  <c r="AG1395" i="3"/>
  <c r="AB1395" i="3"/>
  <c r="X1395" i="3"/>
  <c r="Z1395" i="3"/>
  <c r="AA1395" i="3"/>
  <c r="U1395" i="3"/>
  <c r="V1395" i="3"/>
  <c r="W1395" i="3"/>
  <c r="R1395" i="3"/>
  <c r="P1395" i="3"/>
  <c r="AH1394" i="3"/>
  <c r="AG1394" i="3"/>
  <c r="AB1394" i="3"/>
  <c r="Y1394" i="3"/>
  <c r="X1394" i="3"/>
  <c r="S1394" i="3"/>
  <c r="V1394" i="3"/>
  <c r="W1394" i="3"/>
  <c r="R1394" i="3"/>
  <c r="P1394" i="3"/>
  <c r="AL1393" i="3"/>
  <c r="AH1393" i="3"/>
  <c r="AE1393" i="3"/>
  <c r="AB1393" i="3"/>
  <c r="Y1393" i="3"/>
  <c r="X1393" i="3"/>
  <c r="S1393" i="3"/>
  <c r="V1393" i="3"/>
  <c r="W1393" i="3"/>
  <c r="R1393" i="3"/>
  <c r="AH1392" i="3"/>
  <c r="AG1392" i="3"/>
  <c r="AE1392" i="3"/>
  <c r="AB1392" i="3"/>
  <c r="Y1392" i="3"/>
  <c r="X1392" i="3"/>
  <c r="V1392" i="3"/>
  <c r="W1392" i="3"/>
  <c r="R1392" i="3"/>
  <c r="AL1391" i="3"/>
  <c r="AH1391" i="3"/>
  <c r="AB1391" i="3"/>
  <c r="Y1391" i="3"/>
  <c r="X1391" i="3"/>
  <c r="V1391" i="3"/>
  <c r="W1391" i="3"/>
  <c r="R1391" i="3"/>
  <c r="AL1390" i="3"/>
  <c r="AH1390" i="3"/>
  <c r="AB1390" i="3"/>
  <c r="Y1390" i="3"/>
  <c r="X1390" i="3"/>
  <c r="Z1390" i="3"/>
  <c r="AA1390" i="3"/>
  <c r="V1390" i="3"/>
  <c r="W1390" i="3"/>
  <c r="R1390" i="3"/>
  <c r="AH1389" i="3"/>
  <c r="AG1389" i="3"/>
  <c r="AE1389" i="3"/>
  <c r="AB1389" i="3"/>
  <c r="Y1389" i="3"/>
  <c r="X1389" i="3"/>
  <c r="V1389" i="3"/>
  <c r="W1389" i="3"/>
  <c r="R1389" i="3"/>
  <c r="AL1388" i="3"/>
  <c r="AH1388" i="3"/>
  <c r="AB1388" i="3"/>
  <c r="Y1388" i="3"/>
  <c r="X1388" i="3"/>
  <c r="S1388" i="3"/>
  <c r="U1388" i="3"/>
  <c r="V1388" i="3"/>
  <c r="W1388" i="3"/>
  <c r="R1388" i="3"/>
  <c r="AH1387" i="3"/>
  <c r="AG1387" i="3"/>
  <c r="AB1387" i="3"/>
  <c r="Y1387" i="3"/>
  <c r="X1387" i="3"/>
  <c r="S1387" i="3"/>
  <c r="V1387" i="3"/>
  <c r="W1387" i="3"/>
  <c r="R1387" i="3"/>
  <c r="AL1386" i="3"/>
  <c r="AH1386" i="3"/>
  <c r="AB1386" i="3"/>
  <c r="Y1386" i="3"/>
  <c r="X1386" i="3"/>
  <c r="S1386" i="3"/>
  <c r="V1386" i="3"/>
  <c r="W1386" i="3"/>
  <c r="R1386" i="3"/>
  <c r="P1386" i="3"/>
  <c r="AM1385" i="3"/>
  <c r="AH1385" i="3"/>
  <c r="AG1385" i="3"/>
  <c r="AB1385" i="3"/>
  <c r="X1385" i="3"/>
  <c r="V1385" i="3"/>
  <c r="W1385" i="3"/>
  <c r="R1385" i="3"/>
  <c r="AH1384" i="3"/>
  <c r="AG1384" i="3"/>
  <c r="AB1384" i="3"/>
  <c r="X1384" i="3"/>
  <c r="U1384" i="3"/>
  <c r="V1384" i="3"/>
  <c r="W1384" i="3"/>
  <c r="R1384" i="3"/>
  <c r="AH1383" i="3"/>
  <c r="AG1383" i="3"/>
  <c r="AB1383" i="3"/>
  <c r="X1383" i="3"/>
  <c r="Z1383" i="3"/>
  <c r="AA1383" i="3"/>
  <c r="U1383" i="3"/>
  <c r="V1383" i="3"/>
  <c r="W1383" i="3"/>
  <c r="R1383" i="3"/>
  <c r="AH1382" i="3"/>
  <c r="AG1382" i="3"/>
  <c r="AB1382" i="3"/>
  <c r="X1382" i="3"/>
  <c r="U1382" i="3"/>
  <c r="V1382" i="3"/>
  <c r="W1382" i="3"/>
  <c r="R1382" i="3"/>
  <c r="AL1381" i="3"/>
  <c r="AH1381" i="3"/>
  <c r="AB1381" i="3"/>
  <c r="X1381" i="3"/>
  <c r="Z1381" i="3"/>
  <c r="AA1381" i="3"/>
  <c r="U1381" i="3"/>
  <c r="V1381" i="3"/>
  <c r="W1381" i="3"/>
  <c r="R1381" i="3"/>
  <c r="AL1380" i="3"/>
  <c r="AH1380" i="3"/>
  <c r="AB1380" i="3"/>
  <c r="X1380" i="3"/>
  <c r="S1380" i="3"/>
  <c r="V1380" i="3"/>
  <c r="W1380" i="3"/>
  <c r="R1380" i="3"/>
  <c r="AL1379" i="3"/>
  <c r="AH1379" i="3"/>
  <c r="AB1379" i="3"/>
  <c r="X1379" i="3"/>
  <c r="U1379" i="3"/>
  <c r="V1379" i="3"/>
  <c r="W1379" i="3"/>
  <c r="R1379" i="3"/>
  <c r="AL1378" i="3"/>
  <c r="AH1378" i="3"/>
  <c r="AB1378" i="3"/>
  <c r="Y1378" i="3"/>
  <c r="X1378" i="3"/>
  <c r="S1378" i="3"/>
  <c r="U1378" i="3"/>
  <c r="V1378" i="3"/>
  <c r="W1378" i="3"/>
  <c r="R1378" i="3"/>
  <c r="P1378" i="3"/>
  <c r="AL1377" i="3"/>
  <c r="AH1377" i="3"/>
  <c r="AB1377" i="3"/>
  <c r="Y1377" i="3"/>
  <c r="X1377" i="3"/>
  <c r="U1377" i="3"/>
  <c r="V1377" i="3"/>
  <c r="W1377" i="3"/>
  <c r="R1377" i="3"/>
  <c r="AL1376" i="3"/>
  <c r="AH1376" i="3"/>
  <c r="AG1376" i="3"/>
  <c r="AB1376" i="3"/>
  <c r="Y1376" i="3"/>
  <c r="X1376" i="3"/>
  <c r="U1376" i="3"/>
  <c r="V1376" i="3"/>
  <c r="W1376" i="3"/>
  <c r="R1376" i="3"/>
  <c r="AL1375" i="3"/>
  <c r="AH1375" i="3"/>
  <c r="AB1375" i="3"/>
  <c r="Y1375" i="3"/>
  <c r="X1375" i="3"/>
  <c r="S1375" i="3"/>
  <c r="U1375" i="3"/>
  <c r="V1375" i="3"/>
  <c r="W1375" i="3"/>
  <c r="R1375" i="3"/>
  <c r="AL1374" i="3"/>
  <c r="AH1374" i="3"/>
  <c r="AB1374" i="3"/>
  <c r="Y1374" i="3"/>
  <c r="X1374" i="3"/>
  <c r="U1374" i="3"/>
  <c r="V1374" i="3"/>
  <c r="W1374" i="3"/>
  <c r="R1374" i="3"/>
  <c r="AL1373" i="3"/>
  <c r="AH1373" i="3"/>
  <c r="AB1373" i="3"/>
  <c r="Y1373" i="3"/>
  <c r="X1373" i="3"/>
  <c r="Z1373" i="3"/>
  <c r="AA1373" i="3"/>
  <c r="U1373" i="3"/>
  <c r="T1373" i="3"/>
  <c r="R1373" i="3"/>
  <c r="AL1372" i="3"/>
  <c r="AH1372" i="3"/>
  <c r="AB1372" i="3"/>
  <c r="Y1372" i="3"/>
  <c r="X1372" i="3"/>
  <c r="S1372" i="3"/>
  <c r="U1372" i="3"/>
  <c r="V1372" i="3"/>
  <c r="W1372" i="3"/>
  <c r="R1372" i="3"/>
  <c r="AL1371" i="3"/>
  <c r="AH1371" i="3"/>
  <c r="AE1371" i="3"/>
  <c r="AB1371" i="3"/>
  <c r="Y1371" i="3"/>
  <c r="X1371" i="3"/>
  <c r="Z1371" i="3"/>
  <c r="AA1371" i="3"/>
  <c r="U1371" i="3"/>
  <c r="V1371" i="3"/>
  <c r="W1371" i="3"/>
  <c r="R1371" i="3"/>
  <c r="AL1369" i="3"/>
  <c r="AH1369" i="3"/>
  <c r="AB1369" i="3"/>
  <c r="Y1369" i="3"/>
  <c r="X1369" i="3"/>
  <c r="V1369" i="3"/>
  <c r="W1369" i="3"/>
  <c r="R1369" i="3"/>
  <c r="AG1368" i="3"/>
  <c r="AB1368" i="3"/>
  <c r="Y1368" i="3"/>
  <c r="X1368" i="3"/>
  <c r="V1368" i="3"/>
  <c r="W1368" i="3"/>
  <c r="R1368" i="3"/>
  <c r="AN1367" i="3"/>
  <c r="AL1367" i="3"/>
  <c r="AH1367" i="3"/>
  <c r="AB1367" i="3"/>
  <c r="Y1367" i="3"/>
  <c r="X1367" i="3"/>
  <c r="S1367" i="3"/>
  <c r="U1367" i="3"/>
  <c r="V1367" i="3"/>
  <c r="W1367" i="3"/>
  <c r="R1367" i="3"/>
  <c r="AL1366" i="3"/>
  <c r="AH1366" i="3"/>
  <c r="AB1366" i="3"/>
  <c r="Y1366" i="3"/>
  <c r="X1366" i="3"/>
  <c r="S1366" i="3"/>
  <c r="U1366" i="3"/>
  <c r="V1366" i="3"/>
  <c r="W1366" i="3"/>
  <c r="R1366" i="3"/>
  <c r="AL1365" i="3"/>
  <c r="AH1365" i="3"/>
  <c r="AB1365" i="3"/>
  <c r="Y1365" i="3"/>
  <c r="X1365" i="3"/>
  <c r="U1365" i="3"/>
  <c r="V1365" i="3"/>
  <c r="W1365" i="3"/>
  <c r="R1365" i="3"/>
  <c r="AN1364" i="3"/>
  <c r="AL1364" i="3"/>
  <c r="AH1364" i="3"/>
  <c r="AB1364" i="3"/>
  <c r="Y1364" i="3"/>
  <c r="X1364" i="3"/>
  <c r="U1364" i="3"/>
  <c r="V1364" i="3"/>
  <c r="W1364" i="3"/>
  <c r="R1364" i="3"/>
  <c r="AH1363" i="3"/>
  <c r="AG1363" i="3"/>
  <c r="AB1363" i="3"/>
  <c r="Y1363" i="3"/>
  <c r="X1363" i="3"/>
  <c r="U1363" i="3"/>
  <c r="V1363" i="3"/>
  <c r="W1363" i="3"/>
  <c r="R1363" i="3"/>
  <c r="AL1362" i="3"/>
  <c r="AH1362" i="3"/>
  <c r="AB1362" i="3"/>
  <c r="Y1362" i="3"/>
  <c r="X1362" i="3"/>
  <c r="S1362" i="3"/>
  <c r="U1362" i="3"/>
  <c r="V1362" i="3"/>
  <c r="W1362" i="3"/>
  <c r="R1362" i="3"/>
  <c r="AM1361" i="3"/>
  <c r="AH1361" i="3"/>
  <c r="AG1361" i="3"/>
  <c r="AJ1361" i="3"/>
  <c r="P1361" i="3"/>
  <c r="AB1361" i="3"/>
  <c r="X1361" i="3"/>
  <c r="V1361" i="3"/>
  <c r="W1361" i="3"/>
  <c r="R1361" i="3"/>
  <c r="AM1360" i="3"/>
  <c r="AH1360" i="3"/>
  <c r="AG1360" i="3"/>
  <c r="AB1360" i="3"/>
  <c r="X1360" i="3"/>
  <c r="V1360" i="3"/>
  <c r="W1360" i="3"/>
  <c r="R1360" i="3"/>
  <c r="P1360" i="3"/>
  <c r="AM1359" i="3"/>
  <c r="AH1359" i="3"/>
  <c r="AG1359" i="3"/>
  <c r="AB1359" i="3"/>
  <c r="T1359" i="3"/>
  <c r="X1359" i="3"/>
  <c r="Z1359" i="3"/>
  <c r="AA1359" i="3"/>
  <c r="R1359" i="3"/>
  <c r="P1359" i="3"/>
  <c r="AM1358" i="3"/>
  <c r="AH1358" i="3"/>
  <c r="AG1358" i="3"/>
  <c r="AB1358" i="3"/>
  <c r="X1358" i="3"/>
  <c r="Z1358" i="3"/>
  <c r="AA1358" i="3"/>
  <c r="V1358" i="3"/>
  <c r="W1358" i="3"/>
  <c r="R1358" i="3"/>
  <c r="P1358" i="3"/>
  <c r="AM1357" i="3"/>
  <c r="AH1357" i="3"/>
  <c r="AG1357" i="3"/>
  <c r="AB1357" i="3"/>
  <c r="X1357" i="3"/>
  <c r="Z1357" i="3"/>
  <c r="AA1357" i="3"/>
  <c r="V1357" i="3"/>
  <c r="W1357" i="3"/>
  <c r="R1357" i="3"/>
  <c r="P1357" i="3"/>
  <c r="AM1356" i="3"/>
  <c r="AH1356" i="3"/>
  <c r="AG1356" i="3"/>
  <c r="AB1356" i="3"/>
  <c r="X1356" i="3"/>
  <c r="V1356" i="3"/>
  <c r="W1356" i="3"/>
  <c r="R1356" i="3"/>
  <c r="P1356" i="3"/>
  <c r="AM1355" i="3"/>
  <c r="AH1355" i="3"/>
  <c r="AG1355" i="3"/>
  <c r="AB1355" i="3"/>
  <c r="X1355" i="3"/>
  <c r="Z1355" i="3"/>
  <c r="AA1355" i="3"/>
  <c r="V1355" i="3"/>
  <c r="W1355" i="3"/>
  <c r="R1355" i="3"/>
  <c r="P1355" i="3"/>
  <c r="AM1354" i="3"/>
  <c r="AH1354" i="3"/>
  <c r="AG1354" i="3"/>
  <c r="AB1354" i="3"/>
  <c r="X1354" i="3"/>
  <c r="Z1354" i="3"/>
  <c r="AA1354" i="3"/>
  <c r="V1354" i="3"/>
  <c r="W1354" i="3"/>
  <c r="R1354" i="3"/>
  <c r="P1354" i="3"/>
  <c r="AM1353" i="3"/>
  <c r="AG1353" i="3"/>
  <c r="AD1353" i="3"/>
  <c r="AB1353" i="3"/>
  <c r="Z1353" i="3"/>
  <c r="U1353" i="3"/>
  <c r="V1353" i="3"/>
  <c r="W1353" i="3"/>
  <c r="R1353" i="3"/>
  <c r="P1353" i="3"/>
  <c r="AM1352" i="3"/>
  <c r="AG1352" i="3"/>
  <c r="AB1352" i="3"/>
  <c r="Y1352" i="3"/>
  <c r="X1352" i="3"/>
  <c r="Z1352" i="3"/>
  <c r="U1352" i="3"/>
  <c r="T1352" i="3"/>
  <c r="R1352" i="3"/>
  <c r="P1352" i="3"/>
  <c r="AM1351" i="3"/>
  <c r="AH1351" i="3"/>
  <c r="AG1351" i="3"/>
  <c r="AE1351" i="3"/>
  <c r="AD1351" i="3"/>
  <c r="AB1351" i="3"/>
  <c r="Z1351" i="3"/>
  <c r="X1351" i="3"/>
  <c r="AA1351" i="3"/>
  <c r="U1351" i="3"/>
  <c r="V1351" i="3"/>
  <c r="W1351" i="3"/>
  <c r="R1351" i="3"/>
  <c r="P1351" i="3"/>
  <c r="AM1350" i="3"/>
  <c r="AG1350" i="3"/>
  <c r="AD1350" i="3"/>
  <c r="AB1350" i="3"/>
  <c r="Z1350" i="3"/>
  <c r="X1350" i="3"/>
  <c r="S1350" i="3"/>
  <c r="U1350" i="3"/>
  <c r="V1350" i="3"/>
  <c r="W1350" i="3"/>
  <c r="R1350" i="3"/>
  <c r="P1350" i="3"/>
  <c r="AM1349" i="3"/>
  <c r="AG1349" i="3"/>
  <c r="AD1349" i="3"/>
  <c r="AB1349" i="3"/>
  <c r="Z1349" i="3"/>
  <c r="X1349" i="3"/>
  <c r="S1349" i="3"/>
  <c r="U1349" i="3"/>
  <c r="V1349" i="3"/>
  <c r="W1349" i="3"/>
  <c r="R1349" i="3"/>
  <c r="P1349" i="3"/>
  <c r="AL1348" i="3"/>
  <c r="AH1348" i="3"/>
  <c r="AB1348" i="3"/>
  <c r="Z1348" i="3"/>
  <c r="X1348" i="3"/>
  <c r="S1348" i="3"/>
  <c r="U1348" i="3"/>
  <c r="V1348" i="3"/>
  <c r="W1348" i="3"/>
  <c r="R1348" i="3"/>
  <c r="P1348" i="3"/>
  <c r="AL1347" i="3"/>
  <c r="AH1347" i="3"/>
  <c r="AG1347" i="3"/>
  <c r="AB1347" i="3"/>
  <c r="Z1347" i="3"/>
  <c r="X1347" i="3"/>
  <c r="U1347" i="3"/>
  <c r="V1347" i="3"/>
  <c r="W1347" i="3"/>
  <c r="R1347" i="3"/>
  <c r="P1347" i="3"/>
  <c r="AL1346" i="3"/>
  <c r="AH1346" i="3"/>
  <c r="AB1346" i="3"/>
  <c r="Z1346" i="3"/>
  <c r="X1346" i="3"/>
  <c r="S1346" i="3"/>
  <c r="U1346" i="3"/>
  <c r="V1346" i="3"/>
  <c r="W1346" i="3"/>
  <c r="R1346" i="3"/>
  <c r="P1346" i="3"/>
  <c r="AL1345" i="3"/>
  <c r="AH1345" i="3"/>
  <c r="AB1345" i="3"/>
  <c r="Z1345" i="3"/>
  <c r="X1345" i="3"/>
  <c r="S1345" i="3"/>
  <c r="U1345" i="3"/>
  <c r="V1345" i="3"/>
  <c r="W1345" i="3"/>
  <c r="R1345" i="3"/>
  <c r="P1345" i="3"/>
  <c r="AL1344" i="3"/>
  <c r="AH1344" i="3"/>
  <c r="AG1344" i="3"/>
  <c r="AB1344" i="3"/>
  <c r="Z1344" i="3"/>
  <c r="U1344" i="3"/>
  <c r="V1344" i="3"/>
  <c r="W1344" i="3"/>
  <c r="R1344" i="3"/>
  <c r="P1344" i="3"/>
  <c r="AH1343" i="3"/>
  <c r="AG1343" i="3"/>
  <c r="AD1343" i="3"/>
  <c r="AB1343" i="3"/>
  <c r="Y1343" i="3"/>
  <c r="X1343" i="3"/>
  <c r="U1343" i="3"/>
  <c r="V1343" i="3"/>
  <c r="W1343" i="3"/>
  <c r="R1343" i="3"/>
  <c r="P1343" i="3"/>
  <c r="AG1342" i="3"/>
  <c r="AD1342" i="3"/>
  <c r="AB1342" i="3"/>
  <c r="Y1342" i="3"/>
  <c r="X1342" i="3"/>
  <c r="U1342" i="3"/>
  <c r="V1342" i="3"/>
  <c r="W1342" i="3"/>
  <c r="R1342" i="3"/>
  <c r="AG1341" i="3"/>
  <c r="AD1341" i="3"/>
  <c r="AB1341" i="3"/>
  <c r="Y1341" i="3"/>
  <c r="X1341" i="3"/>
  <c r="S1341" i="3"/>
  <c r="U1341" i="3"/>
  <c r="V1341" i="3"/>
  <c r="W1341" i="3"/>
  <c r="R1341" i="3"/>
  <c r="AG1340" i="3"/>
  <c r="AD1340" i="3"/>
  <c r="AB1340" i="3"/>
  <c r="Y1340" i="3"/>
  <c r="X1340" i="3"/>
  <c r="S1340" i="3"/>
  <c r="U1340" i="3"/>
  <c r="V1340" i="3"/>
  <c r="W1340" i="3"/>
  <c r="R1340" i="3"/>
  <c r="AH1339" i="3"/>
  <c r="AG1339" i="3"/>
  <c r="AD1339" i="3"/>
  <c r="AB1339" i="3"/>
  <c r="Y1339" i="3"/>
  <c r="X1339" i="3"/>
  <c r="V1339" i="3"/>
  <c r="W1339" i="3"/>
  <c r="R1339" i="3"/>
  <c r="AL1338" i="3"/>
  <c r="AH1338" i="3"/>
  <c r="AB1338" i="3"/>
  <c r="Y1338" i="3"/>
  <c r="V1338" i="3"/>
  <c r="W1338" i="3"/>
  <c r="R1338" i="3"/>
  <c r="AL1337" i="3"/>
  <c r="AG1337" i="3"/>
  <c r="AF1337" i="3"/>
  <c r="U1337" i="3"/>
  <c r="V1337" i="3"/>
  <c r="W1337" i="3"/>
  <c r="AE1337" i="3"/>
  <c r="AB1337" i="3"/>
  <c r="Y1337" i="3"/>
  <c r="X1337" i="3"/>
  <c r="S1337" i="3"/>
  <c r="R1337" i="3"/>
  <c r="AO1336" i="3"/>
  <c r="AK1336" i="3"/>
  <c r="AH1336" i="3"/>
  <c r="AG1336" i="3"/>
  <c r="AE1336" i="3"/>
  <c r="AD1336" i="3"/>
  <c r="AB1336" i="3"/>
  <c r="Y1336" i="3"/>
  <c r="X1336" i="3"/>
  <c r="S1336" i="3"/>
  <c r="U1336" i="3"/>
  <c r="V1336" i="3"/>
  <c r="W1336" i="3"/>
  <c r="R1336" i="3"/>
  <c r="P1336" i="3"/>
  <c r="AO1335" i="3"/>
  <c r="AL1335" i="3"/>
  <c r="AG1335" i="3"/>
  <c r="AE1335" i="3"/>
  <c r="AB1335" i="3"/>
  <c r="Y1335" i="3"/>
  <c r="X1335" i="3"/>
  <c r="U1335" i="3"/>
  <c r="V1335" i="3"/>
  <c r="W1335" i="3"/>
  <c r="R1335" i="3"/>
  <c r="AG1334" i="3"/>
  <c r="AB1334" i="3"/>
  <c r="Y1334" i="3"/>
  <c r="X1334" i="3"/>
  <c r="U1334" i="3"/>
  <c r="V1334" i="3"/>
  <c r="W1334" i="3"/>
  <c r="R1334" i="3"/>
  <c r="P1334" i="3"/>
  <c r="AG1333" i="3"/>
  <c r="AB1333" i="3"/>
  <c r="Y1333" i="3"/>
  <c r="X1333" i="3"/>
  <c r="U1333" i="3"/>
  <c r="V1333" i="3"/>
  <c r="W1333" i="3"/>
  <c r="R1333" i="3"/>
  <c r="P1333" i="3"/>
  <c r="AG1332" i="3"/>
  <c r="AB1332" i="3"/>
  <c r="Y1332" i="3"/>
  <c r="X1332" i="3"/>
  <c r="S1332" i="3"/>
  <c r="U1332" i="3"/>
  <c r="V1332" i="3"/>
  <c r="W1332" i="3"/>
  <c r="R1332" i="3"/>
  <c r="P1332" i="3"/>
  <c r="AG1331" i="3"/>
  <c r="AB1331" i="3"/>
  <c r="Y1331" i="3"/>
  <c r="X1331" i="3"/>
  <c r="S1331" i="3"/>
  <c r="U1331" i="3"/>
  <c r="V1331" i="3"/>
  <c r="W1331" i="3"/>
  <c r="R1331" i="3"/>
  <c r="P1331" i="3"/>
  <c r="AH1330" i="3"/>
  <c r="AG1330" i="3"/>
  <c r="AB1330" i="3"/>
  <c r="V1330" i="3"/>
  <c r="W1330" i="3"/>
  <c r="R1330" i="3"/>
  <c r="P1330" i="3"/>
  <c r="AL1329" i="3"/>
  <c r="AH1329" i="3"/>
  <c r="AB1329" i="3"/>
  <c r="X1329" i="3"/>
  <c r="U1329" i="3"/>
  <c r="V1329" i="3"/>
  <c r="W1329" i="3"/>
  <c r="R1329" i="3"/>
  <c r="AL1328" i="3"/>
  <c r="AH1328" i="3"/>
  <c r="AB1328" i="3"/>
  <c r="X1328" i="3"/>
  <c r="AA1328" i="3"/>
  <c r="U1328" i="3"/>
  <c r="V1328" i="3"/>
  <c r="W1328" i="3"/>
  <c r="R1328" i="3"/>
  <c r="AL1327" i="3"/>
  <c r="AH1327" i="3"/>
  <c r="AB1327" i="3"/>
  <c r="X1327" i="3"/>
  <c r="AA1327" i="3"/>
  <c r="U1327" i="3"/>
  <c r="V1327" i="3"/>
  <c r="W1327" i="3"/>
  <c r="R1327" i="3"/>
  <c r="AL1326" i="3"/>
  <c r="AH1326" i="3"/>
  <c r="AB1326" i="3"/>
  <c r="X1326" i="3"/>
  <c r="S1326" i="3"/>
  <c r="U1326" i="3"/>
  <c r="V1326" i="3"/>
  <c r="W1326" i="3"/>
  <c r="R1326" i="3"/>
  <c r="AL1325" i="3"/>
  <c r="AH1325" i="3"/>
  <c r="AB1325" i="3"/>
  <c r="X1325" i="3"/>
  <c r="U1325" i="3"/>
  <c r="V1325" i="3"/>
  <c r="W1325" i="3"/>
  <c r="R1325" i="3"/>
  <c r="AL1324" i="3"/>
  <c r="AH1324" i="3"/>
  <c r="AB1324" i="3"/>
  <c r="X1324" i="3"/>
  <c r="S1324" i="3"/>
  <c r="U1324" i="3"/>
  <c r="V1324" i="3"/>
  <c r="W1324" i="3"/>
  <c r="R1324" i="3"/>
  <c r="AL1323" i="3"/>
  <c r="AH1323" i="3"/>
  <c r="AB1323" i="3"/>
  <c r="X1323" i="3"/>
  <c r="AA1323" i="3"/>
  <c r="U1323" i="3"/>
  <c r="V1323" i="3"/>
  <c r="W1323" i="3"/>
  <c r="R1323" i="3"/>
  <c r="AL1322" i="3"/>
  <c r="AH1322" i="3"/>
  <c r="AB1322" i="3"/>
  <c r="X1322" i="3"/>
  <c r="S1322" i="3"/>
  <c r="U1322" i="3"/>
  <c r="V1322" i="3"/>
  <c r="W1322" i="3"/>
  <c r="R1322" i="3"/>
  <c r="AO1321" i="3"/>
  <c r="AH1321" i="3"/>
  <c r="AG1321" i="3"/>
  <c r="AB1321" i="3"/>
  <c r="Y1321" i="3"/>
  <c r="X1321" i="3"/>
  <c r="S1321" i="3"/>
  <c r="W1321" i="3"/>
  <c r="R1321" i="3"/>
  <c r="AO1320" i="3"/>
  <c r="AG1320" i="3"/>
  <c r="AD1320" i="3"/>
  <c r="AB1320" i="3"/>
  <c r="Y1320" i="3"/>
  <c r="X1320" i="3"/>
  <c r="U1320" i="3"/>
  <c r="V1320" i="3"/>
  <c r="W1320" i="3"/>
  <c r="R1320" i="3"/>
  <c r="P1320" i="3"/>
  <c r="AO1319" i="3"/>
  <c r="AG1319" i="3"/>
  <c r="AE1319" i="3"/>
  <c r="AD1319" i="3"/>
  <c r="AB1319" i="3"/>
  <c r="Y1319" i="3"/>
  <c r="X1319" i="3"/>
  <c r="U1319" i="3"/>
  <c r="V1319" i="3"/>
  <c r="W1319" i="3"/>
  <c r="R1319" i="3"/>
  <c r="P1319" i="3"/>
  <c r="AO1318" i="3"/>
  <c r="AL1318" i="3"/>
  <c r="AH1318" i="3"/>
  <c r="AD1318" i="3"/>
  <c r="AB1318" i="3"/>
  <c r="Y1318" i="3"/>
  <c r="X1318" i="3"/>
  <c r="S1318" i="3"/>
  <c r="U1318" i="3"/>
  <c r="V1318" i="3"/>
  <c r="W1318" i="3"/>
  <c r="R1318" i="3"/>
  <c r="AO1317" i="3"/>
  <c r="AL1317" i="3"/>
  <c r="AH1317" i="3"/>
  <c r="AD1317" i="3"/>
  <c r="AB1317" i="3"/>
  <c r="Y1317" i="3"/>
  <c r="X1317" i="3"/>
  <c r="U1317" i="3"/>
  <c r="V1317" i="3"/>
  <c r="W1317" i="3"/>
  <c r="R1317" i="3"/>
  <c r="AL1316" i="3"/>
  <c r="AG1316" i="3"/>
  <c r="AJ1316" i="3"/>
  <c r="P1316" i="3"/>
  <c r="AD1316" i="3"/>
  <c r="AB1316" i="3"/>
  <c r="Y1316" i="3"/>
  <c r="X1316" i="3"/>
  <c r="U1316" i="3"/>
  <c r="V1316" i="3"/>
  <c r="W1316" i="3"/>
  <c r="R1316" i="3"/>
  <c r="AL1315" i="3"/>
  <c r="AG1315" i="3"/>
  <c r="AJ1315" i="3"/>
  <c r="P1315" i="3"/>
  <c r="AD1315" i="3"/>
  <c r="AB1315" i="3"/>
  <c r="Y1315" i="3"/>
  <c r="X1315" i="3"/>
  <c r="S1315" i="3"/>
  <c r="U1315" i="3"/>
  <c r="V1315" i="3"/>
  <c r="W1315" i="3"/>
  <c r="R1315" i="3"/>
  <c r="AJ1314" i="3"/>
  <c r="P1314" i="3"/>
  <c r="AG1314" i="3"/>
  <c r="AD1314" i="3"/>
  <c r="AB1314" i="3"/>
  <c r="Y1314" i="3"/>
  <c r="X1314" i="3"/>
  <c r="S1314" i="3"/>
  <c r="U1314" i="3"/>
  <c r="V1314" i="3"/>
  <c r="W1314" i="3"/>
  <c r="R1314" i="3"/>
  <c r="AJ1313" i="3"/>
  <c r="P1313" i="3"/>
  <c r="AH1313" i="3"/>
  <c r="AG1313" i="3"/>
  <c r="AD1313" i="3"/>
  <c r="AB1313" i="3"/>
  <c r="Y1313" i="3"/>
  <c r="X1313" i="3"/>
  <c r="S1313" i="3"/>
  <c r="U1313" i="3"/>
  <c r="V1313" i="3"/>
  <c r="W1313" i="3"/>
  <c r="R1313" i="3"/>
  <c r="AJ1312" i="3"/>
  <c r="P1312" i="3"/>
  <c r="AH1312" i="3"/>
  <c r="AG1312" i="3"/>
  <c r="AE1312" i="3"/>
  <c r="AB1312" i="3"/>
  <c r="Y1312" i="3"/>
  <c r="X1312" i="3"/>
  <c r="S1312" i="3"/>
  <c r="U1312" i="3"/>
  <c r="V1312" i="3"/>
  <c r="W1312" i="3"/>
  <c r="R1312" i="3"/>
  <c r="AO1311" i="3"/>
  <c r="AJ1311" i="3"/>
  <c r="P1311" i="3"/>
  <c r="AH1311" i="3"/>
  <c r="AG1311" i="3"/>
  <c r="AD1311" i="3"/>
  <c r="AB1311" i="3"/>
  <c r="Y1311" i="3"/>
  <c r="X1311" i="3"/>
  <c r="S1311" i="3"/>
  <c r="U1311" i="3"/>
  <c r="V1311" i="3"/>
  <c r="W1311" i="3"/>
  <c r="R1311" i="3"/>
  <c r="AO1310" i="3"/>
  <c r="AH1310" i="3"/>
  <c r="AG1310" i="3"/>
  <c r="AD1310" i="3"/>
  <c r="AB1310" i="3"/>
  <c r="Y1310" i="3"/>
  <c r="X1310" i="3"/>
  <c r="S1310" i="3"/>
  <c r="U1310" i="3"/>
  <c r="V1310" i="3"/>
  <c r="W1310" i="3"/>
  <c r="R1310" i="3"/>
  <c r="P1310" i="3"/>
  <c r="AO1309" i="3"/>
  <c r="AH1309" i="3"/>
  <c r="AG1309" i="3"/>
  <c r="AD1309" i="3"/>
  <c r="AB1309" i="3"/>
  <c r="Y1309" i="3"/>
  <c r="X1309" i="3"/>
  <c r="S1309" i="3"/>
  <c r="U1309" i="3"/>
  <c r="V1309" i="3"/>
  <c r="W1309" i="3"/>
  <c r="R1309" i="3"/>
  <c r="P1309" i="3"/>
  <c r="AO1308" i="3"/>
  <c r="AH1308" i="3"/>
  <c r="AG1308" i="3"/>
  <c r="AD1308" i="3"/>
  <c r="AB1308" i="3"/>
  <c r="Y1308" i="3"/>
  <c r="X1308" i="3"/>
  <c r="U1308" i="3"/>
  <c r="V1308" i="3"/>
  <c r="W1308" i="3"/>
  <c r="R1308" i="3"/>
  <c r="P1308" i="3"/>
  <c r="AO1307" i="3"/>
  <c r="AH1307" i="3"/>
  <c r="AG1307" i="3"/>
  <c r="AD1307" i="3"/>
  <c r="AB1307" i="3"/>
  <c r="Y1307" i="3"/>
  <c r="X1307" i="3"/>
  <c r="S1307" i="3"/>
  <c r="U1307" i="3"/>
  <c r="V1307" i="3"/>
  <c r="W1307" i="3"/>
  <c r="R1307" i="3"/>
  <c r="P1307" i="3"/>
  <c r="AH1306" i="3"/>
  <c r="AG1306" i="3"/>
  <c r="AB1306" i="3"/>
  <c r="Y1306" i="3"/>
  <c r="X1306" i="3"/>
  <c r="S1306" i="3"/>
  <c r="U1306" i="3"/>
  <c r="V1306" i="3"/>
  <c r="W1306" i="3"/>
  <c r="R1306" i="3"/>
  <c r="P1306" i="3"/>
  <c r="AL1305" i="3"/>
  <c r="AH1305" i="3"/>
  <c r="AB1305" i="3"/>
  <c r="Y1305" i="3"/>
  <c r="X1305" i="3"/>
  <c r="S1305" i="3"/>
  <c r="U1305" i="3"/>
  <c r="V1305" i="3"/>
  <c r="W1305" i="3"/>
  <c r="R1305" i="3"/>
  <c r="P1305" i="3"/>
  <c r="AL1304" i="3"/>
  <c r="AH1304" i="3"/>
  <c r="AD1304" i="3"/>
  <c r="AB1304" i="3"/>
  <c r="Y1304" i="3"/>
  <c r="X1304" i="3"/>
  <c r="S1304" i="3"/>
  <c r="U1304" i="3"/>
  <c r="V1304" i="3"/>
  <c r="W1304" i="3"/>
  <c r="R1304" i="3"/>
  <c r="P1304" i="3"/>
  <c r="AO1303" i="3"/>
  <c r="AO1304" i="3"/>
  <c r="AO1305" i="3"/>
  <c r="AO1306" i="3"/>
  <c r="AL1303" i="3"/>
  <c r="AH1303" i="3"/>
  <c r="AD1303" i="3"/>
  <c r="AB1303" i="3"/>
  <c r="Y1303" i="3"/>
  <c r="X1303" i="3"/>
  <c r="U1303" i="3"/>
  <c r="V1303" i="3"/>
  <c r="W1303" i="3"/>
  <c r="R1303" i="3"/>
  <c r="P1303" i="3"/>
  <c r="AO1302" i="3"/>
  <c r="AL1302" i="3"/>
  <c r="AH1302" i="3"/>
  <c r="AD1302" i="3"/>
  <c r="AB1302" i="3"/>
  <c r="Y1302" i="3"/>
  <c r="X1302" i="3"/>
  <c r="U1302" i="3"/>
  <c r="V1302" i="3"/>
  <c r="W1302" i="3"/>
  <c r="R1302" i="3"/>
  <c r="P1302" i="3"/>
  <c r="AJ1301" i="3"/>
  <c r="P1301" i="3"/>
  <c r="AH1301" i="3"/>
  <c r="AG1301" i="3"/>
  <c r="AB1301" i="3"/>
  <c r="Y1301" i="3"/>
  <c r="X1301" i="3"/>
  <c r="U1301" i="3"/>
  <c r="V1301" i="3"/>
  <c r="W1301" i="3"/>
  <c r="R1301" i="3"/>
  <c r="AH1300" i="3"/>
  <c r="AG1300" i="3"/>
  <c r="AB1300" i="3"/>
  <c r="Y1300" i="3"/>
  <c r="X1300" i="3"/>
  <c r="U1300" i="3"/>
  <c r="V1300" i="3"/>
  <c r="W1300" i="3"/>
  <c r="R1300" i="3"/>
  <c r="P1300" i="3"/>
  <c r="AH1299" i="3"/>
  <c r="AG1299" i="3"/>
  <c r="AB1299" i="3"/>
  <c r="Y1299" i="3"/>
  <c r="X1299" i="3"/>
  <c r="U1299" i="3"/>
  <c r="V1299" i="3"/>
  <c r="W1299" i="3"/>
  <c r="R1299" i="3"/>
  <c r="P1299" i="3"/>
  <c r="AG1298" i="3"/>
  <c r="AB1298" i="3"/>
  <c r="Y1298" i="3"/>
  <c r="X1298" i="3"/>
  <c r="S1298" i="3"/>
  <c r="U1298" i="3"/>
  <c r="V1298" i="3"/>
  <c r="W1298" i="3"/>
  <c r="R1298" i="3"/>
  <c r="AG1297" i="3"/>
  <c r="AB1297" i="3"/>
  <c r="Y1297" i="3"/>
  <c r="X1297" i="3"/>
  <c r="Z1297" i="3"/>
  <c r="AA1297" i="3"/>
  <c r="V1297" i="3"/>
  <c r="W1297" i="3"/>
  <c r="S1297" i="3"/>
  <c r="R1297" i="3"/>
  <c r="P1297" i="3"/>
  <c r="AH1296" i="3"/>
  <c r="AG1296" i="3"/>
  <c r="AB1296" i="3"/>
  <c r="Y1296" i="3"/>
  <c r="X1296" i="3"/>
  <c r="S1296" i="3"/>
  <c r="U1296" i="3"/>
  <c r="V1296" i="3"/>
  <c r="W1296" i="3"/>
  <c r="R1296" i="3"/>
  <c r="P1296" i="3"/>
  <c r="AH1295" i="3"/>
  <c r="AG1295" i="3"/>
  <c r="AB1295" i="3"/>
  <c r="Y1295" i="3"/>
  <c r="X1295" i="3"/>
  <c r="U1295" i="3"/>
  <c r="V1295" i="3"/>
  <c r="W1295" i="3"/>
  <c r="R1295" i="3"/>
  <c r="P1295" i="3"/>
  <c r="AH1294" i="3"/>
  <c r="AG1294" i="3"/>
  <c r="AB1294" i="3"/>
  <c r="Y1294" i="3"/>
  <c r="X1294" i="3"/>
  <c r="U1294" i="3"/>
  <c r="V1294" i="3"/>
  <c r="W1294" i="3"/>
  <c r="R1294" i="3"/>
  <c r="P1294" i="3"/>
  <c r="AH1293" i="3"/>
  <c r="AG1293" i="3"/>
  <c r="AB1293" i="3"/>
  <c r="Y1293" i="3"/>
  <c r="X1293" i="3"/>
  <c r="S1293" i="3"/>
  <c r="U1293" i="3"/>
  <c r="V1293" i="3"/>
  <c r="W1293" i="3"/>
  <c r="R1293" i="3"/>
  <c r="P1293" i="3"/>
  <c r="AO1292" i="3"/>
  <c r="AH1292" i="3"/>
  <c r="AG1292" i="3"/>
  <c r="AB1292" i="3"/>
  <c r="Y1292" i="3"/>
  <c r="X1292" i="3"/>
  <c r="U1292" i="3"/>
  <c r="V1292" i="3"/>
  <c r="W1292" i="3"/>
  <c r="R1292" i="3"/>
  <c r="AO1291" i="3"/>
  <c r="AG1291" i="3"/>
  <c r="AB1291" i="3"/>
  <c r="Y1291" i="3"/>
  <c r="X1291" i="3"/>
  <c r="Z1291" i="3"/>
  <c r="AA1291" i="3"/>
  <c r="V1291" i="3"/>
  <c r="W1291" i="3"/>
  <c r="R1291" i="3"/>
  <c r="AO1290" i="3"/>
  <c r="AK1290" i="3"/>
  <c r="AG1290" i="3"/>
  <c r="AB1290" i="3"/>
  <c r="Y1290" i="3"/>
  <c r="X1290" i="3"/>
  <c r="S1290" i="3"/>
  <c r="U1290" i="3"/>
  <c r="V1290" i="3"/>
  <c r="W1290" i="3"/>
  <c r="R1290" i="3"/>
  <c r="AO1289" i="3"/>
  <c r="AK1289" i="3"/>
  <c r="AG1289" i="3"/>
  <c r="AB1289" i="3"/>
  <c r="Y1289" i="3"/>
  <c r="X1289" i="3"/>
  <c r="U1289" i="3"/>
  <c r="V1289" i="3"/>
  <c r="W1289" i="3"/>
  <c r="R1289" i="3"/>
  <c r="AO1288" i="3"/>
  <c r="AK1288" i="3"/>
  <c r="AG1288" i="3"/>
  <c r="AB1288" i="3"/>
  <c r="Y1288" i="3"/>
  <c r="X1288" i="3"/>
  <c r="U1288" i="3"/>
  <c r="V1288" i="3"/>
  <c r="W1288" i="3"/>
  <c r="R1288" i="3"/>
  <c r="AO1287" i="3"/>
  <c r="AK1287" i="3"/>
  <c r="AG1287" i="3"/>
  <c r="AB1287" i="3"/>
  <c r="Y1287" i="3"/>
  <c r="X1287" i="3"/>
  <c r="S1287" i="3"/>
  <c r="U1287" i="3"/>
  <c r="V1287" i="3"/>
  <c r="W1287" i="3"/>
  <c r="R1287" i="3"/>
  <c r="AO1286" i="3"/>
  <c r="AK1286" i="3"/>
  <c r="AG1286" i="3"/>
  <c r="AB1286" i="3"/>
  <c r="Y1286" i="3"/>
  <c r="X1286" i="3"/>
  <c r="S1286" i="3"/>
  <c r="U1286" i="3"/>
  <c r="V1286" i="3"/>
  <c r="W1286" i="3"/>
  <c r="R1286" i="3"/>
  <c r="AO1285" i="3"/>
  <c r="AK1285" i="3"/>
  <c r="AH1285" i="3"/>
  <c r="AG1285" i="3"/>
  <c r="AB1285" i="3"/>
  <c r="Y1285" i="3"/>
  <c r="X1285" i="3"/>
  <c r="U1285" i="3"/>
  <c r="V1285" i="3"/>
  <c r="W1285" i="3"/>
  <c r="R1285" i="3"/>
  <c r="AK1284" i="3"/>
  <c r="AG1284" i="3"/>
  <c r="AB1284" i="3"/>
  <c r="Y1284" i="3"/>
  <c r="V1284" i="3"/>
  <c r="W1284" i="3"/>
  <c r="R1284" i="3"/>
  <c r="AK1283" i="3"/>
  <c r="AG1283" i="3"/>
  <c r="AB1283" i="3"/>
  <c r="Y1283" i="3"/>
  <c r="X1283" i="3"/>
  <c r="Z1283" i="3"/>
  <c r="AA1283" i="3"/>
  <c r="V1283" i="3"/>
  <c r="W1283" i="3"/>
  <c r="S1283" i="3"/>
  <c r="R1283" i="3"/>
  <c r="P1283" i="3"/>
  <c r="AO1282" i="3"/>
  <c r="AH1282" i="3"/>
  <c r="AG1282" i="3"/>
  <c r="AB1282" i="3"/>
  <c r="Y1282" i="3"/>
  <c r="X1282" i="3"/>
  <c r="U1282" i="3"/>
  <c r="V1282" i="3"/>
  <c r="W1282" i="3"/>
  <c r="R1282" i="3"/>
  <c r="P1282" i="3"/>
  <c r="AH1281" i="3"/>
  <c r="AG1281" i="3"/>
  <c r="AB1281" i="3"/>
  <c r="Y1281" i="3"/>
  <c r="X1281" i="3"/>
  <c r="U1281" i="3"/>
  <c r="V1281" i="3"/>
  <c r="W1281" i="3"/>
  <c r="R1281" i="3"/>
  <c r="P1281" i="3"/>
  <c r="AH1280" i="3"/>
  <c r="AG1280" i="3"/>
  <c r="AB1280" i="3"/>
  <c r="Y1280" i="3"/>
  <c r="X1280" i="3"/>
  <c r="U1280" i="3"/>
  <c r="V1280" i="3"/>
  <c r="W1280" i="3"/>
  <c r="R1280" i="3"/>
  <c r="P1280" i="3"/>
  <c r="AH1279" i="3"/>
  <c r="AG1279" i="3"/>
  <c r="AB1279" i="3"/>
  <c r="Y1279" i="3"/>
  <c r="X1279" i="3"/>
  <c r="U1279" i="3"/>
  <c r="V1279" i="3"/>
  <c r="W1279" i="3"/>
  <c r="R1279" i="3"/>
  <c r="P1279" i="3"/>
  <c r="AH1278" i="3"/>
  <c r="AG1278" i="3"/>
  <c r="AB1278" i="3"/>
  <c r="Y1278" i="3"/>
  <c r="X1278" i="3"/>
  <c r="U1278" i="3"/>
  <c r="V1278" i="3"/>
  <c r="W1278" i="3"/>
  <c r="R1278" i="3"/>
  <c r="P1278" i="3"/>
  <c r="AG1277" i="3"/>
  <c r="AB1277" i="3"/>
  <c r="X1277" i="3"/>
  <c r="Z1277" i="3"/>
  <c r="AA1277" i="3"/>
  <c r="U1277" i="3"/>
  <c r="V1277" i="3"/>
  <c r="W1277" i="3"/>
  <c r="R1277" i="3"/>
  <c r="AO1276" i="3"/>
  <c r="AL1276" i="3"/>
  <c r="AH1276" i="3"/>
  <c r="AB1276" i="3"/>
  <c r="X1276" i="3"/>
  <c r="S1276" i="3"/>
  <c r="U1276" i="3"/>
  <c r="V1276" i="3"/>
  <c r="W1276" i="3"/>
  <c r="R1276" i="3"/>
  <c r="AO1275" i="3"/>
  <c r="AL1275" i="3"/>
  <c r="AH1275" i="3"/>
  <c r="AB1275" i="3"/>
  <c r="X1275" i="3"/>
  <c r="U1275" i="3"/>
  <c r="V1275" i="3"/>
  <c r="W1275" i="3"/>
  <c r="R1275" i="3"/>
  <c r="AO1274" i="3"/>
  <c r="AL1274" i="3"/>
  <c r="AH1274" i="3"/>
  <c r="AB1274" i="3"/>
  <c r="X1274" i="3"/>
  <c r="S1274" i="3"/>
  <c r="U1274" i="3"/>
  <c r="V1274" i="3"/>
  <c r="W1274" i="3"/>
  <c r="R1274" i="3"/>
  <c r="AB1273" i="3"/>
  <c r="Z1273" i="3"/>
  <c r="AA1273" i="3"/>
  <c r="V1273" i="3"/>
  <c r="W1273" i="3"/>
  <c r="S1273" i="3"/>
  <c r="R1273" i="3"/>
  <c r="AO1272" i="3"/>
  <c r="AL1272" i="3"/>
  <c r="AH1272" i="3"/>
  <c r="AB1272" i="3"/>
  <c r="X1272" i="3"/>
  <c r="Z1272" i="3"/>
  <c r="AA1272" i="3"/>
  <c r="U1272" i="3"/>
  <c r="V1272" i="3"/>
  <c r="W1272" i="3"/>
  <c r="R1272" i="3"/>
  <c r="AO1271" i="3"/>
  <c r="AB1271" i="3"/>
  <c r="X1271" i="3"/>
  <c r="S1271" i="3"/>
  <c r="U1271" i="3"/>
  <c r="V1271" i="3"/>
  <c r="W1271" i="3"/>
  <c r="R1271" i="3"/>
  <c r="P1271" i="3"/>
  <c r="AO1270" i="3"/>
  <c r="AB1270" i="3"/>
  <c r="X1270" i="3"/>
  <c r="Z1270" i="3"/>
  <c r="AA1270" i="3"/>
  <c r="U1270" i="3"/>
  <c r="V1270" i="3"/>
  <c r="W1270" i="3"/>
  <c r="R1270" i="3"/>
  <c r="P1270" i="3"/>
  <c r="AO1269" i="3"/>
  <c r="AB1269" i="3"/>
  <c r="Y1269" i="3"/>
  <c r="X1269" i="3"/>
  <c r="S1269" i="3"/>
  <c r="U1269" i="3"/>
  <c r="V1269" i="3"/>
  <c r="W1269" i="3"/>
  <c r="R1269" i="3"/>
  <c r="P1269" i="3"/>
  <c r="AO1268" i="3"/>
  <c r="AB1268" i="3"/>
  <c r="Y1268" i="3"/>
  <c r="X1268" i="3"/>
  <c r="U1268" i="3"/>
  <c r="V1268" i="3"/>
  <c r="W1268" i="3"/>
  <c r="R1268" i="3"/>
  <c r="P1268" i="3"/>
  <c r="AO1267" i="3"/>
  <c r="AM1267" i="3"/>
  <c r="AG1267" i="3"/>
  <c r="AB1267" i="3"/>
  <c r="Y1267" i="3"/>
  <c r="X1267" i="3"/>
  <c r="S1267" i="3"/>
  <c r="U1267" i="3"/>
  <c r="V1267" i="3"/>
  <c r="W1267" i="3"/>
  <c r="R1267" i="3"/>
  <c r="P1267" i="3"/>
  <c r="AL1266" i="3"/>
  <c r="AI1266" i="3"/>
  <c r="AH1266" i="3"/>
  <c r="AB1266" i="3"/>
  <c r="Y1266" i="3"/>
  <c r="X1266" i="3"/>
  <c r="S1266" i="3"/>
  <c r="U1266" i="3"/>
  <c r="V1266" i="3"/>
  <c r="W1266" i="3"/>
  <c r="R1266" i="3"/>
  <c r="P1266" i="3"/>
  <c r="AI1265" i="3"/>
  <c r="AH1265" i="3"/>
  <c r="AB1265" i="3"/>
  <c r="Y1265" i="3"/>
  <c r="X1265" i="3"/>
  <c r="U1265" i="3"/>
  <c r="V1265" i="3"/>
  <c r="W1265" i="3"/>
  <c r="R1265" i="3"/>
  <c r="P1265" i="3"/>
  <c r="AI1264" i="3"/>
  <c r="AH1264" i="3"/>
  <c r="AE1264" i="3"/>
  <c r="AB1264" i="3"/>
  <c r="Y1264" i="3"/>
  <c r="X1264" i="3"/>
  <c r="U1264" i="3"/>
  <c r="V1264" i="3"/>
  <c r="W1264" i="3"/>
  <c r="R1264" i="3"/>
  <c r="P1264" i="3"/>
  <c r="AI1263" i="3"/>
  <c r="AH1263" i="3"/>
  <c r="AB1263" i="3"/>
  <c r="Y1263" i="3"/>
  <c r="X1263" i="3"/>
  <c r="U1263" i="3"/>
  <c r="V1263" i="3"/>
  <c r="W1263" i="3"/>
  <c r="R1263" i="3"/>
  <c r="P1263" i="3"/>
  <c r="AI1262" i="3"/>
  <c r="AH1262" i="3"/>
  <c r="AB1262" i="3"/>
  <c r="Y1262" i="3"/>
  <c r="X1262" i="3"/>
  <c r="S1262" i="3"/>
  <c r="U1262" i="3"/>
  <c r="V1262" i="3"/>
  <c r="W1262" i="3"/>
  <c r="R1262" i="3"/>
  <c r="P1262" i="3"/>
  <c r="AI1261" i="3"/>
  <c r="AH1261" i="3"/>
  <c r="AB1261" i="3"/>
  <c r="Y1261" i="3"/>
  <c r="X1261" i="3"/>
  <c r="U1261" i="3"/>
  <c r="V1261" i="3"/>
  <c r="W1261" i="3"/>
  <c r="R1261" i="3"/>
  <c r="P1261" i="3"/>
  <c r="AI1260" i="3"/>
  <c r="AH1260" i="3"/>
  <c r="AB1260" i="3"/>
  <c r="Y1260" i="3"/>
  <c r="X1260" i="3"/>
  <c r="U1260" i="3"/>
  <c r="V1260" i="3"/>
  <c r="W1260" i="3"/>
  <c r="R1260" i="3"/>
  <c r="P1260" i="3"/>
  <c r="AI1259" i="3"/>
  <c r="AH1259" i="3"/>
  <c r="AB1259" i="3"/>
  <c r="Y1259" i="3"/>
  <c r="X1259" i="3"/>
  <c r="U1259" i="3"/>
  <c r="V1259" i="3"/>
  <c r="W1259" i="3"/>
  <c r="R1259" i="3"/>
  <c r="P1259" i="3"/>
  <c r="AH1258" i="3"/>
  <c r="AG1258" i="3"/>
  <c r="AB1258" i="3"/>
  <c r="Y1258" i="3"/>
  <c r="X1258" i="3"/>
  <c r="S1258" i="3"/>
  <c r="U1258" i="3"/>
  <c r="V1258" i="3"/>
  <c r="W1258" i="3"/>
  <c r="R1258" i="3"/>
  <c r="P1258" i="3"/>
  <c r="AH1257" i="3"/>
  <c r="AG1257" i="3"/>
  <c r="AD1257" i="3"/>
  <c r="AB1257" i="3"/>
  <c r="X1257" i="3"/>
  <c r="U1257" i="3"/>
  <c r="V1257" i="3"/>
  <c r="W1257" i="3"/>
  <c r="R1257" i="3"/>
  <c r="P1257" i="3"/>
  <c r="AH1256" i="3"/>
  <c r="AG1256" i="3"/>
  <c r="AD1256" i="3"/>
  <c r="AB1256" i="3"/>
  <c r="X1256" i="3"/>
  <c r="U1256" i="3"/>
  <c r="V1256" i="3"/>
  <c r="W1256" i="3"/>
  <c r="R1256" i="3"/>
  <c r="P1256" i="3"/>
  <c r="AH1255" i="3"/>
  <c r="AG1255" i="3"/>
  <c r="AD1255" i="3"/>
  <c r="AB1255" i="3"/>
  <c r="X1255" i="3"/>
  <c r="U1255" i="3"/>
  <c r="V1255" i="3"/>
  <c r="W1255" i="3"/>
  <c r="R1255" i="3"/>
  <c r="P1255" i="3"/>
  <c r="AH1254" i="3"/>
  <c r="AG1254" i="3"/>
  <c r="AD1254" i="3"/>
  <c r="AB1254" i="3"/>
  <c r="X1254" i="3"/>
  <c r="Z1254" i="3"/>
  <c r="AA1254" i="3"/>
  <c r="U1254" i="3"/>
  <c r="V1254" i="3"/>
  <c r="W1254" i="3"/>
  <c r="R1254" i="3"/>
  <c r="P1254" i="3"/>
  <c r="AH1253" i="3"/>
  <c r="AG1253" i="3"/>
  <c r="AD1253" i="3"/>
  <c r="AB1253" i="3"/>
  <c r="X1253" i="3"/>
  <c r="S1253" i="3"/>
  <c r="U1253" i="3"/>
  <c r="V1253" i="3"/>
  <c r="W1253" i="3"/>
  <c r="R1253" i="3"/>
  <c r="P1253" i="3"/>
  <c r="AH1252" i="3"/>
  <c r="AG1252" i="3"/>
  <c r="AD1252" i="3"/>
  <c r="AB1252" i="3"/>
  <c r="X1252" i="3"/>
  <c r="U1252" i="3"/>
  <c r="V1252" i="3"/>
  <c r="W1252" i="3"/>
  <c r="R1252" i="3"/>
  <c r="P1252" i="3"/>
  <c r="AH1251" i="3"/>
  <c r="AG1251" i="3"/>
  <c r="AD1251" i="3"/>
  <c r="AB1251" i="3"/>
  <c r="X1251" i="3"/>
  <c r="U1251" i="3"/>
  <c r="V1251" i="3"/>
  <c r="W1251" i="3"/>
  <c r="R1251" i="3"/>
  <c r="P1251" i="3"/>
  <c r="AH1250" i="3"/>
  <c r="AG1250" i="3"/>
  <c r="AB1250" i="3"/>
  <c r="Y1250" i="3"/>
  <c r="X1250" i="3"/>
  <c r="Z1250" i="3"/>
  <c r="AA1250" i="3"/>
  <c r="U1250" i="3"/>
  <c r="V1250" i="3"/>
  <c r="W1250" i="3"/>
  <c r="R1250" i="3"/>
  <c r="P1250" i="3"/>
  <c r="AH1249" i="3"/>
  <c r="AG1249" i="3"/>
  <c r="AB1249" i="3"/>
  <c r="Y1249" i="3"/>
  <c r="X1249" i="3"/>
  <c r="U1249" i="3"/>
  <c r="V1249" i="3"/>
  <c r="W1249" i="3"/>
  <c r="R1249" i="3"/>
  <c r="P1249" i="3"/>
  <c r="AH1248" i="3"/>
  <c r="AG1248" i="3"/>
  <c r="AB1248" i="3"/>
  <c r="Y1248" i="3"/>
  <c r="X1248" i="3"/>
  <c r="S1248" i="3"/>
  <c r="U1248" i="3"/>
  <c r="V1248" i="3"/>
  <c r="W1248" i="3"/>
  <c r="R1248" i="3"/>
  <c r="P1248" i="3"/>
  <c r="AH1247" i="3"/>
  <c r="AG1247" i="3"/>
  <c r="AB1247" i="3"/>
  <c r="X1247" i="3"/>
  <c r="Z1247" i="3"/>
  <c r="AA1247" i="3"/>
  <c r="U1247" i="3"/>
  <c r="V1247" i="3"/>
  <c r="W1247" i="3"/>
  <c r="R1247" i="3"/>
  <c r="P1247" i="3"/>
  <c r="AO1246" i="3"/>
  <c r="AH1246" i="3"/>
  <c r="AG1246" i="3"/>
  <c r="AE1246" i="3"/>
  <c r="AB1246" i="3"/>
  <c r="X1246" i="3"/>
  <c r="U1246" i="3"/>
  <c r="V1246" i="3"/>
  <c r="W1246" i="3"/>
  <c r="R1246" i="3"/>
  <c r="P1246" i="3"/>
  <c r="AO1245" i="3"/>
  <c r="AH1245" i="3"/>
  <c r="AG1245" i="3"/>
  <c r="AB1245" i="3"/>
  <c r="X1245" i="3"/>
  <c r="Z1245" i="3"/>
  <c r="AA1245" i="3"/>
  <c r="U1245" i="3"/>
  <c r="V1245" i="3"/>
  <c r="W1245" i="3"/>
  <c r="S1245" i="3"/>
  <c r="R1245" i="3"/>
  <c r="P1245" i="3"/>
  <c r="AH1244" i="3"/>
  <c r="AG1244" i="3"/>
  <c r="AB1244" i="3"/>
  <c r="Y1244" i="3"/>
  <c r="X1244" i="3"/>
  <c r="Z1244" i="3"/>
  <c r="AA1244" i="3"/>
  <c r="U1244" i="3"/>
  <c r="V1244" i="3"/>
  <c r="W1244" i="3"/>
  <c r="R1244" i="3"/>
  <c r="P1244" i="3"/>
  <c r="AH1243" i="3"/>
  <c r="AG1243" i="3"/>
  <c r="AB1243" i="3"/>
  <c r="X1243" i="3"/>
  <c r="U1243" i="3"/>
  <c r="V1243" i="3"/>
  <c r="W1243" i="3"/>
  <c r="R1243" i="3"/>
  <c r="AH1242" i="3"/>
  <c r="AG1242" i="3"/>
  <c r="AB1242" i="3"/>
  <c r="X1242" i="3"/>
  <c r="U1242" i="3"/>
  <c r="V1242" i="3"/>
  <c r="W1242" i="3"/>
  <c r="R1242" i="3"/>
  <c r="AH1241" i="3"/>
  <c r="AG1241" i="3"/>
  <c r="AB1241" i="3"/>
  <c r="X1241" i="3"/>
  <c r="U1241" i="3"/>
  <c r="V1241" i="3"/>
  <c r="W1241" i="3"/>
  <c r="R1241" i="3"/>
  <c r="AH1240" i="3"/>
  <c r="AG1240" i="3"/>
  <c r="AB1240" i="3"/>
  <c r="X1240" i="3"/>
  <c r="Z1240" i="3"/>
  <c r="AA1240" i="3"/>
  <c r="U1240" i="3"/>
  <c r="V1240" i="3"/>
  <c r="W1240" i="3"/>
  <c r="R1240" i="3"/>
  <c r="AH1239" i="3"/>
  <c r="AG1239" i="3"/>
  <c r="AB1239" i="3"/>
  <c r="X1239" i="3"/>
  <c r="U1239" i="3"/>
  <c r="V1239" i="3"/>
  <c r="W1239" i="3"/>
  <c r="R1239" i="3"/>
  <c r="AH1238" i="3"/>
  <c r="AG1238" i="3"/>
  <c r="AB1238" i="3"/>
  <c r="X1238" i="3"/>
  <c r="S1238" i="3"/>
  <c r="U1238" i="3"/>
  <c r="V1238" i="3"/>
  <c r="W1238" i="3"/>
  <c r="R1238" i="3"/>
  <c r="AH1237" i="3"/>
  <c r="AG1237" i="3"/>
  <c r="AB1237" i="3"/>
  <c r="X1237" i="3"/>
  <c r="Z1237" i="3"/>
  <c r="AA1237" i="3"/>
  <c r="V1237" i="3"/>
  <c r="U1237" i="3"/>
  <c r="R1237" i="3"/>
  <c r="AL1236" i="3"/>
  <c r="AH1236" i="3"/>
  <c r="AB1236" i="3"/>
  <c r="Y1236" i="3"/>
  <c r="X1236" i="3"/>
  <c r="U1236" i="3"/>
  <c r="V1236" i="3"/>
  <c r="W1236" i="3"/>
  <c r="R1236" i="3"/>
  <c r="P1236" i="3"/>
  <c r="AL1235" i="3"/>
  <c r="AJ1235" i="3"/>
  <c r="P1235" i="3"/>
  <c r="AH1235" i="3"/>
  <c r="AB1235" i="3"/>
  <c r="Y1235" i="3"/>
  <c r="X1235" i="3"/>
  <c r="U1235" i="3"/>
  <c r="V1235" i="3"/>
  <c r="W1235" i="3"/>
  <c r="R1235" i="3"/>
  <c r="AL1234" i="3"/>
  <c r="AH1234" i="3"/>
  <c r="AB1234" i="3"/>
  <c r="Y1234" i="3"/>
  <c r="X1234" i="3"/>
  <c r="S1234" i="3"/>
  <c r="U1234" i="3"/>
  <c r="V1234" i="3"/>
  <c r="W1234" i="3"/>
  <c r="R1234" i="3"/>
  <c r="P1234" i="3"/>
  <c r="AL1233" i="3"/>
  <c r="AH1233" i="3"/>
  <c r="AB1233" i="3"/>
  <c r="Y1233" i="3"/>
  <c r="X1233" i="3"/>
  <c r="S1233" i="3"/>
  <c r="U1233" i="3"/>
  <c r="V1233" i="3"/>
  <c r="W1233" i="3"/>
  <c r="R1233" i="3"/>
  <c r="P1233" i="3"/>
  <c r="AL1232" i="3"/>
  <c r="AH1232" i="3"/>
  <c r="AB1232" i="3"/>
  <c r="Y1232" i="3"/>
  <c r="X1232" i="3"/>
  <c r="S1232" i="3"/>
  <c r="U1232" i="3"/>
  <c r="V1232" i="3"/>
  <c r="W1232" i="3"/>
  <c r="R1232" i="3"/>
  <c r="P1232" i="3"/>
  <c r="AL1231" i="3"/>
  <c r="AH1231" i="3"/>
  <c r="AD1231" i="3"/>
  <c r="AB1231" i="3"/>
  <c r="Y1231" i="3"/>
  <c r="X1231" i="3"/>
  <c r="U1231" i="3"/>
  <c r="V1231" i="3"/>
  <c r="W1231" i="3"/>
  <c r="R1231" i="3"/>
  <c r="P1231" i="3"/>
  <c r="AL1230" i="3"/>
  <c r="AH1230" i="3"/>
  <c r="AB1230" i="3"/>
  <c r="Y1230" i="3"/>
  <c r="X1230" i="3"/>
  <c r="U1230" i="3"/>
  <c r="V1230" i="3"/>
  <c r="W1230" i="3"/>
  <c r="R1230" i="3"/>
  <c r="P1230" i="3"/>
  <c r="AL1229" i="3"/>
  <c r="AH1229" i="3"/>
  <c r="AD1229" i="3"/>
  <c r="AB1229" i="3"/>
  <c r="Y1229" i="3"/>
  <c r="X1229" i="3"/>
  <c r="U1229" i="3"/>
  <c r="V1229" i="3"/>
  <c r="W1229" i="3"/>
  <c r="R1229" i="3"/>
  <c r="P1229" i="3"/>
  <c r="AL1228" i="3"/>
  <c r="AH1228" i="3"/>
  <c r="AD1228" i="3"/>
  <c r="AB1228" i="3"/>
  <c r="Y1228" i="3"/>
  <c r="X1228" i="3"/>
  <c r="S1228" i="3"/>
  <c r="U1228" i="3"/>
  <c r="V1228" i="3"/>
  <c r="W1228" i="3"/>
  <c r="R1228" i="3"/>
  <c r="P1228" i="3"/>
  <c r="AL1227" i="3"/>
  <c r="AH1227" i="3"/>
  <c r="AB1227" i="3"/>
  <c r="Y1227" i="3"/>
  <c r="X1227" i="3"/>
  <c r="U1227" i="3"/>
  <c r="V1227" i="3"/>
  <c r="W1227" i="3"/>
  <c r="R1227" i="3"/>
  <c r="P1227" i="3"/>
  <c r="AH1226" i="3"/>
  <c r="AG1226" i="3"/>
  <c r="AB1226" i="3"/>
  <c r="Y1226" i="3"/>
  <c r="X1226" i="3"/>
  <c r="U1226" i="3"/>
  <c r="V1226" i="3"/>
  <c r="W1226" i="3"/>
  <c r="R1226" i="3"/>
  <c r="P1226" i="3"/>
  <c r="AH1225" i="3"/>
  <c r="AG1225" i="3"/>
  <c r="AB1225" i="3"/>
  <c r="Y1225" i="3"/>
  <c r="X1225" i="3"/>
  <c r="S1225" i="3"/>
  <c r="U1225" i="3"/>
  <c r="V1225" i="3"/>
  <c r="W1225" i="3"/>
  <c r="R1225" i="3"/>
  <c r="P1225" i="3"/>
  <c r="AB1224" i="3"/>
  <c r="Y1224" i="3"/>
  <c r="X1224" i="3"/>
  <c r="S1224" i="3"/>
  <c r="U1224" i="3"/>
  <c r="V1224" i="3"/>
  <c r="W1224" i="3"/>
  <c r="R1224" i="3"/>
  <c r="P1224" i="3"/>
  <c r="AH1223" i="3"/>
  <c r="AG1223" i="3"/>
  <c r="AB1223" i="3"/>
  <c r="Y1223" i="3"/>
  <c r="X1223" i="3"/>
  <c r="S1223" i="3"/>
  <c r="U1223" i="3"/>
  <c r="V1223" i="3"/>
  <c r="W1223" i="3"/>
  <c r="R1223" i="3"/>
  <c r="P1223" i="3"/>
  <c r="AH1222" i="3"/>
  <c r="AG1222" i="3"/>
  <c r="AB1222" i="3"/>
  <c r="Y1222" i="3"/>
  <c r="X1222" i="3"/>
  <c r="U1222" i="3"/>
  <c r="V1222" i="3"/>
  <c r="W1222" i="3"/>
  <c r="R1222" i="3"/>
  <c r="P1222" i="3"/>
  <c r="AO1221" i="3"/>
  <c r="AG1221" i="3"/>
  <c r="AB1221" i="3"/>
  <c r="X1221" i="3"/>
  <c r="Z1221" i="3"/>
  <c r="AA1221" i="3"/>
  <c r="U1221" i="3"/>
  <c r="V1221" i="3"/>
  <c r="W1221" i="3"/>
  <c r="R1221" i="3"/>
  <c r="P1221" i="3"/>
  <c r="AO1220" i="3"/>
  <c r="AJ1220" i="3"/>
  <c r="P1220" i="3"/>
  <c r="AG1220" i="3"/>
  <c r="AB1220" i="3"/>
  <c r="X1220" i="3"/>
  <c r="U1220" i="3"/>
  <c r="V1220" i="3"/>
  <c r="W1220" i="3"/>
  <c r="R1220" i="3"/>
  <c r="AO1219" i="3"/>
  <c r="AJ1219" i="3"/>
  <c r="P1219" i="3"/>
  <c r="AG1219" i="3"/>
  <c r="AB1219" i="3"/>
  <c r="X1219" i="3"/>
  <c r="S1219" i="3"/>
  <c r="U1219" i="3"/>
  <c r="V1219" i="3"/>
  <c r="W1219" i="3"/>
  <c r="R1219" i="3"/>
  <c r="AO1218" i="3"/>
  <c r="AH1218" i="3"/>
  <c r="AG1218" i="3"/>
  <c r="AB1218" i="3"/>
  <c r="X1218" i="3"/>
  <c r="Z1218" i="3"/>
  <c r="AA1218" i="3"/>
  <c r="S1218" i="3"/>
  <c r="U1218" i="3"/>
  <c r="V1218" i="3"/>
  <c r="W1218" i="3"/>
  <c r="R1218" i="3"/>
  <c r="P1218" i="3"/>
  <c r="AH1217" i="3"/>
  <c r="AG1217" i="3"/>
  <c r="AB1217" i="3"/>
  <c r="X1217" i="3"/>
  <c r="S1217" i="3"/>
  <c r="U1217" i="3"/>
  <c r="V1217" i="3"/>
  <c r="W1217" i="3"/>
  <c r="R1217" i="3"/>
  <c r="P1217" i="3"/>
  <c r="AO1216" i="3"/>
  <c r="AG1216" i="3"/>
  <c r="AB1216" i="3"/>
  <c r="X1216" i="3"/>
  <c r="U1216" i="3"/>
  <c r="V1216" i="3"/>
  <c r="W1216" i="3"/>
  <c r="R1216" i="3"/>
  <c r="AO1215" i="3"/>
  <c r="AG1215" i="3"/>
  <c r="AB1215" i="3"/>
  <c r="Y1215" i="3"/>
  <c r="X1215" i="3"/>
  <c r="S1215" i="3"/>
  <c r="U1215" i="3"/>
  <c r="V1215" i="3"/>
  <c r="W1215" i="3"/>
  <c r="R1215" i="3"/>
  <c r="AO1214" i="3"/>
  <c r="AG1214" i="3"/>
  <c r="AB1214" i="3"/>
  <c r="Y1214" i="3"/>
  <c r="X1214" i="3"/>
  <c r="S1214" i="3"/>
  <c r="U1214" i="3"/>
  <c r="V1214" i="3"/>
  <c r="W1214" i="3"/>
  <c r="R1214" i="3"/>
  <c r="AO1213" i="3"/>
  <c r="AG1213" i="3"/>
  <c r="AB1213" i="3"/>
  <c r="Y1213" i="3"/>
  <c r="X1213" i="3"/>
  <c r="S1213" i="3"/>
  <c r="U1213" i="3"/>
  <c r="V1213" i="3"/>
  <c r="W1213" i="3"/>
  <c r="R1213" i="3"/>
  <c r="AL1212" i="3"/>
  <c r="AH1212" i="3"/>
  <c r="AD1212" i="3"/>
  <c r="AB1212" i="3"/>
  <c r="Y1212" i="3"/>
  <c r="X1212" i="3"/>
  <c r="Z1212" i="3"/>
  <c r="AA1212" i="3"/>
  <c r="U1212" i="3"/>
  <c r="V1212" i="3"/>
  <c r="W1212" i="3"/>
  <c r="R1212" i="3"/>
  <c r="AL1211" i="3"/>
  <c r="AH1211" i="3"/>
  <c r="AD1211" i="3"/>
  <c r="AB1211" i="3"/>
  <c r="Y1211" i="3"/>
  <c r="X1211" i="3"/>
  <c r="S1211" i="3"/>
  <c r="U1211" i="3"/>
  <c r="V1211" i="3"/>
  <c r="W1211" i="3"/>
  <c r="R1211" i="3"/>
  <c r="AL1210" i="3"/>
  <c r="AH1210" i="3"/>
  <c r="AD1210" i="3"/>
  <c r="AB1210" i="3"/>
  <c r="Y1210" i="3"/>
  <c r="X1210" i="3"/>
  <c r="U1210" i="3"/>
  <c r="V1210" i="3"/>
  <c r="W1210" i="3"/>
  <c r="R1210" i="3"/>
  <c r="AL1209" i="3"/>
  <c r="AH1209" i="3"/>
  <c r="AE1209" i="3"/>
  <c r="AD1209" i="3"/>
  <c r="AB1209" i="3"/>
  <c r="Y1209" i="3"/>
  <c r="X1209" i="3"/>
  <c r="S1209" i="3"/>
  <c r="U1209" i="3"/>
  <c r="V1209" i="3"/>
  <c r="W1209" i="3"/>
  <c r="R1209" i="3"/>
  <c r="AL1208" i="3"/>
  <c r="AH1208" i="3"/>
  <c r="AD1208" i="3"/>
  <c r="AB1208" i="3"/>
  <c r="Y1208" i="3"/>
  <c r="X1208" i="3"/>
  <c r="U1208" i="3"/>
  <c r="V1208" i="3"/>
  <c r="W1208" i="3"/>
  <c r="R1208" i="3"/>
  <c r="AH1206" i="3"/>
  <c r="AG1206" i="3"/>
  <c r="AD1206" i="3"/>
  <c r="AB1206" i="3"/>
  <c r="Y1206" i="3"/>
  <c r="X1206" i="3"/>
  <c r="U1206" i="3"/>
  <c r="V1206" i="3"/>
  <c r="W1206" i="3"/>
  <c r="R1206" i="3"/>
  <c r="P1206" i="3"/>
  <c r="AH1205" i="3"/>
  <c r="AG1205" i="3"/>
  <c r="AD1205" i="3"/>
  <c r="AB1205" i="3"/>
  <c r="Y1205" i="3"/>
  <c r="X1205" i="3"/>
  <c r="Z1205" i="3"/>
  <c r="AA1205" i="3"/>
  <c r="U1205" i="3"/>
  <c r="T1205" i="3"/>
  <c r="R1205" i="3"/>
  <c r="P1205" i="3"/>
  <c r="AH1204" i="3"/>
  <c r="AG1204" i="3"/>
  <c r="AD1204" i="3"/>
  <c r="AB1204" i="3"/>
  <c r="Y1204" i="3"/>
  <c r="X1204" i="3"/>
  <c r="S1204" i="3"/>
  <c r="U1204" i="3"/>
  <c r="V1204" i="3"/>
  <c r="W1204" i="3"/>
  <c r="R1204" i="3"/>
  <c r="P1204" i="3"/>
  <c r="AG1203" i="3"/>
  <c r="AB1203" i="3"/>
  <c r="Z1203" i="3"/>
  <c r="AA1203" i="3"/>
  <c r="V1203" i="3"/>
  <c r="W1203" i="3"/>
  <c r="S1203" i="3"/>
  <c r="R1203" i="3"/>
  <c r="P1203" i="3"/>
  <c r="AG1202" i="3"/>
  <c r="AB1202" i="3"/>
  <c r="Z1202" i="3"/>
  <c r="AA1202" i="3"/>
  <c r="V1202" i="3"/>
  <c r="W1202" i="3"/>
  <c r="S1202" i="3"/>
  <c r="R1202" i="3"/>
  <c r="P1202" i="3"/>
  <c r="AG1201" i="3"/>
  <c r="AB1201" i="3"/>
  <c r="Z1201" i="3"/>
  <c r="AA1201" i="3"/>
  <c r="V1201" i="3"/>
  <c r="W1201" i="3"/>
  <c r="S1201" i="3"/>
  <c r="R1201" i="3"/>
  <c r="P1201" i="3"/>
  <c r="AL1200" i="3"/>
  <c r="AH1200" i="3"/>
  <c r="AG1200" i="3"/>
  <c r="AD1200" i="3"/>
  <c r="AB1200" i="3"/>
  <c r="Y1200" i="3"/>
  <c r="X1200" i="3"/>
  <c r="U1200" i="3"/>
  <c r="V1200" i="3"/>
  <c r="W1200" i="3"/>
  <c r="R1200" i="3"/>
  <c r="P1200" i="3"/>
  <c r="AH1199" i="3"/>
  <c r="AG1199" i="3"/>
  <c r="AB1199" i="3"/>
  <c r="Y1199" i="3"/>
  <c r="X1199" i="3"/>
  <c r="S1199" i="3"/>
  <c r="U1199" i="3"/>
  <c r="V1199" i="3"/>
  <c r="W1199" i="3"/>
  <c r="R1199" i="3"/>
  <c r="P1199" i="3"/>
  <c r="AH1198" i="3"/>
  <c r="AG1198" i="3"/>
  <c r="AB1198" i="3"/>
  <c r="Y1198" i="3"/>
  <c r="X1198" i="3"/>
  <c r="S1198" i="3"/>
  <c r="U1198" i="3"/>
  <c r="V1198" i="3"/>
  <c r="W1198" i="3"/>
  <c r="R1198" i="3"/>
  <c r="P1198" i="3"/>
  <c r="AH1197" i="3"/>
  <c r="AG1197" i="3"/>
  <c r="AB1197" i="3"/>
  <c r="X1197" i="3"/>
  <c r="Z1197" i="3"/>
  <c r="AA1197" i="3"/>
  <c r="U1197" i="3"/>
  <c r="V1197" i="3"/>
  <c r="W1197" i="3"/>
  <c r="R1197" i="3"/>
  <c r="P1197" i="3"/>
  <c r="AG1196" i="3"/>
  <c r="AB1196" i="3"/>
  <c r="Z1196" i="3"/>
  <c r="AA1196" i="3"/>
  <c r="V1196" i="3"/>
  <c r="W1196" i="3"/>
  <c r="S1196" i="3"/>
  <c r="R1196" i="3"/>
  <c r="P1196" i="3"/>
  <c r="AM1195" i="3"/>
  <c r="AL1195" i="3"/>
  <c r="AH1195" i="3"/>
  <c r="AE1195" i="3"/>
  <c r="AB1195" i="3"/>
  <c r="Y1195" i="3"/>
  <c r="X1195" i="3"/>
  <c r="V1195" i="3"/>
  <c r="W1195" i="3"/>
  <c r="R1195" i="3"/>
  <c r="AN1194" i="3"/>
  <c r="AM1194" i="3"/>
  <c r="AL1194" i="3"/>
  <c r="AH1194" i="3"/>
  <c r="AE1194" i="3"/>
  <c r="AB1194" i="3"/>
  <c r="Y1194" i="3"/>
  <c r="X1194" i="3"/>
  <c r="V1194" i="3"/>
  <c r="W1194" i="3"/>
  <c r="R1194" i="3"/>
  <c r="P1194" i="3"/>
  <c r="AM1193" i="3"/>
  <c r="AL1193" i="3"/>
  <c r="AH1193" i="3"/>
  <c r="AE1193" i="3"/>
  <c r="AB1193" i="3"/>
  <c r="Y1193" i="3"/>
  <c r="X1193" i="3"/>
  <c r="V1193" i="3"/>
  <c r="W1193" i="3"/>
  <c r="R1193" i="3"/>
  <c r="P1193" i="3"/>
  <c r="AM1192" i="3"/>
  <c r="AL1192" i="3"/>
  <c r="AH1192" i="3"/>
  <c r="AE1192" i="3"/>
  <c r="AB1192" i="3"/>
  <c r="Y1192" i="3"/>
  <c r="X1192" i="3"/>
  <c r="S1192" i="3"/>
  <c r="V1192" i="3"/>
  <c r="W1192" i="3"/>
  <c r="R1192" i="3"/>
  <c r="P1192" i="3"/>
  <c r="AM1191" i="3"/>
  <c r="AL1191" i="3"/>
  <c r="AH1191" i="3"/>
  <c r="AE1191" i="3"/>
  <c r="AB1191" i="3"/>
  <c r="Y1191" i="3"/>
  <c r="X1191" i="3"/>
  <c r="V1191" i="3"/>
  <c r="W1191" i="3"/>
  <c r="R1191" i="3"/>
  <c r="P1191" i="3"/>
  <c r="AM1190" i="3"/>
  <c r="AL1190" i="3"/>
  <c r="AH1190" i="3"/>
  <c r="AE1190" i="3"/>
  <c r="AB1190" i="3"/>
  <c r="X1190" i="3"/>
  <c r="Y1190" i="3"/>
  <c r="V1190" i="3"/>
  <c r="W1190" i="3"/>
  <c r="R1190" i="3"/>
  <c r="P1190" i="3"/>
  <c r="AM1189" i="3"/>
  <c r="AL1189" i="3"/>
  <c r="AH1189" i="3"/>
  <c r="AE1189" i="3"/>
  <c r="AB1189" i="3"/>
  <c r="Y1189" i="3"/>
  <c r="X1189" i="3"/>
  <c r="V1189" i="3"/>
  <c r="W1189" i="3"/>
  <c r="R1189" i="3"/>
  <c r="P1189" i="3"/>
  <c r="AM1188" i="3"/>
  <c r="AL1188" i="3"/>
  <c r="AH1188" i="3"/>
  <c r="AE1188" i="3"/>
  <c r="AB1188" i="3"/>
  <c r="Y1188" i="3"/>
  <c r="X1188" i="3"/>
  <c r="V1188" i="3"/>
  <c r="W1188" i="3"/>
  <c r="R1188" i="3"/>
  <c r="P1188" i="3"/>
  <c r="AM1187" i="3"/>
  <c r="AL1187" i="3"/>
  <c r="AH1187" i="3"/>
  <c r="AE1187" i="3"/>
  <c r="AB1187" i="3"/>
  <c r="Y1187" i="3"/>
  <c r="X1187" i="3"/>
  <c r="S1187" i="3"/>
  <c r="U1187" i="3"/>
  <c r="V1187" i="3"/>
  <c r="W1187" i="3"/>
  <c r="R1187" i="3"/>
  <c r="P1187" i="3"/>
  <c r="AM1186" i="3"/>
  <c r="AL1186" i="3"/>
  <c r="AH1186" i="3"/>
  <c r="AE1186" i="3"/>
  <c r="AB1186" i="3"/>
  <c r="Y1186" i="3"/>
  <c r="X1186" i="3"/>
  <c r="U1186" i="3"/>
  <c r="V1186" i="3"/>
  <c r="W1186" i="3"/>
  <c r="R1186" i="3"/>
  <c r="P1186" i="3"/>
  <c r="AO1185" i="3"/>
  <c r="AH1185" i="3"/>
  <c r="AG1185" i="3"/>
  <c r="AD1185" i="3"/>
  <c r="AB1185" i="3"/>
  <c r="Y1185" i="3"/>
  <c r="X1185" i="3"/>
  <c r="S1185" i="3"/>
  <c r="U1185" i="3"/>
  <c r="V1185" i="3"/>
  <c r="W1185" i="3"/>
  <c r="R1185" i="3"/>
  <c r="P1185" i="3"/>
  <c r="AO1184" i="3"/>
  <c r="AH1184" i="3"/>
  <c r="AG1184" i="3"/>
  <c r="AD1184" i="3"/>
  <c r="AB1184" i="3"/>
  <c r="Y1184" i="3"/>
  <c r="X1184" i="3"/>
  <c r="U1184" i="3"/>
  <c r="V1184" i="3"/>
  <c r="W1184" i="3"/>
  <c r="R1184" i="3"/>
  <c r="P1184" i="3"/>
  <c r="AO1183" i="3"/>
  <c r="AK1183" i="3"/>
  <c r="AH1183" i="3"/>
  <c r="AG1183" i="3"/>
  <c r="AD1183" i="3"/>
  <c r="AB1183" i="3"/>
  <c r="Y1183" i="3"/>
  <c r="X1183" i="3"/>
  <c r="U1183" i="3"/>
  <c r="V1183" i="3"/>
  <c r="W1183" i="3"/>
  <c r="R1183" i="3"/>
  <c r="P1183" i="3"/>
  <c r="AO1182" i="3"/>
  <c r="AH1182" i="3"/>
  <c r="AG1182" i="3"/>
  <c r="AD1182" i="3"/>
  <c r="AB1182" i="3"/>
  <c r="Y1182" i="3"/>
  <c r="X1182" i="3"/>
  <c r="U1182" i="3"/>
  <c r="V1182" i="3"/>
  <c r="W1182" i="3"/>
  <c r="R1182" i="3"/>
  <c r="P1182" i="3"/>
  <c r="AO1181" i="3"/>
  <c r="AL1181" i="3"/>
  <c r="AH1181" i="3"/>
  <c r="AD1181" i="3"/>
  <c r="AB1181" i="3"/>
  <c r="Y1181" i="3"/>
  <c r="X1181" i="3"/>
  <c r="U1181" i="3"/>
  <c r="V1181" i="3"/>
  <c r="W1181" i="3"/>
  <c r="R1181" i="3"/>
  <c r="P1181" i="3"/>
  <c r="AM1180" i="3"/>
  <c r="AG1180" i="3"/>
  <c r="AB1180" i="3"/>
  <c r="X1180" i="3"/>
  <c r="V1180" i="3"/>
  <c r="W1180" i="3"/>
  <c r="R1180" i="3"/>
  <c r="P1180" i="3"/>
  <c r="AM1179" i="3"/>
  <c r="AG1179" i="3"/>
  <c r="AB1179" i="3"/>
  <c r="X1179" i="3"/>
  <c r="V1179" i="3"/>
  <c r="W1179" i="3"/>
  <c r="R1179" i="3"/>
  <c r="P1179" i="3"/>
  <c r="AM1178" i="3"/>
  <c r="AG1178" i="3"/>
  <c r="AB1178" i="3"/>
  <c r="X1178" i="3"/>
  <c r="Z1178" i="3"/>
  <c r="AA1178" i="3"/>
  <c r="V1178" i="3"/>
  <c r="W1178" i="3"/>
  <c r="R1178" i="3"/>
  <c r="P1178" i="3"/>
  <c r="AM1177" i="3"/>
  <c r="AG1177" i="3"/>
  <c r="AB1177" i="3"/>
  <c r="X1177" i="3"/>
  <c r="S1177" i="3"/>
  <c r="V1177" i="3"/>
  <c r="W1177" i="3"/>
  <c r="R1177" i="3"/>
  <c r="P1177" i="3"/>
  <c r="AM1176" i="3"/>
  <c r="AL1176" i="3"/>
  <c r="AG1176" i="3"/>
  <c r="AB1176" i="3"/>
  <c r="X1176" i="3"/>
  <c r="S1176" i="3"/>
  <c r="V1176" i="3"/>
  <c r="W1176" i="3"/>
  <c r="R1176" i="3"/>
  <c r="P1176" i="3"/>
  <c r="AM1175" i="3"/>
  <c r="AG1175" i="3"/>
  <c r="AB1175" i="3"/>
  <c r="Z1175" i="3"/>
  <c r="AA1175" i="3"/>
  <c r="V1175" i="3"/>
  <c r="W1175" i="3"/>
  <c r="S1175" i="3"/>
  <c r="R1175" i="3"/>
  <c r="P1175" i="3"/>
  <c r="AM1174" i="3"/>
  <c r="AG1174" i="3"/>
  <c r="AB1174" i="3"/>
  <c r="Z1174" i="3"/>
  <c r="AA1174" i="3"/>
  <c r="V1174" i="3"/>
  <c r="W1174" i="3"/>
  <c r="S1174" i="3"/>
  <c r="R1174" i="3"/>
  <c r="P1174" i="3"/>
  <c r="AM1173" i="3"/>
  <c r="AJ1173" i="3"/>
  <c r="P1173" i="3"/>
  <c r="AH1173" i="3"/>
  <c r="AG1173" i="3"/>
  <c r="AE1173" i="3"/>
  <c r="AB1173" i="3"/>
  <c r="X1173" i="3"/>
  <c r="Z1173" i="3"/>
  <c r="AA1173" i="3"/>
  <c r="U1173" i="3"/>
  <c r="V1173" i="3"/>
  <c r="W1173" i="3"/>
  <c r="R1173" i="3"/>
  <c r="AM1172" i="3"/>
  <c r="AJ1172" i="3"/>
  <c r="P1172" i="3"/>
  <c r="AH1172" i="3"/>
  <c r="AG1172" i="3"/>
  <c r="AE1172" i="3"/>
  <c r="AB1172" i="3"/>
  <c r="Y1172" i="3"/>
  <c r="X1172" i="3"/>
  <c r="V1172" i="3"/>
  <c r="W1172" i="3"/>
  <c r="R1172" i="3"/>
  <c r="AM1171" i="3"/>
  <c r="AJ1171" i="3"/>
  <c r="AG1171" i="3"/>
  <c r="AE1171" i="3"/>
  <c r="AB1171" i="3"/>
  <c r="Y1171" i="3"/>
  <c r="X1171" i="3"/>
  <c r="S1171" i="3"/>
  <c r="V1171" i="3"/>
  <c r="W1171" i="3"/>
  <c r="R1171" i="3"/>
  <c r="P1171" i="3"/>
  <c r="AG1170" i="3"/>
  <c r="AB1170" i="3"/>
  <c r="Y1170" i="3"/>
  <c r="X1170" i="3"/>
  <c r="U1170" i="3"/>
  <c r="V1170" i="3"/>
  <c r="W1170" i="3"/>
  <c r="R1170" i="3"/>
  <c r="P1170" i="3"/>
  <c r="AG1169" i="3"/>
  <c r="AB1169" i="3"/>
  <c r="Y1169" i="3"/>
  <c r="X1169" i="3"/>
  <c r="U1169" i="3"/>
  <c r="V1169" i="3"/>
  <c r="W1169" i="3"/>
  <c r="R1169" i="3"/>
  <c r="P1169" i="3"/>
  <c r="AG1168" i="3"/>
  <c r="AB1168" i="3"/>
  <c r="Y1168" i="3"/>
  <c r="X1168" i="3"/>
  <c r="U1168" i="3"/>
  <c r="V1168" i="3"/>
  <c r="W1168" i="3"/>
  <c r="R1168" i="3"/>
  <c r="P1168" i="3"/>
  <c r="AG1167" i="3"/>
  <c r="AB1167" i="3"/>
  <c r="Y1167" i="3"/>
  <c r="X1167" i="3"/>
  <c r="U1167" i="3"/>
  <c r="V1167" i="3"/>
  <c r="W1167" i="3"/>
  <c r="R1167" i="3"/>
  <c r="P1167" i="3"/>
  <c r="AG1166" i="3"/>
  <c r="AB1166" i="3"/>
  <c r="Y1166" i="3"/>
  <c r="X1166" i="3"/>
  <c r="U1166" i="3"/>
  <c r="V1166" i="3"/>
  <c r="W1166" i="3"/>
  <c r="R1166" i="3"/>
  <c r="P1166" i="3"/>
  <c r="AG1165" i="3"/>
  <c r="AB1165" i="3"/>
  <c r="Y1165" i="3"/>
  <c r="X1165" i="3"/>
  <c r="U1165" i="3"/>
  <c r="V1165" i="3"/>
  <c r="W1165" i="3"/>
  <c r="R1165" i="3"/>
  <c r="P1165" i="3"/>
  <c r="AG1164" i="3"/>
  <c r="AB1164" i="3"/>
  <c r="Y1164" i="3"/>
  <c r="X1164" i="3"/>
  <c r="U1164" i="3"/>
  <c r="V1164" i="3"/>
  <c r="W1164" i="3"/>
  <c r="R1164" i="3"/>
  <c r="P1164" i="3"/>
  <c r="AG1163" i="3"/>
  <c r="AB1163" i="3"/>
  <c r="Y1163" i="3"/>
  <c r="X1163" i="3"/>
  <c r="U1163" i="3"/>
  <c r="V1163" i="3"/>
  <c r="W1163" i="3"/>
  <c r="R1163" i="3"/>
  <c r="P1163" i="3"/>
  <c r="AH1162" i="3"/>
  <c r="AG1162" i="3"/>
  <c r="AE1162" i="3"/>
  <c r="AB1162" i="3"/>
  <c r="Y1162" i="3"/>
  <c r="X1162" i="3"/>
  <c r="S1162" i="3"/>
  <c r="U1162" i="3"/>
  <c r="V1162" i="3"/>
  <c r="W1162" i="3"/>
  <c r="R1162" i="3"/>
  <c r="P1162" i="3"/>
  <c r="AM1161" i="3"/>
  <c r="AL1161" i="3"/>
  <c r="AH1161" i="3"/>
  <c r="AB1161" i="3"/>
  <c r="Y1161" i="3"/>
  <c r="X1161" i="3"/>
  <c r="V1161" i="3"/>
  <c r="W1161" i="3"/>
  <c r="R1161" i="3"/>
  <c r="P1161" i="3"/>
  <c r="AM1160" i="3"/>
  <c r="AL1160" i="3"/>
  <c r="AG1160" i="3"/>
  <c r="AB1160" i="3"/>
  <c r="Y1160" i="3"/>
  <c r="X1160" i="3"/>
  <c r="S1160" i="3"/>
  <c r="V1160" i="3"/>
  <c r="W1160" i="3"/>
  <c r="R1160" i="3"/>
  <c r="P1160" i="3"/>
  <c r="AM1159" i="3"/>
  <c r="AH1159" i="3"/>
  <c r="AG1159" i="3"/>
  <c r="AB1159" i="3"/>
  <c r="Y1159" i="3"/>
  <c r="X1159" i="3"/>
  <c r="V1159" i="3"/>
  <c r="W1159" i="3"/>
  <c r="R1159" i="3"/>
  <c r="P1159" i="3"/>
  <c r="AM1158" i="3"/>
  <c r="AL1158" i="3"/>
  <c r="AH1158" i="3"/>
  <c r="AB1158" i="3"/>
  <c r="Y1158" i="3"/>
  <c r="X1158" i="3"/>
  <c r="V1158" i="3"/>
  <c r="W1158" i="3"/>
  <c r="R1158" i="3"/>
  <c r="P1158" i="3"/>
  <c r="AM1157" i="3"/>
  <c r="AH1157" i="3"/>
  <c r="AG1157" i="3"/>
  <c r="AB1157" i="3"/>
  <c r="Y1157" i="3"/>
  <c r="X1157" i="3"/>
  <c r="S1157" i="3"/>
  <c r="V1157" i="3"/>
  <c r="W1157" i="3"/>
  <c r="R1157" i="3"/>
  <c r="P1157" i="3"/>
  <c r="AM1156" i="3"/>
  <c r="AL1156" i="3"/>
  <c r="AH1156" i="3"/>
  <c r="AB1156" i="3"/>
  <c r="Y1156" i="3"/>
  <c r="X1156" i="3"/>
  <c r="V1156" i="3"/>
  <c r="W1156" i="3"/>
  <c r="R1156" i="3"/>
  <c r="P1156" i="3"/>
  <c r="AM1155" i="3"/>
  <c r="AL1155" i="3"/>
  <c r="AH1155" i="3"/>
  <c r="AB1155" i="3"/>
  <c r="Y1155" i="3"/>
  <c r="X1155" i="3"/>
  <c r="V1155" i="3"/>
  <c r="W1155" i="3"/>
  <c r="R1155" i="3"/>
  <c r="P1155" i="3"/>
  <c r="AM1154" i="3"/>
  <c r="AH1154" i="3"/>
  <c r="AG1154" i="3"/>
  <c r="AB1154" i="3"/>
  <c r="Y1154" i="3"/>
  <c r="X1154" i="3"/>
  <c r="V1154" i="3"/>
  <c r="W1154" i="3"/>
  <c r="R1154" i="3"/>
  <c r="P1154" i="3"/>
  <c r="AM1153" i="3"/>
  <c r="AL1153" i="3"/>
  <c r="AG1153" i="3"/>
  <c r="AB1153" i="3"/>
  <c r="Y1153" i="3"/>
  <c r="X1153" i="3"/>
  <c r="U1153" i="3"/>
  <c r="V1153" i="3"/>
  <c r="W1153" i="3"/>
  <c r="R1153" i="3"/>
  <c r="P1153" i="3"/>
  <c r="AM1152" i="3"/>
  <c r="AL1152" i="3"/>
  <c r="AG1152" i="3"/>
  <c r="AB1152" i="3"/>
  <c r="Y1152" i="3"/>
  <c r="X1152" i="3"/>
  <c r="U1152" i="3"/>
  <c r="V1152" i="3"/>
  <c r="W1152" i="3"/>
  <c r="R1152" i="3"/>
  <c r="P1152" i="3"/>
  <c r="AG1151" i="3"/>
  <c r="AB1151" i="3"/>
  <c r="Y1151" i="3"/>
  <c r="X1151" i="3"/>
  <c r="S1151" i="3"/>
  <c r="U1151" i="3"/>
  <c r="V1151" i="3"/>
  <c r="W1151" i="3"/>
  <c r="R1151" i="3"/>
  <c r="P1151" i="3"/>
  <c r="AG1150" i="3"/>
  <c r="AB1150" i="3"/>
  <c r="Z1150" i="3"/>
  <c r="AA1150" i="3"/>
  <c r="U1150" i="3"/>
  <c r="V1150" i="3"/>
  <c r="W1150" i="3"/>
  <c r="S1150" i="3"/>
  <c r="R1150" i="3"/>
  <c r="P1150" i="3"/>
  <c r="AG1149" i="3"/>
  <c r="AB1149" i="3"/>
  <c r="Z1149" i="3"/>
  <c r="AA1149" i="3"/>
  <c r="U1149" i="3"/>
  <c r="V1149" i="3"/>
  <c r="W1149" i="3"/>
  <c r="S1149" i="3"/>
  <c r="R1149" i="3"/>
  <c r="P1149" i="3"/>
  <c r="AG1148" i="3"/>
  <c r="AB1148" i="3"/>
  <c r="Z1148" i="3"/>
  <c r="AA1148" i="3"/>
  <c r="U1148" i="3"/>
  <c r="V1148" i="3"/>
  <c r="W1148" i="3"/>
  <c r="S1148" i="3"/>
  <c r="R1148" i="3"/>
  <c r="P1148" i="3"/>
  <c r="AG1147" i="3"/>
  <c r="AB1147" i="3"/>
  <c r="Z1147" i="3"/>
  <c r="AA1147" i="3"/>
  <c r="V1147" i="3"/>
  <c r="W1147" i="3"/>
  <c r="S1147" i="3"/>
  <c r="R1147" i="3"/>
  <c r="P1147" i="3"/>
  <c r="AH1146" i="3"/>
  <c r="AG1146" i="3"/>
  <c r="AB1146" i="3"/>
  <c r="Z1146" i="3"/>
  <c r="AA1146" i="3"/>
  <c r="U1146" i="3"/>
  <c r="V1146" i="3"/>
  <c r="W1146" i="3"/>
  <c r="S1146" i="3"/>
  <c r="R1146" i="3"/>
  <c r="P1146" i="3"/>
  <c r="AH1145" i="3"/>
  <c r="AG1145" i="3"/>
  <c r="AB1145" i="3"/>
  <c r="Z1145" i="3"/>
  <c r="AA1145" i="3"/>
  <c r="U1145" i="3"/>
  <c r="V1145" i="3"/>
  <c r="W1145" i="3"/>
  <c r="S1145" i="3"/>
  <c r="R1145" i="3"/>
  <c r="P1145" i="3"/>
  <c r="AG1144" i="3"/>
  <c r="AB1144" i="3"/>
  <c r="X1144" i="3"/>
  <c r="Z1144" i="3"/>
  <c r="AA1144" i="3"/>
  <c r="U1144" i="3"/>
  <c r="V1144" i="3"/>
  <c r="W1144" i="3"/>
  <c r="R1144" i="3"/>
  <c r="P1144" i="3"/>
  <c r="AH1143" i="3"/>
  <c r="AG1143" i="3"/>
  <c r="AB1143" i="3"/>
  <c r="Z1143" i="3"/>
  <c r="AA1143" i="3"/>
  <c r="U1143" i="3"/>
  <c r="V1143" i="3"/>
  <c r="W1143" i="3"/>
  <c r="S1143" i="3"/>
  <c r="R1143" i="3"/>
  <c r="P1143" i="3"/>
  <c r="AH1142" i="3"/>
  <c r="AG1142" i="3"/>
  <c r="AB1142" i="3"/>
  <c r="Z1142" i="3"/>
  <c r="AA1142" i="3"/>
  <c r="U1142" i="3"/>
  <c r="V1142" i="3"/>
  <c r="W1142" i="3"/>
  <c r="S1142" i="3"/>
  <c r="R1142" i="3"/>
  <c r="P1142" i="3"/>
  <c r="AM1141" i="3"/>
  <c r="AG1141" i="3"/>
  <c r="AB1141" i="3"/>
  <c r="X1141" i="3"/>
  <c r="U1141" i="3"/>
  <c r="V1141" i="3"/>
  <c r="W1141" i="3"/>
  <c r="R1141" i="3"/>
  <c r="AM1140" i="3"/>
  <c r="AG1140" i="3"/>
  <c r="AB1140" i="3"/>
  <c r="X1140" i="3"/>
  <c r="Z1140" i="3"/>
  <c r="AA1140" i="3"/>
  <c r="U1140" i="3"/>
  <c r="V1140" i="3"/>
  <c r="W1140" i="3"/>
  <c r="R1140" i="3"/>
  <c r="P1140" i="3"/>
  <c r="AM1139" i="3"/>
  <c r="AG1139" i="3"/>
  <c r="AB1139" i="3"/>
  <c r="X1139" i="3"/>
  <c r="U1139" i="3"/>
  <c r="V1139" i="3"/>
  <c r="W1139" i="3"/>
  <c r="R1139" i="3"/>
  <c r="P1139" i="3"/>
  <c r="AM1138" i="3"/>
  <c r="AG1138" i="3"/>
  <c r="AB1138" i="3"/>
  <c r="X1138" i="3"/>
  <c r="Z1138" i="3"/>
  <c r="AA1138" i="3"/>
  <c r="U1138" i="3"/>
  <c r="V1138" i="3"/>
  <c r="W1138" i="3"/>
  <c r="R1138" i="3"/>
  <c r="P1138" i="3"/>
  <c r="AM1137" i="3"/>
  <c r="AG1137" i="3"/>
  <c r="AB1137" i="3"/>
  <c r="X1137" i="3"/>
  <c r="Z1137" i="3"/>
  <c r="AA1137" i="3"/>
  <c r="U1137" i="3"/>
  <c r="V1137" i="3"/>
  <c r="W1137" i="3"/>
  <c r="R1137" i="3"/>
  <c r="P1137" i="3"/>
  <c r="AM1136" i="3"/>
  <c r="AG1136" i="3"/>
  <c r="AB1136" i="3"/>
  <c r="X1136" i="3"/>
  <c r="Z1136" i="3"/>
  <c r="AA1136" i="3"/>
  <c r="U1136" i="3"/>
  <c r="V1136" i="3"/>
  <c r="W1136" i="3"/>
  <c r="R1136" i="3"/>
  <c r="P1136" i="3"/>
  <c r="AM1135" i="3"/>
  <c r="AG1135" i="3"/>
  <c r="AB1135" i="3"/>
  <c r="X1135" i="3"/>
  <c r="U1135" i="3"/>
  <c r="V1135" i="3"/>
  <c r="W1135" i="3"/>
  <c r="R1135" i="3"/>
  <c r="P1135" i="3"/>
  <c r="AM1134" i="3"/>
  <c r="AG1134" i="3"/>
  <c r="AB1134" i="3"/>
  <c r="X1134" i="3"/>
  <c r="U1134" i="3"/>
  <c r="V1134" i="3"/>
  <c r="W1134" i="3"/>
  <c r="R1134" i="3"/>
  <c r="P1134" i="3"/>
  <c r="AM1133" i="3"/>
  <c r="AG1133" i="3"/>
  <c r="AB1133" i="3"/>
  <c r="X1133" i="3"/>
  <c r="Z1133" i="3"/>
  <c r="AA1133" i="3"/>
  <c r="U1133" i="3"/>
  <c r="V1133" i="3"/>
  <c r="W1133" i="3"/>
  <c r="R1133" i="3"/>
  <c r="P1133" i="3"/>
  <c r="AM1132" i="3"/>
  <c r="AG1132" i="3"/>
  <c r="AB1132" i="3"/>
  <c r="X1132" i="3"/>
  <c r="U1132" i="3"/>
  <c r="V1132" i="3"/>
  <c r="W1132" i="3"/>
  <c r="R1132" i="3"/>
  <c r="P1132" i="3"/>
  <c r="AM1131" i="3"/>
  <c r="AH1131" i="3"/>
  <c r="AG1131" i="3"/>
  <c r="AB1131" i="3"/>
  <c r="X1131" i="3"/>
  <c r="Z1131" i="3"/>
  <c r="AA1131" i="3"/>
  <c r="U1131" i="3"/>
  <c r="V1131" i="3"/>
  <c r="W1131" i="3"/>
  <c r="R1131" i="3"/>
  <c r="P1131" i="3"/>
  <c r="AM1130" i="3"/>
  <c r="AH1130" i="3"/>
  <c r="AG1130" i="3"/>
  <c r="AB1130" i="3"/>
  <c r="X1130" i="3"/>
  <c r="Z1130" i="3"/>
  <c r="AA1130" i="3"/>
  <c r="U1130" i="3"/>
  <c r="V1130" i="3"/>
  <c r="W1130" i="3"/>
  <c r="R1130" i="3"/>
  <c r="P1130" i="3"/>
  <c r="AN1129" i="3"/>
  <c r="AM1129" i="3"/>
  <c r="AH1129" i="3"/>
  <c r="AG1129" i="3"/>
  <c r="AB1129" i="3"/>
  <c r="X1129" i="3"/>
  <c r="Z1129" i="3"/>
  <c r="AA1129" i="3"/>
  <c r="U1129" i="3"/>
  <c r="V1129" i="3"/>
  <c r="W1129" i="3"/>
  <c r="R1129" i="3"/>
  <c r="P1129" i="3"/>
  <c r="AM1128" i="3"/>
  <c r="AH1128" i="3"/>
  <c r="AG1128" i="3"/>
  <c r="AB1128" i="3"/>
  <c r="X1128" i="3"/>
  <c r="Z1128" i="3"/>
  <c r="AA1128" i="3"/>
  <c r="U1128" i="3"/>
  <c r="V1128" i="3"/>
  <c r="W1128" i="3"/>
  <c r="R1128" i="3"/>
  <c r="P1128" i="3"/>
  <c r="AM1127" i="3"/>
  <c r="AG1127" i="3"/>
  <c r="AB1127" i="3"/>
  <c r="X1127" i="3"/>
  <c r="Z1127" i="3"/>
  <c r="AA1127" i="3"/>
  <c r="U1127" i="3"/>
  <c r="V1127" i="3"/>
  <c r="W1127" i="3"/>
  <c r="R1127" i="3"/>
  <c r="P1127" i="3"/>
  <c r="AN1126" i="3"/>
  <c r="AM1126" i="3"/>
  <c r="AL1126" i="3"/>
  <c r="AG1126" i="3"/>
  <c r="AB1126" i="3"/>
  <c r="Z1126" i="3"/>
  <c r="AA1126" i="3"/>
  <c r="U1126" i="3"/>
  <c r="V1126" i="3"/>
  <c r="W1126" i="3"/>
  <c r="S1126" i="3"/>
  <c r="R1126" i="3"/>
  <c r="AM1125" i="3"/>
  <c r="AG1125" i="3"/>
  <c r="AB1125" i="3"/>
  <c r="Z1125" i="3"/>
  <c r="AA1125" i="3"/>
  <c r="U1125" i="3"/>
  <c r="V1125" i="3"/>
  <c r="W1125" i="3"/>
  <c r="S1125" i="3"/>
  <c r="R1125" i="3"/>
  <c r="AN1124" i="3"/>
  <c r="AM1124" i="3"/>
  <c r="AG1124" i="3"/>
  <c r="AB1124" i="3"/>
  <c r="Z1124" i="3"/>
  <c r="AA1124" i="3"/>
  <c r="U1124" i="3"/>
  <c r="V1124" i="3"/>
  <c r="W1124" i="3"/>
  <c r="S1124" i="3"/>
  <c r="R1124" i="3"/>
  <c r="P1124" i="3"/>
  <c r="AM1123" i="3"/>
  <c r="AG1123" i="3"/>
  <c r="AB1123" i="3"/>
  <c r="Z1123" i="3"/>
  <c r="AA1123" i="3"/>
  <c r="U1123" i="3"/>
  <c r="V1123" i="3"/>
  <c r="W1123" i="3"/>
  <c r="S1123" i="3"/>
  <c r="R1123" i="3"/>
  <c r="P1123" i="3"/>
  <c r="AM1122" i="3"/>
  <c r="AG1122" i="3"/>
  <c r="AB1122" i="3"/>
  <c r="Z1122" i="3"/>
  <c r="AA1122" i="3"/>
  <c r="U1122" i="3"/>
  <c r="V1122" i="3"/>
  <c r="W1122" i="3"/>
  <c r="S1122" i="3"/>
  <c r="R1122" i="3"/>
  <c r="P1122" i="3"/>
  <c r="AM1121" i="3"/>
  <c r="AG1121" i="3"/>
  <c r="AB1121" i="3"/>
  <c r="Z1121" i="3"/>
  <c r="AA1121" i="3"/>
  <c r="U1121" i="3"/>
  <c r="V1121" i="3"/>
  <c r="W1121" i="3"/>
  <c r="S1121" i="3"/>
  <c r="R1121" i="3"/>
  <c r="P1121" i="3"/>
  <c r="AM1120" i="3"/>
  <c r="AH1120" i="3"/>
  <c r="AG1120" i="3"/>
  <c r="AB1120" i="3"/>
  <c r="Z1120" i="3"/>
  <c r="AA1120" i="3"/>
  <c r="U1120" i="3"/>
  <c r="V1120" i="3"/>
  <c r="W1120" i="3"/>
  <c r="S1120" i="3"/>
  <c r="R1120" i="3"/>
  <c r="P1120" i="3"/>
  <c r="AM1119" i="3"/>
  <c r="AG1119" i="3"/>
  <c r="AB1119" i="3"/>
  <c r="Z1119" i="3"/>
  <c r="AA1119" i="3"/>
  <c r="V1119" i="3"/>
  <c r="W1119" i="3"/>
  <c r="S1119" i="3"/>
  <c r="R1119" i="3"/>
  <c r="P1119" i="3"/>
  <c r="AM1118" i="3"/>
  <c r="AG1118" i="3"/>
  <c r="AB1118" i="3"/>
  <c r="Z1118" i="3"/>
  <c r="AA1118" i="3"/>
  <c r="V1118" i="3"/>
  <c r="W1118" i="3"/>
  <c r="S1118" i="3"/>
  <c r="R1118" i="3"/>
  <c r="P1118" i="3"/>
  <c r="AM1117" i="3"/>
  <c r="AG1117" i="3"/>
  <c r="AB1117" i="3"/>
  <c r="Z1117" i="3"/>
  <c r="AA1117" i="3"/>
  <c r="U1117" i="3"/>
  <c r="V1117" i="3"/>
  <c r="W1117" i="3"/>
  <c r="S1117" i="3"/>
  <c r="R1117" i="3"/>
  <c r="P1117" i="3"/>
  <c r="AH1116" i="3"/>
  <c r="AG1116" i="3"/>
  <c r="AB1116" i="3"/>
  <c r="X1116" i="3"/>
  <c r="U1116" i="3"/>
  <c r="V1116" i="3"/>
  <c r="W1116" i="3"/>
  <c r="R1116" i="3"/>
  <c r="P1116" i="3"/>
  <c r="AH1115" i="3"/>
  <c r="AG1115" i="3"/>
  <c r="AB1115" i="3"/>
  <c r="X1115" i="3"/>
  <c r="U1115" i="3"/>
  <c r="V1115" i="3"/>
  <c r="W1115" i="3"/>
  <c r="R1115" i="3"/>
  <c r="P1115" i="3"/>
  <c r="AH1114" i="3"/>
  <c r="AG1114" i="3"/>
  <c r="AB1114" i="3"/>
  <c r="X1114" i="3"/>
  <c r="Z1114" i="3"/>
  <c r="AA1114" i="3"/>
  <c r="U1114" i="3"/>
  <c r="V1114" i="3"/>
  <c r="W1114" i="3"/>
  <c r="R1114" i="3"/>
  <c r="P1114" i="3"/>
  <c r="AH1113" i="3"/>
  <c r="AG1113" i="3"/>
  <c r="AB1113" i="3"/>
  <c r="X1113" i="3"/>
  <c r="U1113" i="3"/>
  <c r="V1113" i="3"/>
  <c r="W1113" i="3"/>
  <c r="R1113" i="3"/>
  <c r="P1113" i="3"/>
  <c r="AH1112" i="3"/>
  <c r="AG1112" i="3"/>
  <c r="AE1112" i="3"/>
  <c r="AB1112" i="3"/>
  <c r="X1112" i="3"/>
  <c r="Z1112" i="3"/>
  <c r="AA1112" i="3"/>
  <c r="U1112" i="3"/>
  <c r="V1112" i="3"/>
  <c r="W1112" i="3"/>
  <c r="R1112" i="3"/>
  <c r="P1112" i="3"/>
  <c r="AH1111" i="3"/>
  <c r="AG1111" i="3"/>
  <c r="AB1111" i="3"/>
  <c r="Y1111" i="3"/>
  <c r="X1111" i="3"/>
  <c r="U1111" i="3"/>
  <c r="V1111" i="3"/>
  <c r="W1111" i="3"/>
  <c r="R1111" i="3"/>
  <c r="AH1110" i="3"/>
  <c r="AG1110" i="3"/>
  <c r="AB1110" i="3"/>
  <c r="Y1110" i="3"/>
  <c r="X1110" i="3"/>
  <c r="Z1110" i="3"/>
  <c r="AA1110" i="3"/>
  <c r="T1110" i="3"/>
  <c r="U1110" i="3"/>
  <c r="R1110" i="3"/>
  <c r="AH1109" i="3"/>
  <c r="AG1109" i="3"/>
  <c r="AB1109" i="3"/>
  <c r="Y1109" i="3"/>
  <c r="X1109" i="3"/>
  <c r="U1109" i="3"/>
  <c r="V1109" i="3"/>
  <c r="W1109" i="3"/>
  <c r="R1109" i="3"/>
  <c r="AH1108" i="3"/>
  <c r="AG1108" i="3"/>
  <c r="AB1108" i="3"/>
  <c r="Y1108" i="3"/>
  <c r="X1108" i="3"/>
  <c r="U1108" i="3"/>
  <c r="V1108" i="3"/>
  <c r="W1108" i="3"/>
  <c r="R1108" i="3"/>
  <c r="AG1107" i="3"/>
  <c r="AB1107" i="3"/>
  <c r="Y1107" i="3"/>
  <c r="X1107" i="3"/>
  <c r="Z1107" i="3"/>
  <c r="AA1107" i="3"/>
  <c r="U1107" i="3"/>
  <c r="V1107" i="3"/>
  <c r="W1107" i="3"/>
  <c r="R1107" i="3"/>
  <c r="AL1106" i="3"/>
  <c r="AH1106" i="3"/>
  <c r="AE1106" i="3"/>
  <c r="AB1106" i="3"/>
  <c r="X1106" i="3"/>
  <c r="U1106" i="3"/>
  <c r="V1106" i="3"/>
  <c r="W1106" i="3"/>
  <c r="R1106" i="3"/>
  <c r="P1106" i="3"/>
  <c r="AL1105" i="3"/>
  <c r="AH1105" i="3"/>
  <c r="AE1105" i="3"/>
  <c r="AD1105" i="3"/>
  <c r="AB1105" i="3"/>
  <c r="X1105" i="3"/>
  <c r="U1105" i="3"/>
  <c r="V1105" i="3"/>
  <c r="W1105" i="3"/>
  <c r="R1105" i="3"/>
  <c r="P1105" i="3"/>
  <c r="AL1104" i="3"/>
  <c r="AJ1104" i="3"/>
  <c r="P1104" i="3"/>
  <c r="AH1104" i="3"/>
  <c r="AE1104" i="3"/>
  <c r="AB1104" i="3"/>
  <c r="X1104" i="3"/>
  <c r="Z1104" i="3"/>
  <c r="AA1104" i="3"/>
  <c r="U1104" i="3"/>
  <c r="V1104" i="3"/>
  <c r="W1104" i="3"/>
  <c r="R1104" i="3"/>
  <c r="AL1103" i="3"/>
  <c r="AH1103" i="3"/>
  <c r="AE1103" i="3"/>
  <c r="AB1103" i="3"/>
  <c r="X1103" i="3"/>
  <c r="U1103" i="3"/>
  <c r="V1103" i="3"/>
  <c r="W1103" i="3"/>
  <c r="R1103" i="3"/>
  <c r="P1103" i="3"/>
  <c r="AL1102" i="3"/>
  <c r="AH1102" i="3"/>
  <c r="AE1102" i="3"/>
  <c r="AB1102" i="3"/>
  <c r="X1102" i="3"/>
  <c r="U1102" i="3"/>
  <c r="V1102" i="3"/>
  <c r="W1102" i="3"/>
  <c r="R1102" i="3"/>
  <c r="P1102" i="3"/>
  <c r="AL1101" i="3"/>
  <c r="AH1101" i="3"/>
  <c r="AB1101" i="3"/>
  <c r="Y1101" i="3"/>
  <c r="X1101" i="3"/>
  <c r="U1101" i="3"/>
  <c r="V1101" i="3"/>
  <c r="W1101" i="3"/>
  <c r="R1101" i="3"/>
  <c r="P1101" i="3"/>
  <c r="AL1100" i="3"/>
  <c r="AH1100" i="3"/>
  <c r="AB1100" i="3"/>
  <c r="Y1100" i="3"/>
  <c r="X1100" i="3"/>
  <c r="U1100" i="3"/>
  <c r="V1100" i="3"/>
  <c r="W1100" i="3"/>
  <c r="R1100" i="3"/>
  <c r="P1100" i="3"/>
  <c r="AL1099" i="3"/>
  <c r="AH1099" i="3"/>
  <c r="AB1099" i="3"/>
  <c r="Y1099" i="3"/>
  <c r="X1099" i="3"/>
  <c r="U1099" i="3"/>
  <c r="V1099" i="3"/>
  <c r="W1099" i="3"/>
  <c r="R1099" i="3"/>
  <c r="P1099" i="3"/>
  <c r="AM1098" i="3"/>
  <c r="AL1098" i="3"/>
  <c r="AH1098" i="3"/>
  <c r="AB1098" i="3"/>
  <c r="Y1098" i="3"/>
  <c r="X1098" i="3"/>
  <c r="U1098" i="3"/>
  <c r="V1098" i="3"/>
  <c r="W1098" i="3"/>
  <c r="R1098" i="3"/>
  <c r="P1098" i="3"/>
  <c r="AL1097" i="3"/>
  <c r="AH1097" i="3"/>
  <c r="AB1097" i="3"/>
  <c r="Y1097" i="3"/>
  <c r="X1097" i="3"/>
  <c r="S1097" i="3"/>
  <c r="U1097" i="3"/>
  <c r="V1097" i="3"/>
  <c r="W1097" i="3"/>
  <c r="R1097" i="3"/>
  <c r="P1097" i="3"/>
  <c r="AL1096" i="3"/>
  <c r="AH1096" i="3"/>
  <c r="AG1096" i="3"/>
  <c r="AB1096" i="3"/>
  <c r="X1096" i="3"/>
  <c r="Z1096" i="3"/>
  <c r="AA1096" i="3"/>
  <c r="U1096" i="3"/>
  <c r="V1096" i="3"/>
  <c r="W1096" i="3"/>
  <c r="R1096" i="3"/>
  <c r="P1096" i="3"/>
  <c r="AL1095" i="3"/>
  <c r="AH1095" i="3"/>
  <c r="AB1095" i="3"/>
  <c r="X1095" i="3"/>
  <c r="U1095" i="3"/>
  <c r="V1095" i="3"/>
  <c r="W1095" i="3"/>
  <c r="R1095" i="3"/>
  <c r="P1095" i="3"/>
  <c r="AM1094" i="3"/>
  <c r="AL1094" i="3"/>
  <c r="AH1094" i="3"/>
  <c r="AB1094" i="3"/>
  <c r="X1094" i="3"/>
  <c r="U1094" i="3"/>
  <c r="V1094" i="3"/>
  <c r="W1094" i="3"/>
  <c r="R1094" i="3"/>
  <c r="P1094" i="3"/>
  <c r="AM1093" i="3"/>
  <c r="AL1093" i="3"/>
  <c r="AH1093" i="3"/>
  <c r="AB1093" i="3"/>
  <c r="X1093" i="3"/>
  <c r="U1093" i="3"/>
  <c r="V1093" i="3"/>
  <c r="W1093" i="3"/>
  <c r="R1093" i="3"/>
  <c r="P1093" i="3"/>
  <c r="AL1092" i="3"/>
  <c r="AH1092" i="3"/>
  <c r="AB1092" i="3"/>
  <c r="X1092" i="3"/>
  <c r="Z1092" i="3"/>
  <c r="AA1092" i="3"/>
  <c r="U1092" i="3"/>
  <c r="V1092" i="3"/>
  <c r="W1092" i="3"/>
  <c r="R1092" i="3"/>
  <c r="P1092" i="3"/>
  <c r="AL1091" i="3"/>
  <c r="AG1091" i="3"/>
  <c r="AB1091" i="3"/>
  <c r="T1091" i="3"/>
  <c r="R1091" i="3"/>
  <c r="P1091" i="3"/>
  <c r="AL1090" i="3"/>
  <c r="AG1090" i="3"/>
  <c r="AB1090" i="3"/>
  <c r="X1090" i="3"/>
  <c r="V1090" i="3"/>
  <c r="W1090" i="3"/>
  <c r="R1090" i="3"/>
  <c r="P1090" i="3"/>
  <c r="AL1089" i="3"/>
  <c r="AG1089" i="3"/>
  <c r="AB1089" i="3"/>
  <c r="X1089" i="3"/>
  <c r="Z1089" i="3"/>
  <c r="AA1089" i="3"/>
  <c r="V1089" i="3"/>
  <c r="W1089" i="3"/>
  <c r="R1089" i="3"/>
  <c r="P1089" i="3"/>
  <c r="AL1088" i="3"/>
  <c r="AG1088" i="3"/>
  <c r="AB1088" i="3"/>
  <c r="X1088" i="3"/>
  <c r="Z1088" i="3"/>
  <c r="AA1088" i="3"/>
  <c r="U1088" i="3"/>
  <c r="V1088" i="3"/>
  <c r="W1088" i="3"/>
  <c r="R1088" i="3"/>
  <c r="P1088" i="3"/>
  <c r="AL1087" i="3"/>
  <c r="AG1087" i="3"/>
  <c r="AB1087" i="3"/>
  <c r="X1087" i="3"/>
  <c r="Z1087" i="3"/>
  <c r="AA1087" i="3"/>
  <c r="U1087" i="3"/>
  <c r="V1087" i="3"/>
  <c r="W1087" i="3"/>
  <c r="R1087" i="3"/>
  <c r="P1087" i="3"/>
  <c r="AH1086" i="3"/>
  <c r="AG1086" i="3"/>
  <c r="AB1086" i="3"/>
  <c r="X1086" i="3"/>
  <c r="V1086" i="3"/>
  <c r="W1086" i="3"/>
  <c r="R1086" i="3"/>
  <c r="AH1085" i="3"/>
  <c r="AG1085" i="3"/>
  <c r="AB1085" i="3"/>
  <c r="X1085" i="3"/>
  <c r="Z1085" i="3"/>
  <c r="AA1085" i="3"/>
  <c r="V1085" i="3"/>
  <c r="W1085" i="3"/>
  <c r="R1085" i="3"/>
  <c r="AH1084" i="3"/>
  <c r="AG1084" i="3"/>
  <c r="AB1084" i="3"/>
  <c r="X1084" i="3"/>
  <c r="V1084" i="3"/>
  <c r="W1084" i="3"/>
  <c r="R1084" i="3"/>
  <c r="AH1083" i="3"/>
  <c r="AG1083" i="3"/>
  <c r="AB1083" i="3"/>
  <c r="X1083" i="3"/>
  <c r="V1083" i="3"/>
  <c r="W1083" i="3"/>
  <c r="R1083" i="3"/>
  <c r="AH1082" i="3"/>
  <c r="AG1082" i="3"/>
  <c r="AB1082" i="3"/>
  <c r="X1082" i="3"/>
  <c r="V1082" i="3"/>
  <c r="W1082" i="3"/>
  <c r="R1082" i="3"/>
  <c r="AH1081" i="3"/>
  <c r="AG1081" i="3"/>
  <c r="AE1081" i="3"/>
  <c r="AB1081" i="3"/>
  <c r="X1081" i="3"/>
  <c r="Z1081" i="3"/>
  <c r="AA1081" i="3"/>
  <c r="V1081" i="3"/>
  <c r="W1081" i="3"/>
  <c r="R1081" i="3"/>
  <c r="AH1080" i="3"/>
  <c r="AG1080" i="3"/>
  <c r="AB1080" i="3"/>
  <c r="X1080" i="3"/>
  <c r="V1080" i="3"/>
  <c r="W1080" i="3"/>
  <c r="R1080" i="3"/>
  <c r="AH1079" i="3"/>
  <c r="AG1079" i="3"/>
  <c r="AB1079" i="3"/>
  <c r="X1079" i="3"/>
  <c r="Z1079" i="3"/>
  <c r="AA1079" i="3"/>
  <c r="V1079" i="3"/>
  <c r="W1079" i="3"/>
  <c r="R1079" i="3"/>
  <c r="AH1078" i="3"/>
  <c r="AG1078" i="3"/>
  <c r="AB1078" i="3"/>
  <c r="X1078" i="3"/>
  <c r="V1078" i="3"/>
  <c r="W1078" i="3"/>
  <c r="R1078" i="3"/>
  <c r="AH1077" i="3"/>
  <c r="AG1077" i="3"/>
  <c r="AB1077" i="3"/>
  <c r="X1077" i="3"/>
  <c r="Z1077" i="3"/>
  <c r="AA1077" i="3"/>
  <c r="V1077" i="3"/>
  <c r="W1077" i="3"/>
  <c r="R1077" i="3"/>
  <c r="L1077" i="3"/>
  <c r="AL1076" i="3"/>
  <c r="AH1076" i="3"/>
  <c r="AG1076" i="3"/>
  <c r="AB1076" i="3"/>
  <c r="X1076" i="3"/>
  <c r="U1076" i="3"/>
  <c r="V1076" i="3"/>
  <c r="W1076" i="3"/>
  <c r="R1076" i="3"/>
  <c r="P1076" i="3"/>
  <c r="AL1075" i="3"/>
  <c r="AH1075" i="3"/>
  <c r="AE1075" i="3"/>
  <c r="AB1075" i="3"/>
  <c r="X1075" i="3"/>
  <c r="U1075" i="3"/>
  <c r="V1075" i="3"/>
  <c r="W1075" i="3"/>
  <c r="R1075" i="3"/>
  <c r="AL1074" i="3"/>
  <c r="AH1074" i="3"/>
  <c r="AE1074" i="3"/>
  <c r="AB1074" i="3"/>
  <c r="X1074" i="3"/>
  <c r="S1074" i="3"/>
  <c r="U1074" i="3"/>
  <c r="V1074" i="3"/>
  <c r="W1074" i="3"/>
  <c r="R1074" i="3"/>
  <c r="AL1073" i="3"/>
  <c r="AH1073" i="3"/>
  <c r="AE1073" i="3"/>
  <c r="AB1073" i="3"/>
  <c r="X1073" i="3"/>
  <c r="Z1073" i="3"/>
  <c r="AA1073" i="3"/>
  <c r="U1073" i="3"/>
  <c r="V1073" i="3"/>
  <c r="W1073" i="3"/>
  <c r="R1073" i="3"/>
  <c r="AL1072" i="3"/>
  <c r="AH1072" i="3"/>
  <c r="AE1072" i="3"/>
  <c r="AB1072" i="3"/>
  <c r="X1072" i="3"/>
  <c r="Z1072" i="3"/>
  <c r="AA1072" i="3"/>
  <c r="U1072" i="3"/>
  <c r="V1072" i="3"/>
  <c r="W1072" i="3"/>
  <c r="R1072" i="3"/>
  <c r="AL1071" i="3"/>
  <c r="AH1071" i="3"/>
  <c r="AE1071" i="3"/>
  <c r="AB1071" i="3"/>
  <c r="X1071" i="3"/>
  <c r="Z1071" i="3"/>
  <c r="AA1071" i="3"/>
  <c r="U1071" i="3"/>
  <c r="V1071" i="3"/>
  <c r="W1071" i="3"/>
  <c r="R1071" i="3"/>
  <c r="AL1070" i="3"/>
  <c r="AH1070" i="3"/>
  <c r="AE1070" i="3"/>
  <c r="AB1070" i="3"/>
  <c r="X1070" i="3"/>
  <c r="S1070" i="3"/>
  <c r="U1070" i="3"/>
  <c r="V1070" i="3"/>
  <c r="W1070" i="3"/>
  <c r="R1070" i="3"/>
  <c r="AL1069" i="3"/>
  <c r="AH1069" i="3"/>
  <c r="AE1069" i="3"/>
  <c r="AB1069" i="3"/>
  <c r="X1069" i="3"/>
  <c r="Z1069" i="3"/>
  <c r="AA1069" i="3"/>
  <c r="U1069" i="3"/>
  <c r="V1069" i="3"/>
  <c r="W1069" i="3"/>
  <c r="R1069" i="3"/>
  <c r="AL1068" i="3"/>
  <c r="AH1068" i="3"/>
  <c r="AE1068" i="3"/>
  <c r="AB1068" i="3"/>
  <c r="X1068" i="3"/>
  <c r="U1068" i="3"/>
  <c r="V1068" i="3"/>
  <c r="W1068" i="3"/>
  <c r="R1068" i="3"/>
  <c r="AL1067" i="3"/>
  <c r="AH1067" i="3"/>
  <c r="AG1067" i="3"/>
  <c r="AB1067" i="3"/>
  <c r="X1067" i="3"/>
  <c r="Z1067" i="3"/>
  <c r="AA1067" i="3"/>
  <c r="U1067" i="3"/>
  <c r="V1067" i="3"/>
  <c r="W1067" i="3"/>
  <c r="R1067" i="3"/>
  <c r="AL1066" i="3"/>
  <c r="AH1066" i="3"/>
  <c r="AE1066" i="3"/>
  <c r="AB1066" i="3"/>
  <c r="X1066" i="3"/>
  <c r="S1066" i="3"/>
  <c r="U1066" i="3"/>
  <c r="V1066" i="3"/>
  <c r="W1066" i="3"/>
  <c r="R1066" i="3"/>
  <c r="AL1065" i="3"/>
  <c r="AH1065" i="3"/>
  <c r="AB1065" i="3"/>
  <c r="X1065" i="3"/>
  <c r="U1065" i="3"/>
  <c r="V1065" i="3"/>
  <c r="W1065" i="3"/>
  <c r="R1065" i="3"/>
  <c r="AL1064" i="3"/>
  <c r="AH1064" i="3"/>
  <c r="AE1064" i="3"/>
  <c r="AB1064" i="3"/>
  <c r="X1064" i="3"/>
  <c r="U1064" i="3"/>
  <c r="V1064" i="3"/>
  <c r="W1064" i="3"/>
  <c r="R1064" i="3"/>
  <c r="AL1063" i="3"/>
  <c r="AH1063" i="3"/>
  <c r="AE1063" i="3"/>
  <c r="AB1063" i="3"/>
  <c r="X1063" i="3"/>
  <c r="Z1063" i="3"/>
  <c r="AA1063" i="3"/>
  <c r="U1063" i="3"/>
  <c r="V1063" i="3"/>
  <c r="W1063" i="3"/>
  <c r="R1063" i="3"/>
  <c r="AL1062" i="3"/>
  <c r="AH1062" i="3"/>
  <c r="AE1062" i="3"/>
  <c r="AB1062" i="3"/>
  <c r="X1062" i="3"/>
  <c r="U1062" i="3"/>
  <c r="V1062" i="3"/>
  <c r="W1062" i="3"/>
  <c r="R1062" i="3"/>
  <c r="AL1061" i="3"/>
  <c r="AH1061" i="3"/>
  <c r="AE1061" i="3"/>
  <c r="AB1061" i="3"/>
  <c r="X1061" i="3"/>
  <c r="V1061" i="3"/>
  <c r="W1061" i="3"/>
  <c r="R1061" i="3"/>
  <c r="AL1060" i="3"/>
  <c r="AH1060" i="3"/>
  <c r="AE1060" i="3"/>
  <c r="AB1060" i="3"/>
  <c r="X1060" i="3"/>
  <c r="V1060" i="3"/>
  <c r="W1060" i="3"/>
  <c r="R1060" i="3"/>
  <c r="AL1059" i="3"/>
  <c r="AH1059" i="3"/>
  <c r="AE1059" i="3"/>
  <c r="AB1059" i="3"/>
  <c r="X1059" i="3"/>
  <c r="V1059" i="3"/>
  <c r="W1059" i="3"/>
  <c r="R1059" i="3"/>
  <c r="AH1058" i="3"/>
  <c r="AG1058" i="3"/>
  <c r="AB1058" i="3"/>
  <c r="X1058" i="3"/>
  <c r="Z1058" i="3"/>
  <c r="AA1058" i="3"/>
  <c r="U1058" i="3"/>
  <c r="V1058" i="3"/>
  <c r="W1058" i="3"/>
  <c r="R1058" i="3"/>
  <c r="P1058" i="3"/>
  <c r="AH1057" i="3"/>
  <c r="AG1057" i="3"/>
  <c r="AB1057" i="3"/>
  <c r="X1057" i="3"/>
  <c r="U1057" i="3"/>
  <c r="V1057" i="3"/>
  <c r="W1057" i="3"/>
  <c r="R1057" i="3"/>
  <c r="P1057" i="3"/>
  <c r="AH1056" i="3"/>
  <c r="AG1056" i="3"/>
  <c r="AB1056" i="3"/>
  <c r="X1056" i="3"/>
  <c r="U1056" i="3"/>
  <c r="V1056" i="3"/>
  <c r="W1056" i="3"/>
  <c r="R1056" i="3"/>
  <c r="P1056" i="3"/>
  <c r="AH1055" i="3"/>
  <c r="AG1055" i="3"/>
  <c r="AB1055" i="3"/>
  <c r="X1055" i="3"/>
  <c r="Z1055" i="3"/>
  <c r="AA1055" i="3"/>
  <c r="U1055" i="3"/>
  <c r="V1055" i="3"/>
  <c r="W1055" i="3"/>
  <c r="R1055" i="3"/>
  <c r="P1055" i="3"/>
  <c r="AH1054" i="3"/>
  <c r="AG1054" i="3"/>
  <c r="AB1054" i="3"/>
  <c r="X1054" i="3"/>
  <c r="U1054" i="3"/>
  <c r="V1054" i="3"/>
  <c r="W1054" i="3"/>
  <c r="R1054" i="3"/>
  <c r="P1054" i="3"/>
  <c r="AH1053" i="3"/>
  <c r="AG1053" i="3"/>
  <c r="AB1053" i="3"/>
  <c r="X1053" i="3"/>
  <c r="Z1053" i="3"/>
  <c r="AA1053" i="3"/>
  <c r="U1053" i="3"/>
  <c r="V1053" i="3"/>
  <c r="W1053" i="3"/>
  <c r="R1053" i="3"/>
  <c r="P1053" i="3"/>
  <c r="AH1052" i="3"/>
  <c r="AG1052" i="3"/>
  <c r="AB1052" i="3"/>
  <c r="X1052" i="3"/>
  <c r="Z1052" i="3"/>
  <c r="AA1052" i="3"/>
  <c r="U1052" i="3"/>
  <c r="V1052" i="3"/>
  <c r="W1052" i="3"/>
  <c r="R1052" i="3"/>
  <c r="P1052" i="3"/>
  <c r="AH1051" i="3"/>
  <c r="AG1051" i="3"/>
  <c r="AB1051" i="3"/>
  <c r="X1051" i="3"/>
  <c r="Z1051" i="3"/>
  <c r="AA1051" i="3"/>
  <c r="U1051" i="3"/>
  <c r="V1051" i="3"/>
  <c r="W1051" i="3"/>
  <c r="R1051" i="3"/>
  <c r="P1051" i="3"/>
  <c r="AO1050" i="3"/>
  <c r="AG1050" i="3"/>
  <c r="AD1050" i="3"/>
  <c r="AB1050" i="3"/>
  <c r="Y1050" i="3"/>
  <c r="X1050" i="3"/>
  <c r="U1050" i="3"/>
  <c r="W1050" i="3"/>
  <c r="R1050" i="3"/>
  <c r="AO1049" i="3"/>
  <c r="AG1049" i="3"/>
  <c r="AD1049" i="3"/>
  <c r="AB1049" i="3"/>
  <c r="Y1049" i="3"/>
  <c r="X1049" i="3"/>
  <c r="U1049" i="3"/>
  <c r="W1049" i="3"/>
  <c r="R1049" i="3"/>
  <c r="AO1048" i="3"/>
  <c r="AG1048" i="3"/>
  <c r="AD1048" i="3"/>
  <c r="AB1048" i="3"/>
  <c r="Y1048" i="3"/>
  <c r="X1048" i="3"/>
  <c r="U1048" i="3"/>
  <c r="W1048" i="3"/>
  <c r="R1048" i="3"/>
  <c r="AO1047" i="3"/>
  <c r="AG1047" i="3"/>
  <c r="Y1047" i="3"/>
  <c r="AD1047" i="3"/>
  <c r="AB1047" i="3"/>
  <c r="X1047" i="3"/>
  <c r="U1047" i="3"/>
  <c r="W1047" i="3"/>
  <c r="R1047" i="3"/>
  <c r="AG1046" i="3"/>
  <c r="AB1046" i="3"/>
  <c r="Z1046" i="3"/>
  <c r="AA1046" i="3"/>
  <c r="V1046" i="3"/>
  <c r="W1046" i="3"/>
  <c r="S1046" i="3"/>
  <c r="R1046" i="3"/>
  <c r="AO1045" i="3"/>
  <c r="AJ1045" i="3"/>
  <c r="P1045" i="3"/>
  <c r="AG1045" i="3"/>
  <c r="AB1045" i="3"/>
  <c r="Y1045" i="3"/>
  <c r="X1045" i="3"/>
  <c r="U1045" i="3"/>
  <c r="V1045" i="3"/>
  <c r="W1045" i="3"/>
  <c r="R1045" i="3"/>
  <c r="AO1044" i="3"/>
  <c r="AJ1044" i="3"/>
  <c r="P1044" i="3"/>
  <c r="AG1044" i="3"/>
  <c r="AB1044" i="3"/>
  <c r="Y1044" i="3"/>
  <c r="X1044" i="3"/>
  <c r="U1044" i="3"/>
  <c r="V1044" i="3"/>
  <c r="W1044" i="3"/>
  <c r="R1044" i="3"/>
  <c r="AO1043" i="3"/>
  <c r="AJ1043" i="3"/>
  <c r="P1043" i="3"/>
  <c r="AG1043" i="3"/>
  <c r="AB1043" i="3"/>
  <c r="Y1043" i="3"/>
  <c r="X1043" i="3"/>
  <c r="U1043" i="3"/>
  <c r="V1043" i="3"/>
  <c r="W1043" i="3"/>
  <c r="R1043" i="3"/>
  <c r="AO1042" i="3"/>
  <c r="AJ1042" i="3"/>
  <c r="P1042" i="3"/>
  <c r="AG1042" i="3"/>
  <c r="AB1042" i="3"/>
  <c r="Y1042" i="3"/>
  <c r="X1042" i="3"/>
  <c r="U1042" i="3"/>
  <c r="V1042" i="3"/>
  <c r="W1042" i="3"/>
  <c r="R1042" i="3"/>
  <c r="AO1041" i="3"/>
  <c r="AJ1041" i="3"/>
  <c r="P1041" i="3"/>
  <c r="AG1041" i="3"/>
  <c r="AB1041" i="3"/>
  <c r="Y1041" i="3"/>
  <c r="X1041" i="3"/>
  <c r="U1041" i="3"/>
  <c r="V1041" i="3"/>
  <c r="W1041" i="3"/>
  <c r="R1041" i="3"/>
  <c r="AO1040" i="3"/>
  <c r="AL1040" i="3"/>
  <c r="AH1040" i="3"/>
  <c r="AB1040" i="3"/>
  <c r="Y1040" i="3"/>
  <c r="X1040" i="3"/>
  <c r="U1040" i="3"/>
  <c r="V1040" i="3"/>
  <c r="W1040" i="3"/>
  <c r="R1040" i="3"/>
  <c r="P1040" i="3"/>
  <c r="AO1039" i="3"/>
  <c r="AL1039" i="3"/>
  <c r="AH1039" i="3"/>
  <c r="AB1039" i="3"/>
  <c r="Y1039" i="3"/>
  <c r="X1039" i="3"/>
  <c r="U1039" i="3"/>
  <c r="V1039" i="3"/>
  <c r="W1039" i="3"/>
  <c r="R1039" i="3"/>
  <c r="P1039" i="3"/>
  <c r="AO1038" i="3"/>
  <c r="AL1038" i="3"/>
  <c r="AH1038" i="3"/>
  <c r="AD1038" i="3"/>
  <c r="AB1038" i="3"/>
  <c r="X1038" i="3"/>
  <c r="U1038" i="3"/>
  <c r="V1038" i="3"/>
  <c r="W1038" i="3"/>
  <c r="R1038" i="3"/>
  <c r="P1038" i="3"/>
  <c r="AO1037" i="3"/>
  <c r="AL1037" i="3"/>
  <c r="AH1037" i="3"/>
  <c r="AD1037" i="3"/>
  <c r="AB1037" i="3"/>
  <c r="X1037" i="3"/>
  <c r="Z1037" i="3"/>
  <c r="AA1037" i="3"/>
  <c r="T1037" i="3"/>
  <c r="R1037" i="3"/>
  <c r="P1037" i="3"/>
  <c r="AO1036" i="3"/>
  <c r="AL1036" i="3"/>
  <c r="AH1036" i="3"/>
  <c r="AD1036" i="3"/>
  <c r="AB1036" i="3"/>
  <c r="X1036" i="3"/>
  <c r="S1036" i="3"/>
  <c r="U1036" i="3"/>
  <c r="V1036" i="3"/>
  <c r="W1036" i="3"/>
  <c r="R1036" i="3"/>
  <c r="P1036" i="3"/>
  <c r="AG1035" i="3"/>
  <c r="AB1035" i="3"/>
  <c r="Z1035" i="3"/>
  <c r="AA1035" i="3"/>
  <c r="V1035" i="3"/>
  <c r="W1035" i="3"/>
  <c r="S1035" i="3"/>
  <c r="R1035" i="3"/>
  <c r="P1035" i="3"/>
  <c r="AG1034" i="3"/>
  <c r="AB1034" i="3"/>
  <c r="X1034" i="3"/>
  <c r="Z1034" i="3"/>
  <c r="AA1034" i="3"/>
  <c r="U1034" i="3"/>
  <c r="V1034" i="3"/>
  <c r="W1034" i="3"/>
  <c r="R1034" i="3"/>
  <c r="P1034" i="3"/>
  <c r="AH1033" i="3"/>
  <c r="AG1033" i="3"/>
  <c r="AB1033" i="3"/>
  <c r="X1033" i="3"/>
  <c r="U1033" i="3"/>
  <c r="V1033" i="3"/>
  <c r="W1033" i="3"/>
  <c r="R1033" i="3"/>
  <c r="P1033" i="3"/>
  <c r="AG1032" i="3"/>
  <c r="AB1032" i="3"/>
  <c r="X1032" i="3"/>
  <c r="S1032" i="3"/>
  <c r="U1032" i="3"/>
  <c r="V1032" i="3"/>
  <c r="W1032" i="3"/>
  <c r="R1032" i="3"/>
  <c r="P1032" i="3"/>
  <c r="AH1031" i="3"/>
  <c r="AG1031" i="3"/>
  <c r="AB1031" i="3"/>
  <c r="X1031" i="3"/>
  <c r="Z1031" i="3"/>
  <c r="AA1031" i="3"/>
  <c r="V1031" i="3"/>
  <c r="W1031" i="3"/>
  <c r="R1031" i="3"/>
  <c r="P1031" i="3"/>
  <c r="AH1030" i="3"/>
  <c r="AG1030" i="3"/>
  <c r="AB1030" i="3"/>
  <c r="X1030" i="3"/>
  <c r="S1030" i="3"/>
  <c r="U1030" i="3"/>
  <c r="V1030" i="3"/>
  <c r="W1030" i="3"/>
  <c r="R1030" i="3"/>
  <c r="P1030" i="3"/>
  <c r="AH1029" i="3"/>
  <c r="AG1029" i="3"/>
  <c r="AB1029" i="3"/>
  <c r="X1029" i="3"/>
  <c r="S1029" i="3"/>
  <c r="U1029" i="3"/>
  <c r="V1029" i="3"/>
  <c r="W1029" i="3"/>
  <c r="R1029" i="3"/>
  <c r="P1029" i="3"/>
  <c r="AH1028" i="3"/>
  <c r="AG1028" i="3"/>
  <c r="AB1028" i="3"/>
  <c r="X1028" i="3"/>
  <c r="U1028" i="3"/>
  <c r="V1028" i="3"/>
  <c r="W1028" i="3"/>
  <c r="R1028" i="3"/>
  <c r="P1028" i="3"/>
  <c r="AH1027" i="3"/>
  <c r="AG1027" i="3"/>
  <c r="AB1027" i="3"/>
  <c r="X1027" i="3"/>
  <c r="Z1027" i="3"/>
  <c r="AA1027" i="3"/>
  <c r="V1027" i="3"/>
  <c r="R1027" i="3"/>
  <c r="P1027" i="3"/>
  <c r="AG1026" i="3"/>
  <c r="AB1026" i="3"/>
  <c r="Y1026" i="3"/>
  <c r="V1026" i="3"/>
  <c r="W1026" i="3"/>
  <c r="R1026" i="3"/>
  <c r="P1026" i="3"/>
  <c r="AH1025" i="3"/>
  <c r="AG1025" i="3"/>
  <c r="AB1025" i="3"/>
  <c r="Y1025" i="3"/>
  <c r="X1025" i="3"/>
  <c r="S1025" i="3"/>
  <c r="U1025" i="3"/>
  <c r="V1025" i="3"/>
  <c r="W1025" i="3"/>
  <c r="R1025" i="3"/>
  <c r="P1025" i="3"/>
  <c r="AH1024" i="3"/>
  <c r="AG1024" i="3"/>
  <c r="AB1024" i="3"/>
  <c r="Y1024" i="3"/>
  <c r="X1024" i="3"/>
  <c r="U1024" i="3"/>
  <c r="V1024" i="3"/>
  <c r="W1024" i="3"/>
  <c r="R1024" i="3"/>
  <c r="P1024" i="3"/>
  <c r="AH1023" i="3"/>
  <c r="AG1023" i="3"/>
  <c r="AB1023" i="3"/>
  <c r="Y1023" i="3"/>
  <c r="X1023" i="3"/>
  <c r="S1023" i="3"/>
  <c r="U1023" i="3"/>
  <c r="V1023" i="3"/>
  <c r="W1023" i="3"/>
  <c r="R1023" i="3"/>
  <c r="P1023" i="3"/>
  <c r="AH1022" i="3"/>
  <c r="AG1022" i="3"/>
  <c r="AB1022" i="3"/>
  <c r="Y1022" i="3"/>
  <c r="X1022" i="3"/>
  <c r="U1022" i="3"/>
  <c r="V1022" i="3"/>
  <c r="W1022" i="3"/>
  <c r="R1022" i="3"/>
  <c r="P1022" i="3"/>
  <c r="AG1021" i="3"/>
  <c r="AB1021" i="3"/>
  <c r="Z1021" i="3"/>
  <c r="AA1021" i="3"/>
  <c r="V1021" i="3"/>
  <c r="W1021" i="3"/>
  <c r="S1021" i="3"/>
  <c r="R1021" i="3"/>
  <c r="P1021" i="3"/>
  <c r="AH1020" i="3"/>
  <c r="AG1020" i="3"/>
  <c r="AB1020" i="3"/>
  <c r="Y1020" i="3"/>
  <c r="X1020" i="3"/>
  <c r="V1020" i="3"/>
  <c r="W1020" i="3"/>
  <c r="R1020" i="3"/>
  <c r="AB1019" i="3"/>
  <c r="Y1019" i="3"/>
  <c r="X1019" i="3"/>
  <c r="S1019" i="3"/>
  <c r="V1019" i="3"/>
  <c r="W1019" i="3"/>
  <c r="R1019" i="3"/>
  <c r="AG1018" i="3"/>
  <c r="AB1018" i="3"/>
  <c r="Z1018" i="3"/>
  <c r="AA1018" i="3"/>
  <c r="V1018" i="3"/>
  <c r="W1018" i="3"/>
  <c r="S1018" i="3"/>
  <c r="R1018" i="3"/>
  <c r="P1018" i="3"/>
  <c r="AH1017" i="3"/>
  <c r="AG1017" i="3"/>
  <c r="AB1017" i="3"/>
  <c r="Y1017" i="3"/>
  <c r="X1017" i="3"/>
  <c r="U1017" i="3"/>
  <c r="V1017" i="3"/>
  <c r="W1017" i="3"/>
  <c r="R1017" i="3"/>
  <c r="AO1016" i="3"/>
  <c r="AJ1016" i="3"/>
  <c r="P1016" i="3"/>
  <c r="AH1016" i="3"/>
  <c r="AG1016" i="3"/>
  <c r="AD1016" i="3"/>
  <c r="AB1016" i="3"/>
  <c r="X1016" i="3"/>
  <c r="Z1016" i="3"/>
  <c r="AA1016" i="3"/>
  <c r="U1016" i="3"/>
  <c r="V1016" i="3"/>
  <c r="W1016" i="3"/>
  <c r="R1016" i="3"/>
  <c r="AO1015" i="3"/>
  <c r="AJ1015" i="3"/>
  <c r="P1015" i="3"/>
  <c r="AH1015" i="3"/>
  <c r="AG1015" i="3"/>
  <c r="AD1015" i="3"/>
  <c r="AB1015" i="3"/>
  <c r="X1015" i="3"/>
  <c r="U1015" i="3"/>
  <c r="V1015" i="3"/>
  <c r="W1015" i="3"/>
  <c r="R1015" i="3"/>
  <c r="AO1014" i="3"/>
  <c r="AJ1014" i="3"/>
  <c r="P1014" i="3"/>
  <c r="AH1014" i="3"/>
  <c r="AG1014" i="3"/>
  <c r="AD1014" i="3"/>
  <c r="AB1014" i="3"/>
  <c r="X1014" i="3"/>
  <c r="U1014" i="3"/>
  <c r="V1014" i="3"/>
  <c r="W1014" i="3"/>
  <c r="R1014" i="3"/>
  <c r="AO1013" i="3"/>
  <c r="AJ1013" i="3"/>
  <c r="P1013" i="3"/>
  <c r="AH1013" i="3"/>
  <c r="AG1013" i="3"/>
  <c r="AD1013" i="3"/>
  <c r="AB1013" i="3"/>
  <c r="X1013" i="3"/>
  <c r="U1013" i="3"/>
  <c r="V1013" i="3"/>
  <c r="W1013" i="3"/>
  <c r="R1013" i="3"/>
  <c r="AO1012" i="3"/>
  <c r="AJ1012" i="3"/>
  <c r="P1012" i="3"/>
  <c r="AH1012" i="3"/>
  <c r="AG1012" i="3"/>
  <c r="AD1012" i="3"/>
  <c r="AB1012" i="3"/>
  <c r="X1012" i="3"/>
  <c r="U1012" i="3"/>
  <c r="V1012" i="3"/>
  <c r="W1012" i="3"/>
  <c r="R1012" i="3"/>
  <c r="AH1011" i="3"/>
  <c r="AG1011" i="3"/>
  <c r="Y1011" i="3"/>
  <c r="AD1011" i="3"/>
  <c r="AB1011" i="3"/>
  <c r="U1011" i="3"/>
  <c r="V1011" i="3"/>
  <c r="W1011" i="3"/>
  <c r="R1011" i="3"/>
  <c r="AH1010" i="3"/>
  <c r="AG1010" i="3"/>
  <c r="Y1010" i="3"/>
  <c r="X1010" i="3"/>
  <c r="U1010" i="3"/>
  <c r="V1010" i="3"/>
  <c r="W1010" i="3"/>
  <c r="R1010" i="3"/>
  <c r="AG1009" i="3"/>
  <c r="AB1009" i="3"/>
  <c r="Z1009" i="3"/>
  <c r="AA1009" i="3"/>
  <c r="V1009" i="3"/>
  <c r="W1009" i="3"/>
  <c r="S1009" i="3"/>
  <c r="R1009" i="3"/>
  <c r="P1009" i="3"/>
  <c r="AG1008" i="3"/>
  <c r="AB1008" i="3"/>
  <c r="Z1008" i="3"/>
  <c r="AA1008" i="3"/>
  <c r="V1008" i="3"/>
  <c r="W1008" i="3"/>
  <c r="S1008" i="3"/>
  <c r="R1008" i="3"/>
  <c r="P1008" i="3"/>
  <c r="AG1007" i="3"/>
  <c r="AB1007" i="3"/>
  <c r="Z1007" i="3"/>
  <c r="AA1007" i="3"/>
  <c r="V1007" i="3"/>
  <c r="W1007" i="3"/>
  <c r="S1007" i="3"/>
  <c r="R1007" i="3"/>
  <c r="P1007" i="3"/>
  <c r="AG1006" i="3"/>
  <c r="AB1006" i="3"/>
  <c r="Y1006" i="3"/>
  <c r="X1006" i="3"/>
  <c r="S1006" i="3"/>
  <c r="U1006" i="3"/>
  <c r="V1006" i="3"/>
  <c r="W1006" i="3"/>
  <c r="R1006" i="3"/>
  <c r="P1006" i="3"/>
  <c r="AJ1005" i="3"/>
  <c r="P1005" i="3"/>
  <c r="AG1005" i="3"/>
  <c r="AB1005" i="3"/>
  <c r="Y1005" i="3"/>
  <c r="X1005" i="3"/>
  <c r="S1005" i="3"/>
  <c r="U1005" i="3"/>
  <c r="V1005" i="3"/>
  <c r="W1005" i="3"/>
  <c r="R1005" i="3"/>
  <c r="AJ1004" i="3"/>
  <c r="P1004" i="3"/>
  <c r="AH1004" i="3"/>
  <c r="AG1004" i="3"/>
  <c r="AB1004" i="3"/>
  <c r="Y1004" i="3"/>
  <c r="X1004" i="3"/>
  <c r="S1004" i="3"/>
  <c r="U1004" i="3"/>
  <c r="V1004" i="3"/>
  <c r="W1004" i="3"/>
  <c r="R1004" i="3"/>
  <c r="AJ1003" i="3"/>
  <c r="P1003" i="3"/>
  <c r="AH1003" i="3"/>
  <c r="AG1003" i="3"/>
  <c r="AB1003" i="3"/>
  <c r="Y1003" i="3"/>
  <c r="X1003" i="3"/>
  <c r="S1003" i="3"/>
  <c r="U1003" i="3"/>
  <c r="V1003" i="3"/>
  <c r="W1003" i="3"/>
  <c r="R1003" i="3"/>
  <c r="AH1002" i="3"/>
  <c r="AG1002" i="3"/>
  <c r="AB1002" i="3"/>
  <c r="Y1002" i="3"/>
  <c r="X1002" i="3"/>
  <c r="U1002" i="3"/>
  <c r="V1002" i="3"/>
  <c r="W1002" i="3"/>
  <c r="R1002" i="3"/>
  <c r="P1002" i="3"/>
  <c r="AH1001" i="3"/>
  <c r="AG1001" i="3"/>
  <c r="AD1001" i="3"/>
  <c r="AB1001" i="3"/>
  <c r="Y1001" i="3"/>
  <c r="X1001" i="3"/>
  <c r="U1001" i="3"/>
  <c r="V1001" i="3"/>
  <c r="W1001" i="3"/>
  <c r="R1001" i="3"/>
  <c r="P1001" i="3"/>
  <c r="AO1000" i="3"/>
  <c r="AH1000" i="3"/>
  <c r="AG1000" i="3"/>
  <c r="AD1000" i="3"/>
  <c r="AB1000" i="3"/>
  <c r="Y1000" i="3"/>
  <c r="X1000" i="3"/>
  <c r="U1000" i="3"/>
  <c r="V1000" i="3"/>
  <c r="W1000" i="3"/>
  <c r="R1000" i="3"/>
  <c r="P1000" i="3"/>
  <c r="AO999" i="3"/>
  <c r="AH999" i="3"/>
  <c r="AG999" i="3"/>
  <c r="AD999" i="3"/>
  <c r="U999" i="3"/>
  <c r="V999" i="3"/>
  <c r="W999" i="3"/>
  <c r="R999" i="3"/>
  <c r="P999" i="3"/>
  <c r="AO998" i="3"/>
  <c r="AH998" i="3"/>
  <c r="AG998" i="3"/>
  <c r="AD998" i="3"/>
  <c r="AB998" i="3"/>
  <c r="Y998" i="3"/>
  <c r="X998" i="3"/>
  <c r="U998" i="3"/>
  <c r="V998" i="3"/>
  <c r="W998" i="3"/>
  <c r="R998" i="3"/>
  <c r="P998" i="3"/>
  <c r="AO997" i="3"/>
  <c r="AH997" i="3"/>
  <c r="AG997" i="3"/>
  <c r="AD997" i="3"/>
  <c r="AB997" i="3"/>
  <c r="Y997" i="3"/>
  <c r="X997" i="3"/>
  <c r="U997" i="3"/>
  <c r="V997" i="3"/>
  <c r="W997" i="3"/>
  <c r="R997" i="3"/>
  <c r="P997" i="3"/>
  <c r="AO996" i="3"/>
  <c r="AG996" i="3"/>
  <c r="AD996" i="3"/>
  <c r="AB996" i="3"/>
  <c r="Y996" i="3"/>
  <c r="X996" i="3"/>
  <c r="U996" i="3"/>
  <c r="V996" i="3"/>
  <c r="W996" i="3"/>
  <c r="R996" i="3"/>
  <c r="P996" i="3"/>
  <c r="AO995" i="3"/>
  <c r="AG995" i="3"/>
  <c r="AD995" i="3"/>
  <c r="AB995" i="3"/>
  <c r="U995" i="3"/>
  <c r="V995" i="3"/>
  <c r="W995" i="3"/>
  <c r="R995" i="3"/>
  <c r="P995" i="3"/>
  <c r="AO994" i="3"/>
  <c r="AG994" i="3"/>
  <c r="AD994" i="3"/>
  <c r="AB994" i="3"/>
  <c r="Y994" i="3"/>
  <c r="X994" i="3"/>
  <c r="U994" i="3"/>
  <c r="V994" i="3"/>
  <c r="W994" i="3"/>
  <c r="R994" i="3"/>
  <c r="P994" i="3"/>
  <c r="AG993" i="3"/>
  <c r="AB993" i="3"/>
  <c r="Z993" i="3"/>
  <c r="AA993" i="3"/>
  <c r="V993" i="3"/>
  <c r="W993" i="3"/>
  <c r="S993" i="3"/>
  <c r="R993" i="3"/>
  <c r="P993" i="3"/>
  <c r="AG992" i="3"/>
  <c r="AB992" i="3"/>
  <c r="Z992" i="3"/>
  <c r="AA992" i="3"/>
  <c r="V992" i="3"/>
  <c r="W992" i="3"/>
  <c r="S992" i="3"/>
  <c r="R992" i="3"/>
  <c r="P992" i="3"/>
  <c r="AO991" i="3"/>
  <c r="AL991" i="3"/>
  <c r="AH991" i="3"/>
  <c r="AB991" i="3"/>
  <c r="Y991" i="3"/>
  <c r="X991" i="3"/>
  <c r="U991" i="3"/>
  <c r="V991" i="3"/>
  <c r="W991" i="3"/>
  <c r="R991" i="3"/>
  <c r="AO990" i="3"/>
  <c r="AL990" i="3"/>
  <c r="AH990" i="3"/>
  <c r="AB990" i="3"/>
  <c r="Y990" i="3"/>
  <c r="X990" i="3"/>
  <c r="U990" i="3"/>
  <c r="V990" i="3"/>
  <c r="W990" i="3"/>
  <c r="R990" i="3"/>
  <c r="P990" i="3"/>
  <c r="AO989" i="3"/>
  <c r="AL989" i="3"/>
  <c r="AH989" i="3"/>
  <c r="AB989" i="3"/>
  <c r="Y989" i="3"/>
  <c r="X989" i="3"/>
  <c r="S989" i="3"/>
  <c r="U989" i="3"/>
  <c r="V989" i="3"/>
  <c r="W989" i="3"/>
  <c r="R989" i="3"/>
  <c r="AL988" i="3"/>
  <c r="AH988" i="3"/>
  <c r="AB988" i="3"/>
  <c r="Y988" i="3"/>
  <c r="X988" i="3"/>
  <c r="U988" i="3"/>
  <c r="V988" i="3"/>
  <c r="W988" i="3"/>
  <c r="R988" i="3"/>
  <c r="AO987" i="3"/>
  <c r="AL987" i="3"/>
  <c r="AH987" i="3"/>
  <c r="AB987" i="3"/>
  <c r="Y987" i="3"/>
  <c r="X987" i="3"/>
  <c r="U987" i="3"/>
  <c r="V987" i="3"/>
  <c r="W987" i="3"/>
  <c r="R987" i="3"/>
  <c r="P987" i="3"/>
  <c r="AO986" i="3"/>
  <c r="AH986" i="3"/>
  <c r="AG986" i="3"/>
  <c r="AB986" i="3"/>
  <c r="X986" i="3"/>
  <c r="Z986" i="3"/>
  <c r="AA986" i="3"/>
  <c r="T986" i="3"/>
  <c r="R986" i="3"/>
  <c r="AO985" i="3"/>
  <c r="AH985" i="3"/>
  <c r="AG985" i="3"/>
  <c r="AB985" i="3"/>
  <c r="Z985" i="3"/>
  <c r="AA985" i="3"/>
  <c r="V985" i="3"/>
  <c r="W985" i="3"/>
  <c r="S985" i="3"/>
  <c r="R985" i="3"/>
  <c r="AO984" i="3"/>
  <c r="AH984" i="3"/>
  <c r="AG984" i="3"/>
  <c r="AB984" i="3"/>
  <c r="X984" i="3"/>
  <c r="Z984" i="3"/>
  <c r="AA984" i="3"/>
  <c r="U984" i="3"/>
  <c r="V984" i="3"/>
  <c r="W984" i="3"/>
  <c r="R984" i="3"/>
  <c r="P984" i="3"/>
  <c r="AO983" i="3"/>
  <c r="AH983" i="3"/>
  <c r="AG983" i="3"/>
  <c r="AB983" i="3"/>
  <c r="X983" i="3"/>
  <c r="S983" i="3"/>
  <c r="U983" i="3"/>
  <c r="V983" i="3"/>
  <c r="W983" i="3"/>
  <c r="R983" i="3"/>
  <c r="AO982" i="3"/>
  <c r="AH982" i="3"/>
  <c r="AG982" i="3"/>
  <c r="AB982" i="3"/>
  <c r="X982" i="3"/>
  <c r="U982" i="3"/>
  <c r="V982" i="3"/>
  <c r="W982" i="3"/>
  <c r="R982" i="3"/>
  <c r="AL981" i="3"/>
  <c r="AH981" i="3"/>
  <c r="AD981" i="3"/>
  <c r="AB981" i="3"/>
  <c r="Y981" i="3"/>
  <c r="X981" i="3"/>
  <c r="U981" i="3"/>
  <c r="V981" i="3"/>
  <c r="W981" i="3"/>
  <c r="R981" i="3"/>
  <c r="P981" i="3"/>
  <c r="AL980" i="3"/>
  <c r="AG980" i="3"/>
  <c r="AD980" i="3"/>
  <c r="AB980" i="3"/>
  <c r="Y980" i="3"/>
  <c r="X980" i="3"/>
  <c r="U980" i="3"/>
  <c r="V980" i="3"/>
  <c r="W980" i="3"/>
  <c r="R980" i="3"/>
  <c r="P980" i="3"/>
  <c r="AO979" i="3"/>
  <c r="AL979" i="3"/>
  <c r="AG979" i="3"/>
  <c r="AD979" i="3"/>
  <c r="AB979" i="3"/>
  <c r="Y979" i="3"/>
  <c r="X979" i="3"/>
  <c r="U979" i="3"/>
  <c r="V979" i="3"/>
  <c r="W979" i="3"/>
  <c r="R979" i="3"/>
  <c r="P979" i="3"/>
  <c r="AL978" i="3"/>
  <c r="AG978" i="3"/>
  <c r="AD978" i="3"/>
  <c r="AB978" i="3"/>
  <c r="Y978" i="3"/>
  <c r="X978" i="3"/>
  <c r="U978" i="3"/>
  <c r="V978" i="3"/>
  <c r="W978" i="3"/>
  <c r="R978" i="3"/>
  <c r="P978" i="3"/>
  <c r="AJ977" i="3"/>
  <c r="AD977" i="3"/>
  <c r="AB977" i="3"/>
  <c r="Y977" i="3"/>
  <c r="X977" i="3"/>
  <c r="U977" i="3"/>
  <c r="V977" i="3"/>
  <c r="W977" i="3"/>
  <c r="R977" i="3"/>
  <c r="AL976" i="3"/>
  <c r="AJ976" i="3"/>
  <c r="P976" i="3"/>
  <c r="AH976" i="3"/>
  <c r="AD976" i="3"/>
  <c r="AB976" i="3"/>
  <c r="X976" i="3"/>
  <c r="Z976" i="3"/>
  <c r="AA976" i="3"/>
  <c r="U976" i="3"/>
  <c r="V976" i="3"/>
  <c r="W976" i="3"/>
  <c r="R976" i="3"/>
  <c r="AL975" i="3"/>
  <c r="AJ975" i="3"/>
  <c r="P975" i="3"/>
  <c r="AH975" i="3"/>
  <c r="AD975" i="3"/>
  <c r="AB975" i="3"/>
  <c r="X975" i="3"/>
  <c r="U975" i="3"/>
  <c r="V975" i="3"/>
  <c r="W975" i="3"/>
  <c r="R975" i="3"/>
  <c r="AL974" i="3"/>
  <c r="AJ974" i="3"/>
  <c r="P974" i="3"/>
  <c r="AH974" i="3"/>
  <c r="AD974" i="3"/>
  <c r="AB974" i="3"/>
  <c r="X974" i="3"/>
  <c r="U974" i="3"/>
  <c r="V974" i="3"/>
  <c r="W974" i="3"/>
  <c r="R974" i="3"/>
  <c r="AL973" i="3"/>
  <c r="AJ973" i="3"/>
  <c r="P973" i="3"/>
  <c r="AH973" i="3"/>
  <c r="AD973" i="3"/>
  <c r="AB973" i="3"/>
  <c r="X973" i="3"/>
  <c r="S973" i="3"/>
  <c r="U973" i="3"/>
  <c r="V973" i="3"/>
  <c r="W973" i="3"/>
  <c r="R973" i="3"/>
  <c r="AL972" i="3"/>
  <c r="AJ972" i="3"/>
  <c r="P972" i="3"/>
  <c r="AH972" i="3"/>
  <c r="Y972" i="3"/>
  <c r="X972" i="3"/>
  <c r="S972" i="3"/>
  <c r="U972" i="3"/>
  <c r="V972" i="3"/>
  <c r="W972" i="3"/>
  <c r="R972" i="3"/>
  <c r="AL971" i="3"/>
  <c r="AH971" i="3"/>
  <c r="Y971" i="3"/>
  <c r="AD971" i="3"/>
  <c r="AB971" i="3"/>
  <c r="X971" i="3"/>
  <c r="U971" i="3"/>
  <c r="V971" i="3"/>
  <c r="W971" i="3"/>
  <c r="R971" i="3"/>
  <c r="P971" i="3"/>
  <c r="AL970" i="3"/>
  <c r="AH970" i="3"/>
  <c r="Y970" i="3"/>
  <c r="U970" i="3"/>
  <c r="V970" i="3"/>
  <c r="W970" i="3"/>
  <c r="S970" i="3"/>
  <c r="R970" i="3"/>
  <c r="P970" i="3"/>
  <c r="AL969" i="3"/>
  <c r="AH969" i="3"/>
  <c r="Y969" i="3"/>
  <c r="X969" i="3"/>
  <c r="S969" i="3"/>
  <c r="U969" i="3"/>
  <c r="V969" i="3"/>
  <c r="W969" i="3"/>
  <c r="R969" i="3"/>
  <c r="AL968" i="3"/>
  <c r="AH968" i="3"/>
  <c r="Y968" i="3"/>
  <c r="AD968" i="3"/>
  <c r="AB968" i="3"/>
  <c r="X968" i="3"/>
  <c r="S968" i="3"/>
  <c r="U968" i="3"/>
  <c r="V968" i="3"/>
  <c r="W968" i="3"/>
  <c r="R968" i="3"/>
  <c r="P968" i="3"/>
  <c r="AL967" i="3"/>
  <c r="AH967" i="3"/>
  <c r="Y967" i="3"/>
  <c r="AD967" i="3"/>
  <c r="AB967" i="3"/>
  <c r="X967" i="3"/>
  <c r="U967" i="3"/>
  <c r="V967" i="3"/>
  <c r="W967" i="3"/>
  <c r="R967" i="3"/>
  <c r="P967" i="3"/>
  <c r="AG966" i="3"/>
  <c r="AB966" i="3"/>
  <c r="X966" i="3"/>
  <c r="S966" i="3"/>
  <c r="U966" i="3"/>
  <c r="V966" i="3"/>
  <c r="W966" i="3"/>
  <c r="R966" i="3"/>
  <c r="P966" i="3"/>
  <c r="AG965" i="3"/>
  <c r="AB965" i="3"/>
  <c r="X965" i="3"/>
  <c r="U965" i="3"/>
  <c r="V965" i="3"/>
  <c r="W965" i="3"/>
  <c r="R965" i="3"/>
  <c r="P965" i="3"/>
  <c r="AO964" i="3"/>
  <c r="AG964" i="3"/>
  <c r="AB964" i="3"/>
  <c r="X964" i="3"/>
  <c r="Z964" i="3"/>
  <c r="AA964" i="3"/>
  <c r="U964" i="3"/>
  <c r="V964" i="3"/>
  <c r="W964" i="3"/>
  <c r="R964" i="3"/>
  <c r="P964" i="3"/>
  <c r="AO963" i="3"/>
  <c r="AG963" i="3"/>
  <c r="AB963" i="3"/>
  <c r="X963" i="3"/>
  <c r="U963" i="3"/>
  <c r="V963" i="3"/>
  <c r="W963" i="3"/>
  <c r="R963" i="3"/>
  <c r="P963" i="3"/>
  <c r="AO962" i="3"/>
  <c r="AG962" i="3"/>
  <c r="AB962" i="3"/>
  <c r="X962" i="3"/>
  <c r="Z962" i="3"/>
  <c r="AA962" i="3"/>
  <c r="U962" i="3"/>
  <c r="V962" i="3"/>
  <c r="W962" i="3"/>
  <c r="S962" i="3"/>
  <c r="R962" i="3"/>
  <c r="P962" i="3"/>
  <c r="AO961" i="3"/>
  <c r="AJ961" i="3"/>
  <c r="P961" i="3"/>
  <c r="AG961" i="3"/>
  <c r="AB961" i="3"/>
  <c r="Y961" i="3"/>
  <c r="X961" i="3"/>
  <c r="Z961" i="3"/>
  <c r="AA961" i="3"/>
  <c r="U961" i="3"/>
  <c r="V961" i="3"/>
  <c r="W961" i="3"/>
  <c r="R961" i="3"/>
  <c r="AO960" i="3"/>
  <c r="AJ960" i="3"/>
  <c r="P960" i="3"/>
  <c r="AG960" i="3"/>
  <c r="AB960" i="3"/>
  <c r="Y960" i="3"/>
  <c r="X960" i="3"/>
  <c r="S960" i="3"/>
  <c r="U960" i="3"/>
  <c r="V960" i="3"/>
  <c r="W960" i="3"/>
  <c r="R960" i="3"/>
  <c r="AO959" i="3"/>
  <c r="AJ959" i="3"/>
  <c r="P959" i="3"/>
  <c r="AG959" i="3"/>
  <c r="AB959" i="3"/>
  <c r="Y959" i="3"/>
  <c r="X959" i="3"/>
  <c r="U959" i="3"/>
  <c r="V959" i="3"/>
  <c r="W959" i="3"/>
  <c r="R959" i="3"/>
  <c r="AO958" i="3"/>
  <c r="AJ958" i="3"/>
  <c r="P958" i="3"/>
  <c r="AH958" i="3"/>
  <c r="AG958" i="3"/>
  <c r="AB958" i="3"/>
  <c r="Y958" i="3"/>
  <c r="X958" i="3"/>
  <c r="S958" i="3"/>
  <c r="U958" i="3"/>
  <c r="V958" i="3"/>
  <c r="W958" i="3"/>
  <c r="R958" i="3"/>
  <c r="AO957" i="3"/>
  <c r="AJ957" i="3"/>
  <c r="P957" i="3"/>
  <c r="AG957" i="3"/>
  <c r="AB957" i="3"/>
  <c r="Y957" i="3"/>
  <c r="X957" i="3"/>
  <c r="S957" i="3"/>
  <c r="U957" i="3"/>
  <c r="V957" i="3"/>
  <c r="W957" i="3"/>
  <c r="R957" i="3"/>
  <c r="AO956" i="3"/>
  <c r="AJ956" i="3"/>
  <c r="P956" i="3"/>
  <c r="AH956" i="3"/>
  <c r="AG956" i="3"/>
  <c r="Y956" i="3"/>
  <c r="AD956" i="3"/>
  <c r="AB956" i="3"/>
  <c r="X956" i="3"/>
  <c r="S956" i="3"/>
  <c r="V956" i="3"/>
  <c r="R956" i="3"/>
  <c r="AG955" i="3"/>
  <c r="AB955" i="3"/>
  <c r="Y955" i="3"/>
  <c r="X955" i="3"/>
  <c r="S955" i="3"/>
  <c r="Z955" i="3"/>
  <c r="AA955" i="3"/>
  <c r="V955" i="3"/>
  <c r="W955" i="3"/>
  <c r="R955" i="3"/>
  <c r="P955" i="3"/>
  <c r="AO954" i="3"/>
  <c r="AJ954" i="3"/>
  <c r="P954" i="3"/>
  <c r="AH954" i="3"/>
  <c r="AG954" i="3"/>
  <c r="AD954" i="3"/>
  <c r="AB954" i="3"/>
  <c r="Y954" i="3"/>
  <c r="X954" i="3"/>
  <c r="S954" i="3"/>
  <c r="V954" i="3"/>
  <c r="R954" i="3"/>
  <c r="AO953" i="3"/>
  <c r="AJ953" i="3"/>
  <c r="AH953" i="3"/>
  <c r="AG953" i="3"/>
  <c r="Y953" i="3"/>
  <c r="AD953" i="3"/>
  <c r="AB953" i="3"/>
  <c r="X953" i="3"/>
  <c r="U953" i="3"/>
  <c r="V953" i="3"/>
  <c r="W953" i="3"/>
  <c r="S953" i="3"/>
  <c r="R953" i="3"/>
  <c r="P953" i="3"/>
  <c r="AO952" i="3"/>
  <c r="AM952" i="3"/>
  <c r="AH952" i="3"/>
  <c r="AG952" i="3"/>
  <c r="AB952" i="3"/>
  <c r="Y952" i="3"/>
  <c r="X952" i="3"/>
  <c r="U952" i="3"/>
  <c r="V952" i="3"/>
  <c r="W952" i="3"/>
  <c r="R952" i="3"/>
  <c r="P952" i="3"/>
  <c r="AO951" i="3"/>
  <c r="AM951" i="3"/>
  <c r="AH951" i="3"/>
  <c r="AG951" i="3"/>
  <c r="AB951" i="3"/>
  <c r="Y951" i="3"/>
  <c r="X951" i="3"/>
  <c r="U951" i="3"/>
  <c r="V951" i="3"/>
  <c r="W951" i="3"/>
  <c r="R951" i="3"/>
  <c r="P951" i="3"/>
  <c r="AO950" i="3"/>
  <c r="AH950" i="3"/>
  <c r="AG950" i="3"/>
  <c r="AB950" i="3"/>
  <c r="Y950" i="3"/>
  <c r="X950" i="3"/>
  <c r="U950" i="3"/>
  <c r="V950" i="3"/>
  <c r="W950" i="3"/>
  <c r="R950" i="3"/>
  <c r="P950" i="3"/>
  <c r="AH949" i="3"/>
  <c r="AG949" i="3"/>
  <c r="AB949" i="3"/>
  <c r="Y949" i="3"/>
  <c r="X949" i="3"/>
  <c r="U949" i="3"/>
  <c r="V949" i="3"/>
  <c r="W949" i="3"/>
  <c r="R949" i="3"/>
  <c r="P949" i="3"/>
  <c r="AO948" i="3"/>
  <c r="AH948" i="3"/>
  <c r="AG948" i="3"/>
  <c r="AB948" i="3"/>
  <c r="Y948" i="3"/>
  <c r="X948" i="3"/>
  <c r="U948" i="3"/>
  <c r="V948" i="3"/>
  <c r="W948" i="3"/>
  <c r="R948" i="3"/>
  <c r="P948" i="3"/>
  <c r="AJ947" i="3"/>
  <c r="P947" i="3"/>
  <c r="AG947" i="3"/>
  <c r="AB947" i="3"/>
  <c r="Y947" i="3"/>
  <c r="X947" i="3"/>
  <c r="U947" i="3"/>
  <c r="V947" i="3"/>
  <c r="W947" i="3"/>
  <c r="R947" i="3"/>
  <c r="AJ946" i="3"/>
  <c r="P946" i="3"/>
  <c r="AG946" i="3"/>
  <c r="AB946" i="3"/>
  <c r="Y946" i="3"/>
  <c r="X946" i="3"/>
  <c r="S946" i="3"/>
  <c r="U946" i="3"/>
  <c r="V946" i="3"/>
  <c r="W946" i="3"/>
  <c r="R946" i="3"/>
  <c r="AJ945" i="3"/>
  <c r="P945" i="3"/>
  <c r="AG945" i="3"/>
  <c r="AB945" i="3"/>
  <c r="Y945" i="3"/>
  <c r="X945" i="3"/>
  <c r="S945" i="3"/>
  <c r="U945" i="3"/>
  <c r="V945" i="3"/>
  <c r="W945" i="3"/>
  <c r="R945" i="3"/>
  <c r="AG944" i="3"/>
  <c r="AB944" i="3"/>
  <c r="Y944" i="3"/>
  <c r="X944" i="3"/>
  <c r="S943" i="3"/>
  <c r="U944" i="3"/>
  <c r="V944" i="3"/>
  <c r="W944" i="3"/>
  <c r="R944" i="3"/>
  <c r="P944" i="3"/>
  <c r="R943" i="3"/>
  <c r="P943" i="3"/>
  <c r="AG942" i="3"/>
  <c r="AB942" i="3"/>
  <c r="Z942" i="3"/>
  <c r="AA942" i="3"/>
  <c r="U942" i="3"/>
  <c r="V942" i="3"/>
  <c r="W942" i="3"/>
  <c r="S942" i="3"/>
  <c r="R942" i="3"/>
  <c r="P942" i="3"/>
  <c r="AG941" i="3"/>
  <c r="AB941" i="3"/>
  <c r="Z941" i="3"/>
  <c r="AA941" i="3"/>
  <c r="U941" i="3"/>
  <c r="V941" i="3"/>
  <c r="W941" i="3"/>
  <c r="S941" i="3"/>
  <c r="R941" i="3"/>
  <c r="P941" i="3"/>
  <c r="AG940" i="3"/>
  <c r="AB940" i="3"/>
  <c r="X940" i="3"/>
  <c r="U940" i="3"/>
  <c r="V940" i="3"/>
  <c r="W940" i="3"/>
  <c r="R940" i="3"/>
  <c r="P940" i="3"/>
  <c r="AG939" i="3"/>
  <c r="AB939" i="3"/>
  <c r="X939" i="3"/>
  <c r="Z939" i="3"/>
  <c r="AA939" i="3"/>
  <c r="U939" i="3"/>
  <c r="V939" i="3"/>
  <c r="W939" i="3"/>
  <c r="R939" i="3"/>
  <c r="P939" i="3"/>
  <c r="AG938" i="3"/>
  <c r="AB938" i="3"/>
  <c r="Y938" i="3"/>
  <c r="X938" i="3"/>
  <c r="U938" i="3"/>
  <c r="V938" i="3"/>
  <c r="W938" i="3"/>
  <c r="R938" i="3"/>
  <c r="P938" i="3"/>
  <c r="AG937" i="3"/>
  <c r="AB937" i="3"/>
  <c r="Y937" i="3"/>
  <c r="X937" i="3"/>
  <c r="U937" i="3"/>
  <c r="V937" i="3"/>
  <c r="W937" i="3"/>
  <c r="R937" i="3"/>
  <c r="AG936" i="3"/>
  <c r="AB936" i="3"/>
  <c r="Y936" i="3"/>
  <c r="X936" i="3"/>
  <c r="U936" i="3"/>
  <c r="V936" i="3"/>
  <c r="W936" i="3"/>
  <c r="R936" i="3"/>
  <c r="AG935" i="3"/>
  <c r="AB935" i="3"/>
  <c r="Y935" i="3"/>
  <c r="X935" i="3"/>
  <c r="Z935" i="3"/>
  <c r="AA935" i="3"/>
  <c r="S935" i="3"/>
  <c r="U935" i="3"/>
  <c r="V935" i="3"/>
  <c r="W935" i="3"/>
  <c r="R935" i="3"/>
  <c r="AG934" i="3"/>
  <c r="AB934" i="3"/>
  <c r="Y934" i="3"/>
  <c r="X934" i="3"/>
  <c r="U934" i="3"/>
  <c r="V934" i="3"/>
  <c r="W934" i="3"/>
  <c r="R934" i="3"/>
  <c r="AG933" i="3"/>
  <c r="AB933" i="3"/>
  <c r="Y933" i="3"/>
  <c r="X933" i="3"/>
  <c r="U933" i="3"/>
  <c r="V933" i="3"/>
  <c r="W933" i="3"/>
  <c r="R933" i="3"/>
  <c r="AO932" i="3"/>
  <c r="AD932" i="3"/>
  <c r="AB932" i="3"/>
  <c r="X932" i="3"/>
  <c r="V932" i="3"/>
  <c r="W932" i="3"/>
  <c r="R932" i="3"/>
  <c r="AO931" i="3"/>
  <c r="AG931" i="3"/>
  <c r="AD931" i="3"/>
  <c r="AB931" i="3"/>
  <c r="X931" i="3"/>
  <c r="V931" i="3"/>
  <c r="W931" i="3"/>
  <c r="R931" i="3"/>
  <c r="AO930" i="3"/>
  <c r="AG930" i="3"/>
  <c r="AD930" i="3"/>
  <c r="AB930" i="3"/>
  <c r="X930" i="3"/>
  <c r="V930" i="3"/>
  <c r="W930" i="3"/>
  <c r="R930" i="3"/>
  <c r="AO929" i="3"/>
  <c r="AG929" i="3"/>
  <c r="AD929" i="3"/>
  <c r="AB929" i="3"/>
  <c r="X929" i="3"/>
  <c r="V929" i="3"/>
  <c r="W929" i="3"/>
  <c r="R929" i="3"/>
  <c r="AO928" i="3"/>
  <c r="AG928" i="3"/>
  <c r="AD928" i="3"/>
  <c r="AB928" i="3"/>
  <c r="X928" i="3"/>
  <c r="V928" i="3"/>
  <c r="W928" i="3"/>
  <c r="R928" i="3"/>
  <c r="AO927" i="3"/>
  <c r="AG927" i="3"/>
  <c r="AD927" i="3"/>
  <c r="AB927" i="3"/>
  <c r="X927" i="3"/>
  <c r="V927" i="3"/>
  <c r="W927" i="3"/>
  <c r="R927" i="3"/>
  <c r="AO926" i="3"/>
  <c r="AG926" i="3"/>
  <c r="AD926" i="3"/>
  <c r="AB926" i="3"/>
  <c r="X926" i="3"/>
  <c r="Z926" i="3"/>
  <c r="AA926" i="3"/>
  <c r="U926" i="3"/>
  <c r="V926" i="3"/>
  <c r="W926" i="3"/>
  <c r="R926" i="3"/>
  <c r="AO925" i="3"/>
  <c r="AG925" i="3"/>
  <c r="AD925" i="3"/>
  <c r="AB925" i="3"/>
  <c r="X925" i="3"/>
  <c r="V925" i="3"/>
  <c r="W925" i="3"/>
  <c r="R925" i="3"/>
  <c r="AO924" i="3"/>
  <c r="AG924" i="3"/>
  <c r="AD924" i="3"/>
  <c r="AB924" i="3"/>
  <c r="X924" i="3"/>
  <c r="Z924" i="3"/>
  <c r="AA924" i="3"/>
  <c r="U924" i="3"/>
  <c r="V924" i="3"/>
  <c r="W924" i="3"/>
  <c r="R924" i="3"/>
  <c r="AG923" i="3"/>
  <c r="AD923" i="3"/>
  <c r="AB923" i="3"/>
  <c r="X923" i="3"/>
  <c r="U923" i="3"/>
  <c r="V923" i="3"/>
  <c r="W923" i="3"/>
  <c r="R923" i="3"/>
  <c r="AH922" i="3"/>
  <c r="AG922" i="3"/>
  <c r="AB922" i="3"/>
  <c r="Y922" i="3"/>
  <c r="X922" i="3"/>
  <c r="S922" i="3"/>
  <c r="U922" i="3"/>
  <c r="V922" i="3"/>
  <c r="W922" i="3"/>
  <c r="R922" i="3"/>
  <c r="P922" i="3"/>
  <c r="AH921" i="3"/>
  <c r="AG921" i="3"/>
  <c r="AB921" i="3"/>
  <c r="Y921" i="3"/>
  <c r="X921" i="3"/>
  <c r="U921" i="3"/>
  <c r="V921" i="3"/>
  <c r="W921" i="3"/>
  <c r="R921" i="3"/>
  <c r="P921" i="3"/>
  <c r="AH920" i="3"/>
  <c r="AG920" i="3"/>
  <c r="AB920" i="3"/>
  <c r="Y920" i="3"/>
  <c r="X920" i="3"/>
  <c r="U920" i="3"/>
  <c r="V920" i="3"/>
  <c r="W920" i="3"/>
  <c r="R920" i="3"/>
  <c r="P920" i="3"/>
  <c r="AH919" i="3"/>
  <c r="AG919" i="3"/>
  <c r="AB919" i="3"/>
  <c r="Y919" i="3"/>
  <c r="X919" i="3"/>
  <c r="S919" i="3"/>
  <c r="U919" i="3"/>
  <c r="V919" i="3"/>
  <c r="W919" i="3"/>
  <c r="R919" i="3"/>
  <c r="P919" i="3"/>
  <c r="AH918" i="3"/>
  <c r="AG918" i="3"/>
  <c r="AB918" i="3"/>
  <c r="Y918" i="3"/>
  <c r="X918" i="3"/>
  <c r="U918" i="3"/>
  <c r="V918" i="3"/>
  <c r="W918" i="3"/>
  <c r="R918" i="3"/>
  <c r="P918" i="3"/>
  <c r="AL917" i="3"/>
  <c r="AH917" i="3"/>
  <c r="AD917" i="3"/>
  <c r="AB917" i="3"/>
  <c r="Y917" i="3"/>
  <c r="X917" i="3"/>
  <c r="U917" i="3"/>
  <c r="V917" i="3"/>
  <c r="W917" i="3"/>
  <c r="R917" i="3"/>
  <c r="AG916" i="3"/>
  <c r="AB916" i="3"/>
  <c r="Z916" i="3"/>
  <c r="AA916" i="3"/>
  <c r="V916" i="3"/>
  <c r="W916" i="3"/>
  <c r="S916" i="3"/>
  <c r="R916" i="3"/>
  <c r="AO915" i="3"/>
  <c r="AL915" i="3"/>
  <c r="AH915" i="3"/>
  <c r="AD915" i="3"/>
  <c r="X915" i="3"/>
  <c r="S915" i="3"/>
  <c r="U915" i="3"/>
  <c r="V915" i="3"/>
  <c r="W915" i="3"/>
  <c r="R915" i="3"/>
  <c r="AL914" i="3"/>
  <c r="AH914" i="3"/>
  <c r="AD914" i="3"/>
  <c r="U914" i="3"/>
  <c r="V914" i="3"/>
  <c r="W914" i="3"/>
  <c r="R914" i="3"/>
  <c r="AL913" i="3"/>
  <c r="AH913" i="3"/>
  <c r="AD913" i="3"/>
  <c r="U913" i="3"/>
  <c r="V913" i="3"/>
  <c r="W913" i="3"/>
  <c r="R913" i="3"/>
  <c r="AH912" i="3"/>
  <c r="AG912" i="3"/>
  <c r="AB912" i="3"/>
  <c r="Z912" i="3"/>
  <c r="AA912" i="3"/>
  <c r="U912" i="3"/>
  <c r="W912" i="3"/>
  <c r="S912" i="3"/>
  <c r="R912" i="3"/>
  <c r="P912" i="3"/>
  <c r="AH911" i="3"/>
  <c r="AG911" i="3"/>
  <c r="AB911" i="3"/>
  <c r="Z911" i="3"/>
  <c r="AA911" i="3"/>
  <c r="U911" i="3"/>
  <c r="T911" i="3"/>
  <c r="S911" i="3"/>
  <c r="R911" i="3"/>
  <c r="P911" i="3"/>
  <c r="AH910" i="3"/>
  <c r="AG910" i="3"/>
  <c r="AB910" i="3"/>
  <c r="Z910" i="3"/>
  <c r="AA910" i="3"/>
  <c r="U910" i="3"/>
  <c r="V910" i="3"/>
  <c r="W910" i="3"/>
  <c r="S910" i="3"/>
  <c r="R910" i="3"/>
  <c r="P910" i="3"/>
  <c r="AH909" i="3"/>
  <c r="AG909" i="3"/>
  <c r="AB909" i="3"/>
  <c r="Z909" i="3"/>
  <c r="AA909" i="3"/>
  <c r="U909" i="3"/>
  <c r="V909" i="3"/>
  <c r="W909" i="3"/>
  <c r="S909" i="3"/>
  <c r="R909" i="3"/>
  <c r="P909" i="3"/>
  <c r="AH908" i="3"/>
  <c r="AG908" i="3"/>
  <c r="AB908" i="3"/>
  <c r="X908" i="3"/>
  <c r="U908" i="3"/>
  <c r="V908" i="3"/>
  <c r="W908" i="3"/>
  <c r="R908" i="3"/>
  <c r="P908" i="3"/>
  <c r="AO907" i="3"/>
  <c r="AL907" i="3"/>
  <c r="AH907" i="3"/>
  <c r="AG907" i="3"/>
  <c r="AD907" i="3"/>
  <c r="AB907" i="3"/>
  <c r="Y907" i="3"/>
  <c r="X907" i="3"/>
  <c r="U907" i="3"/>
  <c r="V907" i="3"/>
  <c r="W907" i="3"/>
  <c r="R907" i="3"/>
  <c r="P907" i="3"/>
  <c r="AO906" i="3"/>
  <c r="AL906" i="3"/>
  <c r="AH906" i="3"/>
  <c r="AG906" i="3"/>
  <c r="AD906" i="3"/>
  <c r="AB906" i="3"/>
  <c r="Y906" i="3"/>
  <c r="X906" i="3"/>
  <c r="U906" i="3"/>
  <c r="V906" i="3"/>
  <c r="W906" i="3"/>
  <c r="R906" i="3"/>
  <c r="P906" i="3"/>
  <c r="AO905" i="3"/>
  <c r="AL905" i="3"/>
  <c r="AH905" i="3"/>
  <c r="AG905" i="3"/>
  <c r="AD905" i="3"/>
  <c r="U905" i="3"/>
  <c r="V905" i="3"/>
  <c r="W905" i="3"/>
  <c r="R905" i="3"/>
  <c r="P905" i="3"/>
  <c r="AO904" i="3"/>
  <c r="AL904" i="3"/>
  <c r="AH904" i="3"/>
  <c r="AG904" i="3"/>
  <c r="AD904" i="3"/>
  <c r="AB904" i="3"/>
  <c r="Y904" i="3"/>
  <c r="X904" i="3"/>
  <c r="S904" i="3"/>
  <c r="U904" i="3"/>
  <c r="V904" i="3"/>
  <c r="W904" i="3"/>
  <c r="R904" i="3"/>
  <c r="P904" i="3"/>
  <c r="AO903" i="3"/>
  <c r="AL903" i="3"/>
  <c r="AH903" i="3"/>
  <c r="AG903" i="3"/>
  <c r="AD903" i="3"/>
  <c r="AB903" i="3"/>
  <c r="Y903" i="3"/>
  <c r="X903" i="3"/>
  <c r="U903" i="3"/>
  <c r="V903" i="3"/>
  <c r="W903" i="3"/>
  <c r="R903" i="3"/>
  <c r="P903" i="3"/>
  <c r="AH902" i="3"/>
  <c r="AG902" i="3"/>
  <c r="AD902" i="3"/>
  <c r="AB902" i="3"/>
  <c r="Y902" i="3"/>
  <c r="X902" i="3"/>
  <c r="S902" i="3"/>
  <c r="U902" i="3"/>
  <c r="V902" i="3"/>
  <c r="W902" i="3"/>
  <c r="R902" i="3"/>
  <c r="P902" i="3"/>
  <c r="AH901" i="3"/>
  <c r="AG901" i="3"/>
  <c r="AD901" i="3"/>
  <c r="AB901" i="3"/>
  <c r="X901" i="3"/>
  <c r="U901" i="3"/>
  <c r="V901" i="3"/>
  <c r="W901" i="3"/>
  <c r="R901" i="3"/>
  <c r="P901" i="3"/>
  <c r="AH900" i="3"/>
  <c r="AG900" i="3"/>
  <c r="AD900" i="3"/>
  <c r="AB900" i="3"/>
  <c r="X900" i="3"/>
  <c r="Z900" i="3"/>
  <c r="AA900" i="3"/>
  <c r="U900" i="3"/>
  <c r="V900" i="3"/>
  <c r="W900" i="3"/>
  <c r="R900" i="3"/>
  <c r="P900" i="3"/>
  <c r="AH899" i="3"/>
  <c r="AG899" i="3"/>
  <c r="AD899" i="3"/>
  <c r="AB899" i="3"/>
  <c r="X899" i="3"/>
  <c r="U899" i="3"/>
  <c r="V899" i="3"/>
  <c r="W899" i="3"/>
  <c r="R899" i="3"/>
  <c r="P899" i="3"/>
  <c r="AH898" i="3"/>
  <c r="AG898" i="3"/>
  <c r="AD898" i="3"/>
  <c r="AB898" i="3"/>
  <c r="Y898" i="3"/>
  <c r="X898" i="3"/>
  <c r="S898" i="3"/>
  <c r="U898" i="3"/>
  <c r="V898" i="3"/>
  <c r="W898" i="3"/>
  <c r="R898" i="3"/>
  <c r="P898" i="3"/>
  <c r="AG897" i="3"/>
  <c r="AB897" i="3"/>
  <c r="Z897" i="3"/>
  <c r="AA897" i="3"/>
  <c r="V897" i="3"/>
  <c r="W897" i="3"/>
  <c r="S897" i="3"/>
  <c r="R897" i="3"/>
  <c r="P897" i="3"/>
  <c r="AO896" i="3"/>
  <c r="AG896" i="3"/>
  <c r="AB896" i="3"/>
  <c r="X896" i="3"/>
  <c r="U896" i="3"/>
  <c r="V896" i="3"/>
  <c r="W896" i="3"/>
  <c r="R896" i="3"/>
  <c r="P896" i="3"/>
  <c r="AO895" i="3"/>
  <c r="AG895" i="3"/>
  <c r="AB895" i="3"/>
  <c r="X895" i="3"/>
  <c r="S895" i="3"/>
  <c r="U895" i="3"/>
  <c r="V895" i="3"/>
  <c r="W895" i="3"/>
  <c r="R895" i="3"/>
  <c r="P895" i="3"/>
  <c r="AO894" i="3"/>
  <c r="AG894" i="3"/>
  <c r="AB894" i="3"/>
  <c r="Z894" i="3"/>
  <c r="AA894" i="3"/>
  <c r="U894" i="3"/>
  <c r="V894" i="3"/>
  <c r="W894" i="3"/>
  <c r="S894" i="3"/>
  <c r="R894" i="3"/>
  <c r="P894" i="3"/>
  <c r="AB893" i="3"/>
  <c r="Z893" i="3"/>
  <c r="AA893" i="3"/>
  <c r="U893" i="3"/>
  <c r="V893" i="3"/>
  <c r="W893" i="3"/>
  <c r="S893" i="3"/>
  <c r="R893" i="3"/>
  <c r="P893" i="3"/>
  <c r="AB892" i="3"/>
  <c r="X892" i="3"/>
  <c r="U892" i="3"/>
  <c r="V892" i="3"/>
  <c r="W892" i="3"/>
  <c r="R892" i="3"/>
  <c r="P892" i="3"/>
  <c r="AG891" i="3"/>
  <c r="AB891" i="3"/>
  <c r="X891" i="3"/>
  <c r="Z891" i="3"/>
  <c r="AA891" i="3"/>
  <c r="U891" i="3"/>
  <c r="V891" i="3"/>
  <c r="W891" i="3"/>
  <c r="R891" i="3"/>
  <c r="P891" i="3"/>
  <c r="AB890" i="3"/>
  <c r="X890" i="3"/>
  <c r="U890" i="3"/>
  <c r="V890" i="3"/>
  <c r="W890" i="3"/>
  <c r="R890" i="3"/>
  <c r="P890" i="3"/>
  <c r="AO889" i="3"/>
  <c r="AB889" i="3"/>
  <c r="Y889" i="3"/>
  <c r="X889" i="3"/>
  <c r="U889" i="3"/>
  <c r="V889" i="3"/>
  <c r="W889" i="3"/>
  <c r="R889" i="3"/>
  <c r="P889" i="3"/>
  <c r="AO888" i="3"/>
  <c r="AB888" i="3"/>
  <c r="Y888" i="3"/>
  <c r="X888" i="3"/>
  <c r="U888" i="3"/>
  <c r="V888" i="3"/>
  <c r="W888" i="3"/>
  <c r="R888" i="3"/>
  <c r="P888" i="3"/>
  <c r="AO887" i="3"/>
  <c r="AB887" i="3"/>
  <c r="Y887" i="3"/>
  <c r="X887" i="3"/>
  <c r="U887" i="3"/>
  <c r="V887" i="3"/>
  <c r="W887" i="3"/>
  <c r="R887" i="3"/>
  <c r="P887" i="3"/>
  <c r="AO886" i="3"/>
  <c r="AB886" i="3"/>
  <c r="Y886" i="3"/>
  <c r="X886" i="3"/>
  <c r="U886" i="3"/>
  <c r="V886" i="3"/>
  <c r="W886" i="3"/>
  <c r="R886" i="3"/>
  <c r="P886" i="3"/>
  <c r="AO885" i="3"/>
  <c r="AB885" i="3"/>
  <c r="Y885" i="3"/>
  <c r="X885" i="3"/>
  <c r="S885" i="3"/>
  <c r="U885" i="3"/>
  <c r="V885" i="3"/>
  <c r="W885" i="3"/>
  <c r="R885" i="3"/>
  <c r="P885" i="3"/>
  <c r="AO884" i="3"/>
  <c r="AL884" i="3"/>
  <c r="AJ884" i="3"/>
  <c r="P884" i="3"/>
  <c r="AH884" i="3"/>
  <c r="AB884" i="3"/>
  <c r="X884" i="3"/>
  <c r="V884" i="3"/>
  <c r="W884" i="3"/>
  <c r="R884" i="3"/>
  <c r="AO883" i="3"/>
  <c r="AL883" i="3"/>
  <c r="AJ883" i="3"/>
  <c r="P883" i="3"/>
  <c r="AH883" i="3"/>
  <c r="AB883" i="3"/>
  <c r="X883" i="3"/>
  <c r="V883" i="3"/>
  <c r="W883" i="3"/>
  <c r="R883" i="3"/>
  <c r="AO882" i="3"/>
  <c r="AL882" i="3"/>
  <c r="AH882" i="3"/>
  <c r="AB882" i="3"/>
  <c r="X882" i="3"/>
  <c r="V882" i="3"/>
  <c r="W882" i="3"/>
  <c r="R882" i="3"/>
  <c r="P882" i="3"/>
  <c r="AO881" i="3"/>
  <c r="AL881" i="3"/>
  <c r="AJ881" i="3"/>
  <c r="P881" i="3"/>
  <c r="AH881" i="3"/>
  <c r="AB881" i="3"/>
  <c r="Y881" i="3"/>
  <c r="X881" i="3"/>
  <c r="U881" i="3"/>
  <c r="V881" i="3"/>
  <c r="W881" i="3"/>
  <c r="R881" i="3"/>
  <c r="AO880" i="3"/>
  <c r="AL880" i="3"/>
  <c r="AJ880" i="3"/>
  <c r="P880" i="3"/>
  <c r="AH880" i="3"/>
  <c r="AB880" i="3"/>
  <c r="Y880" i="3"/>
  <c r="X880" i="3"/>
  <c r="U880" i="3"/>
  <c r="V880" i="3"/>
  <c r="W880" i="3"/>
  <c r="R880" i="3"/>
  <c r="AH879" i="3"/>
  <c r="AG879" i="3"/>
  <c r="AB879" i="3"/>
  <c r="Y879" i="3"/>
  <c r="X879" i="3"/>
  <c r="S879" i="3"/>
  <c r="U879" i="3"/>
  <c r="V879" i="3"/>
  <c r="W879" i="3"/>
  <c r="R879" i="3"/>
  <c r="P879" i="3"/>
  <c r="AH878" i="3"/>
  <c r="AG878" i="3"/>
  <c r="AB878" i="3"/>
  <c r="Y878" i="3"/>
  <c r="X878" i="3"/>
  <c r="U878" i="3"/>
  <c r="V878" i="3"/>
  <c r="W878" i="3"/>
  <c r="R878" i="3"/>
  <c r="P878" i="3"/>
  <c r="AH877" i="3"/>
  <c r="AG877" i="3"/>
  <c r="AB877" i="3"/>
  <c r="Y877" i="3"/>
  <c r="X877" i="3"/>
  <c r="S877" i="3"/>
  <c r="U877" i="3"/>
  <c r="V877" i="3"/>
  <c r="W877" i="3"/>
  <c r="R877" i="3"/>
  <c r="P877" i="3"/>
  <c r="AH876" i="3"/>
  <c r="AG876" i="3"/>
  <c r="AB876" i="3"/>
  <c r="Y876" i="3"/>
  <c r="X876" i="3"/>
  <c r="U876" i="3"/>
  <c r="V876" i="3"/>
  <c r="W876" i="3"/>
  <c r="R876" i="3"/>
  <c r="P876" i="3"/>
  <c r="AH875" i="3"/>
  <c r="AG875" i="3"/>
  <c r="AB875" i="3"/>
  <c r="X875" i="3"/>
  <c r="Z875" i="3"/>
  <c r="AA875" i="3"/>
  <c r="U875" i="3"/>
  <c r="V875" i="3"/>
  <c r="W875" i="3"/>
  <c r="R875" i="3"/>
  <c r="P875" i="3"/>
  <c r="AO874" i="3"/>
  <c r="AH874" i="3"/>
  <c r="AG874" i="3"/>
  <c r="AB874" i="3"/>
  <c r="Y874" i="3"/>
  <c r="X874" i="3"/>
  <c r="U874" i="3"/>
  <c r="V874" i="3"/>
  <c r="W874" i="3"/>
  <c r="R874" i="3"/>
  <c r="P874" i="3"/>
  <c r="AO873" i="3"/>
  <c r="AH873" i="3"/>
  <c r="AG873" i="3"/>
  <c r="AB873" i="3"/>
  <c r="Y873" i="3"/>
  <c r="U873" i="3"/>
  <c r="V873" i="3"/>
  <c r="W873" i="3"/>
  <c r="R873" i="3"/>
  <c r="P873" i="3"/>
  <c r="AO872" i="3"/>
  <c r="AH872" i="3"/>
  <c r="AG872" i="3"/>
  <c r="AD872" i="3"/>
  <c r="AB872" i="3"/>
  <c r="X872" i="3"/>
  <c r="V872" i="3"/>
  <c r="W872" i="3"/>
  <c r="R872" i="3"/>
  <c r="P872" i="3"/>
  <c r="AO871" i="3"/>
  <c r="AH871" i="3"/>
  <c r="AG871" i="3"/>
  <c r="Y871" i="3"/>
  <c r="AD871" i="3"/>
  <c r="AB871" i="3"/>
  <c r="X871" i="3"/>
  <c r="U871" i="3"/>
  <c r="V871" i="3"/>
  <c r="W871" i="3"/>
  <c r="R871" i="3"/>
  <c r="P871" i="3"/>
  <c r="AH870" i="3"/>
  <c r="AG870" i="3"/>
  <c r="AD870" i="3"/>
  <c r="X870" i="3"/>
  <c r="S870" i="3"/>
  <c r="U870" i="3"/>
  <c r="V870" i="3"/>
  <c r="W870" i="3"/>
  <c r="R870" i="3"/>
  <c r="P870" i="3"/>
  <c r="AH869" i="3"/>
  <c r="AG869" i="3"/>
  <c r="AB869" i="3"/>
  <c r="X869" i="3"/>
  <c r="U869" i="3"/>
  <c r="V869" i="3"/>
  <c r="W869" i="3"/>
  <c r="R869" i="3"/>
  <c r="P869" i="3"/>
  <c r="AH868" i="3"/>
  <c r="AG868" i="3"/>
  <c r="AB868" i="3"/>
  <c r="X868" i="3"/>
  <c r="Z868" i="3"/>
  <c r="AA868" i="3"/>
  <c r="U868" i="3"/>
  <c r="V868" i="3"/>
  <c r="W868" i="3"/>
  <c r="R868" i="3"/>
  <c r="P868" i="3"/>
  <c r="AH867" i="3"/>
  <c r="AG867" i="3"/>
  <c r="AB867" i="3"/>
  <c r="X867" i="3"/>
  <c r="Z867" i="3"/>
  <c r="AA867" i="3"/>
  <c r="U867" i="3"/>
  <c r="V867" i="3"/>
  <c r="W867" i="3"/>
  <c r="R867" i="3"/>
  <c r="P867" i="3"/>
  <c r="AH866" i="3"/>
  <c r="AG866" i="3"/>
  <c r="AB866" i="3"/>
  <c r="X866" i="3"/>
  <c r="Z866" i="3"/>
  <c r="AA866" i="3"/>
  <c r="U866" i="3"/>
  <c r="V866" i="3"/>
  <c r="W866" i="3"/>
  <c r="R866" i="3"/>
  <c r="P866" i="3"/>
  <c r="AH865" i="3"/>
  <c r="AG865" i="3"/>
  <c r="AB865" i="3"/>
  <c r="X865" i="3"/>
  <c r="Z865" i="3"/>
  <c r="AA865" i="3"/>
  <c r="U865" i="3"/>
  <c r="V865" i="3"/>
  <c r="W865" i="3"/>
  <c r="R865" i="3"/>
  <c r="P865" i="3"/>
  <c r="AO864" i="3"/>
  <c r="AJ864" i="3"/>
  <c r="P864" i="3"/>
  <c r="AH864" i="3"/>
  <c r="AG864" i="3"/>
  <c r="AB864" i="3"/>
  <c r="Z864" i="3"/>
  <c r="AA864" i="3"/>
  <c r="U864" i="3"/>
  <c r="V864" i="3"/>
  <c r="W864" i="3"/>
  <c r="S864" i="3"/>
  <c r="R864" i="3"/>
  <c r="AO863" i="3"/>
  <c r="AJ863" i="3"/>
  <c r="P863" i="3"/>
  <c r="AH863" i="3"/>
  <c r="AG863" i="3"/>
  <c r="AB863" i="3"/>
  <c r="Z863" i="3"/>
  <c r="AA863" i="3"/>
  <c r="U863" i="3"/>
  <c r="V863" i="3"/>
  <c r="W863" i="3"/>
  <c r="S863" i="3"/>
  <c r="R863" i="3"/>
  <c r="AO862" i="3"/>
  <c r="AJ862" i="3"/>
  <c r="P862" i="3"/>
  <c r="AH862" i="3"/>
  <c r="AG862" i="3"/>
  <c r="AB862" i="3"/>
  <c r="Z862" i="3"/>
  <c r="AA862" i="3"/>
  <c r="U862" i="3"/>
  <c r="V862" i="3"/>
  <c r="W862" i="3"/>
  <c r="S862" i="3"/>
  <c r="R862" i="3"/>
  <c r="AO861" i="3"/>
  <c r="AJ861" i="3"/>
  <c r="P861" i="3"/>
  <c r="AH861" i="3"/>
  <c r="AG861" i="3"/>
  <c r="AB861" i="3"/>
  <c r="Z861" i="3"/>
  <c r="AA861" i="3"/>
  <c r="U861" i="3"/>
  <c r="V861" i="3"/>
  <c r="W861" i="3"/>
  <c r="S861" i="3"/>
  <c r="R861" i="3"/>
  <c r="AO860" i="3"/>
  <c r="AJ860" i="3"/>
  <c r="P860" i="3"/>
  <c r="AH860" i="3"/>
  <c r="AG860" i="3"/>
  <c r="AB860" i="3"/>
  <c r="X860" i="3"/>
  <c r="U860" i="3"/>
  <c r="V860" i="3"/>
  <c r="W860" i="3"/>
  <c r="R860" i="3"/>
  <c r="AH859" i="3"/>
  <c r="AG859" i="3"/>
  <c r="AD859" i="3"/>
  <c r="AB859" i="3"/>
  <c r="X859" i="3"/>
  <c r="Z859" i="3"/>
  <c r="AA859" i="3"/>
  <c r="V859" i="3"/>
  <c r="U859" i="3"/>
  <c r="W859" i="3"/>
  <c r="R859" i="3"/>
  <c r="AH858" i="3"/>
  <c r="AG858" i="3"/>
  <c r="AB858" i="3"/>
  <c r="Y858" i="3"/>
  <c r="X858" i="3"/>
  <c r="S858" i="3"/>
  <c r="V858" i="3"/>
  <c r="U858" i="3"/>
  <c r="W858" i="3"/>
  <c r="R858" i="3"/>
  <c r="AH857" i="3"/>
  <c r="AG857" i="3"/>
  <c r="AB857" i="3"/>
  <c r="Y857" i="3"/>
  <c r="X857" i="3"/>
  <c r="S857" i="3"/>
  <c r="V857" i="3"/>
  <c r="U857" i="3"/>
  <c r="W857" i="3"/>
  <c r="R857" i="3"/>
  <c r="AH856" i="3"/>
  <c r="AG856" i="3"/>
  <c r="AB856" i="3"/>
  <c r="Y856" i="3"/>
  <c r="X856" i="3"/>
  <c r="S856" i="3"/>
  <c r="V856" i="3"/>
  <c r="U856" i="3"/>
  <c r="W856" i="3"/>
  <c r="R856" i="3"/>
  <c r="AG855" i="3"/>
  <c r="AB855" i="3"/>
  <c r="Y855" i="3"/>
  <c r="X855" i="3"/>
  <c r="S855" i="3"/>
  <c r="V855" i="3"/>
  <c r="R855" i="3"/>
  <c r="AH854" i="3"/>
  <c r="AG854" i="3"/>
  <c r="AD854" i="3"/>
  <c r="AB854" i="3"/>
  <c r="Y854" i="3"/>
  <c r="X854" i="3"/>
  <c r="U854" i="3"/>
  <c r="V854" i="3"/>
  <c r="W854" i="3"/>
  <c r="S854" i="3"/>
  <c r="R854" i="3"/>
  <c r="P854" i="3"/>
  <c r="AH853" i="3"/>
  <c r="AG853" i="3"/>
  <c r="Y853" i="3"/>
  <c r="AD853" i="3"/>
  <c r="AB853" i="3"/>
  <c r="X853" i="3"/>
  <c r="S853" i="3"/>
  <c r="U853" i="3"/>
  <c r="V853" i="3"/>
  <c r="W853" i="3"/>
  <c r="R853" i="3"/>
  <c r="P853" i="3"/>
  <c r="AH852" i="3"/>
  <c r="AG852" i="3"/>
  <c r="Y852" i="3"/>
  <c r="X852" i="3"/>
  <c r="S852" i="3"/>
  <c r="U852" i="3"/>
  <c r="V852" i="3"/>
  <c r="W852" i="3"/>
  <c r="R852" i="3"/>
  <c r="P852" i="3"/>
  <c r="AH851" i="3"/>
  <c r="AG851" i="3"/>
  <c r="AD851" i="3"/>
  <c r="AB851" i="3"/>
  <c r="Y851" i="3"/>
  <c r="X851" i="3"/>
  <c r="S851" i="3"/>
  <c r="U851" i="3"/>
  <c r="V851" i="3"/>
  <c r="W851" i="3"/>
  <c r="R851" i="3"/>
  <c r="P851" i="3"/>
  <c r="AH850" i="3"/>
  <c r="AG850" i="3"/>
  <c r="AB850" i="3"/>
  <c r="Y850" i="3"/>
  <c r="X850" i="3"/>
  <c r="Z850" i="3"/>
  <c r="AA850" i="3"/>
  <c r="U850" i="3"/>
  <c r="V850" i="3"/>
  <c r="W850" i="3"/>
  <c r="R850" i="3"/>
  <c r="P850" i="3"/>
  <c r="AO849" i="3"/>
  <c r="AH849" i="3"/>
  <c r="AG849" i="3"/>
  <c r="AD849" i="3"/>
  <c r="AB849" i="3"/>
  <c r="Y849" i="3"/>
  <c r="X849" i="3"/>
  <c r="S849" i="3"/>
  <c r="U849" i="3"/>
  <c r="V849" i="3"/>
  <c r="W849" i="3"/>
  <c r="R849" i="3"/>
  <c r="P849" i="3"/>
  <c r="AO848" i="3"/>
  <c r="AH848" i="3"/>
  <c r="AG848" i="3"/>
  <c r="AD848" i="3"/>
  <c r="AB848" i="3"/>
  <c r="Y848" i="3"/>
  <c r="X848" i="3"/>
  <c r="S848" i="3"/>
  <c r="U848" i="3"/>
  <c r="V848" i="3"/>
  <c r="W848" i="3"/>
  <c r="R848" i="3"/>
  <c r="P848" i="3"/>
  <c r="AO847" i="3"/>
  <c r="AH847" i="3"/>
  <c r="AG847" i="3"/>
  <c r="AD847" i="3"/>
  <c r="AB847" i="3"/>
  <c r="Y847" i="3"/>
  <c r="X847" i="3"/>
  <c r="S847" i="3"/>
  <c r="U847" i="3"/>
  <c r="V847" i="3"/>
  <c r="W847" i="3"/>
  <c r="R847" i="3"/>
  <c r="P847" i="3"/>
  <c r="AO846" i="3"/>
  <c r="AH846" i="3"/>
  <c r="AG846" i="3"/>
  <c r="AD846" i="3"/>
  <c r="AB846" i="3"/>
  <c r="Y846" i="3"/>
  <c r="X846" i="3"/>
  <c r="S846" i="3"/>
  <c r="U846" i="3"/>
  <c r="V846" i="3"/>
  <c r="W846" i="3"/>
  <c r="R846" i="3"/>
  <c r="P846" i="3"/>
  <c r="AO845" i="3"/>
  <c r="AH845" i="3"/>
  <c r="AG845" i="3"/>
  <c r="AD845" i="3"/>
  <c r="AB845" i="3"/>
  <c r="Y845" i="3"/>
  <c r="X845" i="3"/>
  <c r="S845" i="3"/>
  <c r="U845" i="3"/>
  <c r="V845" i="3"/>
  <c r="W845" i="3"/>
  <c r="R845" i="3"/>
  <c r="P845" i="3"/>
  <c r="AO844" i="3"/>
  <c r="AJ844" i="3"/>
  <c r="P844" i="3"/>
  <c r="AH844" i="3"/>
  <c r="AG844" i="3"/>
  <c r="AB844" i="3"/>
  <c r="X844" i="3"/>
  <c r="U844" i="3"/>
  <c r="V844" i="3"/>
  <c r="W844" i="3"/>
  <c r="R844" i="3"/>
  <c r="AO843" i="3"/>
  <c r="AJ843" i="3"/>
  <c r="P843" i="3"/>
  <c r="AH843" i="3"/>
  <c r="AG843" i="3"/>
  <c r="AB843" i="3"/>
  <c r="X843" i="3"/>
  <c r="Z843" i="3"/>
  <c r="AA843" i="3"/>
  <c r="U843" i="3"/>
  <c r="V843" i="3"/>
  <c r="W843" i="3"/>
  <c r="R843" i="3"/>
  <c r="AO842" i="3"/>
  <c r="AJ842" i="3"/>
  <c r="P842" i="3"/>
  <c r="AH842" i="3"/>
  <c r="AG842" i="3"/>
  <c r="AB842" i="3"/>
  <c r="X842" i="3"/>
  <c r="Z842" i="3"/>
  <c r="AA842" i="3"/>
  <c r="U842" i="3"/>
  <c r="V842" i="3"/>
  <c r="W842" i="3"/>
  <c r="R842" i="3"/>
  <c r="AO841" i="3"/>
  <c r="AJ841" i="3"/>
  <c r="P841" i="3"/>
  <c r="AH841" i="3"/>
  <c r="AG841" i="3"/>
  <c r="AB841" i="3"/>
  <c r="Y841" i="3"/>
  <c r="X841" i="3"/>
  <c r="S841" i="3"/>
  <c r="U841" i="3"/>
  <c r="V841" i="3"/>
  <c r="W841" i="3"/>
  <c r="R841" i="3"/>
  <c r="AO840" i="3"/>
  <c r="AJ840" i="3"/>
  <c r="P840" i="3"/>
  <c r="AH840" i="3"/>
  <c r="AG840" i="3"/>
  <c r="AB840" i="3"/>
  <c r="Y840" i="3"/>
  <c r="X840" i="3"/>
  <c r="Z840" i="3"/>
  <c r="AA840" i="3"/>
  <c r="U840" i="3"/>
  <c r="V840" i="3"/>
  <c r="W840" i="3"/>
  <c r="R840" i="3"/>
  <c r="AG839" i="3"/>
  <c r="AB839" i="3"/>
  <c r="Y839" i="3"/>
  <c r="X839" i="3"/>
  <c r="U839" i="3"/>
  <c r="V839" i="3"/>
  <c r="W839" i="3"/>
  <c r="R839" i="3"/>
  <c r="P839" i="3"/>
  <c r="AG838" i="3"/>
  <c r="AB838" i="3"/>
  <c r="Y838" i="3"/>
  <c r="X838" i="3"/>
  <c r="S838" i="3"/>
  <c r="U838" i="3"/>
  <c r="V838" i="3"/>
  <c r="W838" i="3"/>
  <c r="R838" i="3"/>
  <c r="P838" i="3"/>
  <c r="AO837" i="3"/>
  <c r="AG837" i="3"/>
  <c r="AB837" i="3"/>
  <c r="X837" i="3"/>
  <c r="Z837" i="3"/>
  <c r="AA837" i="3"/>
  <c r="U837" i="3"/>
  <c r="T837" i="3"/>
  <c r="R837" i="3"/>
  <c r="P837" i="3"/>
  <c r="AO836" i="3"/>
  <c r="AH836" i="3"/>
  <c r="AG836" i="3"/>
  <c r="AB836" i="3"/>
  <c r="Y836" i="3"/>
  <c r="X836" i="3"/>
  <c r="U836" i="3"/>
  <c r="V836" i="3"/>
  <c r="W836" i="3"/>
  <c r="R836" i="3"/>
  <c r="P836" i="3"/>
  <c r="AG835" i="3"/>
  <c r="AB835" i="3"/>
  <c r="Z835" i="3"/>
  <c r="AA835" i="3"/>
  <c r="U835" i="3"/>
  <c r="V835" i="3"/>
  <c r="W835" i="3"/>
  <c r="S835" i="3"/>
  <c r="R835" i="3"/>
  <c r="P835" i="3"/>
  <c r="AM834" i="3"/>
  <c r="AH834" i="3"/>
  <c r="AG834" i="3"/>
  <c r="AB834" i="3"/>
  <c r="X834" i="3"/>
  <c r="V834" i="3"/>
  <c r="U834" i="3"/>
  <c r="R834" i="3"/>
  <c r="P834" i="3"/>
  <c r="AH833" i="3"/>
  <c r="AG833" i="3"/>
  <c r="AB833" i="3"/>
  <c r="X833" i="3"/>
  <c r="S833" i="3"/>
  <c r="V833" i="3"/>
  <c r="U833" i="3"/>
  <c r="R833" i="3"/>
  <c r="P833" i="3"/>
  <c r="AH832" i="3"/>
  <c r="AG832" i="3"/>
  <c r="AB832" i="3"/>
  <c r="X832" i="3"/>
  <c r="V832" i="3"/>
  <c r="U832" i="3"/>
  <c r="R832" i="3"/>
  <c r="P832" i="3"/>
  <c r="AH831" i="3"/>
  <c r="AG831" i="3"/>
  <c r="AB831" i="3"/>
  <c r="X831" i="3"/>
  <c r="V831" i="3"/>
  <c r="U831" i="3"/>
  <c r="R831" i="3"/>
  <c r="P831" i="3"/>
  <c r="AH830" i="3"/>
  <c r="AG830" i="3"/>
  <c r="AB830" i="3"/>
  <c r="X830" i="3"/>
  <c r="V830" i="3"/>
  <c r="U830" i="3"/>
  <c r="R830" i="3"/>
  <c r="P830" i="3"/>
  <c r="AM829" i="3"/>
  <c r="AH829" i="3"/>
  <c r="AG829" i="3"/>
  <c r="AD829" i="3"/>
  <c r="AB829" i="3"/>
  <c r="Y829" i="3"/>
  <c r="X829" i="3"/>
  <c r="U829" i="3"/>
  <c r="V829" i="3"/>
  <c r="W829" i="3"/>
  <c r="R829" i="3"/>
  <c r="P829" i="3"/>
  <c r="AO828" i="3"/>
  <c r="AO829" i="3"/>
  <c r="AM828" i="3"/>
  <c r="AG828" i="3"/>
  <c r="AD828" i="3"/>
  <c r="AB828" i="3"/>
  <c r="Y828" i="3"/>
  <c r="X828" i="3"/>
  <c r="S828" i="3"/>
  <c r="U828" i="3"/>
  <c r="V828" i="3"/>
  <c r="W828" i="3"/>
  <c r="R828" i="3"/>
  <c r="P828" i="3"/>
  <c r="AO827" i="3"/>
  <c r="AM827" i="3"/>
  <c r="AH827" i="3"/>
  <c r="AG827" i="3"/>
  <c r="AD827" i="3"/>
  <c r="AB827" i="3"/>
  <c r="Y827" i="3"/>
  <c r="X827" i="3"/>
  <c r="U827" i="3"/>
  <c r="V827" i="3"/>
  <c r="W827" i="3"/>
  <c r="R827" i="3"/>
  <c r="P827" i="3"/>
  <c r="AM826" i="3"/>
  <c r="AH826" i="3"/>
  <c r="AG826" i="3"/>
  <c r="AD826" i="3"/>
  <c r="AB826" i="3"/>
  <c r="Y826" i="3"/>
  <c r="X826" i="3"/>
  <c r="U826" i="3"/>
  <c r="V826" i="3"/>
  <c r="W826" i="3"/>
  <c r="R826" i="3"/>
  <c r="P826" i="3"/>
  <c r="AH825" i="3"/>
  <c r="AG825" i="3"/>
  <c r="AD825" i="3"/>
  <c r="AB825" i="3"/>
  <c r="Y825" i="3"/>
  <c r="X825" i="3"/>
  <c r="U825" i="3"/>
  <c r="V825" i="3"/>
  <c r="W825" i="3"/>
  <c r="R825" i="3"/>
  <c r="P825" i="3"/>
  <c r="AH824" i="3"/>
  <c r="AG824" i="3"/>
  <c r="AB824" i="3"/>
  <c r="X824" i="3"/>
  <c r="Y824" i="3"/>
  <c r="U824" i="3"/>
  <c r="V824" i="3"/>
  <c r="W824" i="3"/>
  <c r="R824" i="3"/>
  <c r="P824" i="3"/>
  <c r="AH823" i="3"/>
  <c r="AG823" i="3"/>
  <c r="AB823" i="3"/>
  <c r="X823" i="3"/>
  <c r="S823" i="3"/>
  <c r="Y823" i="3"/>
  <c r="U823" i="3"/>
  <c r="V823" i="3"/>
  <c r="W823" i="3"/>
  <c r="R823" i="3"/>
  <c r="P823" i="3"/>
  <c r="AH822" i="3"/>
  <c r="AG822" i="3"/>
  <c r="AB822" i="3"/>
  <c r="Y822" i="3"/>
  <c r="X822" i="3"/>
  <c r="S822" i="3"/>
  <c r="U822" i="3"/>
  <c r="V822" i="3"/>
  <c r="W822" i="3"/>
  <c r="R822" i="3"/>
  <c r="P822" i="3"/>
  <c r="AH821" i="3"/>
  <c r="AG821" i="3"/>
  <c r="AB821" i="3"/>
  <c r="Y821" i="3"/>
  <c r="X821" i="3"/>
  <c r="U821" i="3"/>
  <c r="V821" i="3"/>
  <c r="W821" i="3"/>
  <c r="R821" i="3"/>
  <c r="P821" i="3"/>
  <c r="AH820" i="3"/>
  <c r="AG820" i="3"/>
  <c r="AB820" i="3"/>
  <c r="Y820" i="3"/>
  <c r="X820" i="3"/>
  <c r="U820" i="3"/>
  <c r="V820" i="3"/>
  <c r="W820" i="3"/>
  <c r="R820" i="3"/>
  <c r="P820" i="3"/>
  <c r="AO819" i="3"/>
  <c r="AH819" i="3"/>
  <c r="AG819" i="3"/>
  <c r="AB819" i="3"/>
  <c r="X819" i="3"/>
  <c r="Z819" i="3"/>
  <c r="AA819" i="3"/>
  <c r="U819" i="3"/>
  <c r="V819" i="3"/>
  <c r="W819" i="3"/>
  <c r="R819" i="3"/>
  <c r="P819" i="3"/>
  <c r="AO818" i="3"/>
  <c r="AH818" i="3"/>
  <c r="AG818" i="3"/>
  <c r="AB818" i="3"/>
  <c r="X818" i="3"/>
  <c r="S818" i="3"/>
  <c r="U818" i="3"/>
  <c r="V818" i="3"/>
  <c r="W818" i="3"/>
  <c r="R818" i="3"/>
  <c r="P818" i="3"/>
  <c r="AO817" i="3"/>
  <c r="AH817" i="3"/>
  <c r="AG817" i="3"/>
  <c r="AB817" i="3"/>
  <c r="X817" i="3"/>
  <c r="Z817" i="3"/>
  <c r="AA817" i="3"/>
  <c r="U817" i="3"/>
  <c r="V817" i="3"/>
  <c r="W817" i="3"/>
  <c r="R817" i="3"/>
  <c r="P817" i="3"/>
  <c r="AB816" i="3"/>
  <c r="Z816" i="3"/>
  <c r="AA816" i="3"/>
  <c r="W816" i="3"/>
  <c r="R816" i="3"/>
  <c r="P816" i="3"/>
  <c r="AB815" i="3"/>
  <c r="Z815" i="3"/>
  <c r="AA815" i="3"/>
  <c r="W815" i="3"/>
  <c r="R815" i="3"/>
  <c r="P815" i="3"/>
  <c r="AO814" i="3"/>
  <c r="AH814" i="3"/>
  <c r="AG814" i="3"/>
  <c r="AB814" i="3"/>
  <c r="Z814" i="3"/>
  <c r="AA814" i="3"/>
  <c r="U814" i="3"/>
  <c r="V814" i="3"/>
  <c r="W814" i="3"/>
  <c r="S814" i="3"/>
  <c r="R814" i="3"/>
  <c r="P814" i="3"/>
  <c r="AO813" i="3"/>
  <c r="AH813" i="3"/>
  <c r="AG813" i="3"/>
  <c r="AB813" i="3"/>
  <c r="Z813" i="3"/>
  <c r="AA813" i="3"/>
  <c r="V813" i="3"/>
  <c r="W813" i="3"/>
  <c r="S813" i="3"/>
  <c r="R813" i="3"/>
  <c r="P813" i="3"/>
  <c r="AO812" i="3"/>
  <c r="AH812" i="3"/>
  <c r="AG812" i="3"/>
  <c r="AB812" i="3"/>
  <c r="Z812" i="3"/>
  <c r="AA812" i="3"/>
  <c r="V812" i="3"/>
  <c r="W812" i="3"/>
  <c r="S812" i="3"/>
  <c r="R812" i="3"/>
  <c r="P812" i="3"/>
  <c r="AO811" i="3"/>
  <c r="AH811" i="3"/>
  <c r="AG811" i="3"/>
  <c r="AB811" i="3"/>
  <c r="X811" i="3"/>
  <c r="Z811" i="3"/>
  <c r="AA811" i="3"/>
  <c r="U811" i="3"/>
  <c r="V811" i="3"/>
  <c r="W811" i="3"/>
  <c r="R811" i="3"/>
  <c r="P811" i="3"/>
  <c r="AO810" i="3"/>
  <c r="AH810" i="3"/>
  <c r="AG810" i="3"/>
  <c r="AB810" i="3"/>
  <c r="Z810" i="3"/>
  <c r="AA810" i="3"/>
  <c r="U810" i="3"/>
  <c r="V810" i="3"/>
  <c r="W810" i="3"/>
  <c r="S810" i="3"/>
  <c r="R810" i="3"/>
  <c r="P810" i="3"/>
  <c r="AG809" i="3"/>
  <c r="AB809" i="3"/>
  <c r="Z809" i="3"/>
  <c r="AA809" i="3"/>
  <c r="V809" i="3"/>
  <c r="W809" i="3"/>
  <c r="S809" i="3"/>
  <c r="R809" i="3"/>
  <c r="P809" i="3"/>
  <c r="AH808" i="3"/>
  <c r="AG808" i="3"/>
  <c r="AB808" i="3"/>
  <c r="X808" i="3"/>
  <c r="Z808" i="3"/>
  <c r="AA808" i="3"/>
  <c r="U808" i="3"/>
  <c r="V808" i="3"/>
  <c r="W808" i="3"/>
  <c r="R808" i="3"/>
  <c r="AJ807" i="3"/>
  <c r="P807" i="3"/>
  <c r="AH807" i="3"/>
  <c r="AG807" i="3"/>
  <c r="AB807" i="3"/>
  <c r="Y807" i="3"/>
  <c r="X807" i="3"/>
  <c r="U807" i="3"/>
  <c r="V807" i="3"/>
  <c r="W807" i="3"/>
  <c r="R807" i="3"/>
  <c r="AJ806" i="3"/>
  <c r="P806" i="3"/>
  <c r="AH806" i="3"/>
  <c r="AG806" i="3"/>
  <c r="AB806" i="3"/>
  <c r="X806" i="3"/>
  <c r="S806" i="3"/>
  <c r="U806" i="3"/>
  <c r="V806" i="3"/>
  <c r="W806" i="3"/>
  <c r="R806" i="3"/>
  <c r="AG805" i="3"/>
  <c r="AB805" i="3"/>
  <c r="Z805" i="3"/>
  <c r="AA805" i="3"/>
  <c r="U805" i="3"/>
  <c r="V805" i="3"/>
  <c r="W805" i="3"/>
  <c r="S805" i="3"/>
  <c r="R805" i="3"/>
  <c r="P805" i="3"/>
  <c r="AO804" i="3"/>
  <c r="AG804" i="3"/>
  <c r="AB804" i="3"/>
  <c r="Z804" i="3"/>
  <c r="AA804" i="3"/>
  <c r="U804" i="3"/>
  <c r="V804" i="3"/>
  <c r="W804" i="3"/>
  <c r="S804" i="3"/>
  <c r="R804" i="3"/>
  <c r="P804" i="3"/>
  <c r="AO803" i="3"/>
  <c r="AG803" i="3"/>
  <c r="AB803" i="3"/>
  <c r="X803" i="3"/>
  <c r="U803" i="3"/>
  <c r="V803" i="3"/>
  <c r="W803" i="3"/>
  <c r="R803" i="3"/>
  <c r="P803" i="3"/>
  <c r="AO802" i="3"/>
  <c r="AG802" i="3"/>
  <c r="AB802" i="3"/>
  <c r="X802" i="3"/>
  <c r="U802" i="3"/>
  <c r="V802" i="3"/>
  <c r="W802" i="3"/>
  <c r="R802" i="3"/>
  <c r="P802" i="3"/>
  <c r="AG801" i="3"/>
  <c r="AB801" i="3"/>
  <c r="Z801" i="3"/>
  <c r="AA801" i="3"/>
  <c r="U801" i="3"/>
  <c r="V801" i="3"/>
  <c r="W801" i="3"/>
  <c r="S801" i="3"/>
  <c r="R801" i="3"/>
  <c r="P801" i="3"/>
  <c r="AH800" i="3"/>
  <c r="AG800" i="3"/>
  <c r="AD800" i="3"/>
  <c r="AB800" i="3"/>
  <c r="Y800" i="3"/>
  <c r="X800" i="3"/>
  <c r="S800" i="3"/>
  <c r="U800" i="3"/>
  <c r="V800" i="3"/>
  <c r="W800" i="3"/>
  <c r="R800" i="3"/>
  <c r="P800" i="3"/>
  <c r="AH799" i="3"/>
  <c r="AG799" i="3"/>
  <c r="AD799" i="3"/>
  <c r="AB799" i="3"/>
  <c r="Y799" i="3"/>
  <c r="X799" i="3"/>
  <c r="U799" i="3"/>
  <c r="V799" i="3"/>
  <c r="W799" i="3"/>
  <c r="R799" i="3"/>
  <c r="P799" i="3"/>
  <c r="AH798" i="3"/>
  <c r="AG798" i="3"/>
  <c r="AD798" i="3"/>
  <c r="AB798" i="3"/>
  <c r="Y798" i="3"/>
  <c r="X798" i="3"/>
  <c r="U798" i="3"/>
  <c r="V798" i="3"/>
  <c r="W798" i="3"/>
  <c r="R798" i="3"/>
  <c r="P798" i="3"/>
  <c r="AH797" i="3"/>
  <c r="AG797" i="3"/>
  <c r="AD797" i="3"/>
  <c r="AB797" i="3"/>
  <c r="Y797" i="3"/>
  <c r="X797" i="3"/>
  <c r="U797" i="3"/>
  <c r="V797" i="3"/>
  <c r="W797" i="3"/>
  <c r="R797" i="3"/>
  <c r="P797" i="3"/>
  <c r="AH796" i="3"/>
  <c r="AG796" i="3"/>
  <c r="AD796" i="3"/>
  <c r="AB796" i="3"/>
  <c r="Y796" i="3"/>
  <c r="X796" i="3"/>
  <c r="S796" i="3"/>
  <c r="U796" i="3"/>
  <c r="V796" i="3"/>
  <c r="W796" i="3"/>
  <c r="R796" i="3"/>
  <c r="P796" i="3"/>
  <c r="AO795" i="3"/>
  <c r="AH795" i="3"/>
  <c r="AD795" i="3"/>
  <c r="AB795" i="3"/>
  <c r="Y795" i="3"/>
  <c r="X795" i="3"/>
  <c r="U795" i="3"/>
  <c r="V795" i="3"/>
  <c r="W795" i="3"/>
  <c r="R795" i="3"/>
  <c r="AO794" i="3"/>
  <c r="AL794" i="3"/>
  <c r="AH794" i="3"/>
  <c r="AD794" i="3"/>
  <c r="AB794" i="3"/>
  <c r="Y794" i="3"/>
  <c r="X794" i="3"/>
  <c r="U794" i="3"/>
  <c r="V794" i="3"/>
  <c r="W794" i="3"/>
  <c r="R794" i="3"/>
  <c r="P794" i="3"/>
  <c r="AO793" i="3"/>
  <c r="AL793" i="3"/>
  <c r="AH793" i="3"/>
  <c r="AD793" i="3"/>
  <c r="AB793" i="3"/>
  <c r="Y793" i="3"/>
  <c r="X793" i="3"/>
  <c r="Z793" i="3"/>
  <c r="AA793" i="3"/>
  <c r="U793" i="3"/>
  <c r="V793" i="3"/>
  <c r="W793" i="3"/>
  <c r="R793" i="3"/>
  <c r="P793" i="3"/>
  <c r="AO792" i="3"/>
  <c r="AL792" i="3"/>
  <c r="AH792" i="3"/>
  <c r="AD792" i="3"/>
  <c r="AB792" i="3"/>
  <c r="Y792" i="3"/>
  <c r="X792" i="3"/>
  <c r="U792" i="3"/>
  <c r="V792" i="3"/>
  <c r="W792" i="3"/>
  <c r="R792" i="3"/>
  <c r="P792" i="3"/>
  <c r="AO791" i="3"/>
  <c r="AL791" i="3"/>
  <c r="AH791" i="3"/>
  <c r="AD791" i="3"/>
  <c r="AB791" i="3"/>
  <c r="Y791" i="3"/>
  <c r="X791" i="3"/>
  <c r="U791" i="3"/>
  <c r="T791" i="3"/>
  <c r="R791" i="3"/>
  <c r="P791" i="3"/>
  <c r="AG790" i="3"/>
  <c r="AB790" i="3"/>
  <c r="Y790" i="3"/>
  <c r="X790" i="3"/>
  <c r="Z790" i="3"/>
  <c r="AA790" i="3"/>
  <c r="U790" i="3"/>
  <c r="V790" i="3"/>
  <c r="W790" i="3"/>
  <c r="R790" i="3"/>
  <c r="P790" i="3"/>
  <c r="AH789" i="3"/>
  <c r="AG789" i="3"/>
  <c r="AB789" i="3"/>
  <c r="Y789" i="3"/>
  <c r="X789" i="3"/>
  <c r="U789" i="3"/>
  <c r="V789" i="3"/>
  <c r="W789" i="3"/>
  <c r="R789" i="3"/>
  <c r="P789" i="3"/>
  <c r="AG788" i="3"/>
  <c r="AB788" i="3"/>
  <c r="Z788" i="3"/>
  <c r="AA788" i="3"/>
  <c r="V788" i="3"/>
  <c r="W788" i="3"/>
  <c r="S788" i="3"/>
  <c r="R788" i="3"/>
  <c r="P788" i="3"/>
  <c r="AH787" i="3"/>
  <c r="AG787" i="3"/>
  <c r="AB787" i="3"/>
  <c r="Y787" i="3"/>
  <c r="X787" i="3"/>
  <c r="U787" i="3"/>
  <c r="V787" i="3"/>
  <c r="W787" i="3"/>
  <c r="R787" i="3"/>
  <c r="AH786" i="3"/>
  <c r="AG786" i="3"/>
  <c r="AB786" i="3"/>
  <c r="Y786" i="3"/>
  <c r="X786" i="3"/>
  <c r="U786" i="3"/>
  <c r="V786" i="3"/>
  <c r="W786" i="3"/>
  <c r="R786" i="3"/>
  <c r="AO785" i="3"/>
  <c r="AH785" i="3"/>
  <c r="AG785" i="3"/>
  <c r="AD785" i="3"/>
  <c r="AB785" i="3"/>
  <c r="Z785" i="3"/>
  <c r="X785" i="3"/>
  <c r="S785" i="3"/>
  <c r="U785" i="3"/>
  <c r="V785" i="3"/>
  <c r="W785" i="3"/>
  <c r="P785" i="3"/>
  <c r="AO784" i="3"/>
  <c r="AG784" i="3"/>
  <c r="Z784" i="3"/>
  <c r="Y784" i="3"/>
  <c r="AD784" i="3"/>
  <c r="AB784" i="3"/>
  <c r="U784" i="3"/>
  <c r="V784" i="3"/>
  <c r="W784" i="3"/>
  <c r="P784" i="3"/>
  <c r="AO783" i="3"/>
  <c r="AG783" i="3"/>
  <c r="AD783" i="3"/>
  <c r="X783" i="3"/>
  <c r="S783" i="3"/>
  <c r="U783" i="3"/>
  <c r="V783" i="3"/>
  <c r="W783" i="3"/>
  <c r="P783" i="3"/>
  <c r="AO782" i="3"/>
  <c r="AG782" i="3"/>
  <c r="AD782" i="3"/>
  <c r="V782" i="3"/>
  <c r="W782" i="3"/>
  <c r="P782" i="3"/>
  <c r="AG781" i="3"/>
  <c r="AB781" i="3"/>
  <c r="V781" i="3"/>
  <c r="W781" i="3"/>
  <c r="P781" i="3"/>
  <c r="AO780" i="3"/>
  <c r="AM780" i="3"/>
  <c r="AH780" i="3"/>
  <c r="AG780" i="3"/>
  <c r="AJ780" i="3"/>
  <c r="AC780" i="3"/>
  <c r="AB780" i="3"/>
  <c r="Y780" i="3"/>
  <c r="X780" i="3"/>
  <c r="S780" i="3"/>
  <c r="V780" i="3"/>
  <c r="W780" i="3"/>
  <c r="R780" i="3"/>
  <c r="P780" i="3"/>
  <c r="AO779" i="3"/>
  <c r="AM779" i="3"/>
  <c r="AH779" i="3"/>
  <c r="AG779" i="3"/>
  <c r="AJ779" i="3"/>
  <c r="AB779" i="3"/>
  <c r="Y779" i="3"/>
  <c r="X779" i="3"/>
  <c r="V779" i="3"/>
  <c r="W779" i="3"/>
  <c r="R779" i="3"/>
  <c r="P779" i="3"/>
  <c r="AO778" i="3"/>
  <c r="AM778" i="3"/>
  <c r="AH778" i="3"/>
  <c r="AG778" i="3"/>
  <c r="AJ778" i="3"/>
  <c r="P778" i="3"/>
  <c r="AC778" i="3"/>
  <c r="AB778" i="3"/>
  <c r="Y778" i="3"/>
  <c r="X778" i="3"/>
  <c r="S778" i="3"/>
  <c r="V778" i="3"/>
  <c r="W778" i="3"/>
  <c r="R778" i="3"/>
  <c r="AO777" i="3"/>
  <c r="AM777" i="3"/>
  <c r="AH777" i="3"/>
  <c r="AG777" i="3"/>
  <c r="AJ777" i="3"/>
  <c r="P777" i="3"/>
  <c r="AE777" i="3"/>
  <c r="AB777" i="3"/>
  <c r="Y777" i="3"/>
  <c r="X777" i="3"/>
  <c r="S777" i="3"/>
  <c r="U777" i="3"/>
  <c r="V777" i="3"/>
  <c r="W777" i="3"/>
  <c r="R777" i="3"/>
  <c r="AO776" i="3"/>
  <c r="AM776" i="3"/>
  <c r="AH776" i="3"/>
  <c r="AG776" i="3"/>
  <c r="AB776" i="3"/>
  <c r="Y776" i="3"/>
  <c r="X776" i="3"/>
  <c r="U776" i="3"/>
  <c r="V776" i="3"/>
  <c r="W776" i="3"/>
  <c r="R776" i="3"/>
  <c r="P776" i="3"/>
  <c r="AO775" i="3"/>
  <c r="AH775" i="3"/>
  <c r="AG775" i="3"/>
  <c r="AB775" i="3"/>
  <c r="Y775" i="3"/>
  <c r="X775" i="3"/>
  <c r="S775" i="3"/>
  <c r="U775" i="3"/>
  <c r="V775" i="3"/>
  <c r="W775" i="3"/>
  <c r="R775" i="3"/>
  <c r="P775" i="3"/>
  <c r="AO774" i="3"/>
  <c r="AH774" i="3"/>
  <c r="AG774" i="3"/>
  <c r="AB774" i="3"/>
  <c r="Y774" i="3"/>
  <c r="X774" i="3"/>
  <c r="U774" i="3"/>
  <c r="V774" i="3"/>
  <c r="W774" i="3"/>
  <c r="R774" i="3"/>
  <c r="P774" i="3"/>
  <c r="AO773" i="3"/>
  <c r="AH773" i="3"/>
  <c r="AG773" i="3"/>
  <c r="AB773" i="3"/>
  <c r="Y773" i="3"/>
  <c r="X773" i="3"/>
  <c r="S773" i="3"/>
  <c r="U773" i="3"/>
  <c r="V773" i="3"/>
  <c r="W773" i="3"/>
  <c r="R773" i="3"/>
  <c r="P773" i="3"/>
  <c r="AO772" i="3"/>
  <c r="AH772" i="3"/>
  <c r="AG772" i="3"/>
  <c r="AB772" i="3"/>
  <c r="Y772" i="3"/>
  <c r="X772" i="3"/>
  <c r="Z772" i="3"/>
  <c r="AA772" i="3"/>
  <c r="U772" i="3"/>
  <c r="V772" i="3"/>
  <c r="W772" i="3"/>
  <c r="R772" i="3"/>
  <c r="P772" i="3"/>
  <c r="AO771" i="3"/>
  <c r="AH771" i="3"/>
  <c r="AG771" i="3"/>
  <c r="AB771" i="3"/>
  <c r="Y771" i="3"/>
  <c r="X771" i="3"/>
  <c r="S771" i="3"/>
  <c r="U771" i="3"/>
  <c r="V771" i="3"/>
  <c r="W771" i="3"/>
  <c r="R771" i="3"/>
  <c r="P771" i="3"/>
  <c r="AH770" i="3"/>
  <c r="AG770" i="3"/>
  <c r="AB770" i="3"/>
  <c r="Y770" i="3"/>
  <c r="X770" i="3"/>
  <c r="U770" i="3"/>
  <c r="V770" i="3"/>
  <c r="W770" i="3"/>
  <c r="R770" i="3"/>
  <c r="P770" i="3"/>
  <c r="AH769" i="3"/>
  <c r="AG769" i="3"/>
  <c r="AB769" i="3"/>
  <c r="Y769" i="3"/>
  <c r="X769" i="3"/>
  <c r="U769" i="3"/>
  <c r="V769" i="3"/>
  <c r="W769" i="3"/>
  <c r="R769" i="3"/>
  <c r="P769" i="3"/>
  <c r="AH768" i="3"/>
  <c r="AG768" i="3"/>
  <c r="AB768" i="3"/>
  <c r="Y768" i="3"/>
  <c r="X768" i="3"/>
  <c r="U768" i="3"/>
  <c r="V768" i="3"/>
  <c r="W768" i="3"/>
  <c r="R768" i="3"/>
  <c r="P768" i="3"/>
  <c r="AL767" i="3"/>
  <c r="AH767" i="3"/>
  <c r="AB767" i="3"/>
  <c r="Y767" i="3"/>
  <c r="X767" i="3"/>
  <c r="U767" i="3"/>
  <c r="V767" i="3"/>
  <c r="W767" i="3"/>
  <c r="R767" i="3"/>
  <c r="P767" i="3"/>
  <c r="AL766" i="3"/>
  <c r="AH766" i="3"/>
  <c r="AD766" i="3"/>
  <c r="AB766" i="3"/>
  <c r="Y766" i="3"/>
  <c r="Z766" i="3"/>
  <c r="U766" i="3"/>
  <c r="V766" i="3"/>
  <c r="W766" i="3"/>
  <c r="R766" i="3"/>
  <c r="P766" i="3"/>
  <c r="AL765" i="3"/>
  <c r="AH765" i="3"/>
  <c r="Y765" i="3"/>
  <c r="AD765" i="3"/>
  <c r="AB765" i="3"/>
  <c r="X765" i="3"/>
  <c r="U765" i="3"/>
  <c r="V765" i="3"/>
  <c r="W765" i="3"/>
  <c r="R765" i="3"/>
  <c r="AL764" i="3"/>
  <c r="AH764" i="3"/>
  <c r="Y764" i="3"/>
  <c r="AD764" i="3"/>
  <c r="AB764" i="3"/>
  <c r="X764" i="3"/>
  <c r="U764" i="3"/>
  <c r="V764" i="3"/>
  <c r="W764" i="3"/>
  <c r="R764" i="3"/>
  <c r="AL763" i="3"/>
  <c r="AH763" i="3"/>
  <c r="Y763" i="3"/>
  <c r="X763" i="3"/>
  <c r="S763" i="3"/>
  <c r="U763" i="3"/>
  <c r="V763" i="3"/>
  <c r="W763" i="3"/>
  <c r="R763" i="3"/>
  <c r="AL762" i="3"/>
  <c r="AH762" i="3"/>
  <c r="Y762" i="3"/>
  <c r="AD762" i="3"/>
  <c r="AB762" i="3"/>
  <c r="X762" i="3"/>
  <c r="S762" i="3"/>
  <c r="U762" i="3"/>
  <c r="V762" i="3"/>
  <c r="W762" i="3"/>
  <c r="R762" i="3"/>
  <c r="AL761" i="3"/>
  <c r="AH761" i="3"/>
  <c r="Y761" i="3"/>
  <c r="AD761" i="3"/>
  <c r="AB761" i="3"/>
  <c r="X761" i="3"/>
  <c r="S761" i="3"/>
  <c r="U761" i="3"/>
  <c r="V761" i="3"/>
  <c r="W761" i="3"/>
  <c r="R761" i="3"/>
  <c r="AL760" i="3"/>
  <c r="AH760" i="3"/>
  <c r="AD760" i="3"/>
  <c r="Y760" i="3"/>
  <c r="X760" i="3"/>
  <c r="AB760" i="3"/>
  <c r="U760" i="3"/>
  <c r="V760" i="3"/>
  <c r="W760" i="3"/>
  <c r="R760" i="3"/>
  <c r="P760" i="3"/>
  <c r="AL759" i="3"/>
  <c r="AH759" i="3"/>
  <c r="Y759" i="3"/>
  <c r="U759" i="3"/>
  <c r="V759" i="3"/>
  <c r="W759" i="3"/>
  <c r="R759" i="3"/>
  <c r="P759" i="3"/>
  <c r="AL758" i="3"/>
  <c r="AH758" i="3"/>
  <c r="AG758" i="3"/>
  <c r="Y758" i="3"/>
  <c r="X758" i="3"/>
  <c r="S758" i="3"/>
  <c r="U758" i="3"/>
  <c r="V758" i="3"/>
  <c r="W758" i="3"/>
  <c r="R758" i="3"/>
  <c r="P758" i="3"/>
  <c r="AL757" i="3"/>
  <c r="AH757" i="3"/>
  <c r="Z757" i="3"/>
  <c r="Y757" i="3"/>
  <c r="AD757" i="3"/>
  <c r="AB757" i="3"/>
  <c r="U757" i="3"/>
  <c r="V757" i="3"/>
  <c r="W757" i="3"/>
  <c r="R757" i="3"/>
  <c r="P757" i="3"/>
  <c r="AL756" i="3"/>
  <c r="AH756" i="3"/>
  <c r="Y756" i="3"/>
  <c r="AD756" i="3"/>
  <c r="AB756" i="3"/>
  <c r="U756" i="3"/>
  <c r="V756" i="3"/>
  <c r="W756" i="3"/>
  <c r="R756" i="3"/>
  <c r="P756" i="3"/>
  <c r="AM755" i="3"/>
  <c r="AL755" i="3"/>
  <c r="AH755" i="3"/>
  <c r="Z755" i="3"/>
  <c r="Y755" i="3"/>
  <c r="AD755" i="3"/>
  <c r="AB755" i="3"/>
  <c r="U755" i="3"/>
  <c r="V755" i="3"/>
  <c r="W755" i="3"/>
  <c r="R755" i="3"/>
  <c r="AM754" i="3"/>
  <c r="AL754" i="3"/>
  <c r="AH754" i="3"/>
  <c r="Y754" i="3"/>
  <c r="X754" i="3"/>
  <c r="S754" i="3"/>
  <c r="U754" i="3"/>
  <c r="V754" i="3"/>
  <c r="W754" i="3"/>
  <c r="R754" i="3"/>
  <c r="AM753" i="3"/>
  <c r="AL753" i="3"/>
  <c r="AH753" i="3"/>
  <c r="AD753" i="3"/>
  <c r="Y753" i="3"/>
  <c r="X753" i="3"/>
  <c r="S753" i="3"/>
  <c r="U753" i="3"/>
  <c r="V753" i="3"/>
  <c r="W753" i="3"/>
  <c r="R753" i="3"/>
  <c r="AM752" i="3"/>
  <c r="AL752" i="3"/>
  <c r="AH752" i="3"/>
  <c r="AD752" i="3"/>
  <c r="Y752" i="3"/>
  <c r="X752" i="3"/>
  <c r="U752" i="3"/>
  <c r="V752" i="3"/>
  <c r="W752" i="3"/>
  <c r="R752" i="3"/>
  <c r="AM751" i="3"/>
  <c r="AL751" i="3"/>
  <c r="AH751" i="3"/>
  <c r="AD751" i="3"/>
  <c r="Y751" i="3"/>
  <c r="X751" i="3"/>
  <c r="U751" i="3"/>
  <c r="V751" i="3"/>
  <c r="W751" i="3"/>
  <c r="R751" i="3"/>
  <c r="AO750" i="3"/>
  <c r="AH750" i="3"/>
  <c r="AG750" i="3"/>
  <c r="AB750" i="3"/>
  <c r="Y750" i="3"/>
  <c r="X750" i="3"/>
  <c r="U750" i="3"/>
  <c r="V750" i="3"/>
  <c r="W750" i="3"/>
  <c r="R750" i="3"/>
  <c r="P750" i="3"/>
  <c r="AO749" i="3"/>
  <c r="AH749" i="3"/>
  <c r="AG749" i="3"/>
  <c r="AB749" i="3"/>
  <c r="Y749" i="3"/>
  <c r="X749" i="3"/>
  <c r="S749" i="3"/>
  <c r="U749" i="3"/>
  <c r="V749" i="3"/>
  <c r="W749" i="3"/>
  <c r="R749" i="3"/>
  <c r="P749" i="3"/>
  <c r="AO748" i="3"/>
  <c r="AH748" i="3"/>
  <c r="AG748" i="3"/>
  <c r="Y748" i="3"/>
  <c r="AD748" i="3"/>
  <c r="AB748" i="3"/>
  <c r="X748" i="3"/>
  <c r="U748" i="3"/>
  <c r="V748" i="3"/>
  <c r="W748" i="3"/>
  <c r="R748" i="3"/>
  <c r="P748" i="3"/>
  <c r="AO747" i="3"/>
  <c r="AH747" i="3"/>
  <c r="AG747" i="3"/>
  <c r="AB747" i="3"/>
  <c r="Y747" i="3"/>
  <c r="X747" i="3"/>
  <c r="S747" i="3"/>
  <c r="U747" i="3"/>
  <c r="V747" i="3"/>
  <c r="W747" i="3"/>
  <c r="R747" i="3"/>
  <c r="P747" i="3"/>
  <c r="AO746" i="3"/>
  <c r="AH746" i="3"/>
  <c r="AG746" i="3"/>
  <c r="AB746" i="3"/>
  <c r="X746" i="3"/>
  <c r="Z746" i="3"/>
  <c r="AA746" i="3"/>
  <c r="U746" i="3"/>
  <c r="V746" i="3"/>
  <c r="W746" i="3"/>
  <c r="R746" i="3"/>
  <c r="P746" i="3"/>
  <c r="AO745" i="3"/>
  <c r="AG745" i="3"/>
  <c r="AB745" i="3"/>
  <c r="Y745" i="3"/>
  <c r="X745" i="3"/>
  <c r="S745" i="3"/>
  <c r="U745" i="3"/>
  <c r="V745" i="3"/>
  <c r="W745" i="3"/>
  <c r="R745" i="3"/>
  <c r="P745" i="3"/>
  <c r="AO744" i="3"/>
  <c r="AG744" i="3"/>
  <c r="AB744" i="3"/>
  <c r="Y744" i="3"/>
  <c r="X744" i="3"/>
  <c r="S744" i="3"/>
  <c r="U744" i="3"/>
  <c r="V744" i="3"/>
  <c r="W744" i="3"/>
  <c r="R744" i="3"/>
  <c r="P744" i="3"/>
  <c r="AO743" i="3"/>
  <c r="AH743" i="3"/>
  <c r="AG743" i="3"/>
  <c r="AD743" i="3"/>
  <c r="Y743" i="3"/>
  <c r="X743" i="3"/>
  <c r="S743" i="3"/>
  <c r="U743" i="3"/>
  <c r="V743" i="3"/>
  <c r="W743" i="3"/>
  <c r="R743" i="3"/>
  <c r="P743" i="3"/>
  <c r="AO742" i="3"/>
  <c r="AH742" i="3"/>
  <c r="AG742" i="3"/>
  <c r="Y742" i="3"/>
  <c r="AD742" i="3"/>
  <c r="AB742" i="3"/>
  <c r="X742" i="3"/>
  <c r="U742" i="3"/>
  <c r="V742" i="3"/>
  <c r="W742" i="3"/>
  <c r="R742" i="3"/>
  <c r="P742" i="3"/>
  <c r="AO741" i="3"/>
  <c r="AG741" i="3"/>
  <c r="AB741" i="3"/>
  <c r="Y741" i="3"/>
  <c r="X741" i="3"/>
  <c r="S741" i="3"/>
  <c r="U741" i="3"/>
  <c r="V741" i="3"/>
  <c r="W741" i="3"/>
  <c r="R741" i="3"/>
  <c r="P741" i="3"/>
  <c r="AO740" i="3"/>
  <c r="AM740" i="3"/>
  <c r="AL740" i="3"/>
  <c r="AJ740" i="3"/>
  <c r="P740" i="3"/>
  <c r="AH740" i="3"/>
  <c r="AB740" i="3"/>
  <c r="Y740" i="3"/>
  <c r="X740" i="3"/>
  <c r="U740" i="3"/>
  <c r="V740" i="3"/>
  <c r="W740" i="3"/>
  <c r="R740" i="3"/>
  <c r="AO739" i="3"/>
  <c r="AM739" i="3"/>
  <c r="AL739" i="3"/>
  <c r="AJ739" i="3"/>
  <c r="P739" i="3"/>
  <c r="AH739" i="3"/>
  <c r="AD739" i="3"/>
  <c r="AB739" i="3"/>
  <c r="X739" i="3"/>
  <c r="Z739" i="3"/>
  <c r="AA739" i="3"/>
  <c r="U739" i="3"/>
  <c r="V739" i="3"/>
  <c r="W739" i="3"/>
  <c r="R739" i="3"/>
  <c r="AO738" i="3"/>
  <c r="AM738" i="3"/>
  <c r="AL738" i="3"/>
  <c r="AJ738" i="3"/>
  <c r="P738" i="3"/>
  <c r="AH738" i="3"/>
  <c r="AD738" i="3"/>
  <c r="AB738" i="3"/>
  <c r="Y738" i="3"/>
  <c r="X738" i="3"/>
  <c r="U738" i="3"/>
  <c r="V738" i="3"/>
  <c r="W738" i="3"/>
  <c r="R738" i="3"/>
  <c r="AO737" i="3"/>
  <c r="AM737" i="3"/>
  <c r="AL737" i="3"/>
  <c r="AJ737" i="3"/>
  <c r="P737" i="3"/>
  <c r="AH737" i="3"/>
  <c r="AD737" i="3"/>
  <c r="Y737" i="3"/>
  <c r="X737" i="3"/>
  <c r="S737" i="3"/>
  <c r="U737" i="3"/>
  <c r="V737" i="3"/>
  <c r="W737" i="3"/>
  <c r="R737" i="3"/>
  <c r="AO736" i="3"/>
  <c r="AM736" i="3"/>
  <c r="AL736" i="3"/>
  <c r="AK736" i="3"/>
  <c r="AH736" i="3"/>
  <c r="AJ736" i="3"/>
  <c r="AD736" i="3"/>
  <c r="AB736" i="3"/>
  <c r="X736" i="3"/>
  <c r="U736" i="3"/>
  <c r="V736" i="3"/>
  <c r="W736" i="3"/>
  <c r="R736" i="3"/>
  <c r="P736" i="3"/>
  <c r="AO735" i="3"/>
  <c r="AL735" i="3"/>
  <c r="AH735" i="3"/>
  <c r="AB735" i="3"/>
  <c r="Y735" i="3"/>
  <c r="X735" i="3"/>
  <c r="V735" i="3"/>
  <c r="R735" i="3"/>
  <c r="AO734" i="3"/>
  <c r="AL734" i="3"/>
  <c r="AH734" i="3"/>
  <c r="AB734" i="3"/>
  <c r="Y734" i="3"/>
  <c r="V734" i="3"/>
  <c r="U734" i="3"/>
  <c r="W734" i="3"/>
  <c r="R734" i="3"/>
  <c r="AO733" i="3"/>
  <c r="AL733" i="3"/>
  <c r="AH733" i="3"/>
  <c r="AB733" i="3"/>
  <c r="X733" i="3"/>
  <c r="Y733" i="3"/>
  <c r="AA733" i="3"/>
  <c r="V733" i="3"/>
  <c r="U733" i="3"/>
  <c r="R733" i="3"/>
  <c r="AO732" i="3"/>
  <c r="AL732" i="3"/>
  <c r="AH732" i="3"/>
  <c r="AB732" i="3"/>
  <c r="Y732" i="3"/>
  <c r="V732" i="3"/>
  <c r="U732" i="3"/>
  <c r="R732" i="3"/>
  <c r="AO731" i="3"/>
  <c r="AL731" i="3"/>
  <c r="AH731" i="3"/>
  <c r="AB731" i="3"/>
  <c r="Y731" i="3"/>
  <c r="X731" i="3"/>
  <c r="V731" i="3"/>
  <c r="U731" i="3"/>
  <c r="R731" i="3"/>
  <c r="AJ730" i="3"/>
  <c r="P730" i="3"/>
  <c r="AG730" i="3"/>
  <c r="AB730" i="3"/>
  <c r="X730" i="3"/>
  <c r="Z730" i="3"/>
  <c r="AA730" i="3"/>
  <c r="U730" i="3"/>
  <c r="V730" i="3"/>
  <c r="W730" i="3"/>
  <c r="R730" i="3"/>
  <c r="AJ729" i="3"/>
  <c r="P729" i="3"/>
  <c r="AG729" i="3"/>
  <c r="AB729" i="3"/>
  <c r="X729" i="3"/>
  <c r="Z729" i="3"/>
  <c r="AA729" i="3"/>
  <c r="U729" i="3"/>
  <c r="V729" i="3"/>
  <c r="W729" i="3"/>
  <c r="R729" i="3"/>
  <c r="AJ728" i="3"/>
  <c r="P728" i="3"/>
  <c r="AG728" i="3"/>
  <c r="AB728" i="3"/>
  <c r="X728" i="3"/>
  <c r="S728" i="3"/>
  <c r="U728" i="3"/>
  <c r="V728" i="3"/>
  <c r="W728" i="3"/>
  <c r="R728" i="3"/>
  <c r="AJ727" i="3"/>
  <c r="P727" i="3"/>
  <c r="AH727" i="3"/>
  <c r="AG727" i="3"/>
  <c r="AB727" i="3"/>
  <c r="X727" i="3"/>
  <c r="Z727" i="3"/>
  <c r="AA727" i="3"/>
  <c r="U727" i="3"/>
  <c r="V727" i="3"/>
  <c r="W727" i="3"/>
  <c r="R727" i="3"/>
  <c r="AJ726" i="3"/>
  <c r="P726" i="3"/>
  <c r="AG726" i="3"/>
  <c r="AB726" i="3"/>
  <c r="X726" i="3"/>
  <c r="Z726" i="3"/>
  <c r="AA726" i="3"/>
  <c r="U726" i="3"/>
  <c r="V726" i="3"/>
  <c r="W726" i="3"/>
  <c r="R726" i="3"/>
  <c r="AO725" i="3"/>
  <c r="AH725" i="3"/>
  <c r="AG725" i="3"/>
  <c r="AB725" i="3"/>
  <c r="X725" i="3"/>
  <c r="Z725" i="3"/>
  <c r="AA725" i="3"/>
  <c r="V725" i="3"/>
  <c r="U725" i="3"/>
  <c r="W725" i="3"/>
  <c r="R725" i="3"/>
  <c r="P725" i="3"/>
  <c r="AO724" i="3"/>
  <c r="AH724" i="3"/>
  <c r="AG724" i="3"/>
  <c r="AB724" i="3"/>
  <c r="X724" i="3"/>
  <c r="Z724" i="3"/>
  <c r="AA724" i="3"/>
  <c r="V724" i="3"/>
  <c r="U724" i="3"/>
  <c r="R724" i="3"/>
  <c r="P724" i="3"/>
  <c r="AO723" i="3"/>
  <c r="AH723" i="3"/>
  <c r="AG723" i="3"/>
  <c r="AB723" i="3"/>
  <c r="X723" i="3"/>
  <c r="Z723" i="3"/>
  <c r="AA723" i="3"/>
  <c r="V723" i="3"/>
  <c r="R723" i="3"/>
  <c r="P723" i="3"/>
  <c r="AO722" i="3"/>
  <c r="AH722" i="3"/>
  <c r="AG722" i="3"/>
  <c r="AB722" i="3"/>
  <c r="X722" i="3"/>
  <c r="V722" i="3"/>
  <c r="U722" i="3"/>
  <c r="R722" i="3"/>
  <c r="P722" i="3"/>
  <c r="AO721" i="3"/>
  <c r="AH721" i="3"/>
  <c r="AG721" i="3"/>
  <c r="AB721" i="3"/>
  <c r="Y721" i="3"/>
  <c r="X721" i="3"/>
  <c r="S721" i="3"/>
  <c r="U721" i="3"/>
  <c r="V721" i="3"/>
  <c r="W721" i="3"/>
  <c r="R721" i="3"/>
  <c r="P721" i="3"/>
  <c r="AJ720" i="3"/>
  <c r="P720" i="3"/>
  <c r="AH720" i="3"/>
  <c r="AG720" i="3"/>
  <c r="AB720" i="3"/>
  <c r="Y720" i="3"/>
  <c r="X720" i="3"/>
  <c r="V720" i="3"/>
  <c r="W720" i="3"/>
  <c r="R720" i="3"/>
  <c r="AJ719" i="3"/>
  <c r="P719" i="3"/>
  <c r="AH719" i="3"/>
  <c r="AG719" i="3"/>
  <c r="AB719" i="3"/>
  <c r="Y719" i="3"/>
  <c r="X719" i="3"/>
  <c r="V719" i="3"/>
  <c r="W719" i="3"/>
  <c r="R719" i="3"/>
  <c r="AO718" i="3"/>
  <c r="AJ718" i="3"/>
  <c r="AH718" i="3"/>
  <c r="AG718" i="3"/>
  <c r="AB718" i="3"/>
  <c r="Y718" i="3"/>
  <c r="X718" i="3"/>
  <c r="V718" i="3"/>
  <c r="W718" i="3"/>
  <c r="R718" i="3"/>
  <c r="P718" i="3"/>
  <c r="AO717" i="3"/>
  <c r="AJ717" i="3"/>
  <c r="P717" i="3"/>
  <c r="AH717" i="3"/>
  <c r="AG717" i="3"/>
  <c r="AB717" i="3"/>
  <c r="Y717" i="3"/>
  <c r="X717" i="3"/>
  <c r="V717" i="3"/>
  <c r="W717" i="3"/>
  <c r="R717" i="3"/>
  <c r="AO716" i="3"/>
  <c r="AH716" i="3"/>
  <c r="AG716" i="3"/>
  <c r="AB716" i="3"/>
  <c r="Y716" i="3"/>
  <c r="X716" i="3"/>
  <c r="V716" i="3"/>
  <c r="W716" i="3"/>
  <c r="R716" i="3"/>
  <c r="P716" i="3"/>
  <c r="AO715" i="3"/>
  <c r="AG715" i="3"/>
  <c r="AE715" i="3"/>
  <c r="AB715" i="3"/>
  <c r="Y715" i="3"/>
  <c r="X715" i="3"/>
  <c r="S715" i="3"/>
  <c r="U715" i="3"/>
  <c r="V715" i="3"/>
  <c r="W715" i="3"/>
  <c r="R715" i="3"/>
  <c r="P715" i="3"/>
  <c r="AO714" i="3"/>
  <c r="AG714" i="3"/>
  <c r="AE714" i="3"/>
  <c r="AB714" i="3"/>
  <c r="Y714" i="3"/>
  <c r="X714" i="3"/>
  <c r="U714" i="3"/>
  <c r="V714" i="3"/>
  <c r="W714" i="3"/>
  <c r="R714" i="3"/>
  <c r="P714" i="3"/>
  <c r="AO713" i="3"/>
  <c r="AG713" i="3"/>
  <c r="AE713" i="3"/>
  <c r="AB713" i="3"/>
  <c r="Y713" i="3"/>
  <c r="X713" i="3"/>
  <c r="S713" i="3"/>
  <c r="U713" i="3"/>
  <c r="V713" i="3"/>
  <c r="W713" i="3"/>
  <c r="R713" i="3"/>
  <c r="P713" i="3"/>
  <c r="AO712" i="3"/>
  <c r="AH712" i="3"/>
  <c r="AG712" i="3"/>
  <c r="AE712" i="3"/>
  <c r="AB712" i="3"/>
  <c r="Y712" i="3"/>
  <c r="X712" i="3"/>
  <c r="U712" i="3"/>
  <c r="V712" i="3"/>
  <c r="W712" i="3"/>
  <c r="R712" i="3"/>
  <c r="P712" i="3"/>
  <c r="AG711" i="3"/>
  <c r="AB711" i="3"/>
  <c r="Y711" i="3"/>
  <c r="X711" i="3"/>
  <c r="Z711" i="3"/>
  <c r="AA711" i="3"/>
  <c r="U711" i="3"/>
  <c r="V711" i="3"/>
  <c r="W711" i="3"/>
  <c r="R711" i="3"/>
  <c r="P711" i="3"/>
  <c r="AO710" i="3"/>
  <c r="AG710" i="3"/>
  <c r="AB710" i="3"/>
  <c r="Y710" i="3"/>
  <c r="X710" i="3"/>
  <c r="U710" i="3"/>
  <c r="V710" i="3"/>
  <c r="W710" i="3"/>
  <c r="R710" i="3"/>
  <c r="P710" i="3"/>
  <c r="AO709" i="3"/>
  <c r="AG709" i="3"/>
  <c r="AB709" i="3"/>
  <c r="Y709" i="3"/>
  <c r="X709" i="3"/>
  <c r="U709" i="3"/>
  <c r="V709" i="3"/>
  <c r="W709" i="3"/>
  <c r="R709" i="3"/>
  <c r="P709" i="3"/>
  <c r="AO708" i="3"/>
  <c r="AG708" i="3"/>
  <c r="AD708" i="3"/>
  <c r="AB708" i="3"/>
  <c r="Y708" i="3"/>
  <c r="X708" i="3"/>
  <c r="U708" i="3"/>
  <c r="V708" i="3"/>
  <c r="W708" i="3"/>
  <c r="R708" i="3"/>
  <c r="P708" i="3"/>
  <c r="AO707" i="3"/>
  <c r="AG707" i="3"/>
  <c r="AB707" i="3"/>
  <c r="Y707" i="3"/>
  <c r="X707" i="3"/>
  <c r="S707" i="3"/>
  <c r="U707" i="3"/>
  <c r="V707" i="3"/>
  <c r="W707" i="3"/>
  <c r="R707" i="3"/>
  <c r="P707" i="3"/>
  <c r="AO706" i="3"/>
  <c r="AG706" i="3"/>
  <c r="AB706" i="3"/>
  <c r="Y706" i="3"/>
  <c r="X706" i="3"/>
  <c r="U706" i="3"/>
  <c r="V706" i="3"/>
  <c r="W706" i="3"/>
  <c r="R706" i="3"/>
  <c r="P706" i="3"/>
  <c r="AO705" i="3"/>
  <c r="AH705" i="3"/>
  <c r="AG705" i="3"/>
  <c r="AD705" i="3"/>
  <c r="AB705" i="3"/>
  <c r="Y705" i="3"/>
  <c r="X705" i="3"/>
  <c r="U705" i="3"/>
  <c r="V705" i="3"/>
  <c r="W705" i="3"/>
  <c r="R705" i="3"/>
  <c r="P705" i="3"/>
  <c r="AO704" i="3"/>
  <c r="AG704" i="3"/>
  <c r="AD704" i="3"/>
  <c r="AB704" i="3"/>
  <c r="Y704" i="3"/>
  <c r="X704" i="3"/>
  <c r="U704" i="3"/>
  <c r="V704" i="3"/>
  <c r="W704" i="3"/>
  <c r="R704" i="3"/>
  <c r="P704" i="3"/>
  <c r="AO703" i="3"/>
  <c r="AG703" i="3"/>
  <c r="AD703" i="3"/>
  <c r="AB703" i="3"/>
  <c r="Y703" i="3"/>
  <c r="X703" i="3"/>
  <c r="U703" i="3"/>
  <c r="V703" i="3"/>
  <c r="W703" i="3"/>
  <c r="R703" i="3"/>
  <c r="P703" i="3"/>
  <c r="AO702" i="3"/>
  <c r="AG702" i="3"/>
  <c r="AE702" i="3"/>
  <c r="AD702" i="3"/>
  <c r="AB702" i="3"/>
  <c r="Y702" i="3"/>
  <c r="X702" i="3"/>
  <c r="U702" i="3"/>
  <c r="V702" i="3"/>
  <c r="W702" i="3"/>
  <c r="R702" i="3"/>
  <c r="P702" i="3"/>
  <c r="AO701" i="3"/>
  <c r="AG701" i="3"/>
  <c r="AD701" i="3"/>
  <c r="AB701" i="3"/>
  <c r="Y701" i="3"/>
  <c r="X701" i="3"/>
  <c r="U701" i="3"/>
  <c r="V701" i="3"/>
  <c r="W701" i="3"/>
  <c r="R701" i="3"/>
  <c r="P701" i="3"/>
  <c r="AG700" i="3"/>
  <c r="AD700" i="3"/>
  <c r="AB700" i="3"/>
  <c r="Y700" i="3"/>
  <c r="X700" i="3"/>
  <c r="U700" i="3"/>
  <c r="V700" i="3"/>
  <c r="W700" i="3"/>
  <c r="R700" i="3"/>
  <c r="AH699" i="3"/>
  <c r="AG699" i="3"/>
  <c r="AD699" i="3"/>
  <c r="AB699" i="3"/>
  <c r="Y699" i="3"/>
  <c r="X699" i="3"/>
  <c r="S699" i="3"/>
  <c r="U699" i="3"/>
  <c r="V699" i="3"/>
  <c r="W699" i="3"/>
  <c r="R699" i="3"/>
  <c r="AG698" i="3"/>
  <c r="AD698" i="3"/>
  <c r="AB698" i="3"/>
  <c r="Y698" i="3"/>
  <c r="X698" i="3"/>
  <c r="U698" i="3"/>
  <c r="V698" i="3"/>
  <c r="W698" i="3"/>
  <c r="R698" i="3"/>
  <c r="AG697" i="3"/>
  <c r="AD697" i="3"/>
  <c r="AB697" i="3"/>
  <c r="Y697" i="3"/>
  <c r="X697" i="3"/>
  <c r="U697" i="3"/>
  <c r="V697" i="3"/>
  <c r="W697" i="3"/>
  <c r="R697" i="3"/>
  <c r="AO696" i="3"/>
  <c r="AG696" i="3"/>
  <c r="AD696" i="3"/>
  <c r="AB696" i="3"/>
  <c r="Y696" i="3"/>
  <c r="X696" i="3"/>
  <c r="U696" i="3"/>
  <c r="V696" i="3"/>
  <c r="W696" i="3"/>
  <c r="R696" i="3"/>
  <c r="P696" i="3"/>
  <c r="AO695" i="3"/>
  <c r="AG695" i="3"/>
  <c r="AD695" i="3"/>
  <c r="AB695" i="3"/>
  <c r="Y695" i="3"/>
  <c r="X695" i="3"/>
  <c r="U695" i="3"/>
  <c r="V695" i="3"/>
  <c r="W695" i="3"/>
  <c r="R695" i="3"/>
  <c r="P695" i="3"/>
  <c r="AO694" i="3"/>
  <c r="AG694" i="3"/>
  <c r="AD694" i="3"/>
  <c r="AB694" i="3"/>
  <c r="Y694" i="3"/>
  <c r="X694" i="3"/>
  <c r="U694" i="3"/>
  <c r="V694" i="3"/>
  <c r="W694" i="3"/>
  <c r="R694" i="3"/>
  <c r="P694" i="3"/>
  <c r="AO693" i="3"/>
  <c r="AG693" i="3"/>
  <c r="AB693" i="3"/>
  <c r="Y693" i="3"/>
  <c r="X693" i="3"/>
  <c r="U693" i="3"/>
  <c r="V693" i="3"/>
  <c r="W693" i="3"/>
  <c r="R693" i="3"/>
  <c r="P693" i="3"/>
  <c r="AO692" i="3"/>
  <c r="AG692" i="3"/>
  <c r="AB692" i="3"/>
  <c r="Y692" i="3"/>
  <c r="X692" i="3"/>
  <c r="U692" i="3"/>
  <c r="V692" i="3"/>
  <c r="W692" i="3"/>
  <c r="R692" i="3"/>
  <c r="P692" i="3"/>
  <c r="AJ691" i="3"/>
  <c r="P691" i="3"/>
  <c r="AG691" i="3"/>
  <c r="AD691" i="3"/>
  <c r="AB691" i="3"/>
  <c r="Y691" i="3"/>
  <c r="X691" i="3"/>
  <c r="S691" i="3"/>
  <c r="U691" i="3"/>
  <c r="V691" i="3"/>
  <c r="W691" i="3"/>
  <c r="R691" i="3"/>
  <c r="AJ690" i="3"/>
  <c r="P690" i="3"/>
  <c r="AG690" i="3"/>
  <c r="AD690" i="3"/>
  <c r="AB690" i="3"/>
  <c r="Y690" i="3"/>
  <c r="X690" i="3"/>
  <c r="U690" i="3"/>
  <c r="V690" i="3"/>
  <c r="W690" i="3"/>
  <c r="R690" i="3"/>
  <c r="AG689" i="3"/>
  <c r="AD689" i="3"/>
  <c r="AB689" i="3"/>
  <c r="Y689" i="3"/>
  <c r="X689" i="3"/>
  <c r="U689" i="3"/>
  <c r="V689" i="3"/>
  <c r="W689" i="3"/>
  <c r="R689" i="3"/>
  <c r="P689" i="3"/>
  <c r="AG688" i="3"/>
  <c r="AD688" i="3"/>
  <c r="AB688" i="3"/>
  <c r="Y688" i="3"/>
  <c r="X688" i="3"/>
  <c r="U688" i="3"/>
  <c r="V688" i="3"/>
  <c r="W688" i="3"/>
  <c r="R688" i="3"/>
  <c r="P688" i="3"/>
  <c r="AG687" i="3"/>
  <c r="AD687" i="3"/>
  <c r="AB687" i="3"/>
  <c r="Y687" i="3"/>
  <c r="X687" i="3"/>
  <c r="S687" i="3"/>
  <c r="U687" i="3"/>
  <c r="V687" i="3"/>
  <c r="W687" i="3"/>
  <c r="R687" i="3"/>
  <c r="P687" i="3"/>
  <c r="AO686" i="3"/>
  <c r="AH686" i="3"/>
  <c r="AG686" i="3"/>
  <c r="AD686" i="3"/>
  <c r="AB686" i="3"/>
  <c r="Y686" i="3"/>
  <c r="X686" i="3"/>
  <c r="U686" i="3"/>
  <c r="V686" i="3"/>
  <c r="W686" i="3"/>
  <c r="R686" i="3"/>
  <c r="P686" i="3"/>
  <c r="AO685" i="3"/>
  <c r="AH685" i="3"/>
  <c r="AG685" i="3"/>
  <c r="AD685" i="3"/>
  <c r="AB685" i="3"/>
  <c r="Y685" i="3"/>
  <c r="X685" i="3"/>
  <c r="U685" i="3"/>
  <c r="V685" i="3"/>
  <c r="W685" i="3"/>
  <c r="R685" i="3"/>
  <c r="P685" i="3"/>
  <c r="AO684" i="3"/>
  <c r="AH684" i="3"/>
  <c r="AG684" i="3"/>
  <c r="AD684" i="3"/>
  <c r="AB684" i="3"/>
  <c r="Y684" i="3"/>
  <c r="X684" i="3"/>
  <c r="U684" i="3"/>
  <c r="V684" i="3"/>
  <c r="W684" i="3"/>
  <c r="R684" i="3"/>
  <c r="P684" i="3"/>
  <c r="AO683" i="3"/>
  <c r="AH683" i="3"/>
  <c r="AG683" i="3"/>
  <c r="AD683" i="3"/>
  <c r="AB683" i="3"/>
  <c r="Y683" i="3"/>
  <c r="X683" i="3"/>
  <c r="U683" i="3"/>
  <c r="V683" i="3"/>
  <c r="W683" i="3"/>
  <c r="R683" i="3"/>
  <c r="P683" i="3"/>
  <c r="AO682" i="3"/>
  <c r="AH682" i="3"/>
  <c r="AG682" i="3"/>
  <c r="AD682" i="3"/>
  <c r="AB682" i="3"/>
  <c r="Y682" i="3"/>
  <c r="X682" i="3"/>
  <c r="U682" i="3"/>
  <c r="V682" i="3"/>
  <c r="W682" i="3"/>
  <c r="R682" i="3"/>
  <c r="P682" i="3"/>
  <c r="AO681" i="3"/>
  <c r="AG681" i="3"/>
  <c r="AD681" i="3"/>
  <c r="AB681" i="3"/>
  <c r="Y681" i="3"/>
  <c r="X681" i="3"/>
  <c r="U681" i="3"/>
  <c r="V681" i="3"/>
  <c r="W681" i="3"/>
  <c r="R681" i="3"/>
  <c r="P681" i="3"/>
  <c r="AO680" i="3"/>
  <c r="AG680" i="3"/>
  <c r="AB680" i="3"/>
  <c r="Y680" i="3"/>
  <c r="X680" i="3"/>
  <c r="U680" i="3"/>
  <c r="V680" i="3"/>
  <c r="W680" i="3"/>
  <c r="R680" i="3"/>
  <c r="P680" i="3"/>
  <c r="AO679" i="3"/>
  <c r="AG679" i="3"/>
  <c r="AB679" i="3"/>
  <c r="Y679" i="3"/>
  <c r="X679" i="3"/>
  <c r="U679" i="3"/>
  <c r="V679" i="3"/>
  <c r="W679" i="3"/>
  <c r="R679" i="3"/>
  <c r="P679" i="3"/>
  <c r="AO678" i="3"/>
  <c r="AG678" i="3"/>
  <c r="AD678" i="3"/>
  <c r="AB678" i="3"/>
  <c r="Y678" i="3"/>
  <c r="X678" i="3"/>
  <c r="U678" i="3"/>
  <c r="V678" i="3"/>
  <c r="W678" i="3"/>
  <c r="R678" i="3"/>
  <c r="P678" i="3"/>
  <c r="AO677" i="3"/>
  <c r="AG677" i="3"/>
  <c r="AB677" i="3"/>
  <c r="Y677" i="3"/>
  <c r="X677" i="3"/>
  <c r="U677" i="3"/>
  <c r="V677" i="3"/>
  <c r="W677" i="3"/>
  <c r="R677" i="3"/>
  <c r="P677" i="3"/>
  <c r="AO676" i="3"/>
  <c r="AL676" i="3"/>
  <c r="AG676" i="3"/>
  <c r="AD676" i="3"/>
  <c r="AB676" i="3"/>
  <c r="Y676" i="3"/>
  <c r="X676" i="3"/>
  <c r="U676" i="3"/>
  <c r="V676" i="3"/>
  <c r="W676" i="3"/>
  <c r="R676" i="3"/>
  <c r="AO675" i="3"/>
  <c r="AG675" i="3"/>
  <c r="AD675" i="3"/>
  <c r="AB675" i="3"/>
  <c r="Y675" i="3"/>
  <c r="X675" i="3"/>
  <c r="U675" i="3"/>
  <c r="V675" i="3"/>
  <c r="W675" i="3"/>
  <c r="R675" i="3"/>
  <c r="P675" i="3"/>
  <c r="AO674" i="3"/>
  <c r="AG674" i="3"/>
  <c r="AD674" i="3"/>
  <c r="AB674" i="3"/>
  <c r="Y674" i="3"/>
  <c r="X674" i="3"/>
  <c r="S674" i="3"/>
  <c r="U674" i="3"/>
  <c r="V674" i="3"/>
  <c r="W674" i="3"/>
  <c r="R674" i="3"/>
  <c r="P674" i="3"/>
  <c r="AO673" i="3"/>
  <c r="AG673" i="3"/>
  <c r="AD673" i="3"/>
  <c r="AB673" i="3"/>
  <c r="Y673" i="3"/>
  <c r="X673" i="3"/>
  <c r="U673" i="3"/>
  <c r="V673" i="3"/>
  <c r="W673" i="3"/>
  <c r="R673" i="3"/>
  <c r="P673" i="3"/>
  <c r="AO672" i="3"/>
  <c r="AG672" i="3"/>
  <c r="AB672" i="3"/>
  <c r="Y672" i="3"/>
  <c r="X672" i="3"/>
  <c r="U672" i="3"/>
  <c r="V672" i="3"/>
  <c r="W672" i="3"/>
  <c r="R672" i="3"/>
  <c r="P672" i="3"/>
  <c r="AO671" i="3"/>
  <c r="AG671" i="3"/>
  <c r="AD671" i="3"/>
  <c r="AB671" i="3"/>
  <c r="U671" i="3"/>
  <c r="V671" i="3"/>
  <c r="W671" i="3"/>
  <c r="R671" i="3"/>
  <c r="P671" i="3"/>
  <c r="AO670" i="3"/>
  <c r="AG670" i="3"/>
  <c r="AB670" i="3"/>
  <c r="Y670" i="3"/>
  <c r="X670" i="3"/>
  <c r="U670" i="3"/>
  <c r="V670" i="3"/>
  <c r="W670" i="3"/>
  <c r="R670" i="3"/>
  <c r="P670" i="3"/>
  <c r="AO669" i="3"/>
  <c r="AH669" i="3"/>
  <c r="AG669" i="3"/>
  <c r="AB669" i="3"/>
  <c r="Y669" i="3"/>
  <c r="X669" i="3"/>
  <c r="S669" i="3"/>
  <c r="U669" i="3"/>
  <c r="V669" i="3"/>
  <c r="W669" i="3"/>
  <c r="R669" i="3"/>
  <c r="P669" i="3"/>
  <c r="AO668" i="3"/>
  <c r="AG668" i="3"/>
  <c r="AB668" i="3"/>
  <c r="Y668" i="3"/>
  <c r="X668" i="3"/>
  <c r="U668" i="3"/>
  <c r="V668" i="3"/>
  <c r="W668" i="3"/>
  <c r="R668" i="3"/>
  <c r="P668" i="3"/>
  <c r="AH667" i="3"/>
  <c r="AG667" i="3"/>
  <c r="AB667" i="3"/>
  <c r="Y667" i="3"/>
  <c r="X667" i="3"/>
  <c r="U667" i="3"/>
  <c r="V667" i="3"/>
  <c r="W667" i="3"/>
  <c r="R667" i="3"/>
  <c r="P667" i="3"/>
  <c r="AH666" i="3"/>
  <c r="AG666" i="3"/>
  <c r="AB666" i="3"/>
  <c r="Y666" i="3"/>
  <c r="X666" i="3"/>
  <c r="U666" i="3"/>
  <c r="V666" i="3"/>
  <c r="W666" i="3"/>
  <c r="R666" i="3"/>
  <c r="P666" i="3"/>
  <c r="AH665" i="3"/>
  <c r="AG665" i="3"/>
  <c r="AB665" i="3"/>
  <c r="Y665" i="3"/>
  <c r="X665" i="3"/>
  <c r="U665" i="3"/>
  <c r="V665" i="3"/>
  <c r="W665" i="3"/>
  <c r="R665" i="3"/>
  <c r="P665" i="3"/>
  <c r="AK664" i="3"/>
  <c r="AH664" i="3"/>
  <c r="AG664" i="3"/>
  <c r="AB664" i="3"/>
  <c r="Y664" i="3"/>
  <c r="X664" i="3"/>
  <c r="S664" i="3"/>
  <c r="U664" i="3"/>
  <c r="V664" i="3"/>
  <c r="W664" i="3"/>
  <c r="R664" i="3"/>
  <c r="P664" i="3"/>
  <c r="AH663" i="3"/>
  <c r="AG663" i="3"/>
  <c r="AB663" i="3"/>
  <c r="Y663" i="3"/>
  <c r="X663" i="3"/>
  <c r="U663" i="3"/>
  <c r="V663" i="3"/>
  <c r="W663" i="3"/>
  <c r="R663" i="3"/>
  <c r="P663" i="3"/>
  <c r="AO662" i="3"/>
  <c r="AG662" i="3"/>
  <c r="AD662" i="3"/>
  <c r="AB662" i="3"/>
  <c r="Y662" i="3"/>
  <c r="X662" i="3"/>
  <c r="U662" i="3"/>
  <c r="V662" i="3"/>
  <c r="W662" i="3"/>
  <c r="R662" i="3"/>
  <c r="P662" i="3"/>
  <c r="AO661" i="3"/>
  <c r="AG661" i="3"/>
  <c r="AD661" i="3"/>
  <c r="AB661" i="3"/>
  <c r="Y661" i="3"/>
  <c r="X661" i="3"/>
  <c r="U661" i="3"/>
  <c r="V661" i="3"/>
  <c r="W661" i="3"/>
  <c r="R661" i="3"/>
  <c r="P661" i="3"/>
  <c r="AO660" i="3"/>
  <c r="AG660" i="3"/>
  <c r="AD660" i="3"/>
  <c r="AB660" i="3"/>
  <c r="Y660" i="3"/>
  <c r="X660" i="3"/>
  <c r="S660" i="3"/>
  <c r="U660" i="3"/>
  <c r="V660" i="3"/>
  <c r="W660" i="3"/>
  <c r="R660" i="3"/>
  <c r="P660" i="3"/>
  <c r="AO659" i="3"/>
  <c r="AG659" i="3"/>
  <c r="AD659" i="3"/>
  <c r="AB659" i="3"/>
  <c r="Y659" i="3"/>
  <c r="X659" i="3"/>
  <c r="U659" i="3"/>
  <c r="V659" i="3"/>
  <c r="W659" i="3"/>
  <c r="R659" i="3"/>
  <c r="P659" i="3"/>
  <c r="AO658" i="3"/>
  <c r="AG658" i="3"/>
  <c r="AD658" i="3"/>
  <c r="AB658" i="3"/>
  <c r="Y658" i="3"/>
  <c r="X658" i="3"/>
  <c r="U658" i="3"/>
  <c r="V658" i="3"/>
  <c r="W658" i="3"/>
  <c r="R658" i="3"/>
  <c r="P658" i="3"/>
  <c r="AG657" i="3"/>
  <c r="AE657" i="3"/>
  <c r="AB657" i="3"/>
  <c r="X657" i="3"/>
  <c r="Z657" i="3"/>
  <c r="AA657" i="3"/>
  <c r="U657" i="3"/>
  <c r="V657" i="3"/>
  <c r="W657" i="3"/>
  <c r="R657" i="3"/>
  <c r="P657" i="3"/>
  <c r="AG656" i="3"/>
  <c r="AE656" i="3"/>
  <c r="AB656" i="3"/>
  <c r="X656" i="3"/>
  <c r="Z656" i="3"/>
  <c r="AA656" i="3"/>
  <c r="U656" i="3"/>
  <c r="V656" i="3"/>
  <c r="W656" i="3"/>
  <c r="R656" i="3"/>
  <c r="P656" i="3"/>
  <c r="AG655" i="3"/>
  <c r="AE655" i="3"/>
  <c r="AB655" i="3"/>
  <c r="X655" i="3"/>
  <c r="U655" i="3"/>
  <c r="V655" i="3"/>
  <c r="W655" i="3"/>
  <c r="R655" i="3"/>
  <c r="P655" i="3"/>
  <c r="AG654" i="3"/>
  <c r="AE654" i="3"/>
  <c r="AB654" i="3"/>
  <c r="X654" i="3"/>
  <c r="U654" i="3"/>
  <c r="V654" i="3"/>
  <c r="W654" i="3"/>
  <c r="R654" i="3"/>
  <c r="P654" i="3"/>
  <c r="AG653" i="3"/>
  <c r="AE653" i="3"/>
  <c r="AB653" i="3"/>
  <c r="X653" i="3"/>
  <c r="U653" i="3"/>
  <c r="V653" i="3"/>
  <c r="W653" i="3"/>
  <c r="R653" i="3"/>
  <c r="P653" i="3"/>
  <c r="AO652" i="3"/>
  <c r="AG652" i="3"/>
  <c r="AB652" i="3"/>
  <c r="X652" i="3"/>
  <c r="Z652" i="3"/>
  <c r="AA652" i="3"/>
  <c r="V652" i="3"/>
  <c r="W652" i="3"/>
  <c r="R652" i="3"/>
  <c r="P652" i="3"/>
  <c r="AO651" i="3"/>
  <c r="AG651" i="3"/>
  <c r="AB651" i="3"/>
  <c r="X651" i="3"/>
  <c r="Z651" i="3"/>
  <c r="AA651" i="3"/>
  <c r="V651" i="3"/>
  <c r="W651" i="3"/>
  <c r="R651" i="3"/>
  <c r="P651" i="3"/>
  <c r="AO650" i="3"/>
  <c r="AG650" i="3"/>
  <c r="AB650" i="3"/>
  <c r="X650" i="3"/>
  <c r="V650" i="3"/>
  <c r="W650" i="3"/>
  <c r="R650" i="3"/>
  <c r="P650" i="3"/>
  <c r="AO649" i="3"/>
  <c r="AG649" i="3"/>
  <c r="AB649" i="3"/>
  <c r="X649" i="3"/>
  <c r="V649" i="3"/>
  <c r="W649" i="3"/>
  <c r="R649" i="3"/>
  <c r="P649" i="3"/>
  <c r="AO648" i="3"/>
  <c r="AG648" i="3"/>
  <c r="AB648" i="3"/>
  <c r="X648" i="3"/>
  <c r="U648" i="3"/>
  <c r="V648" i="3"/>
  <c r="W648" i="3"/>
  <c r="R648" i="3"/>
  <c r="P648" i="3"/>
  <c r="AO647" i="3"/>
  <c r="AG647" i="3"/>
  <c r="AB647" i="3"/>
  <c r="Y647" i="3"/>
  <c r="X647" i="3"/>
  <c r="U647" i="3"/>
  <c r="V647" i="3"/>
  <c r="W647" i="3"/>
  <c r="R647" i="3"/>
  <c r="P647" i="3"/>
  <c r="AO646" i="3"/>
  <c r="AG646" i="3"/>
  <c r="AB646" i="3"/>
  <c r="Y646" i="3"/>
  <c r="X646" i="3"/>
  <c r="U646" i="3"/>
  <c r="V646" i="3"/>
  <c r="W646" i="3"/>
  <c r="R646" i="3"/>
  <c r="P646" i="3"/>
  <c r="AO645" i="3"/>
  <c r="AG645" i="3"/>
  <c r="AB645" i="3"/>
  <c r="Y645" i="3"/>
  <c r="X645" i="3"/>
  <c r="S645" i="3"/>
  <c r="U645" i="3"/>
  <c r="V645" i="3"/>
  <c r="W645" i="3"/>
  <c r="R645" i="3"/>
  <c r="P645" i="3"/>
  <c r="AO644" i="3"/>
  <c r="AG644" i="3"/>
  <c r="AB644" i="3"/>
  <c r="Y644" i="3"/>
  <c r="X644" i="3"/>
  <c r="S644" i="3"/>
  <c r="U644" i="3"/>
  <c r="V644" i="3"/>
  <c r="W644" i="3"/>
  <c r="R644" i="3"/>
  <c r="P644" i="3"/>
  <c r="AO643" i="3"/>
  <c r="AG643" i="3"/>
  <c r="AB643" i="3"/>
  <c r="Y643" i="3"/>
  <c r="X643" i="3"/>
  <c r="U643" i="3"/>
  <c r="V643" i="3"/>
  <c r="W643" i="3"/>
  <c r="R643" i="3"/>
  <c r="P643" i="3"/>
  <c r="AO642" i="3"/>
  <c r="AJ642" i="3"/>
  <c r="P642" i="3"/>
  <c r="AG642" i="3"/>
  <c r="AB642" i="3"/>
  <c r="Y642" i="3"/>
  <c r="X642" i="3"/>
  <c r="S642" i="3"/>
  <c r="U642" i="3"/>
  <c r="V642" i="3"/>
  <c r="W642" i="3"/>
  <c r="R642" i="3"/>
  <c r="AO641" i="3"/>
  <c r="AJ641" i="3"/>
  <c r="P641" i="3"/>
  <c r="AG641" i="3"/>
  <c r="AB641" i="3"/>
  <c r="Y641" i="3"/>
  <c r="X641" i="3"/>
  <c r="U641" i="3"/>
  <c r="V641" i="3"/>
  <c r="W641" i="3"/>
  <c r="R641" i="3"/>
  <c r="AO640" i="3"/>
  <c r="AJ640" i="3"/>
  <c r="P640" i="3"/>
  <c r="AG640" i="3"/>
  <c r="AB640" i="3"/>
  <c r="Y640" i="3"/>
  <c r="X640" i="3"/>
  <c r="S640" i="3"/>
  <c r="U640" i="3"/>
  <c r="V640" i="3"/>
  <c r="W640" i="3"/>
  <c r="R640" i="3"/>
  <c r="AO639" i="3"/>
  <c r="AJ639" i="3"/>
  <c r="P639" i="3"/>
  <c r="AG639" i="3"/>
  <c r="AB639" i="3"/>
  <c r="Y639" i="3"/>
  <c r="X639" i="3"/>
  <c r="S639" i="3"/>
  <c r="U639" i="3"/>
  <c r="V639" i="3"/>
  <c r="W639" i="3"/>
  <c r="R639" i="3"/>
  <c r="AO638" i="3"/>
  <c r="AJ638" i="3"/>
  <c r="P638" i="3"/>
  <c r="AG638" i="3"/>
  <c r="AB638" i="3"/>
  <c r="Y638" i="3"/>
  <c r="X638" i="3"/>
  <c r="S638" i="3"/>
  <c r="U638" i="3"/>
  <c r="V638" i="3"/>
  <c r="W638" i="3"/>
  <c r="R638" i="3"/>
  <c r="Y637" i="3"/>
  <c r="AD637" i="3"/>
  <c r="AB637" i="3"/>
  <c r="X637" i="3"/>
  <c r="U637" i="3"/>
  <c r="V637" i="3"/>
  <c r="W637" i="3"/>
  <c r="S637" i="3"/>
  <c r="R637" i="3"/>
  <c r="AG636" i="3"/>
  <c r="AD636" i="3"/>
  <c r="AB636" i="3"/>
  <c r="X636" i="3"/>
  <c r="U636" i="3"/>
  <c r="V636" i="3"/>
  <c r="W636" i="3"/>
  <c r="R636" i="3"/>
  <c r="AG635" i="3"/>
  <c r="AD635" i="3"/>
  <c r="AB635" i="3"/>
  <c r="X635" i="3"/>
  <c r="U635" i="3"/>
  <c r="V635" i="3"/>
  <c r="W635" i="3"/>
  <c r="R635" i="3"/>
  <c r="AG634" i="3"/>
  <c r="AD634" i="3"/>
  <c r="AB634" i="3"/>
  <c r="X634" i="3"/>
  <c r="U634" i="3"/>
  <c r="V634" i="3"/>
  <c r="W634" i="3"/>
  <c r="R634" i="3"/>
  <c r="AG633" i="3"/>
  <c r="AD633" i="3"/>
  <c r="AB633" i="3"/>
  <c r="X633" i="3"/>
  <c r="U633" i="3"/>
  <c r="V633" i="3"/>
  <c r="W633" i="3"/>
  <c r="R633" i="3"/>
  <c r="AG632" i="3"/>
  <c r="AE632" i="3"/>
  <c r="AB632" i="3"/>
  <c r="X632" i="3"/>
  <c r="Z632" i="3"/>
  <c r="AA632" i="3"/>
  <c r="U632" i="3"/>
  <c r="V632" i="3"/>
  <c r="W632" i="3"/>
  <c r="S632" i="3"/>
  <c r="R632" i="3"/>
  <c r="P632" i="3"/>
  <c r="AG631" i="3"/>
  <c r="AE631" i="3"/>
  <c r="AB631" i="3"/>
  <c r="X631" i="3"/>
  <c r="Z631" i="3"/>
  <c r="AA631" i="3"/>
  <c r="U631" i="3"/>
  <c r="V631" i="3"/>
  <c r="W631" i="3"/>
  <c r="S631" i="3"/>
  <c r="R631" i="3"/>
  <c r="P631" i="3"/>
  <c r="AH630" i="3"/>
  <c r="AG630" i="3"/>
  <c r="AE630" i="3"/>
  <c r="AB630" i="3"/>
  <c r="X630" i="3"/>
  <c r="U630" i="3"/>
  <c r="V630" i="3"/>
  <c r="W630" i="3"/>
  <c r="R630" i="3"/>
  <c r="P630" i="3"/>
  <c r="R629" i="3"/>
  <c r="P629" i="3"/>
  <c r="AH628" i="3"/>
  <c r="AG628" i="3"/>
  <c r="AE628" i="3"/>
  <c r="AB628" i="3"/>
  <c r="X628" i="3"/>
  <c r="U628" i="3"/>
  <c r="V628" i="3"/>
  <c r="W628" i="3"/>
  <c r="R628" i="3"/>
  <c r="P628" i="3"/>
  <c r="AG627" i="3"/>
  <c r="AD627" i="3"/>
  <c r="AB627" i="3"/>
  <c r="X627" i="3"/>
  <c r="S627" i="3"/>
  <c r="U627" i="3"/>
  <c r="V627" i="3"/>
  <c r="W627" i="3"/>
  <c r="R627" i="3"/>
  <c r="AG626" i="3"/>
  <c r="AD626" i="3"/>
  <c r="AB626" i="3"/>
  <c r="X626" i="3"/>
  <c r="U626" i="3"/>
  <c r="V626" i="3"/>
  <c r="W626" i="3"/>
  <c r="R626" i="3"/>
  <c r="AH625" i="3"/>
  <c r="AG625" i="3"/>
  <c r="AD625" i="3"/>
  <c r="AB625" i="3"/>
  <c r="X625" i="3"/>
  <c r="U625" i="3"/>
  <c r="V625" i="3"/>
  <c r="W625" i="3"/>
  <c r="R625" i="3"/>
  <c r="AL624" i="3"/>
  <c r="AH624" i="3"/>
  <c r="AD624" i="3"/>
  <c r="AB624" i="3"/>
  <c r="X624" i="3"/>
  <c r="U624" i="3"/>
  <c r="V624" i="3"/>
  <c r="W624" i="3"/>
  <c r="R624" i="3"/>
  <c r="AL623" i="3"/>
  <c r="AH623" i="3"/>
  <c r="AD623" i="3"/>
  <c r="AB623" i="3"/>
  <c r="Y623" i="3"/>
  <c r="X623" i="3"/>
  <c r="U623" i="3"/>
  <c r="V623" i="3"/>
  <c r="W623" i="3"/>
  <c r="R623" i="3"/>
  <c r="AO622" i="3"/>
  <c r="AG622" i="3"/>
  <c r="AD622" i="3"/>
  <c r="AB622" i="3"/>
  <c r="Y622" i="3"/>
  <c r="X622" i="3"/>
  <c r="U622" i="3"/>
  <c r="V622" i="3"/>
  <c r="W622" i="3"/>
  <c r="R622" i="3"/>
  <c r="P622" i="3"/>
  <c r="AO621" i="3"/>
  <c r="AG621" i="3"/>
  <c r="AD621" i="3"/>
  <c r="AB621" i="3"/>
  <c r="Y621" i="3"/>
  <c r="X621" i="3"/>
  <c r="S621" i="3"/>
  <c r="U621" i="3"/>
  <c r="V621" i="3"/>
  <c r="W621" i="3"/>
  <c r="R621" i="3"/>
  <c r="AO620" i="3"/>
  <c r="AG620" i="3"/>
  <c r="AD620" i="3"/>
  <c r="AB620" i="3"/>
  <c r="Y620" i="3"/>
  <c r="X620" i="3"/>
  <c r="S620" i="3"/>
  <c r="U620" i="3"/>
  <c r="V620" i="3"/>
  <c r="W620" i="3"/>
  <c r="R620" i="3"/>
  <c r="P620" i="3"/>
  <c r="AO619" i="3"/>
  <c r="AG619" i="3"/>
  <c r="AD619" i="3"/>
  <c r="AB619" i="3"/>
  <c r="Y619" i="3"/>
  <c r="X619" i="3"/>
  <c r="Z619" i="3"/>
  <c r="AA619" i="3"/>
  <c r="S619" i="3"/>
  <c r="U619" i="3"/>
  <c r="V619" i="3"/>
  <c r="W619" i="3"/>
  <c r="R619" i="3"/>
  <c r="AO618" i="3"/>
  <c r="AG618" i="3"/>
  <c r="AD618" i="3"/>
  <c r="AB618" i="3"/>
  <c r="Y618" i="3"/>
  <c r="X618" i="3"/>
  <c r="U618" i="3"/>
  <c r="V618" i="3"/>
  <c r="W618" i="3"/>
  <c r="R618" i="3"/>
  <c r="AO617" i="3"/>
  <c r="AH617" i="3"/>
  <c r="AG617" i="3"/>
  <c r="AB617" i="3"/>
  <c r="Y617" i="3"/>
  <c r="X617" i="3"/>
  <c r="U617" i="3"/>
  <c r="V617" i="3"/>
  <c r="W617" i="3"/>
  <c r="R617" i="3"/>
  <c r="P617" i="3"/>
  <c r="AO616" i="3"/>
  <c r="AH616" i="3"/>
  <c r="AG616" i="3"/>
  <c r="AB616" i="3"/>
  <c r="Y616" i="3"/>
  <c r="X616" i="3"/>
  <c r="U616" i="3"/>
  <c r="V616" i="3"/>
  <c r="W616" i="3"/>
  <c r="R616" i="3"/>
  <c r="P616" i="3"/>
  <c r="AO615" i="3"/>
  <c r="AH615" i="3"/>
  <c r="AG615" i="3"/>
  <c r="AB615" i="3"/>
  <c r="Y615" i="3"/>
  <c r="X615" i="3"/>
  <c r="U615" i="3"/>
  <c r="V615" i="3"/>
  <c r="W615" i="3"/>
  <c r="S615" i="3"/>
  <c r="R615" i="3"/>
  <c r="P615" i="3"/>
  <c r="AO614" i="3"/>
  <c r="AH614" i="3"/>
  <c r="AG614" i="3"/>
  <c r="AB614" i="3"/>
  <c r="Y614" i="3"/>
  <c r="X614" i="3"/>
  <c r="U614" i="3"/>
  <c r="V614" i="3"/>
  <c r="W614" i="3"/>
  <c r="S614" i="3"/>
  <c r="R614" i="3"/>
  <c r="P614" i="3"/>
  <c r="AO613" i="3"/>
  <c r="AH613" i="3"/>
  <c r="AG613" i="3"/>
  <c r="AB613" i="3"/>
  <c r="Y613" i="3"/>
  <c r="X613" i="3"/>
  <c r="U613" i="3"/>
  <c r="V613" i="3"/>
  <c r="W613" i="3"/>
  <c r="R613" i="3"/>
  <c r="P613" i="3"/>
  <c r="AO612" i="3"/>
  <c r="AL612" i="3"/>
  <c r="AH612" i="3"/>
  <c r="AB612" i="3"/>
  <c r="Y612" i="3"/>
  <c r="X612" i="3"/>
  <c r="S612" i="3"/>
  <c r="U612" i="3"/>
  <c r="V612" i="3"/>
  <c r="W612" i="3"/>
  <c r="R612" i="3"/>
  <c r="P612" i="3"/>
  <c r="AL611" i="3"/>
  <c r="AH611" i="3"/>
  <c r="AB611" i="3"/>
  <c r="Y611" i="3"/>
  <c r="X611" i="3"/>
  <c r="U611" i="3"/>
  <c r="V611" i="3"/>
  <c r="W611" i="3"/>
  <c r="R611" i="3"/>
  <c r="P611" i="3"/>
  <c r="AO610" i="3"/>
  <c r="AL610" i="3"/>
  <c r="AH610" i="3"/>
  <c r="AB610" i="3"/>
  <c r="Y610" i="3"/>
  <c r="X610" i="3"/>
  <c r="U610" i="3"/>
  <c r="V610" i="3"/>
  <c r="W610" i="3"/>
  <c r="R610" i="3"/>
  <c r="P610" i="3"/>
  <c r="AO609" i="3"/>
  <c r="AL609" i="3"/>
  <c r="AH609" i="3"/>
  <c r="AB609" i="3"/>
  <c r="Y609" i="3"/>
  <c r="X609" i="3"/>
  <c r="U609" i="3"/>
  <c r="V609" i="3"/>
  <c r="W609" i="3"/>
  <c r="R609" i="3"/>
  <c r="P609" i="3"/>
  <c r="AH608" i="3"/>
  <c r="AG608" i="3"/>
  <c r="AB608" i="3"/>
  <c r="X608" i="3"/>
  <c r="Z608" i="3"/>
  <c r="AA608" i="3"/>
  <c r="U608" i="3"/>
  <c r="V608" i="3"/>
  <c r="W608" i="3"/>
  <c r="R608" i="3"/>
  <c r="P608" i="3"/>
  <c r="AH607" i="3"/>
  <c r="AG607" i="3"/>
  <c r="AB607" i="3"/>
  <c r="X607" i="3"/>
  <c r="Z607" i="3"/>
  <c r="AA607" i="3"/>
  <c r="U607" i="3"/>
  <c r="V607" i="3"/>
  <c r="W607" i="3"/>
  <c r="R607" i="3"/>
  <c r="P607" i="3"/>
  <c r="AH606" i="3"/>
  <c r="AG606" i="3"/>
  <c r="AB606" i="3"/>
  <c r="X606" i="3"/>
  <c r="U606" i="3"/>
  <c r="V606" i="3"/>
  <c r="W606" i="3"/>
  <c r="R606" i="3"/>
  <c r="P606" i="3"/>
  <c r="AH605" i="3"/>
  <c r="AG605" i="3"/>
  <c r="AB605" i="3"/>
  <c r="X605" i="3"/>
  <c r="Z605" i="3"/>
  <c r="AA605" i="3"/>
  <c r="U605" i="3"/>
  <c r="V605" i="3"/>
  <c r="W605" i="3"/>
  <c r="S605" i="3"/>
  <c r="R605" i="3"/>
  <c r="P605" i="3"/>
  <c r="AH604" i="3"/>
  <c r="AG604" i="3"/>
  <c r="AB604" i="3"/>
  <c r="X604" i="3"/>
  <c r="Z604" i="3"/>
  <c r="AA604" i="3"/>
  <c r="U604" i="3"/>
  <c r="V604" i="3"/>
  <c r="W604" i="3"/>
  <c r="R604" i="3"/>
  <c r="P604" i="3"/>
  <c r="AH603" i="3"/>
  <c r="AG603" i="3"/>
  <c r="AB603" i="3"/>
  <c r="X603" i="3"/>
  <c r="U603" i="3"/>
  <c r="V603" i="3"/>
  <c r="W603" i="3"/>
  <c r="R603" i="3"/>
  <c r="P603" i="3"/>
  <c r="AH602" i="3"/>
  <c r="AG602" i="3"/>
  <c r="AB602" i="3"/>
  <c r="X602" i="3"/>
  <c r="Z602" i="3"/>
  <c r="AA602" i="3"/>
  <c r="U602" i="3"/>
  <c r="V602" i="3"/>
  <c r="W602" i="3"/>
  <c r="R602" i="3"/>
  <c r="P602" i="3"/>
  <c r="AH601" i="3"/>
  <c r="AG601" i="3"/>
  <c r="AB601" i="3"/>
  <c r="X601" i="3"/>
  <c r="Z601" i="3"/>
  <c r="AA601" i="3"/>
  <c r="U601" i="3"/>
  <c r="V601" i="3"/>
  <c r="W601" i="3"/>
  <c r="R601" i="3"/>
  <c r="P601" i="3"/>
  <c r="AH600" i="3"/>
  <c r="AG600" i="3"/>
  <c r="AB600" i="3"/>
  <c r="Y600" i="3"/>
  <c r="X600" i="3"/>
  <c r="S600" i="3"/>
  <c r="U600" i="3"/>
  <c r="V600" i="3"/>
  <c r="W600" i="3"/>
  <c r="R600" i="3"/>
  <c r="P600" i="3"/>
  <c r="AH599" i="3"/>
  <c r="AG599" i="3"/>
  <c r="AB599" i="3"/>
  <c r="Y599" i="3"/>
  <c r="X599" i="3"/>
  <c r="U599" i="3"/>
  <c r="V599" i="3"/>
  <c r="W599" i="3"/>
  <c r="R599" i="3"/>
  <c r="P599" i="3"/>
  <c r="AH598" i="3"/>
  <c r="AG598" i="3"/>
  <c r="AB598" i="3"/>
  <c r="Y598" i="3"/>
  <c r="X598" i="3"/>
  <c r="S598" i="3"/>
  <c r="U598" i="3"/>
  <c r="V598" i="3"/>
  <c r="W598" i="3"/>
  <c r="R598" i="3"/>
  <c r="P598" i="3"/>
  <c r="AH597" i="3"/>
  <c r="AG597" i="3"/>
  <c r="AE597" i="3"/>
  <c r="AB597" i="3"/>
  <c r="Y597" i="3"/>
  <c r="X597" i="3"/>
  <c r="U597" i="3"/>
  <c r="V597" i="3"/>
  <c r="W597" i="3"/>
  <c r="R597" i="3"/>
  <c r="P597" i="3"/>
  <c r="AH596" i="3"/>
  <c r="AG596" i="3"/>
  <c r="AE596" i="3"/>
  <c r="AB596" i="3"/>
  <c r="Y596" i="3"/>
  <c r="X596" i="3"/>
  <c r="U596" i="3"/>
  <c r="V596" i="3"/>
  <c r="W596" i="3"/>
  <c r="R596" i="3"/>
  <c r="P596" i="3"/>
  <c r="AH595" i="3"/>
  <c r="AG595" i="3"/>
  <c r="AE595" i="3"/>
  <c r="AB595" i="3"/>
  <c r="Y595" i="3"/>
  <c r="X595" i="3"/>
  <c r="S595" i="3"/>
  <c r="U595" i="3"/>
  <c r="V595" i="3"/>
  <c r="W595" i="3"/>
  <c r="R595" i="3"/>
  <c r="P595" i="3"/>
  <c r="AO594" i="3"/>
  <c r="AL594" i="3"/>
  <c r="AH594" i="3"/>
  <c r="AE594" i="3"/>
  <c r="AB594" i="3"/>
  <c r="X594" i="3"/>
  <c r="Z594" i="3"/>
  <c r="AA594" i="3"/>
  <c r="U594" i="3"/>
  <c r="V594" i="3"/>
  <c r="W594" i="3"/>
  <c r="R594" i="3"/>
  <c r="P594" i="3"/>
  <c r="AO593" i="3"/>
  <c r="AL593" i="3"/>
  <c r="AH593" i="3"/>
  <c r="AE593" i="3"/>
  <c r="AB593" i="3"/>
  <c r="X593" i="3"/>
  <c r="U593" i="3"/>
  <c r="V593" i="3"/>
  <c r="W593" i="3"/>
  <c r="R593" i="3"/>
  <c r="P593" i="3"/>
  <c r="AO592" i="3"/>
  <c r="AL592" i="3"/>
  <c r="AJ592" i="3"/>
  <c r="P592" i="3"/>
  <c r="AH592" i="3"/>
  <c r="AE592" i="3"/>
  <c r="AB592" i="3"/>
  <c r="X592" i="3"/>
  <c r="U592" i="3"/>
  <c r="V592" i="3"/>
  <c r="W592" i="3"/>
  <c r="R592" i="3"/>
  <c r="AO591" i="3"/>
  <c r="AJ591" i="3"/>
  <c r="AH591" i="3"/>
  <c r="AG591" i="3"/>
  <c r="AE591" i="3"/>
  <c r="AB591" i="3"/>
  <c r="X591" i="3"/>
  <c r="U591" i="3"/>
  <c r="V591" i="3"/>
  <c r="W591" i="3"/>
  <c r="R591" i="3"/>
  <c r="P591" i="3"/>
  <c r="AO590" i="3"/>
  <c r="AH590" i="3"/>
  <c r="AG590" i="3"/>
  <c r="AE590" i="3"/>
  <c r="AB590" i="3"/>
  <c r="X590" i="3"/>
  <c r="Z590" i="3"/>
  <c r="AA590" i="3"/>
  <c r="U590" i="3"/>
  <c r="V590" i="3"/>
  <c r="W590" i="3"/>
  <c r="R590" i="3"/>
  <c r="P590" i="3"/>
  <c r="AH589" i="3"/>
  <c r="AG589" i="3"/>
  <c r="AE589" i="3"/>
  <c r="AB589" i="3"/>
  <c r="X589" i="3"/>
  <c r="Z589" i="3"/>
  <c r="AA589" i="3"/>
  <c r="U589" i="3"/>
  <c r="V589" i="3"/>
  <c r="W589" i="3"/>
  <c r="R589" i="3"/>
  <c r="P589" i="3"/>
  <c r="AH588" i="3"/>
  <c r="AG588" i="3"/>
  <c r="AE588" i="3"/>
  <c r="AB588" i="3"/>
  <c r="X588" i="3"/>
  <c r="Z588" i="3"/>
  <c r="AA588" i="3"/>
  <c r="U588" i="3"/>
  <c r="V588" i="3"/>
  <c r="W588" i="3"/>
  <c r="R588" i="3"/>
  <c r="P588" i="3"/>
  <c r="AH587" i="3"/>
  <c r="AG587" i="3"/>
  <c r="AE587" i="3"/>
  <c r="AB587" i="3"/>
  <c r="X587" i="3"/>
  <c r="U587" i="3"/>
  <c r="V587" i="3"/>
  <c r="W587" i="3"/>
  <c r="R587" i="3"/>
  <c r="P587" i="3"/>
  <c r="AH586" i="3"/>
  <c r="AG586" i="3"/>
  <c r="AE586" i="3"/>
  <c r="AB586" i="3"/>
  <c r="X586" i="3"/>
  <c r="Z586" i="3"/>
  <c r="AA586" i="3"/>
  <c r="U586" i="3"/>
  <c r="V586" i="3"/>
  <c r="W586" i="3"/>
  <c r="R586" i="3"/>
  <c r="P586" i="3"/>
  <c r="AH585" i="3"/>
  <c r="AG585" i="3"/>
  <c r="AE585" i="3"/>
  <c r="AB585" i="3"/>
  <c r="X585" i="3"/>
  <c r="U585" i="3"/>
  <c r="V585" i="3"/>
  <c r="W585" i="3"/>
  <c r="R585" i="3"/>
  <c r="P585" i="3"/>
  <c r="AJ584" i="3"/>
  <c r="P584" i="3"/>
  <c r="AH584" i="3"/>
  <c r="AG584" i="3"/>
  <c r="AE584" i="3"/>
  <c r="AB584" i="3"/>
  <c r="X584" i="3"/>
  <c r="U584" i="3"/>
  <c r="V584" i="3"/>
  <c r="W584" i="3"/>
  <c r="R584" i="3"/>
  <c r="AJ583" i="3"/>
  <c r="P583" i="3"/>
  <c r="AH583" i="3"/>
  <c r="AG583" i="3"/>
  <c r="AE583" i="3"/>
  <c r="AB583" i="3"/>
  <c r="X583" i="3"/>
  <c r="Z583" i="3"/>
  <c r="AA583" i="3"/>
  <c r="U583" i="3"/>
  <c r="V583" i="3"/>
  <c r="W583" i="3"/>
  <c r="R583" i="3"/>
  <c r="AJ582" i="3"/>
  <c r="P582" i="3"/>
  <c r="AH582" i="3"/>
  <c r="AG582" i="3"/>
  <c r="AE582" i="3"/>
  <c r="AB582" i="3"/>
  <c r="X582" i="3"/>
  <c r="Z582" i="3"/>
  <c r="AA582" i="3"/>
  <c r="U582" i="3"/>
  <c r="V582" i="3"/>
  <c r="W582" i="3"/>
  <c r="R582" i="3"/>
  <c r="AJ581" i="3"/>
  <c r="P581" i="3"/>
  <c r="AH581" i="3"/>
  <c r="AG581" i="3"/>
  <c r="AE581" i="3"/>
  <c r="AB581" i="3"/>
  <c r="X581" i="3"/>
  <c r="Z581" i="3"/>
  <c r="AA581" i="3"/>
  <c r="U581" i="3"/>
  <c r="V581" i="3"/>
  <c r="W581" i="3"/>
  <c r="S581" i="3"/>
  <c r="R581" i="3"/>
  <c r="AH580" i="3"/>
  <c r="AG580" i="3"/>
  <c r="AB580" i="3"/>
  <c r="X580" i="3"/>
  <c r="U580" i="3"/>
  <c r="V580" i="3"/>
  <c r="W580" i="3"/>
  <c r="R580" i="3"/>
  <c r="P580" i="3"/>
  <c r="AH579" i="3"/>
  <c r="AG579" i="3"/>
  <c r="AE579" i="3"/>
  <c r="AB579" i="3"/>
  <c r="X579" i="3"/>
  <c r="U579" i="3"/>
  <c r="V579" i="3"/>
  <c r="W579" i="3"/>
  <c r="R579" i="3"/>
  <c r="P579" i="3"/>
  <c r="AH578" i="3"/>
  <c r="AG578" i="3"/>
  <c r="AE578" i="3"/>
  <c r="AB578" i="3"/>
  <c r="X578" i="3"/>
  <c r="S578" i="3"/>
  <c r="U578" i="3"/>
  <c r="V578" i="3"/>
  <c r="W578" i="3"/>
  <c r="R578" i="3"/>
  <c r="P578" i="3"/>
  <c r="AG577" i="3"/>
  <c r="AE577" i="3"/>
  <c r="AB577" i="3"/>
  <c r="X577" i="3"/>
  <c r="U577" i="3"/>
  <c r="V577" i="3"/>
  <c r="W577" i="3"/>
  <c r="R577" i="3"/>
  <c r="P577" i="3"/>
  <c r="AH576" i="3"/>
  <c r="AG576" i="3"/>
  <c r="AE576" i="3"/>
  <c r="AB576" i="3"/>
  <c r="X576" i="3"/>
  <c r="Z576" i="3"/>
  <c r="AA576" i="3"/>
  <c r="U576" i="3"/>
  <c r="V576" i="3"/>
  <c r="W576" i="3"/>
  <c r="R576" i="3"/>
  <c r="P576" i="3"/>
  <c r="AH575" i="3"/>
  <c r="AG575" i="3"/>
  <c r="AE575" i="3"/>
  <c r="AB575" i="3"/>
  <c r="X575" i="3"/>
  <c r="Z575" i="3"/>
  <c r="AA575" i="3"/>
  <c r="U575" i="3"/>
  <c r="V575" i="3"/>
  <c r="W575" i="3"/>
  <c r="R575" i="3"/>
  <c r="P575" i="3"/>
  <c r="AG574" i="3"/>
  <c r="AB574" i="3"/>
  <c r="Z574" i="3"/>
  <c r="AA574" i="3"/>
  <c r="V574" i="3"/>
  <c r="W574" i="3"/>
  <c r="S574" i="3"/>
  <c r="R574" i="3"/>
  <c r="P574" i="3"/>
  <c r="AG573" i="3"/>
  <c r="AB573" i="3"/>
  <c r="Z573" i="3"/>
  <c r="AA573" i="3"/>
  <c r="V573" i="3"/>
  <c r="W573" i="3"/>
  <c r="S573" i="3"/>
  <c r="R573" i="3"/>
  <c r="P573" i="3"/>
  <c r="AH572" i="3"/>
  <c r="AG572" i="3"/>
  <c r="AB572" i="3"/>
  <c r="Z572" i="3"/>
  <c r="AA572" i="3"/>
  <c r="V572" i="3"/>
  <c r="W572" i="3"/>
  <c r="S572" i="3"/>
  <c r="R572" i="3"/>
  <c r="P572" i="3"/>
  <c r="AH571" i="3"/>
  <c r="AG571" i="3"/>
  <c r="AB571" i="3"/>
  <c r="Z571" i="3"/>
  <c r="AA571" i="3"/>
  <c r="V571" i="3"/>
  <c r="W571" i="3"/>
  <c r="S571" i="3"/>
  <c r="R571" i="3"/>
  <c r="P571" i="3"/>
  <c r="AH570" i="3"/>
  <c r="AG570" i="3"/>
  <c r="AB570" i="3"/>
  <c r="Z570" i="3"/>
  <c r="AA570" i="3"/>
  <c r="V570" i="3"/>
  <c r="W570" i="3"/>
  <c r="S570" i="3"/>
  <c r="R570" i="3"/>
  <c r="P570" i="3"/>
  <c r="AH569" i="3"/>
  <c r="AG569" i="3"/>
  <c r="AB569" i="3"/>
  <c r="X569" i="3"/>
  <c r="U569" i="3"/>
  <c r="V569" i="3"/>
  <c r="W569" i="3"/>
  <c r="R569" i="3"/>
  <c r="P569" i="3"/>
  <c r="AH568" i="3"/>
  <c r="AG568" i="3"/>
  <c r="AB568" i="3"/>
  <c r="X568" i="3"/>
  <c r="Z568" i="3"/>
  <c r="AA568" i="3"/>
  <c r="U568" i="3"/>
  <c r="V568" i="3"/>
  <c r="W568" i="3"/>
  <c r="R568" i="3"/>
  <c r="P568" i="3"/>
  <c r="AH567" i="3"/>
  <c r="AG567" i="3"/>
  <c r="AB567" i="3"/>
  <c r="X567" i="3"/>
  <c r="Z567" i="3"/>
  <c r="AA567" i="3"/>
  <c r="U567" i="3"/>
  <c r="V567" i="3"/>
  <c r="W567" i="3"/>
  <c r="R567" i="3"/>
  <c r="P567" i="3"/>
  <c r="AH566" i="3"/>
  <c r="AG566" i="3"/>
  <c r="AB566" i="3"/>
  <c r="X566" i="3"/>
  <c r="Z566" i="3"/>
  <c r="AA566" i="3"/>
  <c r="U566" i="3"/>
  <c r="V566" i="3"/>
  <c r="W566" i="3"/>
  <c r="R566" i="3"/>
  <c r="P566" i="3"/>
  <c r="AH565" i="3"/>
  <c r="AG565" i="3"/>
  <c r="AB565" i="3"/>
  <c r="X565" i="3"/>
  <c r="Z565" i="3"/>
  <c r="AA565" i="3"/>
  <c r="U565" i="3"/>
  <c r="V565" i="3"/>
  <c r="W565" i="3"/>
  <c r="R565" i="3"/>
  <c r="P565" i="3"/>
  <c r="AH564" i="3"/>
  <c r="AG564" i="3"/>
  <c r="AD564" i="3"/>
  <c r="AB564" i="3"/>
  <c r="X564" i="3"/>
  <c r="U564" i="3"/>
  <c r="V564" i="3"/>
  <c r="W564" i="3"/>
  <c r="R564" i="3"/>
  <c r="P564" i="3"/>
  <c r="AL563" i="3"/>
  <c r="AH563" i="3"/>
  <c r="Y563" i="3"/>
  <c r="U563" i="3"/>
  <c r="V563" i="3"/>
  <c r="W563" i="3"/>
  <c r="R563" i="3"/>
  <c r="P563" i="3"/>
  <c r="AH562" i="3"/>
  <c r="AG562" i="3"/>
  <c r="AD562" i="3"/>
  <c r="AB562" i="3"/>
  <c r="X562" i="3"/>
  <c r="U562" i="3"/>
  <c r="V562" i="3"/>
  <c r="W562" i="3"/>
  <c r="R562" i="3"/>
  <c r="P562" i="3"/>
  <c r="AH561" i="3"/>
  <c r="AG561" i="3"/>
  <c r="AD561" i="3"/>
  <c r="AB561" i="3"/>
  <c r="X561" i="3"/>
  <c r="Z561" i="3"/>
  <c r="AA561" i="3"/>
  <c r="U561" i="3"/>
  <c r="V561" i="3"/>
  <c r="W561" i="3"/>
  <c r="R561" i="3"/>
  <c r="P561" i="3"/>
  <c r="AH560" i="3"/>
  <c r="AG560" i="3"/>
  <c r="AD560" i="3"/>
  <c r="AB560" i="3"/>
  <c r="X560" i="3"/>
  <c r="Z560" i="3"/>
  <c r="AA560" i="3"/>
  <c r="U560" i="3"/>
  <c r="V560" i="3"/>
  <c r="W560" i="3"/>
  <c r="R560" i="3"/>
  <c r="P560" i="3"/>
  <c r="AG559" i="3"/>
  <c r="AB559" i="3"/>
  <c r="X559" i="3"/>
  <c r="V559" i="3"/>
  <c r="W559" i="3"/>
  <c r="R559" i="3"/>
  <c r="AG558" i="3"/>
  <c r="AB558" i="3"/>
  <c r="X558" i="3"/>
  <c r="V558" i="3"/>
  <c r="W558" i="3"/>
  <c r="R558" i="3"/>
  <c r="AG557" i="3"/>
  <c r="AB557" i="3"/>
  <c r="X557" i="3"/>
  <c r="V557" i="3"/>
  <c r="W557" i="3"/>
  <c r="R557" i="3"/>
  <c r="AG556" i="3"/>
  <c r="AB556" i="3"/>
  <c r="X556" i="3"/>
  <c r="U556" i="3"/>
  <c r="V556" i="3"/>
  <c r="W556" i="3"/>
  <c r="R556" i="3"/>
  <c r="AG555" i="3"/>
  <c r="AB555" i="3"/>
  <c r="X555" i="3"/>
  <c r="U555" i="3"/>
  <c r="V555" i="3"/>
  <c r="W555" i="3"/>
  <c r="R555" i="3"/>
  <c r="AH554" i="3"/>
  <c r="AG554" i="3"/>
  <c r="AB554" i="3"/>
  <c r="Z554" i="3"/>
  <c r="AA554" i="3"/>
  <c r="U554" i="3"/>
  <c r="V554" i="3"/>
  <c r="W554" i="3"/>
  <c r="S554" i="3"/>
  <c r="R554" i="3"/>
  <c r="P554" i="3"/>
  <c r="AH553" i="3"/>
  <c r="AG553" i="3"/>
  <c r="AB553" i="3"/>
  <c r="Z553" i="3"/>
  <c r="AA553" i="3"/>
  <c r="T553" i="3"/>
  <c r="S553" i="3"/>
  <c r="R553" i="3"/>
  <c r="P553" i="3"/>
  <c r="AH552" i="3"/>
  <c r="AG552" i="3"/>
  <c r="AB552" i="3"/>
  <c r="X552" i="3"/>
  <c r="U552" i="3"/>
  <c r="V552" i="3"/>
  <c r="W552" i="3"/>
  <c r="R552" i="3"/>
  <c r="P552" i="3"/>
  <c r="AH551" i="3"/>
  <c r="AG551" i="3"/>
  <c r="AB551" i="3"/>
  <c r="X551" i="3"/>
  <c r="Z551" i="3"/>
  <c r="AA551" i="3"/>
  <c r="U551" i="3"/>
  <c r="V551" i="3"/>
  <c r="W551" i="3"/>
  <c r="R551" i="3"/>
  <c r="P551" i="3"/>
  <c r="AH550" i="3"/>
  <c r="AG550" i="3"/>
  <c r="AB550" i="3"/>
  <c r="Z550" i="3"/>
  <c r="AA550" i="3"/>
  <c r="U550" i="3"/>
  <c r="V550" i="3"/>
  <c r="W550" i="3"/>
  <c r="S550" i="3"/>
  <c r="R550" i="3"/>
  <c r="P550" i="3"/>
  <c r="AH549" i="3"/>
  <c r="AG549" i="3"/>
  <c r="AB549" i="3"/>
  <c r="X549" i="3"/>
  <c r="V549" i="3"/>
  <c r="W549" i="3"/>
  <c r="R549" i="3"/>
  <c r="P549" i="3"/>
  <c r="AH548" i="3"/>
  <c r="AG548" i="3"/>
  <c r="AB548" i="3"/>
  <c r="X548" i="3"/>
  <c r="V548" i="3"/>
  <c r="W548" i="3"/>
  <c r="R548" i="3"/>
  <c r="P548" i="3"/>
  <c r="AH547" i="3"/>
  <c r="AG547" i="3"/>
  <c r="AB547" i="3"/>
  <c r="X547" i="3"/>
  <c r="Z547" i="3"/>
  <c r="AA547" i="3"/>
  <c r="V547" i="3"/>
  <c r="W547" i="3"/>
  <c r="R547" i="3"/>
  <c r="P547" i="3"/>
  <c r="AH546" i="3"/>
  <c r="AG546" i="3"/>
  <c r="AB546" i="3"/>
  <c r="V546" i="3"/>
  <c r="W546" i="3"/>
  <c r="R546" i="3"/>
  <c r="P546" i="3"/>
  <c r="AH545" i="3"/>
  <c r="AG545" i="3"/>
  <c r="AB545" i="3"/>
  <c r="V545" i="3"/>
  <c r="W545" i="3"/>
  <c r="R545" i="3"/>
  <c r="P545" i="3"/>
  <c r="AH544" i="3"/>
  <c r="AG544" i="3"/>
  <c r="AB544" i="3"/>
  <c r="X544" i="3"/>
  <c r="Z544" i="3"/>
  <c r="AA544" i="3"/>
  <c r="U544" i="3"/>
  <c r="V544" i="3"/>
  <c r="W544" i="3"/>
  <c r="R544" i="3"/>
  <c r="P544" i="3"/>
  <c r="AH543" i="3"/>
  <c r="AG543" i="3"/>
  <c r="AB543" i="3"/>
  <c r="X543" i="3"/>
  <c r="Z543" i="3"/>
  <c r="AA543" i="3"/>
  <c r="U543" i="3"/>
  <c r="V543" i="3"/>
  <c r="W543" i="3"/>
  <c r="R543" i="3"/>
  <c r="P543" i="3"/>
  <c r="AH542" i="3"/>
  <c r="AG542" i="3"/>
  <c r="AB542" i="3"/>
  <c r="X542" i="3"/>
  <c r="Z542" i="3"/>
  <c r="AA542" i="3"/>
  <c r="U542" i="3"/>
  <c r="V542" i="3"/>
  <c r="W542" i="3"/>
  <c r="R542" i="3"/>
  <c r="P542" i="3"/>
  <c r="AH541" i="3"/>
  <c r="AG541" i="3"/>
  <c r="AB541" i="3"/>
  <c r="X541" i="3"/>
  <c r="U541" i="3"/>
  <c r="V541" i="3"/>
  <c r="W541" i="3"/>
  <c r="R541" i="3"/>
  <c r="P541" i="3"/>
  <c r="AH540" i="3"/>
  <c r="AG540" i="3"/>
  <c r="AB540" i="3"/>
  <c r="X540" i="3"/>
  <c r="S540" i="3"/>
  <c r="U540" i="3"/>
  <c r="V540" i="3"/>
  <c r="W540" i="3"/>
  <c r="R540" i="3"/>
  <c r="P540" i="3"/>
  <c r="AH539" i="3"/>
  <c r="AG539" i="3"/>
  <c r="AB539" i="3"/>
  <c r="X539" i="3"/>
  <c r="U539" i="3"/>
  <c r="V539" i="3"/>
  <c r="W539" i="3"/>
  <c r="R539" i="3"/>
  <c r="P539" i="3"/>
  <c r="AO538" i="3"/>
  <c r="AH538" i="3"/>
  <c r="AG538" i="3"/>
  <c r="AB538" i="3"/>
  <c r="X538" i="3"/>
  <c r="U538" i="3"/>
  <c r="V538" i="3"/>
  <c r="W538" i="3"/>
  <c r="R538" i="3"/>
  <c r="P538" i="3"/>
  <c r="AO537" i="3"/>
  <c r="AH537" i="3"/>
  <c r="AG537" i="3"/>
  <c r="AB537" i="3"/>
  <c r="X537" i="3"/>
  <c r="U537" i="3"/>
  <c r="V537" i="3"/>
  <c r="W537" i="3"/>
  <c r="R537" i="3"/>
  <c r="P537" i="3"/>
  <c r="AH536" i="3"/>
  <c r="AG536" i="3"/>
  <c r="AB536" i="3"/>
  <c r="X536" i="3"/>
  <c r="Z536" i="3"/>
  <c r="AA536" i="3"/>
  <c r="U536" i="3"/>
  <c r="V536" i="3"/>
  <c r="W536" i="3"/>
  <c r="R536" i="3"/>
  <c r="P536" i="3"/>
  <c r="AH535" i="3"/>
  <c r="AG535" i="3"/>
  <c r="AB535" i="3"/>
  <c r="Y535" i="3"/>
  <c r="Z535" i="3"/>
  <c r="AA535" i="3"/>
  <c r="V535" i="3"/>
  <c r="W535" i="3"/>
  <c r="S535" i="3"/>
  <c r="R535" i="3"/>
  <c r="P535" i="3"/>
  <c r="AB534" i="3"/>
  <c r="X534" i="3"/>
  <c r="Z534" i="3"/>
  <c r="AA534" i="3"/>
  <c r="U534" i="3"/>
  <c r="V534" i="3"/>
  <c r="W534" i="3"/>
  <c r="R534" i="3"/>
  <c r="AB533" i="3"/>
  <c r="X533" i="3"/>
  <c r="Z533" i="3"/>
  <c r="AA533" i="3"/>
  <c r="U533" i="3"/>
  <c r="V533" i="3"/>
  <c r="W533" i="3"/>
  <c r="R533" i="3"/>
  <c r="AB532" i="3"/>
  <c r="X532" i="3"/>
  <c r="U532" i="3"/>
  <c r="V532" i="3"/>
  <c r="W532" i="3"/>
  <c r="R532" i="3"/>
  <c r="AB531" i="3"/>
  <c r="X531" i="3"/>
  <c r="U531" i="3"/>
  <c r="V531" i="3"/>
  <c r="W531" i="3"/>
  <c r="R531" i="3"/>
  <c r="AB530" i="3"/>
  <c r="X530" i="3"/>
  <c r="U530" i="3"/>
  <c r="V530" i="3"/>
  <c r="W530" i="3"/>
  <c r="R530" i="3"/>
  <c r="AH529" i="3"/>
  <c r="AG529" i="3"/>
  <c r="AB529" i="3"/>
  <c r="X529" i="3"/>
  <c r="V529" i="3"/>
  <c r="W529" i="3"/>
  <c r="R529" i="3"/>
  <c r="P529" i="3"/>
  <c r="AH528" i="3"/>
  <c r="AG528" i="3"/>
  <c r="AB528" i="3"/>
  <c r="X528" i="3"/>
  <c r="V528" i="3"/>
  <c r="W528" i="3"/>
  <c r="R528" i="3"/>
  <c r="P528" i="3"/>
  <c r="AH527" i="3"/>
  <c r="AG527" i="3"/>
  <c r="AB527" i="3"/>
  <c r="X527" i="3"/>
  <c r="V527" i="3"/>
  <c r="W527" i="3"/>
  <c r="R527" i="3"/>
  <c r="P527" i="3"/>
  <c r="AH526" i="3"/>
  <c r="AG526" i="3"/>
  <c r="AB526" i="3"/>
  <c r="X526" i="3"/>
  <c r="V526" i="3"/>
  <c r="W526" i="3"/>
  <c r="R526" i="3"/>
  <c r="P526" i="3"/>
  <c r="AH525" i="3"/>
  <c r="AG525" i="3"/>
  <c r="AB525" i="3"/>
  <c r="X525" i="3"/>
  <c r="V525" i="3"/>
  <c r="W525" i="3"/>
  <c r="R525" i="3"/>
  <c r="P525" i="3"/>
  <c r="AG524" i="3"/>
  <c r="AB524" i="3"/>
  <c r="X524" i="3"/>
  <c r="U524" i="3"/>
  <c r="V524" i="3"/>
  <c r="W524" i="3"/>
  <c r="R524" i="3"/>
  <c r="AG523" i="3"/>
  <c r="AB523" i="3"/>
  <c r="X523" i="3"/>
  <c r="Z523" i="3"/>
  <c r="AA523" i="3"/>
  <c r="U523" i="3"/>
  <c r="V523" i="3"/>
  <c r="W523" i="3"/>
  <c r="R523" i="3"/>
  <c r="AG522" i="3"/>
  <c r="AB522" i="3"/>
  <c r="X522" i="3"/>
  <c r="U522" i="3"/>
  <c r="V522" i="3"/>
  <c r="W522" i="3"/>
  <c r="R522" i="3"/>
  <c r="AG521" i="3"/>
  <c r="AB521" i="3"/>
  <c r="X521" i="3"/>
  <c r="U521" i="3"/>
  <c r="V521" i="3"/>
  <c r="W521" i="3"/>
  <c r="R521" i="3"/>
  <c r="AG520" i="3"/>
  <c r="AB520" i="3"/>
  <c r="X520" i="3"/>
  <c r="U520" i="3"/>
  <c r="V520" i="3"/>
  <c r="W520" i="3"/>
  <c r="R520" i="3"/>
  <c r="AH519" i="3"/>
  <c r="AG519" i="3"/>
  <c r="AB519" i="3"/>
  <c r="Y519" i="3"/>
  <c r="X519" i="3"/>
  <c r="S519" i="3"/>
  <c r="U519" i="3"/>
  <c r="V519" i="3"/>
  <c r="W519" i="3"/>
  <c r="R519" i="3"/>
  <c r="P519" i="3"/>
  <c r="AH518" i="3"/>
  <c r="AG518" i="3"/>
  <c r="AB518" i="3"/>
  <c r="Y518" i="3"/>
  <c r="X518" i="3"/>
  <c r="S518" i="3"/>
  <c r="U518" i="3"/>
  <c r="V518" i="3"/>
  <c r="W518" i="3"/>
  <c r="R518" i="3"/>
  <c r="P518" i="3"/>
  <c r="AJ517" i="3"/>
  <c r="P517" i="3"/>
  <c r="AH517" i="3"/>
  <c r="AG517" i="3"/>
  <c r="AB517" i="3"/>
  <c r="Y517" i="3"/>
  <c r="X517" i="3"/>
  <c r="S517" i="3"/>
  <c r="U517" i="3"/>
  <c r="V517" i="3"/>
  <c r="W517" i="3"/>
  <c r="R517" i="3"/>
  <c r="AJ516" i="3"/>
  <c r="P516" i="3"/>
  <c r="AH516" i="3"/>
  <c r="AG516" i="3"/>
  <c r="AB516" i="3"/>
  <c r="Y516" i="3"/>
  <c r="X516" i="3"/>
  <c r="U516" i="3"/>
  <c r="V516" i="3"/>
  <c r="W516" i="3"/>
  <c r="R516" i="3"/>
  <c r="AJ515" i="3"/>
  <c r="P515" i="3"/>
  <c r="AH515" i="3"/>
  <c r="AG515" i="3"/>
  <c r="AB515" i="3"/>
  <c r="Y515" i="3"/>
  <c r="X515" i="3"/>
  <c r="U515" i="3"/>
  <c r="V515" i="3"/>
  <c r="W515" i="3"/>
  <c r="R515" i="3"/>
  <c r="AG514" i="3"/>
  <c r="AE514" i="3"/>
  <c r="AB514" i="3"/>
  <c r="X514" i="3"/>
  <c r="S514" i="3"/>
  <c r="V514" i="3"/>
  <c r="W514" i="3"/>
  <c r="R514" i="3"/>
  <c r="P514" i="3"/>
  <c r="AH513" i="3"/>
  <c r="AG513" i="3"/>
  <c r="AE513" i="3"/>
  <c r="AB513" i="3"/>
  <c r="X513" i="3"/>
  <c r="V513" i="3"/>
  <c r="W513" i="3"/>
  <c r="R513" i="3"/>
  <c r="P513" i="3"/>
  <c r="AH512" i="3"/>
  <c r="AG512" i="3"/>
  <c r="AE512" i="3"/>
  <c r="AB512" i="3"/>
  <c r="X512" i="3"/>
  <c r="S512" i="3"/>
  <c r="V512" i="3"/>
  <c r="W512" i="3"/>
  <c r="R512" i="3"/>
  <c r="P512" i="3"/>
  <c r="AH511" i="3"/>
  <c r="AG511" i="3"/>
  <c r="AE511" i="3"/>
  <c r="AB511" i="3"/>
  <c r="X511" i="3"/>
  <c r="V511" i="3"/>
  <c r="W511" i="3"/>
  <c r="R511" i="3"/>
  <c r="P511" i="3"/>
  <c r="AH510" i="3"/>
  <c r="AG510" i="3"/>
  <c r="AB510" i="3"/>
  <c r="AA510" i="3"/>
  <c r="U510" i="3"/>
  <c r="V510" i="3"/>
  <c r="W510" i="3"/>
  <c r="S510" i="3"/>
  <c r="R510" i="3"/>
  <c r="P510" i="3"/>
  <c r="AO509" i="3"/>
  <c r="AH509" i="3"/>
  <c r="AG509" i="3"/>
  <c r="AE509" i="3"/>
  <c r="AB509" i="3"/>
  <c r="X509" i="3"/>
  <c r="U509" i="3"/>
  <c r="V509" i="3"/>
  <c r="W509" i="3"/>
  <c r="R509" i="3"/>
  <c r="P509" i="3"/>
  <c r="AO508" i="3"/>
  <c r="AH508" i="3"/>
  <c r="AG508" i="3"/>
  <c r="AE508" i="3"/>
  <c r="U508" i="3"/>
  <c r="V508" i="3"/>
  <c r="W508" i="3"/>
  <c r="AB508" i="3"/>
  <c r="X508" i="3"/>
  <c r="S508" i="3"/>
  <c r="R508" i="3"/>
  <c r="P508" i="3"/>
  <c r="AO507" i="3"/>
  <c r="AH507" i="3"/>
  <c r="AG507" i="3"/>
  <c r="AE507" i="3"/>
  <c r="AB507" i="3"/>
  <c r="X507" i="3"/>
  <c r="U507" i="3"/>
  <c r="V507" i="3"/>
  <c r="W507" i="3"/>
  <c r="R507" i="3"/>
  <c r="P507" i="3"/>
  <c r="AO506" i="3"/>
  <c r="AH506" i="3"/>
  <c r="AG506" i="3"/>
  <c r="AE506" i="3"/>
  <c r="AB506" i="3"/>
  <c r="X506" i="3"/>
  <c r="S506" i="3"/>
  <c r="U506" i="3"/>
  <c r="V506" i="3"/>
  <c r="W506" i="3"/>
  <c r="R506" i="3"/>
  <c r="P506" i="3"/>
  <c r="AO505" i="3"/>
  <c r="AH505" i="3"/>
  <c r="AG505" i="3"/>
  <c r="AE505" i="3"/>
  <c r="AB505" i="3"/>
  <c r="X505" i="3"/>
  <c r="U505" i="3"/>
  <c r="V505" i="3"/>
  <c r="W505" i="3"/>
  <c r="R505" i="3"/>
  <c r="P505" i="3"/>
  <c r="AM504" i="3"/>
  <c r="AL504" i="3"/>
  <c r="AH504" i="3"/>
  <c r="Y504" i="3"/>
  <c r="AD504" i="3"/>
  <c r="AB504" i="3"/>
  <c r="X504" i="3"/>
  <c r="U504" i="3"/>
  <c r="V504" i="3"/>
  <c r="W504" i="3"/>
  <c r="R504" i="3"/>
  <c r="AL503" i="3"/>
  <c r="AH503" i="3"/>
  <c r="AG503" i="3"/>
  <c r="AD503" i="3"/>
  <c r="AB503" i="3"/>
  <c r="X503" i="3"/>
  <c r="U503" i="3"/>
  <c r="V503" i="3"/>
  <c r="W503" i="3"/>
  <c r="R503" i="3"/>
  <c r="P503" i="3"/>
  <c r="AL502" i="3"/>
  <c r="AH502" i="3"/>
  <c r="AB502" i="3"/>
  <c r="X502" i="3"/>
  <c r="Z502" i="3"/>
  <c r="AA502" i="3"/>
  <c r="U502" i="3"/>
  <c r="V502" i="3"/>
  <c r="W502" i="3"/>
  <c r="R502" i="3"/>
  <c r="P502" i="3"/>
  <c r="AG501" i="3"/>
  <c r="AD501" i="3"/>
  <c r="AB501" i="3"/>
  <c r="Y501" i="3"/>
  <c r="X501" i="3"/>
  <c r="U501" i="3"/>
  <c r="V501" i="3"/>
  <c r="W501" i="3"/>
  <c r="R501" i="3"/>
  <c r="P501" i="3"/>
  <c r="AL500" i="3"/>
  <c r="AH500" i="3"/>
  <c r="AB500" i="3"/>
  <c r="X500" i="3"/>
  <c r="Z500" i="3"/>
  <c r="AA500" i="3"/>
  <c r="U500" i="3"/>
  <c r="V500" i="3"/>
  <c r="W500" i="3"/>
  <c r="R500" i="3"/>
  <c r="P500" i="3"/>
  <c r="AI499" i="3"/>
  <c r="AH499" i="3"/>
  <c r="AB499" i="3"/>
  <c r="Y499" i="3"/>
  <c r="X499" i="3"/>
  <c r="S499" i="3"/>
  <c r="V499" i="3"/>
  <c r="W499" i="3"/>
  <c r="R499" i="3"/>
  <c r="AH498" i="3"/>
  <c r="AG498" i="3"/>
  <c r="AB498" i="3"/>
  <c r="X498" i="3"/>
  <c r="Z498" i="3"/>
  <c r="AA498" i="3"/>
  <c r="V498" i="3"/>
  <c r="W498" i="3"/>
  <c r="R498" i="3"/>
  <c r="AL497" i="3"/>
  <c r="AH497" i="3"/>
  <c r="AB497" i="3"/>
  <c r="X497" i="3"/>
  <c r="Z497" i="3"/>
  <c r="AA497" i="3"/>
  <c r="U497" i="3"/>
  <c r="V497" i="3"/>
  <c r="W497" i="3"/>
  <c r="R497" i="3"/>
  <c r="P497" i="3"/>
  <c r="AL496" i="3"/>
  <c r="AH496" i="3"/>
  <c r="AB496" i="3"/>
  <c r="X496" i="3"/>
  <c r="V496" i="3"/>
  <c r="W496" i="3"/>
  <c r="R496" i="3"/>
  <c r="P496" i="3"/>
  <c r="AH495" i="3"/>
  <c r="AG495" i="3"/>
  <c r="AB495" i="3"/>
  <c r="X495" i="3"/>
  <c r="V495" i="3"/>
  <c r="W495" i="3"/>
  <c r="R495" i="3"/>
  <c r="P495" i="3"/>
  <c r="AL494" i="3"/>
  <c r="AH494" i="3"/>
  <c r="AB494" i="3"/>
  <c r="Y494" i="3"/>
  <c r="X494" i="3"/>
  <c r="U494" i="3"/>
  <c r="V494" i="3"/>
  <c r="W494" i="3"/>
  <c r="R494" i="3"/>
  <c r="P494" i="3"/>
  <c r="AL493" i="3"/>
  <c r="AH493" i="3"/>
  <c r="AB493" i="3"/>
  <c r="Y493" i="3"/>
  <c r="X493" i="3"/>
  <c r="S493" i="3"/>
  <c r="U493" i="3"/>
  <c r="V493" i="3"/>
  <c r="W493" i="3"/>
  <c r="R493" i="3"/>
  <c r="P493" i="3"/>
  <c r="AL492" i="3"/>
  <c r="AI492" i="3"/>
  <c r="AH492" i="3"/>
  <c r="AE492" i="3"/>
  <c r="AB492" i="3"/>
  <c r="Y492" i="3"/>
  <c r="X492" i="3"/>
  <c r="U492" i="3"/>
  <c r="V492" i="3"/>
  <c r="W492" i="3"/>
  <c r="R492" i="3"/>
  <c r="P492" i="3"/>
  <c r="AL491" i="3"/>
  <c r="AI491" i="3"/>
  <c r="AH491" i="3"/>
  <c r="AE491" i="3"/>
  <c r="AB491" i="3"/>
  <c r="Y491" i="3"/>
  <c r="X491" i="3"/>
  <c r="S491" i="3"/>
  <c r="U491" i="3"/>
  <c r="V491" i="3"/>
  <c r="W491" i="3"/>
  <c r="R491" i="3"/>
  <c r="P491" i="3"/>
  <c r="AL490" i="3"/>
  <c r="AJ490" i="3"/>
  <c r="P490" i="3"/>
  <c r="AH490" i="3"/>
  <c r="AB490" i="3"/>
  <c r="Y490" i="3"/>
  <c r="X490" i="3"/>
  <c r="U490" i="3"/>
  <c r="V490" i="3"/>
  <c r="W490" i="3"/>
  <c r="R490" i="3"/>
  <c r="AG489" i="3"/>
  <c r="S489" i="3"/>
  <c r="R489" i="3"/>
  <c r="S488" i="3"/>
  <c r="R488" i="3"/>
  <c r="AL487" i="3"/>
  <c r="AH487" i="3"/>
  <c r="AD487" i="3"/>
  <c r="AB487" i="3"/>
  <c r="Y487" i="3"/>
  <c r="X487" i="3"/>
  <c r="S487" i="3"/>
  <c r="U487" i="3"/>
  <c r="V487" i="3"/>
  <c r="W487" i="3"/>
  <c r="R487" i="3"/>
  <c r="AL486" i="3"/>
  <c r="AH486" i="3"/>
  <c r="AB486" i="3"/>
  <c r="Y486" i="3"/>
  <c r="X486" i="3"/>
  <c r="S486" i="3"/>
  <c r="U486" i="3"/>
  <c r="V486" i="3"/>
  <c r="W486" i="3"/>
  <c r="R486" i="3"/>
  <c r="AL485" i="3"/>
  <c r="AH485" i="3"/>
  <c r="AB485" i="3"/>
  <c r="Y485" i="3"/>
  <c r="X485" i="3"/>
  <c r="S485" i="3"/>
  <c r="U485" i="3"/>
  <c r="V485" i="3"/>
  <c r="W485" i="3"/>
  <c r="R485" i="3"/>
  <c r="AM484" i="3"/>
  <c r="AL484" i="3"/>
  <c r="AH484" i="3"/>
  <c r="AB484" i="3"/>
  <c r="X484" i="3"/>
  <c r="U484" i="3"/>
  <c r="V484" i="3"/>
  <c r="W484" i="3"/>
  <c r="R484" i="3"/>
  <c r="AB483" i="3"/>
  <c r="Y483" i="3"/>
  <c r="V483" i="3"/>
  <c r="W483" i="3"/>
  <c r="R483" i="3"/>
  <c r="S482" i="3"/>
  <c r="R482" i="3"/>
  <c r="AL481" i="3"/>
  <c r="AH481" i="3"/>
  <c r="AB481" i="3"/>
  <c r="Y481" i="3"/>
  <c r="X481" i="3"/>
  <c r="U481" i="3"/>
  <c r="V481" i="3"/>
  <c r="W481" i="3"/>
  <c r="R481" i="3"/>
  <c r="P481" i="3"/>
  <c r="AL480" i="3"/>
  <c r="AH480" i="3"/>
  <c r="AB480" i="3"/>
  <c r="Y480" i="3"/>
  <c r="X480" i="3"/>
  <c r="V480" i="3"/>
  <c r="W480" i="3"/>
  <c r="R480" i="3"/>
  <c r="AL479" i="3"/>
  <c r="AH479" i="3"/>
  <c r="AB479" i="3"/>
  <c r="Y479" i="3"/>
  <c r="X479" i="3"/>
  <c r="U479" i="3"/>
  <c r="V479" i="3"/>
  <c r="W479" i="3"/>
  <c r="R479" i="3"/>
  <c r="AL478" i="3"/>
  <c r="AH478" i="3"/>
  <c r="AB478" i="3"/>
  <c r="U478" i="3"/>
  <c r="V478" i="3"/>
  <c r="W478" i="3"/>
  <c r="R478" i="3"/>
  <c r="AL477" i="3"/>
  <c r="AH477" i="3"/>
  <c r="AB477" i="3"/>
  <c r="Z477" i="3"/>
  <c r="AA477" i="3"/>
  <c r="V477" i="3"/>
  <c r="W477" i="3"/>
  <c r="S477" i="3"/>
  <c r="R477" i="3"/>
  <c r="AL476" i="3"/>
  <c r="AH476" i="3"/>
  <c r="AG476" i="3"/>
  <c r="AB476" i="3"/>
  <c r="Y476" i="3"/>
  <c r="X476" i="3"/>
  <c r="S476" i="3"/>
  <c r="U476" i="3"/>
  <c r="V476" i="3"/>
  <c r="W476" i="3"/>
  <c r="R476" i="3"/>
  <c r="AL475" i="3"/>
  <c r="AH475" i="3"/>
  <c r="AB475" i="3"/>
  <c r="Y475" i="3"/>
  <c r="X475" i="3"/>
  <c r="S475" i="3"/>
  <c r="V475" i="3"/>
  <c r="W475" i="3"/>
  <c r="R475" i="3"/>
  <c r="AL474" i="3"/>
  <c r="AH474" i="3"/>
  <c r="AB474" i="3"/>
  <c r="Y474" i="3"/>
  <c r="X474" i="3"/>
  <c r="V474" i="3"/>
  <c r="W474" i="3"/>
  <c r="R474" i="3"/>
  <c r="AI473" i="3"/>
  <c r="AH473" i="3"/>
  <c r="AG473" i="3"/>
  <c r="AB473" i="3"/>
  <c r="Y473" i="3"/>
  <c r="X473" i="3"/>
  <c r="U473" i="3"/>
  <c r="V473" i="3"/>
  <c r="W473" i="3"/>
  <c r="R473" i="3"/>
  <c r="P473" i="3"/>
  <c r="AI472" i="3"/>
  <c r="AH472" i="3"/>
  <c r="AG472" i="3"/>
  <c r="AB472" i="3"/>
  <c r="Y472" i="3"/>
  <c r="X472" i="3"/>
  <c r="U472" i="3"/>
  <c r="V472" i="3"/>
  <c r="W472" i="3"/>
  <c r="R472" i="3"/>
  <c r="P472" i="3"/>
  <c r="AH471" i="3"/>
  <c r="AG471" i="3"/>
  <c r="AE471" i="3"/>
  <c r="AB471" i="3"/>
  <c r="Y471" i="3"/>
  <c r="X471" i="3"/>
  <c r="S471" i="3"/>
  <c r="U471" i="3"/>
  <c r="V471" i="3"/>
  <c r="W471" i="3"/>
  <c r="R471" i="3"/>
  <c r="P471" i="3"/>
  <c r="AI470" i="3"/>
  <c r="AH470" i="3"/>
  <c r="AG470" i="3"/>
  <c r="AB470" i="3"/>
  <c r="X470" i="3"/>
  <c r="Z470" i="3"/>
  <c r="AA470" i="3"/>
  <c r="U470" i="3"/>
  <c r="V470" i="3"/>
  <c r="W470" i="3"/>
  <c r="S470" i="3"/>
  <c r="R470" i="3"/>
  <c r="P470" i="3"/>
  <c r="AH469" i="3"/>
  <c r="AG469" i="3"/>
  <c r="AB469" i="3"/>
  <c r="X469" i="3"/>
  <c r="U469" i="3"/>
  <c r="V469" i="3"/>
  <c r="W469" i="3"/>
  <c r="R469" i="3"/>
  <c r="P469" i="3"/>
  <c r="AH468" i="3"/>
  <c r="AG468" i="3"/>
  <c r="AE468" i="3"/>
  <c r="AB468" i="3"/>
  <c r="X468" i="3"/>
  <c r="U468" i="3"/>
  <c r="V468" i="3"/>
  <c r="W468" i="3"/>
  <c r="R468" i="3"/>
  <c r="P468" i="3"/>
  <c r="AH467" i="3"/>
  <c r="AG467" i="3"/>
  <c r="AE467" i="3"/>
  <c r="AB467" i="3"/>
  <c r="Y467" i="3"/>
  <c r="X467" i="3"/>
  <c r="S467" i="3"/>
  <c r="U467" i="3"/>
  <c r="V467" i="3"/>
  <c r="W467" i="3"/>
  <c r="R467" i="3"/>
  <c r="P467" i="3"/>
  <c r="AH466" i="3"/>
  <c r="AG466" i="3"/>
  <c r="AB466" i="3"/>
  <c r="Y466" i="3"/>
  <c r="X466" i="3"/>
  <c r="Z466" i="3"/>
  <c r="AA466" i="3"/>
  <c r="U466" i="3"/>
  <c r="V466" i="3"/>
  <c r="W466" i="3"/>
  <c r="R466" i="3"/>
  <c r="P466" i="3"/>
  <c r="AH465" i="3"/>
  <c r="AG465" i="3"/>
  <c r="AB465" i="3"/>
  <c r="Y465" i="3"/>
  <c r="X465" i="3"/>
  <c r="U465" i="3"/>
  <c r="V465" i="3"/>
  <c r="W465" i="3"/>
  <c r="R465" i="3"/>
  <c r="AG464" i="3"/>
  <c r="AD464" i="3"/>
  <c r="AB464" i="3"/>
  <c r="Y464" i="3"/>
  <c r="X464" i="3"/>
  <c r="V464" i="3"/>
  <c r="W464" i="3"/>
  <c r="AG463" i="3"/>
  <c r="AD463" i="3"/>
  <c r="AB463" i="3"/>
  <c r="Y463" i="3"/>
  <c r="X463" i="3"/>
  <c r="S463" i="3"/>
  <c r="U463" i="3"/>
  <c r="V463" i="3"/>
  <c r="W463" i="3"/>
  <c r="AG462" i="3"/>
  <c r="AD462" i="3"/>
  <c r="AB462" i="3"/>
  <c r="Y462" i="3"/>
  <c r="X462" i="3"/>
  <c r="V462" i="3"/>
  <c r="W462" i="3"/>
  <c r="AH461" i="3"/>
  <c r="AG461" i="3"/>
  <c r="AD461" i="3"/>
  <c r="AB461" i="3"/>
  <c r="Y461" i="3"/>
  <c r="X461" i="3"/>
  <c r="S461" i="3"/>
  <c r="V461" i="3"/>
  <c r="W461" i="3"/>
  <c r="AH460" i="3"/>
  <c r="AG460" i="3"/>
  <c r="AB460" i="3"/>
  <c r="Y460" i="3"/>
  <c r="X460" i="3"/>
  <c r="V460" i="3"/>
  <c r="W460" i="3"/>
  <c r="AH459" i="3"/>
  <c r="AG459" i="3"/>
  <c r="AB459" i="3"/>
  <c r="Y459" i="3"/>
  <c r="X459" i="3"/>
  <c r="Z459" i="3"/>
  <c r="AA459" i="3"/>
  <c r="V459" i="3"/>
  <c r="W459" i="3"/>
  <c r="AG458" i="3"/>
  <c r="AD458" i="3"/>
  <c r="AB458" i="3"/>
  <c r="X458" i="3"/>
  <c r="U458" i="3"/>
  <c r="V458" i="3"/>
  <c r="W458" i="3"/>
  <c r="AG457" i="3"/>
  <c r="AD457" i="3"/>
  <c r="AB457" i="3"/>
  <c r="X457" i="3"/>
  <c r="V457" i="3"/>
  <c r="W457" i="3"/>
  <c r="AL456" i="3"/>
  <c r="AH456" i="3"/>
  <c r="AB456" i="3"/>
  <c r="Y456" i="3"/>
  <c r="X456" i="3"/>
  <c r="S456" i="3"/>
  <c r="U456" i="3"/>
  <c r="V456" i="3"/>
  <c r="W456" i="3"/>
  <c r="R456" i="3"/>
  <c r="P456" i="3"/>
  <c r="AL455" i="3"/>
  <c r="AH455" i="3"/>
  <c r="AE455" i="3"/>
  <c r="AB455" i="3"/>
  <c r="Y455" i="3"/>
  <c r="X455" i="3"/>
  <c r="U455" i="3"/>
  <c r="V455" i="3"/>
  <c r="W455" i="3"/>
  <c r="R455" i="3"/>
  <c r="AL454" i="3"/>
  <c r="AH454" i="3"/>
  <c r="AE454" i="3"/>
  <c r="AB454" i="3"/>
  <c r="Y454" i="3"/>
  <c r="X454" i="3"/>
  <c r="Z454" i="3"/>
  <c r="AA454" i="3"/>
  <c r="U454" i="3"/>
  <c r="V454" i="3"/>
  <c r="W454" i="3"/>
  <c r="R454" i="3"/>
  <c r="AL453" i="3"/>
  <c r="AH453" i="3"/>
  <c r="AE453" i="3"/>
  <c r="AB453" i="3"/>
  <c r="Y453" i="3"/>
  <c r="X453" i="3"/>
  <c r="S453" i="3"/>
  <c r="U453" i="3"/>
  <c r="V453" i="3"/>
  <c r="W453" i="3"/>
  <c r="R453" i="3"/>
  <c r="AL452" i="3"/>
  <c r="AH452" i="3"/>
  <c r="AE452" i="3"/>
  <c r="AB452" i="3"/>
  <c r="Y452" i="3"/>
  <c r="X452" i="3"/>
  <c r="U452" i="3"/>
  <c r="V452" i="3"/>
  <c r="W452" i="3"/>
  <c r="R452" i="3"/>
  <c r="AL451" i="3"/>
  <c r="AH451" i="3"/>
  <c r="AB451" i="3"/>
  <c r="Y451" i="3"/>
  <c r="X451" i="3"/>
  <c r="U451" i="3"/>
  <c r="V451" i="3"/>
  <c r="W451" i="3"/>
  <c r="R451" i="3"/>
  <c r="AL450" i="3"/>
  <c r="AH450" i="3"/>
  <c r="AE450" i="3"/>
  <c r="AB450" i="3"/>
  <c r="Y450" i="3"/>
  <c r="X450" i="3"/>
  <c r="S450" i="3"/>
  <c r="U450" i="3"/>
  <c r="V450" i="3"/>
  <c r="W450" i="3"/>
  <c r="R450" i="3"/>
  <c r="AL449" i="3"/>
  <c r="AH449" i="3"/>
  <c r="AE449" i="3"/>
  <c r="AB449" i="3"/>
  <c r="Y449" i="3"/>
  <c r="X449" i="3"/>
  <c r="S449" i="3"/>
  <c r="U449" i="3"/>
  <c r="V449" i="3"/>
  <c r="W449" i="3"/>
  <c r="R449" i="3"/>
  <c r="AL448" i="3"/>
  <c r="AH448" i="3"/>
  <c r="AB448" i="3"/>
  <c r="Y448" i="3"/>
  <c r="X448" i="3"/>
  <c r="V448" i="3"/>
  <c r="W448" i="3"/>
  <c r="R448" i="3"/>
  <c r="P448" i="3"/>
  <c r="AL447" i="3"/>
  <c r="AH447" i="3"/>
  <c r="AB447" i="3"/>
  <c r="Y447" i="3"/>
  <c r="X447" i="3"/>
  <c r="S447" i="3"/>
  <c r="V447" i="3"/>
  <c r="W447" i="3"/>
  <c r="R447" i="3"/>
  <c r="AN446" i="3"/>
  <c r="AL446" i="3"/>
  <c r="AH446" i="3"/>
  <c r="AB446" i="3"/>
  <c r="Y446" i="3"/>
  <c r="X446" i="3"/>
  <c r="V446" i="3"/>
  <c r="W446" i="3"/>
  <c r="R446" i="3"/>
  <c r="AN445" i="3"/>
  <c r="AL445" i="3"/>
  <c r="AH445" i="3"/>
  <c r="AB445" i="3"/>
  <c r="Y445" i="3"/>
  <c r="X445" i="3"/>
  <c r="V445" i="3"/>
  <c r="W445" i="3"/>
  <c r="R445" i="3"/>
  <c r="AL444" i="3"/>
  <c r="AH444" i="3"/>
  <c r="AB444" i="3"/>
  <c r="Y444" i="3"/>
  <c r="X444" i="3"/>
  <c r="S444" i="3"/>
  <c r="V444" i="3"/>
  <c r="W444" i="3"/>
  <c r="R444" i="3"/>
  <c r="AL443" i="3"/>
  <c r="AH443" i="3"/>
  <c r="AB443" i="3"/>
  <c r="Y443" i="3"/>
  <c r="X443" i="3"/>
  <c r="S443" i="3"/>
  <c r="V443" i="3"/>
  <c r="W443" i="3"/>
  <c r="R443" i="3"/>
  <c r="AL442" i="3"/>
  <c r="AH442" i="3"/>
  <c r="AB442" i="3"/>
  <c r="Y442" i="3"/>
  <c r="X442" i="3"/>
  <c r="V442" i="3"/>
  <c r="W442" i="3"/>
  <c r="R442" i="3"/>
  <c r="AL441" i="3"/>
  <c r="AH441" i="3"/>
  <c r="AB441" i="3"/>
  <c r="Y441" i="3"/>
  <c r="X441" i="3"/>
  <c r="U441" i="3"/>
  <c r="V441" i="3"/>
  <c r="W441" i="3"/>
  <c r="R441" i="3"/>
  <c r="AL440" i="3"/>
  <c r="AH440" i="3"/>
  <c r="AB440" i="3"/>
  <c r="X440" i="3"/>
  <c r="S440" i="3"/>
  <c r="U440" i="3"/>
  <c r="V440" i="3"/>
  <c r="W440" i="3"/>
  <c r="R440" i="3"/>
  <c r="AL439" i="3"/>
  <c r="AH439" i="3"/>
  <c r="AE439" i="3"/>
  <c r="AB439" i="3"/>
  <c r="X439" i="3"/>
  <c r="S439" i="3"/>
  <c r="V439" i="3"/>
  <c r="W439" i="3"/>
  <c r="R439" i="3"/>
  <c r="AL438" i="3"/>
  <c r="AH438" i="3"/>
  <c r="AE438" i="3"/>
  <c r="AB438" i="3"/>
  <c r="X438" i="3"/>
  <c r="V438" i="3"/>
  <c r="W438" i="3"/>
  <c r="R438" i="3"/>
  <c r="AL437" i="3"/>
  <c r="AH437" i="3"/>
  <c r="AB437" i="3"/>
  <c r="X437" i="3"/>
  <c r="T437" i="3"/>
  <c r="V437" i="3"/>
  <c r="W437" i="3"/>
  <c r="R437" i="3"/>
  <c r="AL436" i="3"/>
  <c r="AH436" i="3"/>
  <c r="X436" i="3"/>
  <c r="V436" i="3"/>
  <c r="W436" i="3"/>
  <c r="R436" i="3"/>
  <c r="AL435" i="3"/>
  <c r="AH435" i="3"/>
  <c r="AB435" i="3"/>
  <c r="X435" i="3"/>
  <c r="V435" i="3"/>
  <c r="W435" i="3"/>
  <c r="R435" i="3"/>
  <c r="AL434" i="3"/>
  <c r="AH434" i="3"/>
  <c r="AB434" i="3"/>
  <c r="Z434" i="3"/>
  <c r="AA434" i="3"/>
  <c r="V434" i="3"/>
  <c r="W434" i="3"/>
  <c r="S434" i="3"/>
  <c r="R434" i="3"/>
  <c r="AL433" i="3"/>
  <c r="AH433" i="3"/>
  <c r="AB433" i="3"/>
  <c r="X433" i="3"/>
  <c r="V433" i="3"/>
  <c r="W433" i="3"/>
  <c r="R433" i="3"/>
  <c r="AG432" i="3"/>
  <c r="AB432" i="3"/>
  <c r="Z432" i="3"/>
  <c r="AA432" i="3"/>
  <c r="V432" i="3"/>
  <c r="W432" i="3"/>
  <c r="S432" i="3"/>
  <c r="P432" i="3"/>
  <c r="AG431" i="3"/>
  <c r="AB431" i="3"/>
  <c r="Z431" i="3"/>
  <c r="AA431" i="3"/>
  <c r="V431" i="3"/>
  <c r="W431" i="3"/>
  <c r="S431" i="3"/>
  <c r="P431" i="3"/>
  <c r="AG430" i="3"/>
  <c r="AB430" i="3"/>
  <c r="Z430" i="3"/>
  <c r="AA430" i="3"/>
  <c r="V430" i="3"/>
  <c r="W430" i="3"/>
  <c r="S430" i="3"/>
  <c r="P430" i="3"/>
  <c r="AG429" i="3"/>
  <c r="AB429" i="3"/>
  <c r="Z429" i="3"/>
  <c r="AA429" i="3"/>
  <c r="V429" i="3"/>
  <c r="W429" i="3"/>
  <c r="S429" i="3"/>
  <c r="P429" i="3"/>
  <c r="AG428" i="3"/>
  <c r="AB428" i="3"/>
  <c r="Z428" i="3"/>
  <c r="AA428" i="3"/>
  <c r="V428" i="3"/>
  <c r="W428" i="3"/>
  <c r="S428" i="3"/>
  <c r="P428" i="3"/>
  <c r="AL427" i="3"/>
  <c r="AH427" i="3"/>
  <c r="AB427" i="3"/>
  <c r="Z427" i="3"/>
  <c r="AA427" i="3"/>
  <c r="V427" i="3"/>
  <c r="W427" i="3"/>
  <c r="S427" i="3"/>
  <c r="P427" i="3"/>
  <c r="AL426" i="3"/>
  <c r="AH426" i="3"/>
  <c r="AB426" i="3"/>
  <c r="Z426" i="3"/>
  <c r="AA426" i="3"/>
  <c r="V426" i="3"/>
  <c r="W426" i="3"/>
  <c r="S426" i="3"/>
  <c r="P426" i="3"/>
  <c r="AL425" i="3"/>
  <c r="AH425" i="3"/>
  <c r="AB425" i="3"/>
  <c r="Z425" i="3"/>
  <c r="AA425" i="3"/>
  <c r="V425" i="3"/>
  <c r="W425" i="3"/>
  <c r="S425" i="3"/>
  <c r="P425" i="3"/>
  <c r="AH424" i="3"/>
  <c r="AG424" i="3"/>
  <c r="AB424" i="3"/>
  <c r="X424" i="3"/>
  <c r="V424" i="3"/>
  <c r="W424" i="3"/>
  <c r="P424" i="3"/>
  <c r="AL423" i="3"/>
  <c r="AH423" i="3"/>
  <c r="AB423" i="3"/>
  <c r="X423" i="3"/>
  <c r="Z423" i="3"/>
  <c r="AA423" i="3"/>
  <c r="S423" i="3"/>
  <c r="U423" i="3"/>
  <c r="V423" i="3"/>
  <c r="W423" i="3"/>
  <c r="R423" i="3"/>
  <c r="AG422" i="3"/>
  <c r="AE422" i="3"/>
  <c r="AB422" i="3"/>
  <c r="Y422" i="3"/>
  <c r="X422" i="3"/>
  <c r="S422" i="3"/>
  <c r="U422" i="3"/>
  <c r="V422" i="3"/>
  <c r="W422" i="3"/>
  <c r="R422" i="3"/>
  <c r="AL421" i="3"/>
  <c r="AH421" i="3"/>
  <c r="AE421" i="3"/>
  <c r="AB421" i="3"/>
  <c r="Y421" i="3"/>
  <c r="X421" i="3"/>
  <c r="Z421" i="3"/>
  <c r="AA421" i="3"/>
  <c r="U421" i="3"/>
  <c r="V421" i="3"/>
  <c r="W421" i="3"/>
  <c r="R421" i="3"/>
  <c r="AL420" i="3"/>
  <c r="AH420" i="3"/>
  <c r="AE420" i="3"/>
  <c r="AB420" i="3"/>
  <c r="Y420" i="3"/>
  <c r="X420" i="3"/>
  <c r="S420" i="3"/>
  <c r="U420" i="3"/>
  <c r="V420" i="3"/>
  <c r="W420" i="3"/>
  <c r="R420" i="3"/>
  <c r="AL419" i="3"/>
  <c r="AH419" i="3"/>
  <c r="AE419" i="3"/>
  <c r="AB419" i="3"/>
  <c r="Y419" i="3"/>
  <c r="X419" i="3"/>
  <c r="Z419" i="3"/>
  <c r="AA419" i="3"/>
  <c r="U419" i="3"/>
  <c r="V419" i="3"/>
  <c r="W419" i="3"/>
  <c r="R419" i="3"/>
  <c r="AL418" i="3"/>
  <c r="AH418" i="3"/>
  <c r="AE418" i="3"/>
  <c r="AB418" i="3"/>
  <c r="Y418" i="3"/>
  <c r="X418" i="3"/>
  <c r="S418" i="3"/>
  <c r="U418" i="3"/>
  <c r="V418" i="3"/>
  <c r="W418" i="3"/>
  <c r="R418" i="3"/>
  <c r="AL417" i="3"/>
  <c r="AH417" i="3"/>
  <c r="AE417" i="3"/>
  <c r="AB417" i="3"/>
  <c r="Y417" i="3"/>
  <c r="X417" i="3"/>
  <c r="U417" i="3"/>
  <c r="V417" i="3"/>
  <c r="W417" i="3"/>
  <c r="R417" i="3"/>
  <c r="AL416" i="3"/>
  <c r="AH416" i="3"/>
  <c r="AE416" i="3"/>
  <c r="AB416" i="3"/>
  <c r="Y416" i="3"/>
  <c r="X416" i="3"/>
  <c r="U416" i="3"/>
  <c r="V416" i="3"/>
  <c r="W416" i="3"/>
  <c r="R416" i="3"/>
  <c r="AL415" i="3"/>
  <c r="AH415" i="3"/>
  <c r="AB415" i="3"/>
  <c r="X415" i="3"/>
  <c r="U415" i="3"/>
  <c r="V415" i="3"/>
  <c r="W415" i="3"/>
  <c r="R415" i="3"/>
  <c r="P415" i="3"/>
  <c r="AL414" i="3"/>
  <c r="AH414" i="3"/>
  <c r="AG414" i="3"/>
  <c r="AB414" i="3"/>
  <c r="X414" i="3"/>
  <c r="Z414" i="3"/>
  <c r="AA414" i="3"/>
  <c r="U414" i="3"/>
  <c r="V414" i="3"/>
  <c r="W414" i="3"/>
  <c r="R414" i="3"/>
  <c r="AL413" i="3"/>
  <c r="AH413" i="3"/>
  <c r="AB413" i="3"/>
  <c r="X413" i="3"/>
  <c r="U413" i="3"/>
  <c r="V413" i="3"/>
  <c r="W413" i="3"/>
  <c r="R413" i="3"/>
  <c r="AL412" i="3"/>
  <c r="AH412" i="3"/>
  <c r="AB412" i="3"/>
  <c r="X412" i="3"/>
  <c r="Z412" i="3"/>
  <c r="AA412" i="3"/>
  <c r="U412" i="3"/>
  <c r="V412" i="3"/>
  <c r="W412" i="3"/>
  <c r="R412" i="3"/>
  <c r="AL411" i="3"/>
  <c r="AH411" i="3"/>
  <c r="AB411" i="3"/>
  <c r="X411" i="3"/>
  <c r="Z411" i="3"/>
  <c r="AA411" i="3"/>
  <c r="U411" i="3"/>
  <c r="V411" i="3"/>
  <c r="W411" i="3"/>
  <c r="R411" i="3"/>
  <c r="AL410" i="3"/>
  <c r="AH410" i="3"/>
  <c r="AB410" i="3"/>
  <c r="X410" i="3"/>
  <c r="Z410" i="3"/>
  <c r="AA410" i="3"/>
  <c r="U410" i="3"/>
  <c r="V410" i="3"/>
  <c r="W410" i="3"/>
  <c r="R410" i="3"/>
  <c r="AL409" i="3"/>
  <c r="AH409" i="3"/>
  <c r="AB409" i="3"/>
  <c r="X409" i="3"/>
  <c r="Z409" i="3"/>
  <c r="AA409" i="3"/>
  <c r="U409" i="3"/>
  <c r="V409" i="3"/>
  <c r="W409" i="3"/>
  <c r="R409" i="3"/>
  <c r="AL408" i="3"/>
  <c r="AH408" i="3"/>
  <c r="AB408" i="3"/>
  <c r="X408" i="3"/>
  <c r="U408" i="3"/>
  <c r="V408" i="3"/>
  <c r="W408" i="3"/>
  <c r="R408" i="3"/>
  <c r="AL407" i="3"/>
  <c r="AH407" i="3"/>
  <c r="AB407" i="3"/>
  <c r="Y407" i="3"/>
  <c r="X407" i="3"/>
  <c r="U407" i="3"/>
  <c r="V407" i="3"/>
  <c r="W407" i="3"/>
  <c r="R407" i="3"/>
  <c r="AL406" i="3"/>
  <c r="AH406" i="3"/>
  <c r="AB406" i="3"/>
  <c r="X406" i="3"/>
  <c r="S406" i="3"/>
  <c r="U406" i="3"/>
  <c r="V406" i="3"/>
  <c r="W406" i="3"/>
  <c r="R406" i="3"/>
  <c r="AH405" i="3"/>
  <c r="AG405" i="3"/>
  <c r="X405" i="3"/>
  <c r="S405" i="3"/>
  <c r="U405" i="3"/>
  <c r="V405" i="3"/>
  <c r="W405" i="3"/>
  <c r="R405" i="3"/>
  <c r="AH404" i="3"/>
  <c r="AG404" i="3"/>
  <c r="AB404" i="3"/>
  <c r="Y404" i="3"/>
  <c r="X404" i="3"/>
  <c r="Z404" i="3"/>
  <c r="AA404" i="3"/>
  <c r="U404" i="3"/>
  <c r="V404" i="3"/>
  <c r="W404" i="3"/>
  <c r="R404" i="3"/>
  <c r="AL403" i="3"/>
  <c r="AH403" i="3"/>
  <c r="AB403" i="3"/>
  <c r="Y403" i="3"/>
  <c r="X403" i="3"/>
  <c r="S403" i="3"/>
  <c r="U403" i="3"/>
  <c r="V403" i="3"/>
  <c r="W403" i="3"/>
  <c r="R403" i="3"/>
  <c r="AL402" i="3"/>
  <c r="AH402" i="3"/>
  <c r="AB402" i="3"/>
  <c r="Y402" i="3"/>
  <c r="X402" i="3"/>
  <c r="S402" i="3"/>
  <c r="U402" i="3"/>
  <c r="V402" i="3"/>
  <c r="W402" i="3"/>
  <c r="R402" i="3"/>
  <c r="AL401" i="3"/>
  <c r="AH401" i="3"/>
  <c r="AB401" i="3"/>
  <c r="Y401" i="3"/>
  <c r="X401" i="3"/>
  <c r="S401" i="3"/>
  <c r="U401" i="3"/>
  <c r="V401" i="3"/>
  <c r="W401" i="3"/>
  <c r="R401" i="3"/>
  <c r="AL400" i="3"/>
  <c r="P400" i="3"/>
  <c r="AH400" i="3"/>
  <c r="AB400" i="3"/>
  <c r="Y400" i="3"/>
  <c r="X400" i="3"/>
  <c r="S400" i="3"/>
  <c r="U400" i="3"/>
  <c r="V400" i="3"/>
  <c r="W400" i="3"/>
  <c r="R400" i="3"/>
  <c r="AH399" i="3"/>
  <c r="AG399" i="3"/>
  <c r="AB399" i="3"/>
  <c r="Y399" i="3"/>
  <c r="X399" i="3"/>
  <c r="U399" i="3"/>
  <c r="V399" i="3"/>
  <c r="W399" i="3"/>
  <c r="R399" i="3"/>
  <c r="AL398" i="3"/>
  <c r="AH398" i="3"/>
  <c r="AB398" i="3"/>
  <c r="Y398" i="3"/>
  <c r="Z398" i="3"/>
  <c r="AA398" i="3"/>
  <c r="V398" i="3"/>
  <c r="W398" i="3"/>
  <c r="S398" i="3"/>
  <c r="R398" i="3"/>
  <c r="P398" i="3"/>
  <c r="AL397" i="3"/>
  <c r="AH397" i="3"/>
  <c r="AB397" i="3"/>
  <c r="Y397" i="3"/>
  <c r="X397" i="3"/>
  <c r="U397" i="3"/>
  <c r="V397" i="3"/>
  <c r="W397" i="3"/>
  <c r="R397" i="3"/>
  <c r="AL396" i="3"/>
  <c r="AE396" i="3"/>
  <c r="AB396" i="3"/>
  <c r="Z396" i="3"/>
  <c r="AA396" i="3"/>
  <c r="U396" i="3"/>
  <c r="V396" i="3"/>
  <c r="W396" i="3"/>
  <c r="S396" i="3"/>
  <c r="R396" i="3"/>
  <c r="AL395" i="3"/>
  <c r="AG395" i="3"/>
  <c r="AE395" i="3"/>
  <c r="AB395" i="3"/>
  <c r="S395" i="3"/>
  <c r="U395" i="3"/>
  <c r="V395" i="3"/>
  <c r="W395" i="3"/>
  <c r="R395" i="3"/>
  <c r="AL394" i="3"/>
  <c r="AG394" i="3"/>
  <c r="AB394" i="3"/>
  <c r="U394" i="3"/>
  <c r="V394" i="3"/>
  <c r="W394" i="3"/>
  <c r="R394" i="3"/>
  <c r="AL393" i="3"/>
  <c r="AG393" i="3"/>
  <c r="AB393" i="3"/>
  <c r="Z393" i="3"/>
  <c r="AA393" i="3"/>
  <c r="U393" i="3"/>
  <c r="V393" i="3"/>
  <c r="W393" i="3"/>
  <c r="R393" i="3"/>
  <c r="AL392" i="3"/>
  <c r="AB392" i="3"/>
  <c r="Z392" i="3"/>
  <c r="AA392" i="3"/>
  <c r="S392" i="3"/>
  <c r="U392" i="3"/>
  <c r="V392" i="3"/>
  <c r="W392" i="3"/>
  <c r="R392" i="3"/>
  <c r="AG391" i="3"/>
  <c r="AA391" i="3"/>
  <c r="V391" i="3"/>
  <c r="W391" i="3"/>
  <c r="S391" i="3"/>
  <c r="R391" i="3"/>
  <c r="AA390" i="3"/>
  <c r="V390" i="3"/>
  <c r="W390" i="3"/>
  <c r="S390" i="3"/>
  <c r="R390" i="3"/>
  <c r="AL389" i="3"/>
  <c r="AH389" i="3"/>
  <c r="AG389" i="3"/>
  <c r="AB389" i="3"/>
  <c r="X389" i="3"/>
  <c r="U389" i="3"/>
  <c r="V389" i="3"/>
  <c r="W389" i="3"/>
  <c r="R389" i="3"/>
  <c r="AL388" i="3"/>
  <c r="AH388" i="3"/>
  <c r="AE388" i="3"/>
  <c r="AB388" i="3"/>
  <c r="X388" i="3"/>
  <c r="Z388" i="3"/>
  <c r="AA388" i="3"/>
  <c r="S388" i="3"/>
  <c r="U388" i="3"/>
  <c r="V388" i="3"/>
  <c r="W388" i="3"/>
  <c r="R388" i="3"/>
  <c r="AL387" i="3"/>
  <c r="AH387" i="3"/>
  <c r="AG387" i="3"/>
  <c r="AE387" i="3"/>
  <c r="AB387" i="3"/>
  <c r="X387" i="3"/>
  <c r="U387" i="3"/>
  <c r="V387" i="3"/>
  <c r="W387" i="3"/>
  <c r="R387" i="3"/>
  <c r="AL386" i="3"/>
  <c r="AH386" i="3"/>
  <c r="AE386" i="3"/>
  <c r="AB386" i="3"/>
  <c r="X386" i="3"/>
  <c r="Z386" i="3"/>
  <c r="AA386" i="3"/>
  <c r="U386" i="3"/>
  <c r="V386" i="3"/>
  <c r="W386" i="3"/>
  <c r="R386" i="3"/>
  <c r="AL385" i="3"/>
  <c r="AH385" i="3"/>
  <c r="AE385" i="3"/>
  <c r="AB385" i="3"/>
  <c r="X385" i="3"/>
  <c r="S385" i="3"/>
  <c r="U385" i="3"/>
  <c r="V385" i="3"/>
  <c r="W385" i="3"/>
  <c r="R385" i="3"/>
  <c r="AL384" i="3"/>
  <c r="AH384" i="3"/>
  <c r="AE384" i="3"/>
  <c r="AB384" i="3"/>
  <c r="X384" i="3"/>
  <c r="Z384" i="3"/>
  <c r="AA384" i="3"/>
  <c r="U384" i="3"/>
  <c r="V384" i="3"/>
  <c r="W384" i="3"/>
  <c r="R384" i="3"/>
  <c r="AL383" i="3"/>
  <c r="AH383" i="3"/>
  <c r="AE383" i="3"/>
  <c r="AB383" i="3"/>
  <c r="X383" i="3"/>
  <c r="Z383" i="3"/>
  <c r="AA383" i="3"/>
  <c r="U383" i="3"/>
  <c r="V383" i="3"/>
  <c r="W383" i="3"/>
  <c r="R383" i="3"/>
  <c r="AL382" i="3"/>
  <c r="AH382" i="3"/>
  <c r="AE382" i="3"/>
  <c r="AB382" i="3"/>
  <c r="X382" i="3"/>
  <c r="Z382" i="3"/>
  <c r="AA382" i="3"/>
  <c r="U382" i="3"/>
  <c r="V382" i="3"/>
  <c r="W382" i="3"/>
  <c r="R382" i="3"/>
  <c r="AL381" i="3"/>
  <c r="AH381" i="3"/>
  <c r="AB381" i="3"/>
  <c r="X381" i="3"/>
  <c r="Z381" i="3"/>
  <c r="AA381" i="3"/>
  <c r="U381" i="3"/>
  <c r="V381" i="3"/>
  <c r="W381" i="3"/>
  <c r="R381" i="3"/>
  <c r="AL380" i="3"/>
  <c r="AH380" i="3"/>
  <c r="AG380" i="3"/>
  <c r="AB380" i="3"/>
  <c r="X380" i="3"/>
  <c r="Z380" i="3"/>
  <c r="AA380" i="3"/>
  <c r="U380" i="3"/>
  <c r="V380" i="3"/>
  <c r="W380" i="3"/>
  <c r="R380" i="3"/>
  <c r="AH379" i="3"/>
  <c r="AG379" i="3"/>
  <c r="AB379" i="3"/>
  <c r="X379" i="3"/>
  <c r="Z379" i="3"/>
  <c r="AA379" i="3"/>
  <c r="U379" i="3"/>
  <c r="V379" i="3"/>
  <c r="W379" i="3"/>
  <c r="R379" i="3"/>
  <c r="AL378" i="3"/>
  <c r="AH378" i="3"/>
  <c r="AB378" i="3"/>
  <c r="X378" i="3"/>
  <c r="Z378" i="3"/>
  <c r="AA378" i="3"/>
  <c r="V378" i="3"/>
  <c r="W378" i="3"/>
  <c r="R378" i="3"/>
  <c r="AL377" i="3"/>
  <c r="AH377" i="3"/>
  <c r="AB377" i="3"/>
  <c r="X377" i="3"/>
  <c r="Z377" i="3"/>
  <c r="AA377" i="3"/>
  <c r="U377" i="3"/>
  <c r="V377" i="3"/>
  <c r="W377" i="3"/>
  <c r="R377" i="3"/>
  <c r="AL376" i="3"/>
  <c r="AH376" i="3"/>
  <c r="AB376" i="3"/>
  <c r="X376" i="3"/>
  <c r="S376" i="3"/>
  <c r="U376" i="3"/>
  <c r="V376" i="3"/>
  <c r="W376" i="3"/>
  <c r="R376" i="3"/>
  <c r="AH375" i="3"/>
  <c r="AG375" i="3"/>
  <c r="AE375" i="3"/>
  <c r="AB375" i="3"/>
  <c r="X375" i="3"/>
  <c r="S375" i="3"/>
  <c r="V375" i="3"/>
  <c r="W375" i="3"/>
  <c r="R375" i="3"/>
  <c r="AH374" i="3"/>
  <c r="AG374" i="3"/>
  <c r="AB374" i="3"/>
  <c r="X374" i="3"/>
  <c r="V374" i="3"/>
  <c r="W374" i="3"/>
  <c r="R374" i="3"/>
  <c r="AL373" i="3"/>
  <c r="AH373" i="3"/>
  <c r="AB373" i="3"/>
  <c r="Y373" i="3"/>
  <c r="X373" i="3"/>
  <c r="U373" i="3"/>
  <c r="V373" i="3"/>
  <c r="W373" i="3"/>
  <c r="R373" i="3"/>
  <c r="AL372" i="3"/>
  <c r="AH372" i="3"/>
  <c r="AB372" i="3"/>
  <c r="Y372" i="3"/>
  <c r="Z372" i="3"/>
  <c r="AA372" i="3"/>
  <c r="W372" i="3"/>
  <c r="S372" i="3"/>
  <c r="R372" i="3"/>
  <c r="AH371" i="3"/>
  <c r="AG371" i="3"/>
  <c r="AB371" i="3"/>
  <c r="Y371" i="3"/>
  <c r="X371" i="3"/>
  <c r="S371" i="3"/>
  <c r="U371" i="3"/>
  <c r="V371" i="3"/>
  <c r="W371" i="3"/>
  <c r="R371" i="3"/>
  <c r="AH370" i="3"/>
  <c r="AG370" i="3"/>
  <c r="AD370" i="3"/>
  <c r="AB370" i="3"/>
  <c r="X370" i="3"/>
  <c r="U370" i="3"/>
  <c r="V370" i="3"/>
  <c r="W370" i="3"/>
  <c r="R370" i="3"/>
  <c r="AH369" i="3"/>
  <c r="AG369" i="3"/>
  <c r="AD369" i="3"/>
  <c r="AB369" i="3"/>
  <c r="Z369" i="3"/>
  <c r="X369" i="3"/>
  <c r="S369" i="3"/>
  <c r="U369" i="3"/>
  <c r="V369" i="3"/>
  <c r="W369" i="3"/>
  <c r="R369" i="3"/>
  <c r="AH368" i="3"/>
  <c r="AG368" i="3"/>
  <c r="AB368" i="3"/>
  <c r="X368" i="3"/>
  <c r="Z368" i="3"/>
  <c r="AA368" i="3"/>
  <c r="U368" i="3"/>
  <c r="V368" i="3"/>
  <c r="W368" i="3"/>
  <c r="R368" i="3"/>
  <c r="P368" i="3"/>
  <c r="AH367" i="3"/>
  <c r="AG367" i="3"/>
  <c r="AB367" i="3"/>
  <c r="X367" i="3"/>
  <c r="Z367" i="3"/>
  <c r="AA367" i="3"/>
  <c r="U367" i="3"/>
  <c r="V367" i="3"/>
  <c r="W367" i="3"/>
  <c r="R367" i="3"/>
  <c r="P367" i="3"/>
  <c r="AH366" i="3"/>
  <c r="AG366" i="3"/>
  <c r="AB366" i="3"/>
  <c r="X366" i="3"/>
  <c r="Z366" i="3"/>
  <c r="AA366" i="3"/>
  <c r="U366" i="3"/>
  <c r="V366" i="3"/>
  <c r="W366" i="3"/>
  <c r="R366" i="3"/>
  <c r="P366" i="3"/>
  <c r="AH365" i="3"/>
  <c r="AG365" i="3"/>
  <c r="AB365" i="3"/>
  <c r="X365" i="3"/>
  <c r="Z365" i="3"/>
  <c r="AA365" i="3"/>
  <c r="U365" i="3"/>
  <c r="V365" i="3"/>
  <c r="W365" i="3"/>
  <c r="R365" i="3"/>
  <c r="P365" i="3"/>
  <c r="AH364" i="3"/>
  <c r="AG364" i="3"/>
  <c r="AB364" i="3"/>
  <c r="X364" i="3"/>
  <c r="U364" i="3"/>
  <c r="V364" i="3"/>
  <c r="W364" i="3"/>
  <c r="R364" i="3"/>
  <c r="P364" i="3"/>
  <c r="AH363" i="3"/>
  <c r="AG363" i="3"/>
  <c r="AB363" i="3"/>
  <c r="X363" i="3"/>
  <c r="Z363" i="3"/>
  <c r="AA363" i="3"/>
  <c r="U363" i="3"/>
  <c r="V363" i="3"/>
  <c r="W363" i="3"/>
  <c r="R363" i="3"/>
  <c r="P363" i="3"/>
  <c r="AH362" i="3"/>
  <c r="AG362" i="3"/>
  <c r="AB362" i="3"/>
  <c r="X362" i="3"/>
  <c r="Z362" i="3"/>
  <c r="AA362" i="3"/>
  <c r="U362" i="3"/>
  <c r="V362" i="3"/>
  <c r="W362" i="3"/>
  <c r="S362" i="3"/>
  <c r="R362" i="3"/>
  <c r="P362" i="3"/>
  <c r="AH361" i="3"/>
  <c r="AG361" i="3"/>
  <c r="AB361" i="3"/>
  <c r="X361" i="3"/>
  <c r="Z361" i="3"/>
  <c r="AA361" i="3"/>
  <c r="U361" i="3"/>
  <c r="V361" i="3"/>
  <c r="W361" i="3"/>
  <c r="R361" i="3"/>
  <c r="P361" i="3"/>
  <c r="AH360" i="3"/>
  <c r="AG360" i="3"/>
  <c r="AB360" i="3"/>
  <c r="X360" i="3"/>
  <c r="Z360" i="3"/>
  <c r="AA360" i="3"/>
  <c r="U360" i="3"/>
  <c r="V360" i="3"/>
  <c r="W360" i="3"/>
  <c r="R360" i="3"/>
  <c r="P360" i="3"/>
  <c r="AG359" i="3"/>
  <c r="AB359" i="3"/>
  <c r="X359" i="3"/>
  <c r="S359" i="3"/>
  <c r="V359" i="3"/>
  <c r="W359" i="3"/>
  <c r="R359" i="3"/>
  <c r="P359" i="3"/>
  <c r="AG358" i="3"/>
  <c r="AB358" i="3"/>
  <c r="AA358" i="3"/>
  <c r="S358" i="3"/>
  <c r="R358" i="3"/>
  <c r="P358" i="3"/>
  <c r="AG357" i="3"/>
  <c r="AB357" i="3"/>
  <c r="AA357" i="3"/>
  <c r="S357" i="3"/>
  <c r="R357" i="3"/>
  <c r="P357" i="3"/>
  <c r="AG356" i="3"/>
  <c r="AB356" i="3"/>
  <c r="AA356" i="3"/>
  <c r="S356" i="3"/>
  <c r="R356" i="3"/>
  <c r="P356" i="3"/>
  <c r="AL355" i="3"/>
  <c r="AH355" i="3"/>
  <c r="AE355" i="3"/>
  <c r="AB355" i="3"/>
  <c r="X355" i="3"/>
  <c r="Z355" i="3"/>
  <c r="AA355" i="3"/>
  <c r="U355" i="3"/>
  <c r="V355" i="3"/>
  <c r="W355" i="3"/>
  <c r="R355" i="3"/>
  <c r="AH354" i="3"/>
  <c r="AG354" i="3"/>
  <c r="AE354" i="3"/>
  <c r="AB354" i="3"/>
  <c r="X354" i="3"/>
  <c r="U354" i="3"/>
  <c r="V354" i="3"/>
  <c r="W354" i="3"/>
  <c r="R354" i="3"/>
  <c r="AH353" i="3"/>
  <c r="AG353" i="3"/>
  <c r="AE353" i="3"/>
  <c r="AB353" i="3"/>
  <c r="X353" i="3"/>
  <c r="Z353" i="3"/>
  <c r="AA353" i="3"/>
  <c r="U353" i="3"/>
  <c r="V353" i="3"/>
  <c r="W353" i="3"/>
  <c r="R353" i="3"/>
  <c r="AH352" i="3"/>
  <c r="AG352" i="3"/>
  <c r="AE352" i="3"/>
  <c r="AB352" i="3"/>
  <c r="X352" i="3"/>
  <c r="S352" i="3"/>
  <c r="U352" i="3"/>
  <c r="V352" i="3"/>
  <c r="W352" i="3"/>
  <c r="R352" i="3"/>
  <c r="AH351" i="3"/>
  <c r="AG351" i="3"/>
  <c r="AE351" i="3"/>
  <c r="AB351" i="3"/>
  <c r="X351" i="3"/>
  <c r="Z351" i="3"/>
  <c r="AA351" i="3"/>
  <c r="U351" i="3"/>
  <c r="V351" i="3"/>
  <c r="W351" i="3"/>
  <c r="R351" i="3"/>
  <c r="AH350" i="3"/>
  <c r="AG350" i="3"/>
  <c r="AE350" i="3"/>
  <c r="AB350" i="3"/>
  <c r="X350" i="3"/>
  <c r="U350" i="3"/>
  <c r="V350" i="3"/>
  <c r="W350" i="3"/>
  <c r="R350" i="3"/>
  <c r="AL349" i="3"/>
  <c r="AH349" i="3"/>
  <c r="AB349" i="3"/>
  <c r="Y349" i="3"/>
  <c r="X349" i="3"/>
  <c r="S349" i="3"/>
  <c r="U349" i="3"/>
  <c r="V349" i="3"/>
  <c r="W349" i="3"/>
  <c r="R349" i="3"/>
  <c r="P349" i="3"/>
  <c r="AL348" i="3"/>
  <c r="AH348" i="3"/>
  <c r="AB348" i="3"/>
  <c r="Y348" i="3"/>
  <c r="X348" i="3"/>
  <c r="S348" i="3"/>
  <c r="U348" i="3"/>
  <c r="V348" i="3"/>
  <c r="W348" i="3"/>
  <c r="R348" i="3"/>
  <c r="P348" i="3"/>
  <c r="AL347" i="3"/>
  <c r="AH347" i="3"/>
  <c r="AB347" i="3"/>
  <c r="Y347" i="3"/>
  <c r="X347" i="3"/>
  <c r="U347" i="3"/>
  <c r="V347" i="3"/>
  <c r="W347" i="3"/>
  <c r="R347" i="3"/>
  <c r="P347" i="3"/>
  <c r="AL346" i="3"/>
  <c r="AH346" i="3"/>
  <c r="AB346" i="3"/>
  <c r="Y346" i="3"/>
  <c r="X346" i="3"/>
  <c r="Z346" i="3"/>
  <c r="AA346" i="3"/>
  <c r="U346" i="3"/>
  <c r="V346" i="3"/>
  <c r="W346" i="3"/>
  <c r="R346" i="3"/>
  <c r="P346" i="3"/>
  <c r="AL345" i="3"/>
  <c r="AH345" i="3"/>
  <c r="AB345" i="3"/>
  <c r="Y345" i="3"/>
  <c r="X345" i="3"/>
  <c r="S345" i="3"/>
  <c r="U345" i="3"/>
  <c r="V345" i="3"/>
  <c r="W345" i="3"/>
  <c r="R345" i="3"/>
  <c r="P345" i="3"/>
  <c r="AL344" i="3"/>
  <c r="AH344" i="3"/>
  <c r="AG344" i="3"/>
  <c r="AB344" i="3"/>
  <c r="Y344" i="3"/>
  <c r="X344" i="3"/>
  <c r="U344" i="3"/>
  <c r="V344" i="3"/>
  <c r="W344" i="3"/>
  <c r="R344" i="3"/>
  <c r="P344" i="3"/>
  <c r="AL343" i="3"/>
  <c r="AH343" i="3"/>
  <c r="AB343" i="3"/>
  <c r="Y343" i="3"/>
  <c r="X343" i="3"/>
  <c r="S343" i="3"/>
  <c r="U343" i="3"/>
  <c r="V343" i="3"/>
  <c r="W343" i="3"/>
  <c r="R343" i="3"/>
  <c r="P343" i="3"/>
  <c r="AL342" i="3"/>
  <c r="AJ342" i="3"/>
  <c r="AH342" i="3"/>
  <c r="AB342" i="3"/>
  <c r="Y342" i="3"/>
  <c r="X342" i="3"/>
  <c r="S342" i="3"/>
  <c r="U342" i="3"/>
  <c r="V342" i="3"/>
  <c r="W342" i="3"/>
  <c r="R342" i="3"/>
  <c r="P342" i="3"/>
  <c r="AL341" i="3"/>
  <c r="AH341" i="3"/>
  <c r="AB341" i="3"/>
  <c r="Y341" i="3"/>
  <c r="X341" i="3"/>
  <c r="S341" i="3"/>
  <c r="U341" i="3"/>
  <c r="V341" i="3"/>
  <c r="W341" i="3"/>
  <c r="R341" i="3"/>
  <c r="P341" i="3"/>
  <c r="AL340" i="3"/>
  <c r="AH340" i="3"/>
  <c r="AE340" i="3"/>
  <c r="AB340" i="3"/>
  <c r="Y340" i="3"/>
  <c r="X340" i="3"/>
  <c r="S340" i="3"/>
  <c r="U340" i="3"/>
  <c r="V340" i="3"/>
  <c r="W340" i="3"/>
  <c r="R340" i="3"/>
  <c r="AL339" i="3"/>
  <c r="AH339" i="3"/>
  <c r="AB339" i="3"/>
  <c r="Y339" i="3"/>
  <c r="X339" i="3"/>
  <c r="Z339" i="3"/>
  <c r="AA339" i="3"/>
  <c r="U339" i="3"/>
  <c r="V339" i="3"/>
  <c r="W339" i="3"/>
  <c r="R339" i="3"/>
  <c r="AL338" i="3"/>
  <c r="AH338" i="3"/>
  <c r="AB338" i="3"/>
  <c r="Y338" i="3"/>
  <c r="X338" i="3"/>
  <c r="U338" i="3"/>
  <c r="V338" i="3"/>
  <c r="W338" i="3"/>
  <c r="R338" i="3"/>
  <c r="AL337" i="3"/>
  <c r="AH337" i="3"/>
  <c r="AG337" i="3"/>
  <c r="AB337" i="3"/>
  <c r="Y337" i="3"/>
  <c r="X337" i="3"/>
  <c r="S337" i="3"/>
  <c r="U337" i="3"/>
  <c r="V337" i="3"/>
  <c r="W337" i="3"/>
  <c r="R337" i="3"/>
  <c r="AN336" i="3"/>
  <c r="AL336" i="3"/>
  <c r="AH336" i="3"/>
  <c r="AB336" i="3"/>
  <c r="Y336" i="3"/>
  <c r="X336" i="3"/>
  <c r="S336" i="3"/>
  <c r="U336" i="3"/>
  <c r="V336" i="3"/>
  <c r="W336" i="3"/>
  <c r="R336" i="3"/>
  <c r="AL335" i="3"/>
  <c r="AH335" i="3"/>
  <c r="AB335" i="3"/>
  <c r="Y335" i="3"/>
  <c r="X335" i="3"/>
  <c r="U335" i="3"/>
  <c r="V335" i="3"/>
  <c r="W335" i="3"/>
  <c r="R335" i="3"/>
  <c r="AL334" i="3"/>
  <c r="AH334" i="3"/>
  <c r="AB334" i="3"/>
  <c r="Y334" i="3"/>
  <c r="X334" i="3"/>
  <c r="U334" i="3"/>
  <c r="V334" i="3"/>
  <c r="W334" i="3"/>
  <c r="R334" i="3"/>
  <c r="AL333" i="3"/>
  <c r="AH333" i="3"/>
  <c r="AB333" i="3"/>
  <c r="Y333" i="3"/>
  <c r="X333" i="3"/>
  <c r="U333" i="3"/>
  <c r="V333" i="3"/>
  <c r="W333" i="3"/>
  <c r="R333" i="3"/>
  <c r="P333" i="3"/>
  <c r="AL332" i="3"/>
  <c r="AH332" i="3"/>
  <c r="AB332" i="3"/>
  <c r="S332" i="3"/>
  <c r="R332" i="3"/>
  <c r="AL331" i="3"/>
  <c r="AH331" i="3"/>
  <c r="AE331" i="3"/>
  <c r="AB331" i="3"/>
  <c r="Y331" i="3"/>
  <c r="X331" i="3"/>
  <c r="U331" i="3"/>
  <c r="V331" i="3"/>
  <c r="W331" i="3"/>
  <c r="R331" i="3"/>
  <c r="AL330" i="3"/>
  <c r="AH330" i="3"/>
  <c r="AE330" i="3"/>
  <c r="AB330" i="3"/>
  <c r="Y330" i="3"/>
  <c r="X330" i="3"/>
  <c r="Z330" i="3"/>
  <c r="AA330" i="3"/>
  <c r="U330" i="3"/>
  <c r="V330" i="3"/>
  <c r="W330" i="3"/>
  <c r="R330" i="3"/>
  <c r="AL329" i="3"/>
  <c r="AH329" i="3"/>
  <c r="AE329" i="3"/>
  <c r="AB329" i="3"/>
  <c r="Y329" i="3"/>
  <c r="X329" i="3"/>
  <c r="S329" i="3"/>
  <c r="U329" i="3"/>
  <c r="V329" i="3"/>
  <c r="W329" i="3"/>
  <c r="R329" i="3"/>
  <c r="AL328" i="3"/>
  <c r="AH328" i="3"/>
  <c r="AB328" i="3"/>
  <c r="Y328" i="3"/>
  <c r="X328" i="3"/>
  <c r="U328" i="3"/>
  <c r="V328" i="3"/>
  <c r="W328" i="3"/>
  <c r="R328" i="3"/>
  <c r="AL327" i="3"/>
  <c r="AH327" i="3"/>
  <c r="AB327" i="3"/>
  <c r="Y327" i="3"/>
  <c r="X327" i="3"/>
  <c r="U327" i="3"/>
  <c r="V327" i="3"/>
  <c r="W327" i="3"/>
  <c r="R327" i="3"/>
  <c r="AL326" i="3"/>
  <c r="AH326" i="3"/>
  <c r="AE326" i="3"/>
  <c r="AB326" i="3"/>
  <c r="Y326" i="3"/>
  <c r="X326" i="3"/>
  <c r="U326" i="3"/>
  <c r="V326" i="3"/>
  <c r="W326" i="3"/>
  <c r="R326" i="3"/>
  <c r="AL325" i="3"/>
  <c r="AH325" i="3"/>
  <c r="AB325" i="3"/>
  <c r="Y325" i="3"/>
  <c r="X325" i="3"/>
  <c r="Z325" i="3"/>
  <c r="AA325" i="3"/>
  <c r="U325" i="3"/>
  <c r="V325" i="3"/>
  <c r="W325" i="3"/>
  <c r="R325" i="3"/>
  <c r="P325" i="3"/>
  <c r="AL324" i="3"/>
  <c r="AH324" i="3"/>
  <c r="AE324" i="3"/>
  <c r="AB324" i="3"/>
  <c r="Y324" i="3"/>
  <c r="X324" i="3"/>
  <c r="Z324" i="3"/>
  <c r="AA324" i="3"/>
  <c r="U324" i="3"/>
  <c r="V324" i="3"/>
  <c r="W324" i="3"/>
  <c r="R324" i="3"/>
  <c r="AL323" i="3"/>
  <c r="AH323" i="3"/>
  <c r="AG323" i="3"/>
  <c r="AB323" i="3"/>
  <c r="Y323" i="3"/>
  <c r="X323" i="3"/>
  <c r="U323" i="3"/>
  <c r="V323" i="3"/>
  <c r="W323" i="3"/>
  <c r="R323" i="3"/>
  <c r="AL322" i="3"/>
  <c r="AH322" i="3"/>
  <c r="AG322" i="3"/>
  <c r="AB322" i="3"/>
  <c r="Y322" i="3"/>
  <c r="X322" i="3"/>
  <c r="S322" i="3"/>
  <c r="U322" i="3"/>
  <c r="V322" i="3"/>
  <c r="W322" i="3"/>
  <c r="R322" i="3"/>
  <c r="AL321" i="3"/>
  <c r="AH321" i="3"/>
  <c r="AB321" i="3"/>
  <c r="Y321" i="3"/>
  <c r="X321" i="3"/>
  <c r="U321" i="3"/>
  <c r="V321" i="3"/>
  <c r="W321" i="3"/>
  <c r="R321" i="3"/>
  <c r="AL320" i="3"/>
  <c r="AH320" i="3"/>
  <c r="AB320" i="3"/>
  <c r="Y320" i="3"/>
  <c r="X320" i="3"/>
  <c r="Z320" i="3"/>
  <c r="AA320" i="3"/>
  <c r="U320" i="3"/>
  <c r="V320" i="3"/>
  <c r="W320" i="3"/>
  <c r="R320" i="3"/>
  <c r="AL319" i="3"/>
  <c r="AH319" i="3"/>
  <c r="AB319" i="3"/>
  <c r="Y319" i="3"/>
  <c r="X319" i="3"/>
  <c r="Z319" i="3"/>
  <c r="AA319" i="3"/>
  <c r="U319" i="3"/>
  <c r="V319" i="3"/>
  <c r="W319" i="3"/>
  <c r="R319" i="3"/>
  <c r="AL318" i="3"/>
  <c r="AH318" i="3"/>
  <c r="AE318" i="3"/>
  <c r="AB318" i="3"/>
  <c r="Y318" i="3"/>
  <c r="X318" i="3"/>
  <c r="U318" i="3"/>
  <c r="V318" i="3"/>
  <c r="W318" i="3"/>
  <c r="R318" i="3"/>
  <c r="AL317" i="3"/>
  <c r="AH317" i="3"/>
  <c r="AE317" i="3"/>
  <c r="AB317" i="3"/>
  <c r="Y317" i="3"/>
  <c r="X317" i="3"/>
  <c r="Z317" i="3"/>
  <c r="AA317" i="3"/>
  <c r="U317" i="3"/>
  <c r="V317" i="3"/>
  <c r="W317" i="3"/>
  <c r="R317" i="3"/>
  <c r="P317" i="3"/>
  <c r="AL316" i="3"/>
  <c r="AH316" i="3"/>
  <c r="AG316" i="3"/>
  <c r="AE316" i="3"/>
  <c r="AB316" i="3"/>
  <c r="Y316" i="3"/>
  <c r="X316" i="3"/>
  <c r="U316" i="3"/>
  <c r="V316" i="3"/>
  <c r="W316" i="3"/>
  <c r="R316" i="3"/>
  <c r="P316" i="3"/>
  <c r="AH315" i="3"/>
  <c r="AG315" i="3"/>
  <c r="AE315" i="3"/>
  <c r="AB315" i="3"/>
  <c r="X315" i="3"/>
  <c r="S315" i="3"/>
  <c r="U315" i="3"/>
  <c r="V315" i="3"/>
  <c r="W315" i="3"/>
  <c r="R315" i="3"/>
  <c r="P315" i="3"/>
  <c r="AG314" i="3"/>
  <c r="S314" i="3"/>
  <c r="R314" i="3"/>
  <c r="P314" i="3"/>
  <c r="AL313" i="3"/>
  <c r="AH313" i="3"/>
  <c r="AE313" i="3"/>
  <c r="AB313" i="3"/>
  <c r="X313" i="3"/>
  <c r="U313" i="3"/>
  <c r="V313" i="3"/>
  <c r="W313" i="3"/>
  <c r="R313" i="3"/>
  <c r="P313" i="3"/>
  <c r="AL312" i="3"/>
  <c r="AH312" i="3"/>
  <c r="AB312" i="3"/>
  <c r="Y312" i="3"/>
  <c r="X312" i="3"/>
  <c r="S312" i="3"/>
  <c r="U312" i="3"/>
  <c r="V312" i="3"/>
  <c r="W312" i="3"/>
  <c r="R312" i="3"/>
  <c r="P312" i="3"/>
  <c r="AL311" i="3"/>
  <c r="AH311" i="3"/>
  <c r="S311" i="3"/>
  <c r="R311" i="3"/>
  <c r="AL310" i="3"/>
  <c r="AH310" i="3"/>
  <c r="AB310" i="3"/>
  <c r="Y310" i="3"/>
  <c r="X310" i="3"/>
  <c r="U310" i="3"/>
  <c r="V310" i="3"/>
  <c r="W310" i="3"/>
  <c r="R310" i="3"/>
  <c r="AL309" i="3"/>
  <c r="AH309" i="3"/>
  <c r="AB309" i="3"/>
  <c r="Y309" i="3"/>
  <c r="X309" i="3"/>
  <c r="Z309" i="3"/>
  <c r="AA309" i="3"/>
  <c r="U309" i="3"/>
  <c r="V309" i="3"/>
  <c r="W309" i="3"/>
  <c r="R309" i="3"/>
  <c r="AN308" i="3"/>
  <c r="AL308" i="3"/>
  <c r="AH308" i="3"/>
  <c r="AB308" i="3"/>
  <c r="Y308" i="3"/>
  <c r="X308" i="3"/>
  <c r="S308" i="3"/>
  <c r="U308" i="3"/>
  <c r="V308" i="3"/>
  <c r="W308" i="3"/>
  <c r="R308" i="3"/>
  <c r="AL307" i="3"/>
  <c r="AH307" i="3"/>
  <c r="AB307" i="3"/>
  <c r="Y307" i="3"/>
  <c r="X307" i="3"/>
  <c r="Z307" i="3"/>
  <c r="AA307" i="3"/>
  <c r="U307" i="3"/>
  <c r="V307" i="3"/>
  <c r="W307" i="3"/>
  <c r="R307" i="3"/>
  <c r="AL306" i="3"/>
  <c r="AH306" i="3"/>
  <c r="AB306" i="3"/>
  <c r="Y306" i="3"/>
  <c r="X306" i="3"/>
  <c r="Z306" i="3"/>
  <c r="AA306" i="3"/>
  <c r="U306" i="3"/>
  <c r="V306" i="3"/>
  <c r="W306" i="3"/>
  <c r="R306" i="3"/>
  <c r="AL305" i="3"/>
  <c r="AH305" i="3"/>
  <c r="AB305" i="3"/>
  <c r="Y305" i="3"/>
  <c r="X305" i="3"/>
  <c r="S305" i="3"/>
  <c r="U305" i="3"/>
  <c r="V305" i="3"/>
  <c r="W305" i="3"/>
  <c r="R305" i="3"/>
  <c r="AL304" i="3"/>
  <c r="AH304" i="3"/>
  <c r="AG304" i="3"/>
  <c r="AB304" i="3"/>
  <c r="X304" i="3"/>
  <c r="U304" i="3"/>
  <c r="V304" i="3"/>
  <c r="W304" i="3"/>
  <c r="R304" i="3"/>
  <c r="AL303" i="3"/>
  <c r="AH303" i="3"/>
  <c r="AB303" i="3"/>
  <c r="X303" i="3"/>
  <c r="S303" i="3"/>
  <c r="U303" i="3"/>
  <c r="V303" i="3"/>
  <c r="W303" i="3"/>
  <c r="R303" i="3"/>
  <c r="AL302" i="3"/>
  <c r="AH302" i="3"/>
  <c r="AB302" i="3"/>
  <c r="X302" i="3"/>
  <c r="Z302" i="3"/>
  <c r="AA302" i="3"/>
  <c r="U302" i="3"/>
  <c r="V302" i="3"/>
  <c r="W302" i="3"/>
  <c r="R302" i="3"/>
  <c r="AL301" i="3"/>
  <c r="AJ301" i="3"/>
  <c r="P301" i="3"/>
  <c r="AH301" i="3"/>
  <c r="AB301" i="3"/>
  <c r="Y301" i="3"/>
  <c r="X301" i="3"/>
  <c r="U301" i="3"/>
  <c r="V301" i="3"/>
  <c r="W301" i="3"/>
  <c r="R301" i="3"/>
  <c r="AL300" i="3"/>
  <c r="AJ300" i="3"/>
  <c r="P300" i="3"/>
  <c r="AH300" i="3"/>
  <c r="AB300" i="3"/>
  <c r="X300" i="3"/>
  <c r="Z300" i="3"/>
  <c r="AA300" i="3"/>
  <c r="U300" i="3"/>
  <c r="V300" i="3"/>
  <c r="W300" i="3"/>
  <c r="R300" i="3"/>
  <c r="AL299" i="3"/>
  <c r="AH299" i="3"/>
  <c r="AB299" i="3"/>
  <c r="Y299" i="3"/>
  <c r="X299" i="3"/>
  <c r="Z299" i="3"/>
  <c r="AA299" i="3"/>
  <c r="U299" i="3"/>
  <c r="V299" i="3"/>
  <c r="W299" i="3"/>
  <c r="R299" i="3"/>
  <c r="P299" i="3"/>
  <c r="AL298" i="3"/>
  <c r="AH298" i="3"/>
  <c r="AE298" i="3"/>
  <c r="AB298" i="3"/>
  <c r="Y298" i="3"/>
  <c r="X298" i="3"/>
  <c r="S298" i="3"/>
  <c r="U298" i="3"/>
  <c r="V298" i="3"/>
  <c r="W298" i="3"/>
  <c r="R298" i="3"/>
  <c r="AL297" i="3"/>
  <c r="AH297" i="3"/>
  <c r="AE297" i="3"/>
  <c r="AB297" i="3"/>
  <c r="Y297" i="3"/>
  <c r="X297" i="3"/>
  <c r="U297" i="3"/>
  <c r="V297" i="3"/>
  <c r="W297" i="3"/>
  <c r="R297" i="3"/>
  <c r="AL296" i="3"/>
  <c r="AH296" i="3"/>
  <c r="AE296" i="3"/>
  <c r="AB296" i="3"/>
  <c r="Y296" i="3"/>
  <c r="X296" i="3"/>
  <c r="U296" i="3"/>
  <c r="V296" i="3"/>
  <c r="W296" i="3"/>
  <c r="R296" i="3"/>
  <c r="AL295" i="3"/>
  <c r="AH295" i="3"/>
  <c r="AE295" i="3"/>
  <c r="AB295" i="3"/>
  <c r="Y295" i="3"/>
  <c r="X295" i="3"/>
  <c r="U295" i="3"/>
  <c r="V295" i="3"/>
  <c r="W295" i="3"/>
  <c r="R295" i="3"/>
  <c r="AL294" i="3"/>
  <c r="AH294" i="3"/>
  <c r="AG294" i="3"/>
  <c r="AE294" i="3"/>
  <c r="AB294" i="3"/>
  <c r="Y294" i="3"/>
  <c r="X294" i="3"/>
  <c r="S294" i="3"/>
  <c r="U294" i="3"/>
  <c r="V294" i="3"/>
  <c r="W294" i="3"/>
  <c r="R294" i="3"/>
  <c r="AL293" i="3"/>
  <c r="AH293" i="3"/>
  <c r="AE293" i="3"/>
  <c r="AB293" i="3"/>
  <c r="Y293" i="3"/>
  <c r="X293" i="3"/>
  <c r="Z293" i="3"/>
  <c r="AA293" i="3"/>
  <c r="U293" i="3"/>
  <c r="V293" i="3"/>
  <c r="W293" i="3"/>
  <c r="R293" i="3"/>
  <c r="AL292" i="3"/>
  <c r="AH292" i="3"/>
  <c r="AE292" i="3"/>
  <c r="AB292" i="3"/>
  <c r="Y292" i="3"/>
  <c r="X292" i="3"/>
  <c r="S292" i="3"/>
  <c r="U292" i="3"/>
  <c r="V292" i="3"/>
  <c r="W292" i="3"/>
  <c r="R292" i="3"/>
  <c r="AL291" i="3"/>
  <c r="AH291" i="3"/>
  <c r="AD291" i="3"/>
  <c r="AB291" i="3"/>
  <c r="Y291" i="3"/>
  <c r="X291" i="3"/>
  <c r="Z291" i="3"/>
  <c r="AA291" i="3"/>
  <c r="V291" i="3"/>
  <c r="W291" i="3"/>
  <c r="R291" i="3"/>
  <c r="AH290" i="3"/>
  <c r="AG290" i="3"/>
  <c r="AB290" i="3"/>
  <c r="Y290" i="3"/>
  <c r="X290" i="3"/>
  <c r="S290" i="3"/>
  <c r="V290" i="3"/>
  <c r="W290" i="3"/>
  <c r="R290" i="3"/>
  <c r="AH289" i="3"/>
  <c r="AG289" i="3"/>
  <c r="AD289" i="3"/>
  <c r="AB289" i="3"/>
  <c r="Y289" i="3"/>
  <c r="X289" i="3"/>
  <c r="S289" i="3"/>
  <c r="V289" i="3"/>
  <c r="W289" i="3"/>
  <c r="R289" i="3"/>
  <c r="AH288" i="3"/>
  <c r="AG288" i="3"/>
  <c r="AD288" i="3"/>
  <c r="AB288" i="3"/>
  <c r="Y288" i="3"/>
  <c r="X288" i="3"/>
  <c r="V288" i="3"/>
  <c r="W288" i="3"/>
  <c r="R288" i="3"/>
  <c r="AH287" i="3"/>
  <c r="AG287" i="3"/>
  <c r="AD287" i="3"/>
  <c r="AB287" i="3"/>
  <c r="Y287" i="3"/>
  <c r="X287" i="3"/>
  <c r="S287" i="3"/>
  <c r="V287" i="3"/>
  <c r="W287" i="3"/>
  <c r="R287" i="3"/>
  <c r="AH286" i="3"/>
  <c r="AG286" i="3"/>
  <c r="AD286" i="3"/>
  <c r="AB286" i="3"/>
  <c r="Y286" i="3"/>
  <c r="X286" i="3"/>
  <c r="U286" i="3"/>
  <c r="V286" i="3"/>
  <c r="W286" i="3"/>
  <c r="R286" i="3"/>
  <c r="AH285" i="3"/>
  <c r="AG285" i="3"/>
  <c r="AB285" i="3"/>
  <c r="Y285" i="3"/>
  <c r="X285" i="3"/>
  <c r="Z285" i="3"/>
  <c r="AA285" i="3"/>
  <c r="U285" i="3"/>
  <c r="V285" i="3"/>
  <c r="W285" i="3"/>
  <c r="R285" i="3"/>
  <c r="AH284" i="3"/>
  <c r="AG284" i="3"/>
  <c r="AB284" i="3"/>
  <c r="Y284" i="3"/>
  <c r="X284" i="3"/>
  <c r="V284" i="3"/>
  <c r="W284" i="3"/>
  <c r="R284" i="3"/>
  <c r="AL283" i="3"/>
  <c r="AH283" i="3"/>
  <c r="AB283" i="3"/>
  <c r="Y283" i="3"/>
  <c r="X283" i="3"/>
  <c r="U283" i="3"/>
  <c r="V283" i="3"/>
  <c r="W283" i="3"/>
  <c r="R283" i="3"/>
  <c r="P283" i="3"/>
  <c r="AL282" i="3"/>
  <c r="AH282" i="3"/>
  <c r="AE282" i="3"/>
  <c r="AB282" i="3"/>
  <c r="Y282" i="3"/>
  <c r="X282" i="3"/>
  <c r="S282" i="3"/>
  <c r="U282" i="3"/>
  <c r="V282" i="3"/>
  <c r="W282" i="3"/>
  <c r="R282" i="3"/>
  <c r="P282" i="3"/>
  <c r="AL281" i="3"/>
  <c r="AH281" i="3"/>
  <c r="AE281" i="3"/>
  <c r="AB281" i="3"/>
  <c r="Y281" i="3"/>
  <c r="X281" i="3"/>
  <c r="S281" i="3"/>
  <c r="U281" i="3"/>
  <c r="V281" i="3"/>
  <c r="W281" i="3"/>
  <c r="R281" i="3"/>
  <c r="P281" i="3"/>
  <c r="AM280" i="3"/>
  <c r="AL280" i="3"/>
  <c r="AH280" i="3"/>
  <c r="AE280" i="3"/>
  <c r="AB280" i="3"/>
  <c r="Y280" i="3"/>
  <c r="X280" i="3"/>
  <c r="Z280" i="3"/>
  <c r="AA280" i="3"/>
  <c r="S280" i="3"/>
  <c r="U280" i="3"/>
  <c r="V280" i="3"/>
  <c r="W280" i="3"/>
  <c r="R280" i="3"/>
  <c r="P280" i="3"/>
  <c r="AL279" i="3"/>
  <c r="AH279" i="3"/>
  <c r="AE279" i="3"/>
  <c r="AB279" i="3"/>
  <c r="Y279" i="3"/>
  <c r="X279" i="3"/>
  <c r="S279" i="3"/>
  <c r="U279" i="3"/>
  <c r="V279" i="3"/>
  <c r="W279" i="3"/>
  <c r="R279" i="3"/>
  <c r="P279" i="3"/>
  <c r="AL278" i="3"/>
  <c r="AH278" i="3"/>
  <c r="AE278" i="3"/>
  <c r="AB278" i="3"/>
  <c r="Y278" i="3"/>
  <c r="X278" i="3"/>
  <c r="S278" i="3"/>
  <c r="U278" i="3"/>
  <c r="V278" i="3"/>
  <c r="W278" i="3"/>
  <c r="R278" i="3"/>
  <c r="P278" i="3"/>
  <c r="AL277" i="3"/>
  <c r="AJ277" i="3"/>
  <c r="AH277" i="3"/>
  <c r="AE277" i="3"/>
  <c r="AB277" i="3"/>
  <c r="Y277" i="3"/>
  <c r="X277" i="3"/>
  <c r="U277" i="3"/>
  <c r="V277" i="3"/>
  <c r="W277" i="3"/>
  <c r="R277" i="3"/>
  <c r="P277" i="3"/>
  <c r="AL276" i="3"/>
  <c r="AH276" i="3"/>
  <c r="AE276" i="3"/>
  <c r="AB276" i="3"/>
  <c r="Y276" i="3"/>
  <c r="X276" i="3"/>
  <c r="S276" i="3"/>
  <c r="U276" i="3"/>
  <c r="V276" i="3"/>
  <c r="W276" i="3"/>
  <c r="R276" i="3"/>
  <c r="P276" i="3"/>
  <c r="AL275" i="3"/>
  <c r="AJ275" i="3"/>
  <c r="P275" i="3"/>
  <c r="AH275" i="3"/>
  <c r="AB275" i="3"/>
  <c r="X275" i="3"/>
  <c r="Z275" i="3"/>
  <c r="AA275" i="3"/>
  <c r="V275" i="3"/>
  <c r="U275" i="3"/>
  <c r="W275" i="3"/>
  <c r="R275" i="3"/>
  <c r="AL274" i="3"/>
  <c r="AJ274" i="3"/>
  <c r="P274" i="3"/>
  <c r="AH274" i="3"/>
  <c r="AB274" i="3"/>
  <c r="X274" i="3"/>
  <c r="Z274" i="3"/>
  <c r="AA274" i="3"/>
  <c r="V274" i="3"/>
  <c r="U274" i="3"/>
  <c r="W274" i="3"/>
  <c r="R274" i="3"/>
  <c r="AL273" i="3"/>
  <c r="AH273" i="3"/>
  <c r="AB273" i="3"/>
  <c r="X273" i="3"/>
  <c r="Z273" i="3"/>
  <c r="AA273" i="3"/>
  <c r="U273" i="3"/>
  <c r="V273" i="3"/>
  <c r="W273" i="3"/>
  <c r="R273" i="3"/>
  <c r="P273" i="3"/>
  <c r="AL272" i="3"/>
  <c r="AJ272" i="3"/>
  <c r="P272" i="3"/>
  <c r="AH272" i="3"/>
  <c r="AE272" i="3"/>
  <c r="AB272" i="3"/>
  <c r="X272" i="3"/>
  <c r="Z272" i="3"/>
  <c r="AA272" i="3"/>
  <c r="U272" i="3"/>
  <c r="V272" i="3"/>
  <c r="W272" i="3"/>
  <c r="R272" i="3"/>
  <c r="AL271" i="3"/>
  <c r="AH271" i="3"/>
  <c r="AG271" i="3"/>
  <c r="AJ271" i="3"/>
  <c r="P271" i="3"/>
  <c r="AB271" i="3"/>
  <c r="X271" i="3"/>
  <c r="Z271" i="3"/>
  <c r="AA271" i="3"/>
  <c r="U271" i="3"/>
  <c r="V271" i="3"/>
  <c r="W271" i="3"/>
  <c r="R271" i="3"/>
  <c r="AL270" i="3"/>
  <c r="AJ270" i="3"/>
  <c r="P270" i="3"/>
  <c r="AH270" i="3"/>
  <c r="AG270" i="3"/>
  <c r="AB270" i="3"/>
  <c r="Y270" i="3"/>
  <c r="X270" i="3"/>
  <c r="U270" i="3"/>
  <c r="V270" i="3"/>
  <c r="W270" i="3"/>
  <c r="R270" i="3"/>
  <c r="AL269" i="3"/>
  <c r="AJ269" i="3"/>
  <c r="P269" i="3"/>
  <c r="AH269" i="3"/>
  <c r="AB269" i="3"/>
  <c r="Y269" i="3"/>
  <c r="X269" i="3"/>
  <c r="S269" i="3"/>
  <c r="U269" i="3"/>
  <c r="V269" i="3"/>
  <c r="W269" i="3"/>
  <c r="R269" i="3"/>
  <c r="AM268" i="3"/>
  <c r="AL268" i="3"/>
  <c r="AJ268" i="3"/>
  <c r="P268" i="3"/>
  <c r="AH268" i="3"/>
  <c r="AG268" i="3"/>
  <c r="AB268" i="3"/>
  <c r="Y268" i="3"/>
  <c r="X268" i="3"/>
  <c r="S268" i="3"/>
  <c r="U268" i="3"/>
  <c r="V268" i="3"/>
  <c r="W268" i="3"/>
  <c r="R268" i="3"/>
  <c r="AL267" i="3"/>
  <c r="AJ267" i="3"/>
  <c r="P267" i="3"/>
  <c r="AH267" i="3"/>
  <c r="AB267" i="3"/>
  <c r="Y267" i="3"/>
  <c r="X267" i="3"/>
  <c r="S267" i="3"/>
  <c r="U267" i="3"/>
  <c r="V267" i="3"/>
  <c r="W267" i="3"/>
  <c r="R267" i="3"/>
  <c r="AL266" i="3"/>
  <c r="AJ266" i="3"/>
  <c r="P266" i="3"/>
  <c r="AH266" i="3"/>
  <c r="AE266" i="3"/>
  <c r="AB266" i="3"/>
  <c r="Y266" i="3"/>
  <c r="X266" i="3"/>
  <c r="S266" i="3"/>
  <c r="U266" i="3"/>
  <c r="V266" i="3"/>
  <c r="W266" i="3"/>
  <c r="R266" i="3"/>
  <c r="AL265" i="3"/>
  <c r="AJ265" i="3"/>
  <c r="P265" i="3"/>
  <c r="AH265" i="3"/>
  <c r="AE265" i="3"/>
  <c r="AB265" i="3"/>
  <c r="Y265" i="3"/>
  <c r="X265" i="3"/>
  <c r="S265" i="3"/>
  <c r="U265" i="3"/>
  <c r="V265" i="3"/>
  <c r="W265" i="3"/>
  <c r="R265" i="3"/>
  <c r="AL264" i="3"/>
  <c r="AJ264" i="3"/>
  <c r="P264" i="3"/>
  <c r="AH264" i="3"/>
  <c r="AE264" i="3"/>
  <c r="AB264" i="3"/>
  <c r="Y264" i="3"/>
  <c r="X264" i="3"/>
  <c r="S264" i="3"/>
  <c r="U264" i="3"/>
  <c r="V264" i="3"/>
  <c r="W264" i="3"/>
  <c r="R264" i="3"/>
  <c r="AL263" i="3"/>
  <c r="AH263" i="3"/>
  <c r="AB263" i="3"/>
  <c r="Y263" i="3"/>
  <c r="X263" i="3"/>
  <c r="S263" i="3"/>
  <c r="U263" i="3"/>
  <c r="V263" i="3"/>
  <c r="W263" i="3"/>
  <c r="R263" i="3"/>
  <c r="AL262" i="3"/>
  <c r="AH262" i="3"/>
  <c r="AB262" i="3"/>
  <c r="Y262" i="3"/>
  <c r="X262" i="3"/>
  <c r="U262" i="3"/>
  <c r="V262" i="3"/>
  <c r="W262" i="3"/>
  <c r="R262" i="3"/>
  <c r="AL261" i="3"/>
  <c r="AH261" i="3"/>
  <c r="AB261" i="3"/>
  <c r="Y261" i="3"/>
  <c r="X261" i="3"/>
  <c r="Z261" i="3"/>
  <c r="AA261" i="3"/>
  <c r="U261" i="3"/>
  <c r="V261" i="3"/>
  <c r="W261" i="3"/>
  <c r="R261" i="3"/>
  <c r="AL260" i="3"/>
  <c r="AH260" i="3"/>
  <c r="AB260" i="3"/>
  <c r="Y260" i="3"/>
  <c r="X260" i="3"/>
  <c r="U260" i="3"/>
  <c r="V260" i="3"/>
  <c r="W260" i="3"/>
  <c r="R260" i="3"/>
  <c r="AL259" i="3"/>
  <c r="AH259" i="3"/>
  <c r="AB259" i="3"/>
  <c r="Y259" i="3"/>
  <c r="X259" i="3"/>
  <c r="S259" i="3"/>
  <c r="U259" i="3"/>
  <c r="V259" i="3"/>
  <c r="W259" i="3"/>
  <c r="R259" i="3"/>
  <c r="AL258" i="3"/>
  <c r="AH258" i="3"/>
  <c r="AB258" i="3"/>
  <c r="Y258" i="3"/>
  <c r="X258" i="3"/>
  <c r="Z258" i="3"/>
  <c r="AA258" i="3"/>
  <c r="U258" i="3"/>
  <c r="V258" i="3"/>
  <c r="W258" i="3"/>
  <c r="R258" i="3"/>
  <c r="AL257" i="3"/>
  <c r="AH257" i="3"/>
  <c r="AB257" i="3"/>
  <c r="Y257" i="3"/>
  <c r="X257" i="3"/>
  <c r="Z257" i="3"/>
  <c r="AA257" i="3"/>
  <c r="U257" i="3"/>
  <c r="V257" i="3"/>
  <c r="W257" i="3"/>
  <c r="R257" i="3"/>
  <c r="AL256" i="3"/>
  <c r="AH256" i="3"/>
  <c r="AB256" i="3"/>
  <c r="X256" i="3"/>
  <c r="Z256" i="3"/>
  <c r="AA256" i="3"/>
  <c r="U256" i="3"/>
  <c r="V256" i="3"/>
  <c r="W256" i="3"/>
  <c r="R256" i="3"/>
  <c r="AL255" i="3"/>
  <c r="AJ255" i="3"/>
  <c r="P255" i="3"/>
  <c r="AH255" i="3"/>
  <c r="AB255" i="3"/>
  <c r="Y255" i="3"/>
  <c r="X255" i="3"/>
  <c r="S255" i="3"/>
  <c r="U255" i="3"/>
  <c r="V255" i="3"/>
  <c r="W255" i="3"/>
  <c r="R255" i="3"/>
  <c r="AL254" i="3"/>
  <c r="AH254" i="3"/>
  <c r="AD254" i="3"/>
  <c r="AB254" i="3"/>
  <c r="X254" i="3"/>
  <c r="S254" i="3"/>
  <c r="U254" i="3"/>
  <c r="V254" i="3"/>
  <c r="W254" i="3"/>
  <c r="R254" i="3"/>
  <c r="AL253" i="3"/>
  <c r="AH253" i="3"/>
  <c r="AG253" i="3"/>
  <c r="AB253" i="3"/>
  <c r="Y253" i="3"/>
  <c r="X253" i="3"/>
  <c r="S253" i="3"/>
  <c r="U253" i="3"/>
  <c r="V253" i="3"/>
  <c r="W253" i="3"/>
  <c r="R253" i="3"/>
  <c r="AN252" i="3"/>
  <c r="AL252" i="3"/>
  <c r="AH252" i="3"/>
  <c r="AB252" i="3"/>
  <c r="Y252" i="3"/>
  <c r="X252" i="3"/>
  <c r="S252" i="3"/>
  <c r="U252" i="3"/>
  <c r="V252" i="3"/>
  <c r="W252" i="3"/>
  <c r="R252" i="3"/>
  <c r="AL251" i="3"/>
  <c r="AH251" i="3"/>
  <c r="AB251" i="3"/>
  <c r="Y251" i="3"/>
  <c r="X251" i="3"/>
  <c r="S251" i="3"/>
  <c r="U251" i="3"/>
  <c r="V251" i="3"/>
  <c r="W251" i="3"/>
  <c r="R251" i="3"/>
  <c r="AL250" i="3"/>
  <c r="AH250" i="3"/>
  <c r="AB250" i="3"/>
  <c r="Y250" i="3"/>
  <c r="X250" i="3"/>
  <c r="S250" i="3"/>
  <c r="U250" i="3"/>
  <c r="V250" i="3"/>
  <c r="W250" i="3"/>
  <c r="R250" i="3"/>
  <c r="AL249" i="3"/>
  <c r="AH249" i="3"/>
  <c r="AE249" i="3"/>
  <c r="AB249" i="3"/>
  <c r="Y249" i="3"/>
  <c r="X249" i="3"/>
  <c r="S249" i="3"/>
  <c r="U249" i="3"/>
  <c r="V249" i="3"/>
  <c r="W249" i="3"/>
  <c r="R249" i="3"/>
  <c r="AL248" i="3"/>
  <c r="AH248" i="3"/>
  <c r="AB248" i="3"/>
  <c r="Y248" i="3"/>
  <c r="X248" i="3"/>
  <c r="S248" i="3"/>
  <c r="U248" i="3"/>
  <c r="V248" i="3"/>
  <c r="W248" i="3"/>
  <c r="R248" i="3"/>
  <c r="AH247" i="3"/>
  <c r="AG247" i="3"/>
  <c r="Y247" i="3"/>
  <c r="AC247" i="3"/>
  <c r="AB247" i="3"/>
  <c r="U247" i="3"/>
  <c r="V247" i="3"/>
  <c r="W247" i="3"/>
  <c r="S247" i="3"/>
  <c r="R247" i="3"/>
  <c r="AH246" i="3"/>
  <c r="AG246" i="3"/>
  <c r="Y246" i="3"/>
  <c r="AC246" i="3"/>
  <c r="AB246" i="3"/>
  <c r="X246" i="3"/>
  <c r="S246" i="3"/>
  <c r="V246" i="3"/>
  <c r="W246" i="3"/>
  <c r="R246" i="3"/>
  <c r="AH245" i="3"/>
  <c r="AG245" i="3"/>
  <c r="AE245" i="3"/>
  <c r="Y245" i="3"/>
  <c r="AC245" i="3"/>
  <c r="AB245" i="3"/>
  <c r="X245" i="3"/>
  <c r="S245" i="3"/>
  <c r="V245" i="3"/>
  <c r="W245" i="3"/>
  <c r="R245" i="3"/>
  <c r="AH244" i="3"/>
  <c r="AG244" i="3"/>
  <c r="Y244" i="3"/>
  <c r="AC244" i="3"/>
  <c r="AB244" i="3"/>
  <c r="V244" i="3"/>
  <c r="W244" i="3"/>
  <c r="S244" i="3"/>
  <c r="R244" i="3"/>
  <c r="AH243" i="3"/>
  <c r="AG243" i="3"/>
  <c r="AB243" i="3"/>
  <c r="Y243" i="3"/>
  <c r="Z243" i="3"/>
  <c r="AA243" i="3"/>
  <c r="U243" i="3"/>
  <c r="V243" i="3"/>
  <c r="W243" i="3"/>
  <c r="S243" i="3"/>
  <c r="R243" i="3"/>
  <c r="AH242" i="3"/>
  <c r="AG242" i="3"/>
  <c r="AB242" i="3"/>
  <c r="Y242" i="3"/>
  <c r="Z242" i="3"/>
  <c r="AA242" i="3"/>
  <c r="V242" i="3"/>
  <c r="W242" i="3"/>
  <c r="S242" i="3"/>
  <c r="R242" i="3"/>
  <c r="AH241" i="3"/>
  <c r="AG241" i="3"/>
  <c r="AB241" i="3"/>
  <c r="Y241" i="3"/>
  <c r="Z241" i="3"/>
  <c r="AA241" i="3"/>
  <c r="V241" i="3"/>
  <c r="W241" i="3"/>
  <c r="S241" i="3"/>
  <c r="R241" i="3"/>
  <c r="AL240" i="3"/>
  <c r="AH240" i="3"/>
  <c r="AD240" i="3"/>
  <c r="AB240" i="3"/>
  <c r="Y240" i="3"/>
  <c r="X240" i="3"/>
  <c r="S240" i="3"/>
  <c r="U240" i="3"/>
  <c r="V240" i="3"/>
  <c r="W240" i="3"/>
  <c r="R240" i="3"/>
  <c r="P240" i="3"/>
  <c r="AH239" i="3"/>
  <c r="AG239" i="3"/>
  <c r="Z239" i="3"/>
  <c r="Y239" i="3"/>
  <c r="AD239" i="3"/>
  <c r="AB239" i="3"/>
  <c r="V239" i="3"/>
  <c r="W239" i="3"/>
  <c r="R239" i="3"/>
  <c r="AL238" i="3"/>
  <c r="AH238" i="3"/>
  <c r="AD238" i="3"/>
  <c r="AB238" i="3"/>
  <c r="Y238" i="3"/>
  <c r="X238" i="3"/>
  <c r="S238" i="3"/>
  <c r="V238" i="3"/>
  <c r="W238" i="3"/>
  <c r="R238" i="3"/>
  <c r="AH237" i="3"/>
  <c r="AG237" i="3"/>
  <c r="AD237" i="3"/>
  <c r="AB237" i="3"/>
  <c r="Y237" i="3"/>
  <c r="X237" i="3"/>
  <c r="V237" i="3"/>
  <c r="W237" i="3"/>
  <c r="R237" i="3"/>
  <c r="AH236" i="3"/>
  <c r="AG236" i="3"/>
  <c r="AD236" i="3"/>
  <c r="AB236" i="3"/>
  <c r="Y236" i="3"/>
  <c r="X236" i="3"/>
  <c r="V236" i="3"/>
  <c r="W236" i="3"/>
  <c r="R236" i="3"/>
  <c r="AH235" i="3"/>
  <c r="AG235" i="3"/>
  <c r="AD235" i="3"/>
  <c r="AB235" i="3"/>
  <c r="Y235" i="3"/>
  <c r="X235" i="3"/>
  <c r="S235" i="3"/>
  <c r="U235" i="3"/>
  <c r="V235" i="3"/>
  <c r="W235" i="3"/>
  <c r="R235" i="3"/>
  <c r="AL234" i="3"/>
  <c r="AH234" i="3"/>
  <c r="AD234" i="3"/>
  <c r="AB234" i="3"/>
  <c r="Y234" i="3"/>
  <c r="X234" i="3"/>
  <c r="S234" i="3"/>
  <c r="V234" i="3"/>
  <c r="W234" i="3"/>
  <c r="R234" i="3"/>
  <c r="AL233" i="3"/>
  <c r="AH233" i="3"/>
  <c r="AD233" i="3"/>
  <c r="AB233" i="3"/>
  <c r="Y233" i="3"/>
  <c r="X233" i="3"/>
  <c r="V233" i="3"/>
  <c r="W233" i="3"/>
  <c r="R233" i="3"/>
  <c r="AL232" i="3"/>
  <c r="AH232" i="3"/>
  <c r="AB232" i="3"/>
  <c r="Y232" i="3"/>
  <c r="X232" i="3"/>
  <c r="U232" i="3"/>
  <c r="V232" i="3"/>
  <c r="W232" i="3"/>
  <c r="R232" i="3"/>
  <c r="P232" i="3"/>
  <c r="AL231" i="3"/>
  <c r="AH231" i="3"/>
  <c r="AB231" i="3"/>
  <c r="Y231" i="3"/>
  <c r="X231" i="3"/>
  <c r="S231" i="3"/>
  <c r="U231" i="3"/>
  <c r="V231" i="3"/>
  <c r="W231" i="3"/>
  <c r="R231" i="3"/>
  <c r="AL230" i="3"/>
  <c r="AH230" i="3"/>
  <c r="AB230" i="3"/>
  <c r="Y230" i="3"/>
  <c r="X230" i="3"/>
  <c r="U230" i="3"/>
  <c r="V230" i="3"/>
  <c r="W230" i="3"/>
  <c r="R230" i="3"/>
  <c r="AL229" i="3"/>
  <c r="AH229" i="3"/>
  <c r="AB229" i="3"/>
  <c r="Y229" i="3"/>
  <c r="X229" i="3"/>
  <c r="U229" i="3"/>
  <c r="V229" i="3"/>
  <c r="W229" i="3"/>
  <c r="R229" i="3"/>
  <c r="AL228" i="3"/>
  <c r="AH228" i="3"/>
  <c r="AB228" i="3"/>
  <c r="Y228" i="3"/>
  <c r="X228" i="3"/>
  <c r="S228" i="3"/>
  <c r="U228" i="3"/>
  <c r="V228" i="3"/>
  <c r="W228" i="3"/>
  <c r="R228" i="3"/>
  <c r="AL227" i="3"/>
  <c r="AH227" i="3"/>
  <c r="AG227" i="3"/>
  <c r="AB227" i="3"/>
  <c r="Y227" i="3"/>
  <c r="X227" i="3"/>
  <c r="S227" i="3"/>
  <c r="U227" i="3"/>
  <c r="V227" i="3"/>
  <c r="W227" i="3"/>
  <c r="R227" i="3"/>
  <c r="AL226" i="3"/>
  <c r="AH226" i="3"/>
  <c r="AB226" i="3"/>
  <c r="Y226" i="3"/>
  <c r="X226" i="3"/>
  <c r="Z226" i="3"/>
  <c r="AA226" i="3"/>
  <c r="U226" i="3"/>
  <c r="V226" i="3"/>
  <c r="W226" i="3"/>
  <c r="R226" i="3"/>
  <c r="AL225" i="3"/>
  <c r="AH225" i="3"/>
  <c r="AB225" i="3"/>
  <c r="Y225" i="3"/>
  <c r="X225" i="3"/>
  <c r="V225" i="3"/>
  <c r="U225" i="3"/>
  <c r="W225" i="3"/>
  <c r="R225" i="3"/>
  <c r="AH224" i="3"/>
  <c r="AG224" i="3"/>
  <c r="AD224" i="3"/>
  <c r="AB224" i="3"/>
  <c r="Y224" i="3"/>
  <c r="X224" i="3"/>
  <c r="U224" i="3"/>
  <c r="V224" i="3"/>
  <c r="W224" i="3"/>
  <c r="R224" i="3"/>
  <c r="P224" i="3"/>
  <c r="AL223" i="3"/>
  <c r="AH223" i="3"/>
  <c r="AD223" i="3"/>
  <c r="AB223" i="3"/>
  <c r="Y223" i="3"/>
  <c r="X223" i="3"/>
  <c r="S223" i="3"/>
  <c r="U223" i="3"/>
  <c r="V223" i="3"/>
  <c r="W223" i="3"/>
  <c r="R223" i="3"/>
  <c r="AL222" i="3"/>
  <c r="AH222" i="3"/>
  <c r="AD222" i="3"/>
  <c r="AC222" i="3"/>
  <c r="Y222" i="3"/>
  <c r="X222" i="3"/>
  <c r="U222" i="3"/>
  <c r="V222" i="3"/>
  <c r="W222" i="3"/>
  <c r="R222" i="3"/>
  <c r="AL221" i="3"/>
  <c r="AH221" i="3"/>
  <c r="AD221" i="3"/>
  <c r="AB221" i="3"/>
  <c r="Y221" i="3"/>
  <c r="X221" i="3"/>
  <c r="S221" i="3"/>
  <c r="U221" i="3"/>
  <c r="V221" i="3"/>
  <c r="W221" i="3"/>
  <c r="R221" i="3"/>
  <c r="AL220" i="3"/>
  <c r="AH220" i="3"/>
  <c r="AD220" i="3"/>
  <c r="AB220" i="3"/>
  <c r="Y220" i="3"/>
  <c r="X220" i="3"/>
  <c r="S220" i="3"/>
  <c r="U220" i="3"/>
  <c r="V220" i="3"/>
  <c r="W220" i="3"/>
  <c r="R220" i="3"/>
  <c r="AL219" i="3"/>
  <c r="AH219" i="3"/>
  <c r="AB219" i="3"/>
  <c r="Y219" i="3"/>
  <c r="X219" i="3"/>
  <c r="S219" i="3"/>
  <c r="U219" i="3"/>
  <c r="V219" i="3"/>
  <c r="W219" i="3"/>
  <c r="R219" i="3"/>
  <c r="AL218" i="3"/>
  <c r="AH218" i="3"/>
  <c r="AD218" i="3"/>
  <c r="AB218" i="3"/>
  <c r="Y218" i="3"/>
  <c r="X218" i="3"/>
  <c r="U218" i="3"/>
  <c r="V218" i="3"/>
  <c r="W218" i="3"/>
  <c r="R218" i="3"/>
  <c r="AL217" i="3"/>
  <c r="AH217" i="3"/>
  <c r="AD217" i="3"/>
  <c r="AB217" i="3"/>
  <c r="Y217" i="3"/>
  <c r="X217" i="3"/>
  <c r="S217" i="3"/>
  <c r="U217" i="3"/>
  <c r="V217" i="3"/>
  <c r="W217" i="3"/>
  <c r="R217" i="3"/>
  <c r="AN216" i="3"/>
  <c r="AL216" i="3"/>
  <c r="AH216" i="3"/>
  <c r="AB216" i="3"/>
  <c r="Y216" i="3"/>
  <c r="X216" i="3"/>
  <c r="U216" i="3"/>
  <c r="V216" i="3"/>
  <c r="W216" i="3"/>
  <c r="R216" i="3"/>
  <c r="AN215" i="3"/>
  <c r="AL215" i="3"/>
  <c r="AH215" i="3"/>
  <c r="AB215" i="3"/>
  <c r="Y215" i="3"/>
  <c r="X215" i="3"/>
  <c r="U215" i="3"/>
  <c r="V215" i="3"/>
  <c r="W215" i="3"/>
  <c r="R215" i="3"/>
  <c r="AN214" i="3"/>
  <c r="AL214" i="3"/>
  <c r="AI214" i="3"/>
  <c r="AH214" i="3"/>
  <c r="AB214" i="3"/>
  <c r="Y214" i="3"/>
  <c r="X214" i="3"/>
  <c r="U214" i="3"/>
  <c r="V214" i="3"/>
  <c r="W214" i="3"/>
  <c r="R214" i="3"/>
  <c r="AN213" i="3"/>
  <c r="AL213" i="3"/>
  <c r="AH213" i="3"/>
  <c r="AB213" i="3"/>
  <c r="Y213" i="3"/>
  <c r="X213" i="3"/>
  <c r="S213" i="3"/>
  <c r="U213" i="3"/>
  <c r="V213" i="3"/>
  <c r="W213" i="3"/>
  <c r="R213" i="3"/>
  <c r="AN212" i="3"/>
  <c r="AL212" i="3"/>
  <c r="AH212" i="3"/>
  <c r="AB212" i="3"/>
  <c r="Y212" i="3"/>
  <c r="X212" i="3"/>
  <c r="U212" i="3"/>
  <c r="V212" i="3"/>
  <c r="W212" i="3"/>
  <c r="R212" i="3"/>
  <c r="AN211" i="3"/>
  <c r="AL211" i="3"/>
  <c r="AH211" i="3"/>
  <c r="AB211" i="3"/>
  <c r="Y211" i="3"/>
  <c r="X211" i="3"/>
  <c r="U211" i="3"/>
  <c r="V211" i="3"/>
  <c r="W211" i="3"/>
  <c r="R211" i="3"/>
  <c r="AN210" i="3"/>
  <c r="AL210" i="3"/>
  <c r="AH210" i="3"/>
  <c r="AB210" i="3"/>
  <c r="Y210" i="3"/>
  <c r="X210" i="3"/>
  <c r="S210" i="3"/>
  <c r="U210" i="3"/>
  <c r="V210" i="3"/>
  <c r="W210" i="3"/>
  <c r="R210" i="3"/>
  <c r="AG209" i="3"/>
  <c r="AB209" i="3"/>
  <c r="X209" i="3"/>
  <c r="S209" i="3"/>
  <c r="V209" i="3"/>
  <c r="W209" i="3"/>
  <c r="R209" i="3"/>
  <c r="AG208" i="3"/>
  <c r="AB208" i="3"/>
  <c r="X208" i="3"/>
  <c r="S208" i="3"/>
  <c r="V208" i="3"/>
  <c r="W208" i="3"/>
  <c r="R208" i="3"/>
  <c r="AG207" i="3"/>
  <c r="AB207" i="3"/>
  <c r="X207" i="3"/>
  <c r="V207" i="3"/>
  <c r="W207" i="3"/>
  <c r="R207" i="3"/>
  <c r="AG206" i="3"/>
  <c r="AB206" i="3"/>
  <c r="X206" i="3"/>
  <c r="Z206" i="3"/>
  <c r="AA206" i="3"/>
  <c r="V206" i="3"/>
  <c r="W206" i="3"/>
  <c r="R206" i="3"/>
  <c r="AG205" i="3"/>
  <c r="AE205" i="3"/>
  <c r="AB205" i="3"/>
  <c r="X205" i="3"/>
  <c r="S205" i="3"/>
  <c r="V205" i="3"/>
  <c r="W205" i="3"/>
  <c r="R205" i="3"/>
  <c r="AG204" i="3"/>
  <c r="AB204" i="3"/>
  <c r="X204" i="3"/>
  <c r="V204" i="3"/>
  <c r="W204" i="3"/>
  <c r="R204" i="3"/>
  <c r="AG203" i="3"/>
  <c r="AB203" i="3"/>
  <c r="X203" i="3"/>
  <c r="Z203" i="3"/>
  <c r="AA203" i="3"/>
  <c r="V203" i="3"/>
  <c r="W203" i="3"/>
  <c r="R203" i="3"/>
  <c r="AL202" i="3"/>
  <c r="AH202" i="3"/>
  <c r="AB202" i="3"/>
  <c r="X202" i="3"/>
  <c r="V202" i="3"/>
  <c r="W202" i="3"/>
  <c r="R202" i="3"/>
  <c r="AL201" i="3"/>
  <c r="AH201" i="3"/>
  <c r="AB201" i="3"/>
  <c r="Z201" i="3"/>
  <c r="Y201" i="3"/>
  <c r="U201" i="3"/>
  <c r="V201" i="3"/>
  <c r="W201" i="3"/>
  <c r="R201" i="3"/>
  <c r="AL200" i="3"/>
  <c r="AH200" i="3"/>
  <c r="AB200" i="3"/>
  <c r="Y200" i="3"/>
  <c r="X200" i="3"/>
  <c r="U200" i="3"/>
  <c r="V200" i="3"/>
  <c r="W200" i="3"/>
  <c r="R200" i="3"/>
  <c r="AL199" i="3"/>
  <c r="AH199" i="3"/>
  <c r="AG199" i="3"/>
  <c r="AB199" i="3"/>
  <c r="Y199" i="3"/>
  <c r="X199" i="3"/>
  <c r="S199" i="3"/>
  <c r="U199" i="3"/>
  <c r="V199" i="3"/>
  <c r="W199" i="3"/>
  <c r="R199" i="3"/>
  <c r="AL198" i="3"/>
  <c r="AH198" i="3"/>
  <c r="AB198" i="3"/>
  <c r="Y198" i="3"/>
  <c r="X198" i="3"/>
  <c r="S198" i="3"/>
  <c r="U198" i="3"/>
  <c r="V198" i="3"/>
  <c r="W198" i="3"/>
  <c r="R198" i="3"/>
  <c r="AL197" i="3"/>
  <c r="AH197" i="3"/>
  <c r="AB197" i="3"/>
  <c r="Y197" i="3"/>
  <c r="X197" i="3"/>
  <c r="U197" i="3"/>
  <c r="V197" i="3"/>
  <c r="W197" i="3"/>
  <c r="R197" i="3"/>
  <c r="AL196" i="3"/>
  <c r="AH196" i="3"/>
  <c r="AB196" i="3"/>
  <c r="Y196" i="3"/>
  <c r="X196" i="3"/>
  <c r="U196" i="3"/>
  <c r="V196" i="3"/>
  <c r="W196" i="3"/>
  <c r="R196" i="3"/>
  <c r="AL195" i="3"/>
  <c r="AH195" i="3"/>
  <c r="AB195" i="3"/>
  <c r="Z195" i="3"/>
  <c r="Y195" i="3"/>
  <c r="V195" i="3"/>
  <c r="W195" i="3"/>
  <c r="R195" i="3"/>
  <c r="AL194" i="3"/>
  <c r="AH194" i="3"/>
  <c r="AB194" i="3"/>
  <c r="Z194" i="3"/>
  <c r="Y194" i="3"/>
  <c r="U194" i="3"/>
  <c r="V194" i="3"/>
  <c r="W194" i="3"/>
  <c r="R194" i="3"/>
  <c r="AL193" i="3"/>
  <c r="AG193" i="3"/>
  <c r="AJ193" i="3"/>
  <c r="P193" i="3"/>
  <c r="AB193" i="3"/>
  <c r="Y193" i="3"/>
  <c r="X193" i="3"/>
  <c r="S193" i="3"/>
  <c r="V193" i="3"/>
  <c r="W193" i="3"/>
  <c r="R193" i="3"/>
  <c r="AB192" i="3"/>
  <c r="Y192" i="3"/>
  <c r="X192" i="3"/>
  <c r="Z192" i="3"/>
  <c r="AA192" i="3"/>
  <c r="V192" i="3"/>
  <c r="W192" i="3"/>
  <c r="R192" i="3"/>
  <c r="P192" i="3"/>
  <c r="AL191" i="3"/>
  <c r="AH191" i="3"/>
  <c r="AB191" i="3"/>
  <c r="Y191" i="3"/>
  <c r="X191" i="3"/>
  <c r="Z191" i="3"/>
  <c r="AA191" i="3"/>
  <c r="U191" i="3"/>
  <c r="V191" i="3"/>
  <c r="W191" i="3"/>
  <c r="R191" i="3"/>
  <c r="P191" i="3"/>
  <c r="AL190" i="3"/>
  <c r="AH190" i="3"/>
  <c r="AB190" i="3"/>
  <c r="Y190" i="3"/>
  <c r="X190" i="3"/>
  <c r="U190" i="3"/>
  <c r="V190" i="3"/>
  <c r="W190" i="3"/>
  <c r="R190" i="3"/>
  <c r="P190" i="3"/>
  <c r="AL189" i="3"/>
  <c r="AH189" i="3"/>
  <c r="AB189" i="3"/>
  <c r="Y189" i="3"/>
  <c r="X189" i="3"/>
  <c r="S189" i="3"/>
  <c r="U189" i="3"/>
  <c r="V189" i="3"/>
  <c r="W189" i="3"/>
  <c r="R189" i="3"/>
  <c r="P189" i="3"/>
  <c r="AL188" i="3"/>
  <c r="AH188" i="3"/>
  <c r="AB188" i="3"/>
  <c r="Z188" i="3"/>
  <c r="Y188" i="3"/>
  <c r="X188" i="3"/>
  <c r="U188" i="3"/>
  <c r="V188" i="3"/>
  <c r="W188" i="3"/>
  <c r="R188" i="3"/>
  <c r="P188" i="3"/>
  <c r="AL187" i="3"/>
  <c r="AH187" i="3"/>
  <c r="AB187" i="3"/>
  <c r="Y187" i="3"/>
  <c r="X187" i="3"/>
  <c r="V187" i="3"/>
  <c r="W187" i="3"/>
  <c r="R187" i="3"/>
  <c r="P187" i="3"/>
  <c r="AL186" i="3"/>
  <c r="AH186" i="3"/>
  <c r="AB186" i="3"/>
  <c r="Z186" i="3"/>
  <c r="Y186" i="3"/>
  <c r="T186" i="3"/>
  <c r="V186" i="3"/>
  <c r="W186" i="3"/>
  <c r="R186" i="3"/>
  <c r="P186" i="3"/>
  <c r="AL185" i="3"/>
  <c r="AH185" i="3"/>
  <c r="AB185" i="3"/>
  <c r="Z185" i="3"/>
  <c r="X185" i="3"/>
  <c r="S185" i="3"/>
  <c r="V185" i="3"/>
  <c r="W185" i="3"/>
  <c r="R185" i="3"/>
  <c r="P185" i="3"/>
  <c r="AL184" i="3"/>
  <c r="AH184" i="3"/>
  <c r="AB184" i="3"/>
  <c r="Z184" i="3"/>
  <c r="X184" i="3"/>
  <c r="U184" i="3"/>
  <c r="V184" i="3"/>
  <c r="W184" i="3"/>
  <c r="R184" i="3"/>
  <c r="P184" i="3"/>
  <c r="AL183" i="3"/>
  <c r="AH183" i="3"/>
  <c r="AB183" i="3"/>
  <c r="X183" i="3"/>
  <c r="Z183" i="3"/>
  <c r="AA183" i="3"/>
  <c r="U183" i="3"/>
  <c r="V183" i="3"/>
  <c r="W183" i="3"/>
  <c r="R183" i="3"/>
  <c r="P183" i="3"/>
  <c r="AL182" i="3"/>
  <c r="AJ182" i="3"/>
  <c r="P182" i="3"/>
  <c r="AH182" i="3"/>
  <c r="AE182" i="3"/>
  <c r="AB182" i="3"/>
  <c r="X182" i="3"/>
  <c r="Z182" i="3"/>
  <c r="AA182" i="3"/>
  <c r="U182" i="3"/>
  <c r="V182" i="3"/>
  <c r="W182" i="3"/>
  <c r="R182" i="3"/>
  <c r="AL181" i="3"/>
  <c r="AH181" i="3"/>
  <c r="AB181" i="3"/>
  <c r="X181" i="3"/>
  <c r="Z181" i="3"/>
  <c r="AA181" i="3"/>
  <c r="U181" i="3"/>
  <c r="V181" i="3"/>
  <c r="W181" i="3"/>
  <c r="R181" i="3"/>
  <c r="AO180" i="3"/>
  <c r="AL180" i="3"/>
  <c r="AH180" i="3"/>
  <c r="AB180" i="3"/>
  <c r="Y180" i="3"/>
  <c r="Z180" i="3"/>
  <c r="V180" i="3"/>
  <c r="U180" i="3"/>
  <c r="W180" i="3"/>
  <c r="R180" i="3"/>
  <c r="AO179" i="3"/>
  <c r="AL179" i="3"/>
  <c r="AH179" i="3"/>
  <c r="Z179" i="3"/>
  <c r="Y179" i="3"/>
  <c r="V179" i="3"/>
  <c r="U179" i="3"/>
  <c r="R179" i="3"/>
  <c r="P179" i="3"/>
  <c r="AO178" i="3"/>
  <c r="AL178" i="3"/>
  <c r="AH178" i="3"/>
  <c r="Y178" i="3"/>
  <c r="AD178" i="3"/>
  <c r="AB178" i="3"/>
  <c r="X178" i="3"/>
  <c r="V178" i="3"/>
  <c r="U178" i="3"/>
  <c r="S178" i="3"/>
  <c r="R178" i="3"/>
  <c r="P178" i="3"/>
  <c r="AO177" i="3"/>
  <c r="AL177" i="3"/>
  <c r="AH177" i="3"/>
  <c r="AE177" i="3"/>
  <c r="AD177" i="3"/>
  <c r="AB177" i="3"/>
  <c r="X177" i="3"/>
  <c r="Z177" i="3"/>
  <c r="AA177" i="3"/>
  <c r="V177" i="3"/>
  <c r="U177" i="3"/>
  <c r="R177" i="3"/>
  <c r="P177" i="3"/>
  <c r="AO176" i="3"/>
  <c r="AL176" i="3"/>
  <c r="AH176" i="3"/>
  <c r="AE176" i="3"/>
  <c r="AB176" i="3"/>
  <c r="Y176" i="3"/>
  <c r="X176" i="3"/>
  <c r="S176" i="3"/>
  <c r="V176" i="3"/>
  <c r="U176" i="3"/>
  <c r="R176" i="3"/>
  <c r="P176" i="3"/>
  <c r="AL175" i="3"/>
  <c r="AH175" i="3"/>
  <c r="AB175" i="3"/>
  <c r="Y175" i="3"/>
  <c r="X175" i="3"/>
  <c r="U175" i="3"/>
  <c r="V175" i="3"/>
  <c r="W175" i="3"/>
  <c r="R175" i="3"/>
  <c r="AL174" i="3"/>
  <c r="AH174" i="3"/>
  <c r="AD174" i="3"/>
  <c r="AB174" i="3"/>
  <c r="Y174" i="3"/>
  <c r="X174" i="3"/>
  <c r="U174" i="3"/>
  <c r="V174" i="3"/>
  <c r="W174" i="3"/>
  <c r="R174" i="3"/>
  <c r="AM173" i="3"/>
  <c r="AL173" i="3"/>
  <c r="AH173" i="3"/>
  <c r="AD173" i="3"/>
  <c r="AB173" i="3"/>
  <c r="Y173" i="3"/>
  <c r="X173" i="3"/>
  <c r="U173" i="3"/>
  <c r="V173" i="3"/>
  <c r="W173" i="3"/>
  <c r="R173" i="3"/>
  <c r="AM172" i="3"/>
  <c r="AL172" i="3"/>
  <c r="AH172" i="3"/>
  <c r="AB172" i="3"/>
  <c r="Y172" i="3"/>
  <c r="Z172" i="3"/>
  <c r="X172" i="3"/>
  <c r="S172" i="3"/>
  <c r="U172" i="3"/>
  <c r="V172" i="3"/>
  <c r="W172" i="3"/>
  <c r="R172" i="3"/>
  <c r="AL171" i="3"/>
  <c r="AH171" i="3"/>
  <c r="AD171" i="3"/>
  <c r="AB171" i="3"/>
  <c r="Y171" i="3"/>
  <c r="Z171" i="3"/>
  <c r="X171" i="3"/>
  <c r="S171" i="3"/>
  <c r="U171" i="3"/>
  <c r="V171" i="3"/>
  <c r="W171" i="3"/>
  <c r="R171" i="3"/>
  <c r="AL170" i="3"/>
  <c r="AH170" i="3"/>
  <c r="AB170" i="3"/>
  <c r="Z170" i="3"/>
  <c r="Y170" i="3"/>
  <c r="X170" i="3"/>
  <c r="S170" i="3"/>
  <c r="U170" i="3"/>
  <c r="V170" i="3"/>
  <c r="W170" i="3"/>
  <c r="R170" i="3"/>
  <c r="AM169" i="3"/>
  <c r="AL169" i="3"/>
  <c r="AH169" i="3"/>
  <c r="AD169" i="3"/>
  <c r="AC169" i="3"/>
  <c r="U169" i="3"/>
  <c r="V169" i="3"/>
  <c r="W169" i="3"/>
  <c r="R169" i="3"/>
  <c r="AM168" i="3"/>
  <c r="AH168" i="3"/>
  <c r="AL168" i="3"/>
  <c r="AD168" i="3"/>
  <c r="AC168" i="3"/>
  <c r="X168" i="3"/>
  <c r="S168" i="3"/>
  <c r="U168" i="3"/>
  <c r="V168" i="3"/>
  <c r="W168" i="3"/>
  <c r="R168" i="3"/>
  <c r="AL167" i="3"/>
  <c r="AH167" i="3"/>
  <c r="AB167" i="3"/>
  <c r="Y167" i="3"/>
  <c r="X167" i="3"/>
  <c r="S167" i="3"/>
  <c r="V167" i="3"/>
  <c r="W167" i="3"/>
  <c r="R167" i="3"/>
  <c r="P167" i="3"/>
  <c r="AL166" i="3"/>
  <c r="AH166" i="3"/>
  <c r="AB166" i="3"/>
  <c r="Y166" i="3"/>
  <c r="X166" i="3"/>
  <c r="S166" i="3"/>
  <c r="V166" i="3"/>
  <c r="W166" i="3"/>
  <c r="R166" i="3"/>
  <c r="P166" i="3"/>
  <c r="AL165" i="3"/>
  <c r="AH165" i="3"/>
  <c r="AD165" i="3"/>
  <c r="AB165" i="3"/>
  <c r="Y165" i="3"/>
  <c r="X165" i="3"/>
  <c r="S165" i="3"/>
  <c r="U165" i="3"/>
  <c r="V165" i="3"/>
  <c r="W165" i="3"/>
  <c r="R165" i="3"/>
  <c r="P165" i="3"/>
  <c r="AL164" i="3"/>
  <c r="AI164" i="3"/>
  <c r="AH164" i="3"/>
  <c r="AE164" i="3"/>
  <c r="AB164" i="3"/>
  <c r="Y164" i="3"/>
  <c r="X164" i="3"/>
  <c r="V164" i="3"/>
  <c r="W164" i="3"/>
  <c r="R164" i="3"/>
  <c r="P164" i="3"/>
  <c r="AL163" i="3"/>
  <c r="AH163" i="3"/>
  <c r="Y163" i="3"/>
  <c r="AD163" i="3"/>
  <c r="AB163" i="3"/>
  <c r="X163" i="3"/>
  <c r="S163" i="3"/>
  <c r="V163" i="3"/>
  <c r="W163" i="3"/>
  <c r="R163" i="3"/>
  <c r="P163" i="3"/>
  <c r="AL162" i="3"/>
  <c r="AG162" i="3"/>
  <c r="AB162" i="3"/>
  <c r="X162" i="3"/>
  <c r="S162" i="3"/>
  <c r="U162" i="3"/>
  <c r="V162" i="3"/>
  <c r="W162" i="3"/>
  <c r="R162" i="3"/>
  <c r="AL161" i="3"/>
  <c r="AG161" i="3"/>
  <c r="AJ161" i="3"/>
  <c r="P161" i="3"/>
  <c r="AB161" i="3"/>
  <c r="X161" i="3"/>
  <c r="S161" i="3"/>
  <c r="V161" i="3"/>
  <c r="U161" i="3"/>
  <c r="W161" i="3"/>
  <c r="R161" i="3"/>
  <c r="AL160" i="3"/>
  <c r="AH160" i="3"/>
  <c r="AB160" i="3"/>
  <c r="X160" i="3"/>
  <c r="Z160" i="3"/>
  <c r="AA160" i="3"/>
  <c r="V160" i="3"/>
  <c r="U160" i="3"/>
  <c r="R160" i="3"/>
  <c r="AL159" i="3"/>
  <c r="AH159" i="3"/>
  <c r="AG159" i="3"/>
  <c r="AB159" i="3"/>
  <c r="X159" i="3"/>
  <c r="Z159" i="3"/>
  <c r="AA159" i="3"/>
  <c r="V159" i="3"/>
  <c r="U159" i="3"/>
  <c r="R159" i="3"/>
  <c r="AL158" i="3"/>
  <c r="AH158" i="3"/>
  <c r="AB158" i="3"/>
  <c r="X158" i="3"/>
  <c r="Z158" i="3"/>
  <c r="AA158" i="3"/>
  <c r="U158" i="3"/>
  <c r="V158" i="3"/>
  <c r="W158" i="3"/>
  <c r="R158" i="3"/>
  <c r="P158" i="3"/>
  <c r="AL157" i="3"/>
  <c r="AH157" i="3"/>
  <c r="AB157" i="3"/>
  <c r="X157" i="3"/>
  <c r="Z157" i="3"/>
  <c r="AA157" i="3"/>
  <c r="V157" i="3"/>
  <c r="W157" i="3"/>
  <c r="R157" i="3"/>
  <c r="P157" i="3"/>
  <c r="AL156" i="3"/>
  <c r="AH156" i="3"/>
  <c r="AB156" i="3"/>
  <c r="X156" i="3"/>
  <c r="Z156" i="3"/>
  <c r="AA156" i="3"/>
  <c r="V156" i="3"/>
  <c r="W156" i="3"/>
  <c r="R156" i="3"/>
  <c r="AN155" i="3"/>
  <c r="AL155" i="3"/>
  <c r="AH155" i="3"/>
  <c r="AB155" i="3"/>
  <c r="X155" i="3"/>
  <c r="Z155" i="3"/>
  <c r="AA155" i="3"/>
  <c r="V155" i="3"/>
  <c r="W155" i="3"/>
  <c r="R155" i="3"/>
  <c r="AH154" i="3"/>
  <c r="AG154" i="3"/>
  <c r="AB154" i="3"/>
  <c r="X154" i="3"/>
  <c r="Z154" i="3"/>
  <c r="AA154" i="3"/>
  <c r="V154" i="3"/>
  <c r="W154" i="3"/>
  <c r="R154" i="3"/>
  <c r="AL153" i="3"/>
  <c r="AH153" i="3"/>
  <c r="AB153" i="3"/>
  <c r="X153" i="3"/>
  <c r="S153" i="3"/>
  <c r="V153" i="3"/>
  <c r="U153" i="3"/>
  <c r="R153" i="3"/>
  <c r="AL152" i="3"/>
  <c r="AH152" i="3"/>
  <c r="AB152" i="3"/>
  <c r="X152" i="3"/>
  <c r="S152" i="3"/>
  <c r="V152" i="3"/>
  <c r="W152" i="3"/>
  <c r="R152" i="3"/>
  <c r="AL151" i="3"/>
  <c r="AH151" i="3"/>
  <c r="AB151" i="3"/>
  <c r="X151" i="3"/>
  <c r="Z151" i="3"/>
  <c r="AA151" i="3"/>
  <c r="V151" i="3"/>
  <c r="W151" i="3"/>
  <c r="R151" i="3"/>
  <c r="AL150" i="3"/>
  <c r="AH150" i="3"/>
  <c r="AB150" i="3"/>
  <c r="Z150" i="3"/>
  <c r="X150" i="3"/>
  <c r="S150" i="3"/>
  <c r="V150" i="3"/>
  <c r="W150" i="3"/>
  <c r="R150" i="3"/>
  <c r="AL149" i="3"/>
  <c r="AJ149" i="3"/>
  <c r="P149" i="3"/>
  <c r="AH149" i="3"/>
  <c r="AB149" i="3"/>
  <c r="X149" i="3"/>
  <c r="V149" i="3"/>
  <c r="W149" i="3"/>
  <c r="R149" i="3"/>
  <c r="AL148" i="3"/>
  <c r="AJ148" i="3"/>
  <c r="P148" i="3"/>
  <c r="AH148" i="3"/>
  <c r="AB148" i="3"/>
  <c r="X148" i="3"/>
  <c r="Z148" i="3"/>
  <c r="AA148" i="3"/>
  <c r="V148" i="3"/>
  <c r="W148" i="3"/>
  <c r="R148" i="3"/>
  <c r="AB147" i="3"/>
  <c r="AA147" i="3"/>
  <c r="W147" i="3"/>
  <c r="S147" i="3"/>
  <c r="R147" i="3"/>
  <c r="P147" i="3"/>
  <c r="AL146" i="3"/>
  <c r="AG146" i="3"/>
  <c r="AB146" i="3"/>
  <c r="X146" i="3"/>
  <c r="S146" i="3"/>
  <c r="U146" i="3"/>
  <c r="V146" i="3"/>
  <c r="W146" i="3"/>
  <c r="R146" i="3"/>
  <c r="AH145" i="3"/>
  <c r="AG145" i="3"/>
  <c r="AB145" i="3"/>
  <c r="X145" i="3"/>
  <c r="AA145" i="3"/>
  <c r="U145" i="3"/>
  <c r="V145" i="3"/>
  <c r="W145" i="3"/>
  <c r="R145" i="3"/>
  <c r="AH144" i="3"/>
  <c r="AG144" i="3"/>
  <c r="R144" i="3"/>
  <c r="AH143" i="3"/>
  <c r="AG143" i="3"/>
  <c r="AB143" i="3"/>
  <c r="Z143" i="3"/>
  <c r="X143" i="3"/>
  <c r="S143" i="3"/>
  <c r="V143" i="3"/>
  <c r="W143" i="3"/>
  <c r="R143" i="3"/>
  <c r="AM142" i="3"/>
  <c r="AH142" i="3"/>
  <c r="AG142" i="3"/>
  <c r="AB142" i="3"/>
  <c r="Z142" i="3"/>
  <c r="X142" i="3"/>
  <c r="AA142" i="3"/>
  <c r="W142" i="3"/>
  <c r="R142" i="3"/>
  <c r="AH141" i="3"/>
  <c r="AG141" i="3"/>
  <c r="AB141" i="3"/>
  <c r="X141" i="3"/>
  <c r="V141" i="3"/>
  <c r="W141" i="3"/>
  <c r="R141" i="3"/>
  <c r="AH140" i="3"/>
  <c r="AG140" i="3"/>
  <c r="AB140" i="3"/>
  <c r="Z140" i="3"/>
  <c r="X140" i="3"/>
  <c r="AA140" i="3"/>
  <c r="U140" i="3"/>
  <c r="V140" i="3"/>
  <c r="W140" i="3"/>
  <c r="R140" i="3"/>
  <c r="AH139" i="3"/>
  <c r="AG139" i="3"/>
  <c r="AB139" i="3"/>
  <c r="Z139" i="3"/>
  <c r="X139" i="3"/>
  <c r="S139" i="3"/>
  <c r="V139" i="3"/>
  <c r="W139" i="3"/>
  <c r="R139" i="3"/>
  <c r="AL138" i="3"/>
  <c r="AH138" i="3"/>
  <c r="AB138" i="3"/>
  <c r="Z138" i="3"/>
  <c r="X138" i="3"/>
  <c r="S138" i="3"/>
  <c r="V138" i="3"/>
  <c r="W138" i="3"/>
  <c r="R138" i="3"/>
  <c r="AL137" i="3"/>
  <c r="AH137" i="3"/>
  <c r="AB137" i="3"/>
  <c r="X137" i="3"/>
  <c r="S137" i="3"/>
  <c r="U137" i="3"/>
  <c r="V137" i="3"/>
  <c r="W137" i="3"/>
  <c r="R137" i="3"/>
  <c r="P137" i="3"/>
  <c r="AL136" i="3"/>
  <c r="AH136" i="3"/>
  <c r="AB136" i="3"/>
  <c r="X136" i="3"/>
  <c r="Z136" i="3"/>
  <c r="AA136" i="3"/>
  <c r="U136" i="3"/>
  <c r="V136" i="3"/>
  <c r="W136" i="3"/>
  <c r="R136" i="3"/>
  <c r="P136" i="3"/>
  <c r="AL135" i="3"/>
  <c r="AH135" i="3"/>
  <c r="AB135" i="3"/>
  <c r="X135" i="3"/>
  <c r="Z135" i="3"/>
  <c r="AA135" i="3"/>
  <c r="U135" i="3"/>
  <c r="V135" i="3"/>
  <c r="W135" i="3"/>
  <c r="R135" i="3"/>
  <c r="P135" i="3"/>
  <c r="AL134" i="3"/>
  <c r="AH134" i="3"/>
  <c r="AB134" i="3"/>
  <c r="X134" i="3"/>
  <c r="Z134" i="3"/>
  <c r="AA134" i="3"/>
  <c r="U134" i="3"/>
  <c r="V134" i="3"/>
  <c r="W134" i="3"/>
  <c r="R134" i="3"/>
  <c r="P134" i="3"/>
  <c r="AL133" i="3"/>
  <c r="AH133" i="3"/>
  <c r="AB133" i="3"/>
  <c r="X133" i="3"/>
  <c r="Z133" i="3"/>
  <c r="AA133" i="3"/>
  <c r="U133" i="3"/>
  <c r="V133" i="3"/>
  <c r="W133" i="3"/>
  <c r="R133" i="3"/>
  <c r="P133" i="3"/>
  <c r="AG132" i="3"/>
  <c r="AB132" i="3"/>
  <c r="X132" i="3"/>
  <c r="S132" i="3"/>
  <c r="U132" i="3"/>
  <c r="V132" i="3"/>
  <c r="W132" i="3"/>
  <c r="R132" i="3"/>
  <c r="AG131" i="3"/>
  <c r="AE131" i="3"/>
  <c r="AB131" i="3"/>
  <c r="X131" i="3"/>
  <c r="Z131" i="3"/>
  <c r="AA131" i="3"/>
  <c r="U131" i="3"/>
  <c r="V131" i="3"/>
  <c r="W131" i="3"/>
  <c r="R131" i="3"/>
  <c r="AH130" i="3"/>
  <c r="AG130" i="3"/>
  <c r="AB130" i="3"/>
  <c r="X130" i="3"/>
  <c r="Z130" i="3"/>
  <c r="AA130" i="3"/>
  <c r="U130" i="3"/>
  <c r="V130" i="3"/>
  <c r="W130" i="3"/>
  <c r="R130" i="3"/>
  <c r="AH129" i="3"/>
  <c r="AG129" i="3"/>
  <c r="AE129" i="3"/>
  <c r="AB129" i="3"/>
  <c r="X129" i="3"/>
  <c r="Z129" i="3"/>
  <c r="AA129" i="3"/>
  <c r="U129" i="3"/>
  <c r="V129" i="3"/>
  <c r="W129" i="3"/>
  <c r="R129" i="3"/>
  <c r="AH128" i="3"/>
  <c r="AG128" i="3"/>
  <c r="AE128" i="3"/>
  <c r="AB128" i="3"/>
  <c r="X128" i="3"/>
  <c r="Z128" i="3"/>
  <c r="AA128" i="3"/>
  <c r="U128" i="3"/>
  <c r="V128" i="3"/>
  <c r="W128" i="3"/>
  <c r="R128" i="3"/>
  <c r="AH127" i="3"/>
  <c r="AG127" i="3"/>
  <c r="AB127" i="3"/>
  <c r="X127" i="3"/>
  <c r="Z127" i="3"/>
  <c r="AA127" i="3"/>
  <c r="S127" i="3"/>
  <c r="U127" i="3"/>
  <c r="V127" i="3"/>
  <c r="W127" i="3"/>
  <c r="R127" i="3"/>
  <c r="AL126" i="3"/>
  <c r="AH126" i="3"/>
  <c r="AB126" i="3"/>
  <c r="X126" i="3"/>
  <c r="S126" i="3"/>
  <c r="V126" i="3"/>
  <c r="W126" i="3"/>
  <c r="R126" i="3"/>
  <c r="AH125" i="3"/>
  <c r="AG125" i="3"/>
  <c r="AB125" i="3"/>
  <c r="X125" i="3"/>
  <c r="Z125" i="3"/>
  <c r="AA125" i="3"/>
  <c r="V125" i="3"/>
  <c r="W125" i="3"/>
  <c r="R125" i="3"/>
  <c r="AJ124" i="3"/>
  <c r="P124" i="3"/>
  <c r="AH124" i="3"/>
  <c r="AG124" i="3"/>
  <c r="AB124" i="3"/>
  <c r="Y124" i="3"/>
  <c r="X124" i="3"/>
  <c r="S124" i="3"/>
  <c r="U124" i="3"/>
  <c r="V124" i="3"/>
  <c r="W124" i="3"/>
  <c r="AJ123" i="3"/>
  <c r="P123" i="3"/>
  <c r="AH123" i="3"/>
  <c r="AG123" i="3"/>
  <c r="AB123" i="3"/>
  <c r="Y123" i="3"/>
  <c r="X123" i="3"/>
  <c r="S123" i="3"/>
  <c r="U123" i="3"/>
  <c r="V123" i="3"/>
  <c r="W123" i="3"/>
  <c r="AL122" i="3"/>
  <c r="AH122" i="3"/>
  <c r="AG122" i="3"/>
  <c r="AJ122" i="3"/>
  <c r="P122" i="3"/>
  <c r="AB122" i="3"/>
  <c r="Y122" i="3"/>
  <c r="X122" i="3"/>
  <c r="S122" i="3"/>
  <c r="U122" i="3"/>
  <c r="V122" i="3"/>
  <c r="W122" i="3"/>
  <c r="P121" i="3"/>
  <c r="AH120" i="3"/>
  <c r="AG120" i="3"/>
  <c r="AB120" i="3"/>
  <c r="Y120" i="3"/>
  <c r="X120" i="3"/>
  <c r="S120" i="3"/>
  <c r="V120" i="3"/>
  <c r="W120" i="3"/>
  <c r="R120" i="3"/>
  <c r="AL119" i="3"/>
  <c r="AH119" i="3"/>
  <c r="AB119" i="3"/>
  <c r="Y119" i="3"/>
  <c r="X119" i="3"/>
  <c r="V119" i="3"/>
  <c r="W119" i="3"/>
  <c r="R119" i="3"/>
  <c r="AN118" i="3"/>
  <c r="AL118" i="3"/>
  <c r="AH118" i="3"/>
  <c r="AB118" i="3"/>
  <c r="Y118" i="3"/>
  <c r="X118" i="3"/>
  <c r="V118" i="3"/>
  <c r="W118" i="3"/>
  <c r="R118" i="3"/>
  <c r="AN117" i="3"/>
  <c r="AL117" i="3"/>
  <c r="AH117" i="3"/>
  <c r="AB117" i="3"/>
  <c r="Y117" i="3"/>
  <c r="X117" i="3"/>
  <c r="S117" i="3"/>
  <c r="V117" i="3"/>
  <c r="W117" i="3"/>
  <c r="R117" i="3"/>
  <c r="AL116" i="3"/>
  <c r="AH116" i="3"/>
  <c r="AB116" i="3"/>
  <c r="Y116" i="3"/>
  <c r="X116" i="3"/>
  <c r="S116" i="3"/>
  <c r="V116" i="3"/>
  <c r="W116" i="3"/>
  <c r="R116" i="3"/>
  <c r="AL115" i="3"/>
  <c r="AH115" i="3"/>
  <c r="AB115" i="3"/>
  <c r="Y115" i="3"/>
  <c r="X115" i="3"/>
  <c r="U115" i="3"/>
  <c r="V115" i="3"/>
  <c r="W115" i="3"/>
  <c r="R115" i="3"/>
  <c r="AL114" i="3"/>
  <c r="AH114" i="3"/>
  <c r="AG114" i="3"/>
  <c r="AB114" i="3"/>
  <c r="Y114" i="3"/>
  <c r="X114" i="3"/>
  <c r="V114" i="3"/>
  <c r="W114" i="3"/>
  <c r="R114" i="3"/>
  <c r="AL113" i="3"/>
  <c r="AH113" i="3"/>
  <c r="AB113" i="3"/>
  <c r="Y113" i="3"/>
  <c r="X113" i="3"/>
  <c r="S113" i="3"/>
  <c r="V113" i="3"/>
  <c r="W113" i="3"/>
  <c r="R113" i="3"/>
  <c r="AH112" i="3"/>
  <c r="AG112" i="3"/>
  <c r="AB112" i="3"/>
  <c r="Y112" i="3"/>
  <c r="X112" i="3"/>
  <c r="U112" i="3"/>
  <c r="V112" i="3"/>
  <c r="W112" i="3"/>
  <c r="R112" i="3"/>
  <c r="P112" i="3"/>
  <c r="AH111" i="3"/>
  <c r="AG111" i="3"/>
  <c r="AB111" i="3"/>
  <c r="AA111" i="3"/>
  <c r="S111" i="3"/>
  <c r="R111" i="3"/>
  <c r="P111" i="3"/>
  <c r="AH110" i="3"/>
  <c r="AG110" i="3"/>
  <c r="AB110" i="3"/>
  <c r="Y110" i="3"/>
  <c r="X110" i="3"/>
  <c r="U110" i="3"/>
  <c r="V110" i="3"/>
  <c r="W110" i="3"/>
  <c r="R110" i="3"/>
  <c r="P110" i="3"/>
  <c r="AH109" i="3"/>
  <c r="AG109" i="3"/>
  <c r="AB109" i="3"/>
  <c r="Y109" i="3"/>
  <c r="X109" i="3"/>
  <c r="U109" i="3"/>
  <c r="V109" i="3"/>
  <c r="W109" i="3"/>
  <c r="R109" i="3"/>
  <c r="P109" i="3"/>
  <c r="AH108" i="3"/>
  <c r="AG108" i="3"/>
  <c r="AB108" i="3"/>
  <c r="Y108" i="3"/>
  <c r="X108" i="3"/>
  <c r="U108" i="3"/>
  <c r="V108" i="3"/>
  <c r="W108" i="3"/>
  <c r="R108" i="3"/>
  <c r="P108" i="3"/>
  <c r="AH107" i="3"/>
  <c r="AG107" i="3"/>
  <c r="AB107" i="3"/>
  <c r="Y107" i="3"/>
  <c r="X107" i="3"/>
  <c r="U107" i="3"/>
  <c r="V107" i="3"/>
  <c r="W107" i="3"/>
  <c r="R107" i="3"/>
  <c r="P107" i="3"/>
  <c r="AH106" i="3"/>
  <c r="AG106" i="3"/>
  <c r="AB106" i="3"/>
  <c r="Y106" i="3"/>
  <c r="X106" i="3"/>
  <c r="W106" i="3"/>
  <c r="R106" i="3"/>
  <c r="P106" i="3"/>
  <c r="AH105" i="3"/>
  <c r="AG105" i="3"/>
  <c r="AB105" i="3"/>
  <c r="Y105" i="3"/>
  <c r="X105" i="3"/>
  <c r="W105" i="3"/>
  <c r="R105" i="3"/>
  <c r="P105" i="3"/>
  <c r="AA104" i="3"/>
  <c r="W104" i="3"/>
  <c r="P104" i="3"/>
  <c r="AA103" i="3"/>
  <c r="W103" i="3"/>
  <c r="P103" i="3"/>
  <c r="AH102" i="3"/>
  <c r="AG102" i="3"/>
  <c r="AB102" i="3"/>
  <c r="X102" i="3"/>
  <c r="S102" i="3"/>
  <c r="W102" i="3"/>
  <c r="P102" i="3"/>
  <c r="AH101" i="3"/>
  <c r="AG101" i="3"/>
  <c r="AB101" i="3"/>
  <c r="X101" i="3"/>
  <c r="S101" i="3"/>
  <c r="W101" i="3"/>
  <c r="P101" i="3"/>
  <c r="P100" i="3"/>
  <c r="AH99" i="3"/>
  <c r="AG99" i="3"/>
  <c r="AB99" i="3"/>
  <c r="Y99" i="3"/>
  <c r="X99" i="3"/>
  <c r="V99" i="3"/>
  <c r="U99" i="3"/>
  <c r="R99" i="3"/>
  <c r="P99" i="3"/>
  <c r="AH98" i="3"/>
  <c r="AG98" i="3"/>
  <c r="AB98" i="3"/>
  <c r="Y98" i="3"/>
  <c r="X98" i="3"/>
  <c r="S98" i="3"/>
  <c r="V98" i="3"/>
  <c r="U98" i="3"/>
  <c r="W98" i="3"/>
  <c r="R98" i="3"/>
  <c r="P98" i="3"/>
  <c r="AH97" i="3"/>
  <c r="AG97" i="3"/>
  <c r="AB97" i="3"/>
  <c r="Y97" i="3"/>
  <c r="X97" i="3"/>
  <c r="Z97" i="3"/>
  <c r="AA97" i="3"/>
  <c r="V97" i="3"/>
  <c r="U97" i="3"/>
  <c r="R97" i="3"/>
  <c r="P97" i="3"/>
  <c r="AH96" i="3"/>
  <c r="AG96" i="3"/>
  <c r="AB96" i="3"/>
  <c r="Y96" i="3"/>
  <c r="X96" i="3"/>
  <c r="V96" i="3"/>
  <c r="U96" i="3"/>
  <c r="W96" i="3"/>
  <c r="R96" i="3"/>
  <c r="P96" i="3"/>
  <c r="AL95" i="3"/>
  <c r="AH95" i="3"/>
  <c r="AB95" i="3"/>
  <c r="Y95" i="3"/>
  <c r="X95" i="3"/>
  <c r="S95" i="3"/>
  <c r="V95" i="3"/>
  <c r="U95" i="3"/>
  <c r="W95" i="3"/>
  <c r="R95" i="3"/>
  <c r="P95" i="3"/>
  <c r="AL94" i="3"/>
  <c r="AH94" i="3"/>
  <c r="AB94" i="3"/>
  <c r="Y94" i="3"/>
  <c r="X94" i="3"/>
  <c r="V94" i="3"/>
  <c r="U94" i="3"/>
  <c r="R94" i="3"/>
  <c r="P94" i="3"/>
  <c r="AM93" i="3"/>
  <c r="AL93" i="3"/>
  <c r="AH93" i="3"/>
  <c r="AE93" i="3"/>
  <c r="AB93" i="3"/>
  <c r="Y93" i="3"/>
  <c r="X93" i="3"/>
  <c r="V93" i="3"/>
  <c r="U93" i="3"/>
  <c r="W93" i="3"/>
  <c r="R93" i="3"/>
  <c r="P93" i="3"/>
  <c r="AM92" i="3"/>
  <c r="AL92" i="3"/>
  <c r="AH92" i="3"/>
  <c r="AB92" i="3"/>
  <c r="Y92" i="3"/>
  <c r="X92" i="3"/>
  <c r="Z92" i="3"/>
  <c r="AA92" i="3"/>
  <c r="U92" i="3"/>
  <c r="V92" i="3"/>
  <c r="W92" i="3"/>
  <c r="R92" i="3"/>
  <c r="P92" i="3"/>
  <c r="AH91" i="3"/>
  <c r="AG91" i="3"/>
  <c r="AB91" i="3"/>
  <c r="Y91" i="3"/>
  <c r="X91" i="3"/>
  <c r="U91" i="3"/>
  <c r="V91" i="3"/>
  <c r="W91" i="3"/>
  <c r="R91" i="3"/>
  <c r="P91" i="3"/>
  <c r="AL90" i="3"/>
  <c r="AH90" i="3"/>
  <c r="AB90" i="3"/>
  <c r="X90" i="3"/>
  <c r="Z90" i="3"/>
  <c r="AA90" i="3"/>
  <c r="U90" i="3"/>
  <c r="V90" i="3"/>
  <c r="W90" i="3"/>
  <c r="R90" i="3"/>
  <c r="P90" i="3"/>
  <c r="AL89" i="3"/>
  <c r="AH89" i="3"/>
  <c r="AB89" i="3"/>
  <c r="X89" i="3"/>
  <c r="Z89" i="3"/>
  <c r="AA89" i="3"/>
  <c r="U89" i="3"/>
  <c r="V89" i="3"/>
  <c r="W89" i="3"/>
  <c r="R89" i="3"/>
  <c r="P89" i="3"/>
  <c r="AL88" i="3"/>
  <c r="AH88" i="3"/>
  <c r="AG88" i="3"/>
  <c r="AB88" i="3"/>
  <c r="X88" i="3"/>
  <c r="Z88" i="3"/>
  <c r="AA88" i="3"/>
  <c r="V88" i="3"/>
  <c r="U88" i="3"/>
  <c r="R88" i="3"/>
  <c r="P88" i="3"/>
  <c r="AL87" i="3"/>
  <c r="AJ87" i="3"/>
  <c r="P87" i="3"/>
  <c r="AH87" i="3"/>
  <c r="AG87" i="3"/>
  <c r="AB87" i="3"/>
  <c r="X87" i="3"/>
  <c r="Z87" i="3"/>
  <c r="AA87" i="3"/>
  <c r="V87" i="3"/>
  <c r="R87" i="3"/>
  <c r="AL86" i="3"/>
  <c r="AJ86" i="3"/>
  <c r="P86" i="3"/>
  <c r="AH86" i="3"/>
  <c r="AB86" i="3"/>
  <c r="X86" i="3"/>
  <c r="Z86" i="3"/>
  <c r="AA86" i="3"/>
  <c r="V86" i="3"/>
  <c r="U86" i="3"/>
  <c r="R86" i="3"/>
  <c r="AL85" i="3"/>
  <c r="AH85" i="3"/>
  <c r="AC85" i="3"/>
  <c r="Y85" i="3"/>
  <c r="X85" i="3"/>
  <c r="U85" i="3"/>
  <c r="V85" i="3"/>
  <c r="W85" i="3"/>
  <c r="R85" i="3"/>
  <c r="P85" i="3"/>
  <c r="AM84" i="3"/>
  <c r="AL84" i="3"/>
  <c r="AH84" i="3"/>
  <c r="AD84" i="3"/>
  <c r="AB84" i="3"/>
  <c r="X84" i="3"/>
  <c r="S84" i="3"/>
  <c r="U84" i="3"/>
  <c r="V84" i="3"/>
  <c r="W84" i="3"/>
  <c r="R84" i="3"/>
  <c r="P84" i="3"/>
  <c r="AL83" i="3"/>
  <c r="AH83" i="3"/>
  <c r="AG83" i="3"/>
  <c r="AD83" i="3"/>
  <c r="AB83" i="3"/>
  <c r="X83" i="3"/>
  <c r="AA83" i="3"/>
  <c r="U83" i="3"/>
  <c r="V83" i="3"/>
  <c r="W83" i="3"/>
  <c r="R83" i="3"/>
  <c r="P83" i="3"/>
  <c r="AL82" i="3"/>
  <c r="AH82" i="3"/>
  <c r="AG82" i="3"/>
  <c r="AE82" i="3"/>
  <c r="AD82" i="3"/>
  <c r="AB82" i="3"/>
  <c r="X82" i="3"/>
  <c r="AA82" i="3"/>
  <c r="U82" i="3"/>
  <c r="V82" i="3"/>
  <c r="W82" i="3"/>
  <c r="R82" i="3"/>
  <c r="P82" i="3"/>
  <c r="AL81" i="3"/>
  <c r="AH81" i="3"/>
  <c r="AG81" i="3"/>
  <c r="AD81" i="3"/>
  <c r="AB81" i="3"/>
  <c r="Y81" i="3"/>
  <c r="X81" i="3"/>
  <c r="S81" i="3"/>
  <c r="V81" i="3"/>
  <c r="U81" i="3"/>
  <c r="R81" i="3"/>
  <c r="P81" i="3"/>
  <c r="AL80" i="3"/>
  <c r="AH80" i="3"/>
  <c r="AD80" i="3"/>
  <c r="AB80" i="3"/>
  <c r="Z80" i="3"/>
  <c r="X80" i="3"/>
  <c r="S80" i="3"/>
  <c r="U80" i="3"/>
  <c r="V80" i="3"/>
  <c r="W80" i="3"/>
  <c r="R80" i="3"/>
  <c r="P80" i="3"/>
  <c r="AL79" i="3"/>
  <c r="AH79" i="3"/>
  <c r="AC79" i="3"/>
  <c r="Z79" i="3"/>
  <c r="X79" i="3"/>
  <c r="S79" i="3"/>
  <c r="U79" i="3"/>
  <c r="V79" i="3"/>
  <c r="W79" i="3"/>
  <c r="R79" i="3"/>
  <c r="P79" i="3"/>
  <c r="AL78" i="3"/>
  <c r="AH78" i="3"/>
  <c r="AD78" i="3"/>
  <c r="AB78" i="3"/>
  <c r="Z78" i="3"/>
  <c r="X78" i="3"/>
  <c r="S78" i="3"/>
  <c r="U78" i="3"/>
  <c r="V78" i="3"/>
  <c r="W78" i="3"/>
  <c r="R78" i="3"/>
  <c r="P78" i="3"/>
  <c r="AH77" i="3"/>
  <c r="AG77" i="3"/>
  <c r="AB77" i="3"/>
  <c r="X77" i="3"/>
  <c r="S77" i="3"/>
  <c r="V77" i="3"/>
  <c r="W77" i="3"/>
  <c r="R77" i="3"/>
  <c r="P77" i="3"/>
  <c r="AH76" i="3"/>
  <c r="AG76" i="3"/>
  <c r="AB76" i="3"/>
  <c r="X76" i="3"/>
  <c r="S76" i="3"/>
  <c r="V76" i="3"/>
  <c r="W76" i="3"/>
  <c r="R76" i="3"/>
  <c r="P76" i="3"/>
  <c r="AJ75" i="3"/>
  <c r="P75" i="3"/>
  <c r="AH75" i="3"/>
  <c r="AG75" i="3"/>
  <c r="AB75" i="3"/>
  <c r="X75" i="3"/>
  <c r="S75" i="3"/>
  <c r="V75" i="3"/>
  <c r="W75" i="3"/>
  <c r="R75" i="3"/>
  <c r="AH74" i="3"/>
  <c r="AG74" i="3"/>
  <c r="AB74" i="3"/>
  <c r="X74" i="3"/>
  <c r="Z74" i="3"/>
  <c r="AA74" i="3"/>
  <c r="V74" i="3"/>
  <c r="W74" i="3"/>
  <c r="R74" i="3"/>
  <c r="AH73" i="3"/>
  <c r="AG73" i="3"/>
  <c r="AB73" i="3"/>
  <c r="X73" i="3"/>
  <c r="S73" i="3"/>
  <c r="V73" i="3"/>
  <c r="W73" i="3"/>
  <c r="R73" i="3"/>
  <c r="AH72" i="3"/>
  <c r="AG72" i="3"/>
  <c r="AB72" i="3"/>
  <c r="X72" i="3"/>
  <c r="Z72" i="3"/>
  <c r="AA72" i="3"/>
  <c r="V72" i="3"/>
  <c r="W72" i="3"/>
  <c r="R72" i="3"/>
  <c r="AH71" i="3"/>
  <c r="AG71" i="3"/>
  <c r="AB71" i="3"/>
  <c r="X71" i="3"/>
  <c r="Z71" i="3"/>
  <c r="AA71" i="3"/>
  <c r="V71" i="3"/>
  <c r="W71" i="3"/>
  <c r="R71" i="3"/>
  <c r="AH70" i="3"/>
  <c r="AG70" i="3"/>
  <c r="AB70" i="3"/>
  <c r="X70" i="3"/>
  <c r="Z70" i="3"/>
  <c r="AA70" i="3"/>
  <c r="V70" i="3"/>
  <c r="W70" i="3"/>
  <c r="R70" i="3"/>
  <c r="AH69" i="3"/>
  <c r="AG69" i="3"/>
  <c r="AD69" i="3"/>
  <c r="AB69" i="3"/>
  <c r="X69" i="3"/>
  <c r="V69" i="3"/>
  <c r="W69" i="3"/>
  <c r="R69" i="3"/>
  <c r="AH68" i="3"/>
  <c r="AG68" i="3"/>
  <c r="AD68" i="3"/>
  <c r="AB68" i="3"/>
  <c r="X68" i="3"/>
  <c r="Z68" i="3"/>
  <c r="AA68" i="3"/>
  <c r="V68" i="3"/>
  <c r="W68" i="3"/>
  <c r="R68" i="3"/>
  <c r="AG67" i="3"/>
  <c r="Y67" i="3"/>
  <c r="AD67" i="3"/>
  <c r="AB67" i="3"/>
  <c r="X67" i="3"/>
  <c r="S67" i="3"/>
  <c r="V67" i="3"/>
  <c r="W67" i="3"/>
  <c r="AG66" i="3"/>
  <c r="AD66" i="3"/>
  <c r="AB66" i="3"/>
  <c r="X66" i="3"/>
  <c r="S66" i="3"/>
  <c r="V66" i="3"/>
  <c r="W66" i="3"/>
  <c r="AG65" i="3"/>
  <c r="AD65" i="3"/>
  <c r="AB65" i="3"/>
  <c r="X65" i="3"/>
  <c r="V65" i="3"/>
  <c r="W65" i="3"/>
  <c r="AG64" i="3"/>
  <c r="AD64" i="3"/>
  <c r="AB64" i="3"/>
  <c r="X64" i="3"/>
  <c r="Z64" i="3"/>
  <c r="AA64" i="3"/>
  <c r="U64" i="3"/>
  <c r="V64" i="3"/>
  <c r="W64" i="3"/>
  <c r="AG63" i="3"/>
  <c r="AD63" i="3"/>
  <c r="AB63" i="3"/>
  <c r="X63" i="3"/>
  <c r="S63" i="3"/>
  <c r="U63" i="3"/>
  <c r="V63" i="3"/>
  <c r="W63" i="3"/>
  <c r="AG62" i="3"/>
  <c r="AD62" i="3"/>
  <c r="AB62" i="3"/>
  <c r="X62" i="3"/>
  <c r="S62" i="3"/>
  <c r="U62" i="3"/>
  <c r="V62" i="3"/>
  <c r="W62" i="3"/>
  <c r="AG61" i="3"/>
  <c r="AD61" i="3"/>
  <c r="AB61" i="3"/>
  <c r="X61" i="3"/>
  <c r="Z61" i="3"/>
  <c r="AA61" i="3"/>
  <c r="V61" i="3"/>
  <c r="W61" i="3"/>
  <c r="AG60" i="3"/>
  <c r="AD60" i="3"/>
  <c r="AB60" i="3"/>
  <c r="X60" i="3"/>
  <c r="Z60" i="3"/>
  <c r="AA60" i="3"/>
  <c r="U60" i="3"/>
  <c r="V60" i="3"/>
  <c r="W60" i="3"/>
  <c r="AG59" i="3"/>
  <c r="AD59" i="3"/>
  <c r="AB59" i="3"/>
  <c r="X59" i="3"/>
  <c r="Z59" i="3"/>
  <c r="AA59" i="3"/>
  <c r="U59" i="3"/>
  <c r="V59" i="3"/>
  <c r="W59" i="3"/>
  <c r="AG58" i="3"/>
  <c r="AD58" i="3"/>
  <c r="AB58" i="3"/>
  <c r="X58" i="3"/>
  <c r="Z58" i="3"/>
  <c r="AA58" i="3"/>
  <c r="U58" i="3"/>
  <c r="V58" i="3"/>
  <c r="W58" i="3"/>
  <c r="AI57" i="3"/>
  <c r="AH57" i="3"/>
  <c r="AD57" i="3"/>
  <c r="AB57" i="3"/>
  <c r="X57" i="3"/>
  <c r="Z57" i="3"/>
  <c r="AA57" i="3"/>
  <c r="U57" i="3"/>
  <c r="V57" i="3"/>
  <c r="W57" i="3"/>
  <c r="R57" i="3"/>
  <c r="P57" i="3"/>
  <c r="AI56" i="3"/>
  <c r="AH56" i="3"/>
  <c r="AD56" i="3"/>
  <c r="AB56" i="3"/>
  <c r="X56" i="3"/>
  <c r="Z56" i="3"/>
  <c r="AA56" i="3"/>
  <c r="U56" i="3"/>
  <c r="V56" i="3"/>
  <c r="W56" i="3"/>
  <c r="R56" i="3"/>
  <c r="P56" i="3"/>
  <c r="AL55" i="3"/>
  <c r="AH55" i="3"/>
  <c r="Y55" i="3"/>
  <c r="AD55" i="3"/>
  <c r="AB55" i="3"/>
  <c r="X55" i="3"/>
  <c r="U55" i="3"/>
  <c r="V55" i="3"/>
  <c r="W55" i="3"/>
  <c r="R55" i="3"/>
  <c r="P55" i="3"/>
  <c r="AL54" i="3"/>
  <c r="AH54" i="3"/>
  <c r="Y54" i="3"/>
  <c r="AD54" i="3"/>
  <c r="AB54" i="3"/>
  <c r="X54" i="3"/>
  <c r="S54" i="3"/>
  <c r="U54" i="3"/>
  <c r="V54" i="3"/>
  <c r="W54" i="3"/>
  <c r="R54" i="3"/>
  <c r="P54" i="3"/>
  <c r="AL53" i="3"/>
  <c r="AH53" i="3"/>
  <c r="AG53" i="3"/>
  <c r="AD53" i="3"/>
  <c r="AB53" i="3"/>
  <c r="X53" i="3"/>
  <c r="Z53" i="3"/>
  <c r="AA53" i="3"/>
  <c r="S53" i="3"/>
  <c r="U53" i="3"/>
  <c r="V53" i="3"/>
  <c r="W53" i="3"/>
  <c r="R53" i="3"/>
  <c r="P53" i="3"/>
  <c r="AH52" i="3"/>
  <c r="AG52" i="3"/>
  <c r="AD52" i="3"/>
  <c r="AB52" i="3"/>
  <c r="X52" i="3"/>
  <c r="S52" i="3"/>
  <c r="U52" i="3"/>
  <c r="V52" i="3"/>
  <c r="W52" i="3"/>
  <c r="R52" i="3"/>
  <c r="P52" i="3"/>
  <c r="AH51" i="3"/>
  <c r="AG51" i="3"/>
  <c r="AD51" i="3"/>
  <c r="AB51" i="3"/>
  <c r="X51" i="3"/>
  <c r="Z51" i="3"/>
  <c r="AA51" i="3"/>
  <c r="U51" i="3"/>
  <c r="V51" i="3"/>
  <c r="W51" i="3"/>
  <c r="S51" i="3"/>
  <c r="R51" i="3"/>
  <c r="P51" i="3"/>
  <c r="AH50" i="3"/>
  <c r="AG50" i="3"/>
  <c r="AD50" i="3"/>
  <c r="AB50" i="3"/>
  <c r="X50" i="3"/>
  <c r="Z50" i="3"/>
  <c r="AA50" i="3"/>
  <c r="U50" i="3"/>
  <c r="T50" i="3"/>
  <c r="R50" i="3"/>
  <c r="P50" i="3"/>
  <c r="AH49" i="3"/>
  <c r="AG49" i="3"/>
  <c r="AD49" i="3"/>
  <c r="AB49" i="3"/>
  <c r="X49" i="3"/>
  <c r="S49" i="3"/>
  <c r="U49" i="3"/>
  <c r="V49" i="3"/>
  <c r="W49" i="3"/>
  <c r="R49" i="3"/>
  <c r="P49" i="3"/>
  <c r="AL48" i="3"/>
  <c r="AH48" i="3"/>
  <c r="Y48" i="3"/>
  <c r="AD48" i="3"/>
  <c r="AB48" i="3"/>
  <c r="X48" i="3"/>
  <c r="U48" i="3"/>
  <c r="V48" i="3"/>
  <c r="W48" i="3"/>
  <c r="R48" i="3"/>
  <c r="P48" i="3"/>
  <c r="AH47" i="3"/>
  <c r="AG47" i="3"/>
  <c r="AB47" i="3"/>
  <c r="Y47" i="3"/>
  <c r="X47" i="3"/>
  <c r="U47" i="3"/>
  <c r="V47" i="3"/>
  <c r="W47" i="3"/>
  <c r="S47" i="3"/>
  <c r="R47" i="3"/>
  <c r="P47" i="3"/>
  <c r="AH46" i="3"/>
  <c r="AG46" i="3"/>
  <c r="AB46" i="3"/>
  <c r="Y46" i="3"/>
  <c r="X46" i="3"/>
  <c r="W46" i="3"/>
  <c r="R46" i="3"/>
  <c r="AL45" i="3"/>
  <c r="AH45" i="3"/>
  <c r="AE45" i="3"/>
  <c r="AB45" i="3"/>
  <c r="Z45" i="3"/>
  <c r="Y45" i="3"/>
  <c r="X45" i="3"/>
  <c r="U45" i="3"/>
  <c r="V45" i="3"/>
  <c r="W45" i="3"/>
  <c r="R45" i="3"/>
  <c r="AM44" i="3"/>
  <c r="AL44" i="3"/>
  <c r="AH44" i="3"/>
  <c r="AB44" i="3"/>
  <c r="Z44" i="3"/>
  <c r="Y44" i="3"/>
  <c r="X44" i="3"/>
  <c r="S44" i="3"/>
  <c r="V44" i="3"/>
  <c r="U44" i="3"/>
  <c r="R44" i="3"/>
  <c r="AB43" i="3"/>
  <c r="Y43" i="3"/>
  <c r="W43" i="3"/>
  <c r="R43" i="3"/>
  <c r="AB42" i="3"/>
  <c r="Y42" i="3"/>
  <c r="X42" i="3"/>
  <c r="W42" i="3"/>
  <c r="R42" i="3"/>
  <c r="AL41" i="3"/>
  <c r="AH41" i="3"/>
  <c r="AB41" i="3"/>
  <c r="X41" i="3"/>
  <c r="Z41" i="3"/>
  <c r="AA41" i="3"/>
  <c r="U41" i="3"/>
  <c r="V41" i="3"/>
  <c r="W41" i="3"/>
  <c r="R41" i="3"/>
  <c r="AL40" i="3"/>
  <c r="AH40" i="3"/>
  <c r="AB40" i="3"/>
  <c r="X40" i="3"/>
  <c r="Z40" i="3"/>
  <c r="AA40" i="3"/>
  <c r="U40" i="3"/>
  <c r="V40" i="3"/>
  <c r="W40" i="3"/>
  <c r="R40" i="3"/>
  <c r="AG39" i="3"/>
  <c r="AD39" i="3"/>
  <c r="AB39" i="3"/>
  <c r="X39" i="3"/>
  <c r="S39" i="3"/>
  <c r="V39" i="3"/>
  <c r="W39" i="3"/>
  <c r="AG38" i="3"/>
  <c r="AD38" i="3"/>
  <c r="AB38" i="3"/>
  <c r="X38" i="3"/>
  <c r="V38" i="3"/>
  <c r="W38" i="3"/>
  <c r="AG37" i="3"/>
  <c r="AD37" i="3"/>
  <c r="AB37" i="3"/>
  <c r="X37" i="3"/>
  <c r="Z37" i="3"/>
  <c r="AA37" i="3"/>
  <c r="V37" i="3"/>
  <c r="W37" i="3"/>
  <c r="AG36" i="3"/>
  <c r="AD36" i="3"/>
  <c r="AB36" i="3"/>
  <c r="X36" i="3"/>
  <c r="Z36" i="3"/>
  <c r="AA36" i="3"/>
  <c r="V36" i="3"/>
  <c r="W36" i="3"/>
  <c r="AG35" i="3"/>
  <c r="AD35" i="3"/>
  <c r="AB35" i="3"/>
  <c r="X35" i="3"/>
  <c r="S35" i="3"/>
  <c r="V35" i="3"/>
  <c r="W35" i="3"/>
  <c r="AG34" i="3"/>
  <c r="AD34" i="3"/>
  <c r="AB34" i="3"/>
  <c r="X34" i="3"/>
  <c r="V34" i="3"/>
  <c r="W34" i="3"/>
  <c r="AG33" i="3"/>
  <c r="AD33" i="3"/>
  <c r="AB33" i="3"/>
  <c r="X33" i="3"/>
  <c r="S33" i="3"/>
  <c r="V33" i="3"/>
  <c r="W33" i="3"/>
  <c r="AG32" i="3"/>
  <c r="AD32" i="3"/>
  <c r="AB32" i="3"/>
  <c r="X32" i="3"/>
  <c r="S32" i="3"/>
  <c r="U32" i="3"/>
  <c r="V32" i="3"/>
  <c r="W32" i="3"/>
  <c r="AG31" i="3"/>
  <c r="Y31" i="3"/>
  <c r="AD31" i="3"/>
  <c r="AB31" i="3"/>
  <c r="X31" i="3"/>
  <c r="S31" i="3"/>
  <c r="U31" i="3"/>
  <c r="V31" i="3"/>
  <c r="W31" i="3"/>
  <c r="AG30" i="3"/>
  <c r="AD30" i="3"/>
  <c r="AB30" i="3"/>
  <c r="X30" i="3"/>
  <c r="Z30" i="3"/>
  <c r="AA30" i="3"/>
  <c r="U30" i="3"/>
  <c r="V30" i="3"/>
  <c r="W30" i="3"/>
  <c r="AL29" i="3"/>
  <c r="AH29" i="3"/>
  <c r="AB29" i="3"/>
  <c r="X29" i="3"/>
  <c r="Z29" i="3"/>
  <c r="AA29" i="3"/>
  <c r="V29" i="3"/>
  <c r="U29" i="3"/>
  <c r="R29" i="3"/>
  <c r="AL28" i="3"/>
  <c r="AH28" i="3"/>
  <c r="AG28" i="3"/>
  <c r="AB28" i="3"/>
  <c r="X28" i="3"/>
  <c r="Z28" i="3"/>
  <c r="AA28" i="3"/>
  <c r="V28" i="3"/>
  <c r="U28" i="3"/>
  <c r="R28" i="3"/>
  <c r="AL27" i="3"/>
  <c r="AH27" i="3"/>
  <c r="AG27" i="3"/>
  <c r="AB27" i="3"/>
  <c r="Y27" i="3"/>
  <c r="X27" i="3"/>
  <c r="S27" i="3"/>
  <c r="V27" i="3"/>
  <c r="U27" i="3"/>
  <c r="W27" i="3"/>
  <c r="R27" i="3"/>
  <c r="AL26" i="3"/>
  <c r="AH26" i="3"/>
  <c r="AB26" i="3"/>
  <c r="Y26" i="3"/>
  <c r="X26" i="3"/>
  <c r="V26" i="3"/>
  <c r="U26" i="3"/>
  <c r="W26" i="3"/>
  <c r="R26" i="3"/>
  <c r="AH25" i="3"/>
  <c r="AG25" i="3"/>
  <c r="AB25" i="3"/>
  <c r="Y25" i="3"/>
  <c r="X25" i="3"/>
  <c r="V25" i="3"/>
  <c r="U25" i="3"/>
  <c r="R25" i="3"/>
  <c r="AL24" i="3"/>
  <c r="AH24" i="3"/>
  <c r="AB24" i="3"/>
  <c r="Z24" i="3"/>
  <c r="Y24" i="3"/>
  <c r="V24" i="3"/>
  <c r="U24" i="3"/>
  <c r="R24" i="3"/>
  <c r="P24" i="3"/>
  <c r="AL23" i="3"/>
  <c r="AH23" i="3"/>
  <c r="AB23" i="3"/>
  <c r="Z23" i="3"/>
  <c r="Y23" i="3"/>
  <c r="V23" i="3"/>
  <c r="U23" i="3"/>
  <c r="W23" i="3"/>
  <c r="R23" i="3"/>
  <c r="P23" i="3"/>
  <c r="AL22" i="3"/>
  <c r="AH22" i="3"/>
  <c r="AB22" i="3"/>
  <c r="Z22" i="3"/>
  <c r="Y22" i="3"/>
  <c r="V22" i="3"/>
  <c r="U22" i="3"/>
  <c r="W22" i="3"/>
  <c r="R22" i="3"/>
  <c r="P22" i="3"/>
  <c r="AL21" i="3"/>
  <c r="AH21" i="3"/>
  <c r="AG21" i="3"/>
  <c r="AB21" i="3"/>
  <c r="Z21" i="3"/>
  <c r="Y21" i="3"/>
  <c r="U21" i="3"/>
  <c r="V21" i="3"/>
  <c r="W21" i="3"/>
  <c r="R21" i="3"/>
  <c r="P21" i="3"/>
  <c r="AL20" i="3"/>
  <c r="AH20" i="3"/>
  <c r="AG20" i="3"/>
  <c r="AB20" i="3"/>
  <c r="Z20" i="3"/>
  <c r="Y20" i="3"/>
  <c r="V20" i="3"/>
  <c r="U20" i="3"/>
  <c r="R20" i="3"/>
  <c r="P20" i="3"/>
  <c r="AM19" i="3"/>
  <c r="AH19" i="3"/>
  <c r="AG19" i="3"/>
  <c r="AB19" i="3"/>
  <c r="Z19" i="3"/>
  <c r="X19" i="3"/>
  <c r="S19" i="3"/>
  <c r="U19" i="3"/>
  <c r="V19" i="3"/>
  <c r="W19" i="3"/>
  <c r="R19" i="3"/>
  <c r="P19" i="3"/>
  <c r="AM18" i="3"/>
  <c r="AH18" i="3"/>
  <c r="AG18" i="3"/>
  <c r="AB18" i="3"/>
  <c r="Z18" i="3"/>
  <c r="X18" i="3"/>
  <c r="S18" i="3"/>
  <c r="U18" i="3"/>
  <c r="V18" i="3"/>
  <c r="W18" i="3"/>
  <c r="R18" i="3"/>
  <c r="P18" i="3"/>
  <c r="AM17" i="3"/>
  <c r="AH17" i="3"/>
  <c r="AG17" i="3"/>
  <c r="AB17" i="3"/>
  <c r="Z17" i="3"/>
  <c r="X17" i="3"/>
  <c r="S17" i="3"/>
  <c r="U17" i="3"/>
  <c r="V17" i="3"/>
  <c r="W17" i="3"/>
  <c r="R17" i="3"/>
  <c r="P17" i="3"/>
  <c r="AM16" i="3"/>
  <c r="AH16" i="3"/>
  <c r="AG16" i="3"/>
  <c r="AB16" i="3"/>
  <c r="Z16" i="3"/>
  <c r="Y16" i="3"/>
  <c r="X16" i="3"/>
  <c r="S16" i="3"/>
  <c r="U16" i="3"/>
  <c r="V16" i="3"/>
  <c r="W16" i="3"/>
  <c r="R16" i="3"/>
  <c r="P16" i="3"/>
  <c r="AM15" i="3"/>
  <c r="AL15" i="3"/>
  <c r="AJ15" i="3"/>
  <c r="P15" i="3"/>
  <c r="AH15" i="3"/>
  <c r="AD15" i="3"/>
  <c r="AB15" i="3"/>
  <c r="Z15" i="3"/>
  <c r="V15" i="3"/>
  <c r="U15" i="3"/>
  <c r="R15" i="3"/>
  <c r="AL14" i="3"/>
  <c r="AH14" i="3"/>
  <c r="AB14" i="3"/>
  <c r="X14" i="3"/>
  <c r="Z14" i="3"/>
  <c r="AA14" i="3"/>
  <c r="U14" i="3"/>
  <c r="V14" i="3"/>
  <c r="W14" i="3"/>
  <c r="R14" i="3"/>
  <c r="P14" i="3"/>
  <c r="AL13" i="3"/>
  <c r="AH13" i="3"/>
  <c r="AG13" i="3"/>
  <c r="AB13" i="3"/>
  <c r="X13" i="3"/>
  <c r="S13" i="3"/>
  <c r="U13" i="3"/>
  <c r="V13" i="3"/>
  <c r="W13" i="3"/>
  <c r="R13" i="3"/>
  <c r="AL12" i="3"/>
  <c r="AH12" i="3"/>
  <c r="AG12" i="3"/>
  <c r="AB12" i="3"/>
  <c r="X12" i="3"/>
  <c r="Z12" i="3"/>
  <c r="AA12" i="3"/>
  <c r="U12" i="3"/>
  <c r="V12" i="3"/>
  <c r="W12" i="3"/>
  <c r="R12" i="3"/>
  <c r="AL11" i="3"/>
  <c r="AH11" i="3"/>
  <c r="AG11" i="3"/>
  <c r="AB11" i="3"/>
  <c r="X11" i="3"/>
  <c r="S11" i="3"/>
  <c r="U11" i="3"/>
  <c r="V11" i="3"/>
  <c r="W11" i="3"/>
  <c r="R11" i="3"/>
  <c r="AM10" i="3"/>
  <c r="AL10" i="3"/>
  <c r="AH10" i="3"/>
  <c r="AB10" i="3"/>
  <c r="X10" i="3"/>
  <c r="S10" i="3"/>
  <c r="U10" i="3"/>
  <c r="V10" i="3"/>
  <c r="W10" i="3"/>
  <c r="R10" i="3"/>
  <c r="AL9" i="3"/>
  <c r="AH9" i="3"/>
  <c r="AB9" i="3"/>
  <c r="X9" i="3"/>
  <c r="Z9" i="3"/>
  <c r="AA9" i="3"/>
  <c r="U9" i="3"/>
  <c r="V9" i="3"/>
  <c r="W9" i="3"/>
  <c r="R9" i="3"/>
  <c r="AL8" i="3"/>
  <c r="AH8" i="3"/>
  <c r="AB8" i="3"/>
  <c r="X8" i="3"/>
  <c r="Z8" i="3"/>
  <c r="AA8" i="3"/>
  <c r="U8" i="3"/>
  <c r="V8" i="3"/>
  <c r="W8" i="3"/>
  <c r="R8" i="3"/>
  <c r="AL7" i="3"/>
  <c r="AG7" i="3"/>
  <c r="AB7" i="3"/>
  <c r="X7" i="3"/>
  <c r="S7" i="3"/>
  <c r="U7" i="3"/>
  <c r="V7" i="3"/>
  <c r="W7" i="3"/>
  <c r="R7" i="3"/>
  <c r="AH6" i="3"/>
  <c r="AG6" i="3"/>
  <c r="Z6" i="3"/>
  <c r="Y6" i="3"/>
  <c r="V6" i="3"/>
  <c r="U6" i="3"/>
  <c r="W6" i="3"/>
  <c r="R6" i="3"/>
  <c r="P6" i="3"/>
  <c r="AH5" i="3"/>
  <c r="AG5" i="3"/>
  <c r="Z5" i="3"/>
  <c r="Y5" i="3"/>
  <c r="AD5" i="3"/>
  <c r="AB5" i="3"/>
  <c r="V5" i="3"/>
  <c r="U5" i="3"/>
  <c r="R5" i="3"/>
  <c r="P5" i="3"/>
  <c r="AI4" i="3"/>
  <c r="AH4" i="3"/>
  <c r="AG4" i="3"/>
  <c r="AB4" i="3"/>
  <c r="Z4" i="3"/>
  <c r="Y4" i="3"/>
  <c r="V4" i="3"/>
  <c r="R4" i="3"/>
  <c r="P4" i="3"/>
  <c r="AH3" i="3"/>
  <c r="AG3" i="3"/>
  <c r="AB3" i="3"/>
  <c r="Z3" i="3"/>
  <c r="X3" i="3"/>
  <c r="V3" i="3"/>
  <c r="U3" i="3"/>
  <c r="R3" i="3"/>
  <c r="P3" i="3"/>
  <c r="AH2" i="3"/>
  <c r="Z2" i="3"/>
  <c r="Y2" i="3"/>
  <c r="V2" i="3"/>
  <c r="U2" i="3"/>
  <c r="R2" i="3"/>
  <c r="P2" i="3"/>
  <c r="Z153" i="3"/>
  <c r="AA153" i="3"/>
  <c r="Z778" i="3"/>
  <c r="AA778" i="3"/>
  <c r="Z1276" i="3"/>
  <c r="AA1276" i="3"/>
  <c r="X1284" i="3"/>
  <c r="S1284" i="3"/>
  <c r="Z1284" i="3"/>
  <c r="AA1284" i="3"/>
  <c r="S1291" i="3"/>
  <c r="Z1340" i="3"/>
  <c r="AA1340" i="3"/>
  <c r="X1026" i="3"/>
  <c r="Z1026" i="3"/>
  <c r="AA1026" i="3"/>
  <c r="S1026" i="3"/>
  <c r="X1353" i="3"/>
  <c r="S1353" i="3"/>
  <c r="AA1353" i="3"/>
  <c r="AG48" i="3"/>
  <c r="AG177" i="3"/>
  <c r="Z35" i="3"/>
  <c r="AA35" i="3"/>
  <c r="AG40" i="3"/>
  <c r="AG54" i="3"/>
  <c r="AG78" i="3"/>
  <c r="AG94" i="3"/>
  <c r="AG136" i="3"/>
  <c r="AG149" i="3"/>
  <c r="Z165" i="3"/>
  <c r="AA165" i="3"/>
  <c r="Z167" i="3"/>
  <c r="AA167" i="3"/>
  <c r="AG182" i="3"/>
  <c r="AG183" i="3"/>
  <c r="AG189" i="3"/>
  <c r="AG254" i="3"/>
  <c r="AG266" i="3"/>
  <c r="AG276" i="3"/>
  <c r="AG279" i="3"/>
  <c r="Z345" i="3"/>
  <c r="AA345" i="3"/>
  <c r="S361" i="3"/>
  <c r="S412" i="3"/>
  <c r="AG443" i="3"/>
  <c r="Z447" i="3"/>
  <c r="AA447" i="3"/>
  <c r="S594" i="3"/>
  <c r="S601" i="3"/>
  <c r="Z728" i="3"/>
  <c r="AA728" i="3"/>
  <c r="AG755" i="3"/>
  <c r="S865" i="3"/>
  <c r="Z959" i="3"/>
  <c r="AA959" i="3"/>
  <c r="S1063" i="3"/>
  <c r="S1067" i="3"/>
  <c r="S1071" i="3"/>
  <c r="S1085" i="3"/>
  <c r="AG1098" i="3"/>
  <c r="AG1235" i="3"/>
  <c r="Z1286" i="3"/>
  <c r="AA1286" i="3"/>
  <c r="S1328" i="3"/>
  <c r="S1397" i="3"/>
  <c r="Z1405" i="3"/>
  <c r="AA1405" i="3"/>
  <c r="Z1406" i="3"/>
  <c r="AA1406" i="3"/>
  <c r="AG85" i="3"/>
  <c r="AG170" i="3"/>
  <c r="AG256" i="3"/>
  <c r="AG305" i="3"/>
  <c r="Z342" i="3"/>
  <c r="AA342" i="3"/>
  <c r="S411" i="3"/>
  <c r="AG411" i="3"/>
  <c r="S551" i="3"/>
  <c r="AG731" i="3"/>
  <c r="AG736" i="3"/>
  <c r="Z748" i="3"/>
  <c r="AA748" i="3"/>
  <c r="AG754" i="3"/>
  <c r="AG764" i="3"/>
  <c r="AG913" i="3"/>
  <c r="X1011" i="3"/>
  <c r="Z1019" i="3"/>
  <c r="AA1019" i="3"/>
  <c r="AG1066" i="3"/>
  <c r="AG1106" i="3"/>
  <c r="AG1234" i="3"/>
  <c r="AG1236" i="3"/>
  <c r="AG1272" i="3"/>
  <c r="AG1274" i="3"/>
  <c r="AG1323" i="3"/>
  <c r="AG1369" i="3"/>
  <c r="AG1390" i="3"/>
  <c r="Z1401" i="3"/>
  <c r="AA1401" i="3"/>
  <c r="X483" i="3"/>
  <c r="S483" i="3"/>
  <c r="AG9" i="3"/>
  <c r="Z11" i="3"/>
  <c r="AA11" i="3"/>
  <c r="AG15" i="3"/>
  <c r="AG56" i="3"/>
  <c r="AG80" i="3"/>
  <c r="AG152" i="3"/>
  <c r="AG155" i="3"/>
  <c r="S159" i="3"/>
  <c r="X180" i="3"/>
  <c r="S180" i="3"/>
  <c r="AG194" i="3"/>
  <c r="Z213" i="3"/>
  <c r="AA213" i="3"/>
  <c r="Z218" i="3"/>
  <c r="AA218" i="3"/>
  <c r="AG221" i="3"/>
  <c r="Z222" i="3"/>
  <c r="AA222" i="3"/>
  <c r="Z236" i="3"/>
  <c r="AA236" i="3"/>
  <c r="Z352" i="3"/>
  <c r="AA352" i="3"/>
  <c r="S366" i="3"/>
  <c r="S378" i="3"/>
  <c r="S380" i="3"/>
  <c r="Z467" i="3"/>
  <c r="AA467" i="3"/>
  <c r="S533" i="3"/>
  <c r="S547" i="3"/>
  <c r="S561" i="3"/>
  <c r="S566" i="3"/>
  <c r="Z578" i="3"/>
  <c r="AA578" i="3"/>
  <c r="AG592" i="3"/>
  <c r="S607" i="3"/>
  <c r="S608" i="3"/>
  <c r="AB737" i="3"/>
  <c r="Z762" i="3"/>
  <c r="AA762" i="3"/>
  <c r="AG763" i="3"/>
  <c r="V791" i="3"/>
  <c r="W791" i="3"/>
  <c r="X873" i="3"/>
  <c r="Z904" i="3"/>
  <c r="AA904" i="3"/>
  <c r="AG915" i="3"/>
  <c r="S924" i="3"/>
  <c r="Z1314" i="3"/>
  <c r="AA1314" i="3"/>
  <c r="AG1318" i="3"/>
  <c r="AA1324" i="3"/>
  <c r="S1419" i="3"/>
  <c r="S8" i="3"/>
  <c r="X22" i="3"/>
  <c r="S22" i="3"/>
  <c r="X23" i="3"/>
  <c r="S23" i="3"/>
  <c r="S36" i="3"/>
  <c r="S145" i="3"/>
  <c r="AG220" i="3"/>
  <c r="AG258" i="3"/>
  <c r="Z277" i="3"/>
  <c r="AA277" i="3"/>
  <c r="AG319" i="3"/>
  <c r="AG332" i="3"/>
  <c r="Z349" i="3"/>
  <c r="AA349" i="3"/>
  <c r="S363" i="3"/>
  <c r="AG384" i="3"/>
  <c r="Z399" i="3"/>
  <c r="AA399" i="3"/>
  <c r="S497" i="3"/>
  <c r="S502" i="3"/>
  <c r="AG502" i="3"/>
  <c r="S560" i="3"/>
  <c r="S565" i="3"/>
  <c r="AG881" i="3"/>
  <c r="AG883" i="3"/>
  <c r="S944" i="3"/>
  <c r="AG969" i="3"/>
  <c r="Z1004" i="3"/>
  <c r="AA1004" i="3"/>
  <c r="AG1075" i="3"/>
  <c r="AG1156" i="3"/>
  <c r="AG1193" i="3"/>
  <c r="S1413" i="3"/>
  <c r="S1829" i="3"/>
  <c r="AH7" i="3"/>
  <c r="AG26" i="3"/>
  <c r="AG151" i="3"/>
  <c r="AG202" i="3"/>
  <c r="Z211" i="3"/>
  <c r="AA211" i="3"/>
  <c r="Z212" i="3"/>
  <c r="AA212" i="3"/>
  <c r="AG234" i="3"/>
  <c r="AG250" i="3"/>
  <c r="AG438" i="3"/>
  <c r="AG453" i="3"/>
  <c r="Y671" i="3"/>
  <c r="X671" i="3"/>
  <c r="S1073" i="3"/>
  <c r="S1092" i="3"/>
  <c r="AG1099" i="3"/>
  <c r="S1127" i="3"/>
  <c r="S1128" i="3"/>
  <c r="S1144" i="3"/>
  <c r="Z1152" i="3"/>
  <c r="AA1152" i="3"/>
  <c r="AG1259" i="3"/>
  <c r="AG1324" i="3"/>
  <c r="AG1371" i="3"/>
  <c r="AG1377" i="3"/>
  <c r="X1432" i="3"/>
  <c r="S1432" i="3"/>
  <c r="AG1454" i="3"/>
  <c r="AG211" i="3"/>
  <c r="AG218" i="3"/>
  <c r="AG228" i="3"/>
  <c r="AG257" i="3"/>
  <c r="AG259" i="3"/>
  <c r="AG261" i="3"/>
  <c r="Z286" i="3"/>
  <c r="AA286" i="3"/>
  <c r="Z301" i="3"/>
  <c r="AA301" i="3"/>
  <c r="AG303" i="3"/>
  <c r="AG306" i="3"/>
  <c r="AG330" i="3"/>
  <c r="AG397" i="3"/>
  <c r="Y406" i="3"/>
  <c r="Z406" i="3"/>
  <c r="AA406" i="3"/>
  <c r="AG449" i="3"/>
  <c r="AG487" i="3"/>
  <c r="Z490" i="3"/>
  <c r="AA490" i="3"/>
  <c r="AG497" i="3"/>
  <c r="Z515" i="3"/>
  <c r="AA515" i="3"/>
  <c r="S628" i="3"/>
  <c r="Z628" i="3"/>
  <c r="AA628" i="3"/>
  <c r="X781" i="3"/>
  <c r="Y781" i="3"/>
  <c r="AG8" i="3"/>
  <c r="AG22" i="3"/>
  <c r="AG23" i="3"/>
  <c r="Z26" i="3"/>
  <c r="AA26" i="3"/>
  <c r="S29" i="3"/>
  <c r="S30" i="3"/>
  <c r="X43" i="3"/>
  <c r="AG44" i="3"/>
  <c r="AA45" i="3"/>
  <c r="Z62" i="3"/>
  <c r="AA62" i="3"/>
  <c r="AG84" i="3"/>
  <c r="AD85" i="3"/>
  <c r="AB85" i="3"/>
  <c r="AG93" i="3"/>
  <c r="AG95" i="3"/>
  <c r="AG168" i="3"/>
  <c r="Z178" i="3"/>
  <c r="AA178" i="3"/>
  <c r="AG181" i="3"/>
  <c r="S586" i="3"/>
  <c r="S602" i="3"/>
  <c r="S42" i="3"/>
  <c r="Z42" i="3"/>
  <c r="AA42" i="3"/>
  <c r="S61" i="3"/>
  <c r="S71" i="3"/>
  <c r="S128" i="3"/>
  <c r="Z152" i="3"/>
  <c r="AA152" i="3"/>
  <c r="S158" i="3"/>
  <c r="Z161" i="3"/>
  <c r="AA161" i="3"/>
  <c r="Z162" i="3"/>
  <c r="AA162" i="3"/>
  <c r="AB168" i="3"/>
  <c r="Y168" i="3"/>
  <c r="AG179" i="3"/>
  <c r="AG180" i="3"/>
  <c r="AG185" i="3"/>
  <c r="AG186" i="3"/>
  <c r="AG191" i="3"/>
  <c r="X194" i="3"/>
  <c r="S194" i="3"/>
  <c r="AG198" i="3"/>
  <c r="AG214" i="3"/>
  <c r="Z251" i="3"/>
  <c r="AA251" i="3"/>
  <c r="AG255" i="3"/>
  <c r="S275" i="3"/>
  <c r="S301" i="3"/>
  <c r="S382" i="3"/>
  <c r="AG408" i="3"/>
  <c r="S410" i="3"/>
  <c r="Z439" i="3"/>
  <c r="AA439" i="3"/>
  <c r="Z475" i="3"/>
  <c r="AA475" i="3"/>
  <c r="AG481" i="3"/>
  <c r="Z487" i="3"/>
  <c r="AA487" i="3"/>
  <c r="AG504" i="3"/>
  <c r="S583" i="3"/>
  <c r="Z722" i="3"/>
  <c r="AA722" i="3"/>
  <c r="S722" i="3"/>
  <c r="S830" i="3"/>
  <c r="Z830" i="3"/>
  <c r="AA830" i="3"/>
  <c r="X4" i="3"/>
  <c r="S4" i="3"/>
  <c r="X6" i="3"/>
  <c r="S6" i="3"/>
  <c r="AG29" i="3"/>
  <c r="W81" i="3"/>
  <c r="AG119" i="3"/>
  <c r="AG156" i="3"/>
  <c r="AA172" i="3"/>
  <c r="AG184" i="3"/>
  <c r="Z214" i="3"/>
  <c r="AA214" i="3"/>
  <c r="AG215" i="3"/>
  <c r="AG216" i="3"/>
  <c r="S222" i="3"/>
  <c r="S236" i="3"/>
  <c r="AG240" i="3"/>
  <c r="AG248" i="3"/>
  <c r="AG249" i="3"/>
  <c r="AG267" i="3"/>
  <c r="S272" i="3"/>
  <c r="AG280" i="3"/>
  <c r="Z281" i="3"/>
  <c r="AA281" i="3"/>
  <c r="AG281" i="3"/>
  <c r="AG282" i="3"/>
  <c r="AG296" i="3"/>
  <c r="AG298" i="3"/>
  <c r="AG308" i="3"/>
  <c r="Z315" i="3"/>
  <c r="AA315" i="3"/>
  <c r="AG328" i="3"/>
  <c r="Z340" i="3"/>
  <c r="AA340" i="3"/>
  <c r="AG345" i="3"/>
  <c r="S368" i="3"/>
  <c r="AG381" i="3"/>
  <c r="S383" i="3"/>
  <c r="S404" i="3"/>
  <c r="S414" i="3"/>
  <c r="AG442" i="3"/>
  <c r="AG444" i="3"/>
  <c r="Z491" i="3"/>
  <c r="AA491" i="3"/>
  <c r="AA508" i="3"/>
  <c r="AA512" i="3"/>
  <c r="S525" i="3"/>
  <c r="Z525" i="3"/>
  <c r="AA525" i="3"/>
  <c r="S567" i="3"/>
  <c r="Z585" i="3"/>
  <c r="AA585" i="3"/>
  <c r="S585" i="3"/>
  <c r="Z1025" i="3"/>
  <c r="AA1025" i="3"/>
  <c r="AG1040" i="3"/>
  <c r="S1052" i="3"/>
  <c r="S1055" i="3"/>
  <c r="AG1060" i="3"/>
  <c r="S1069" i="3"/>
  <c r="Z1074" i="3"/>
  <c r="AA1074" i="3"/>
  <c r="S1089" i="3"/>
  <c r="AG1105" i="3"/>
  <c r="Z1161" i="3"/>
  <c r="AA1161" i="3"/>
  <c r="Z1209" i="3"/>
  <c r="AA1209" i="3"/>
  <c r="Z1219" i="3"/>
  <c r="AA1219" i="3"/>
  <c r="Z1313" i="3"/>
  <c r="AA1313" i="3"/>
  <c r="Z1321" i="3"/>
  <c r="AA1321" i="3"/>
  <c r="AG1364" i="3"/>
  <c r="Z609" i="3"/>
  <c r="AA609" i="3"/>
  <c r="AG624" i="3"/>
  <c r="AG734" i="3"/>
  <c r="Z754" i="3"/>
  <c r="AA754" i="3"/>
  <c r="Z777" i="3"/>
  <c r="AA777" i="3"/>
  <c r="Z855" i="3"/>
  <c r="AA855" i="3"/>
  <c r="Z946" i="3"/>
  <c r="AA946" i="3"/>
  <c r="AG1093" i="3"/>
  <c r="AG737" i="3"/>
  <c r="AG740" i="3"/>
  <c r="Z745" i="3"/>
  <c r="AA745" i="3"/>
  <c r="Z753" i="3"/>
  <c r="AA753" i="3"/>
  <c r="Z822" i="3"/>
  <c r="AA822" i="3"/>
  <c r="Z848" i="3"/>
  <c r="AA848" i="3"/>
  <c r="Z857" i="3"/>
  <c r="AA857" i="3"/>
  <c r="AG975" i="3"/>
  <c r="Z983" i="3"/>
  <c r="AA983" i="3"/>
  <c r="S986" i="3"/>
  <c r="AG1211" i="3"/>
  <c r="Z1217" i="3"/>
  <c r="AA1217" i="3"/>
  <c r="AG1231" i="3"/>
  <c r="Z1234" i="3"/>
  <c r="AA1234" i="3"/>
  <c r="Z1296" i="3"/>
  <c r="AA1296" i="3"/>
  <c r="Z1309" i="3"/>
  <c r="AA1309" i="3"/>
  <c r="S1327" i="3"/>
  <c r="AG1327" i="3"/>
  <c r="Z1336" i="3"/>
  <c r="AA1336" i="3"/>
  <c r="AG1372" i="3"/>
  <c r="AG1452" i="3"/>
  <c r="S536" i="3"/>
  <c r="S542" i="3"/>
  <c r="S590" i="3"/>
  <c r="Z717" i="3"/>
  <c r="AA717" i="3"/>
  <c r="AG759" i="3"/>
  <c r="W831" i="3"/>
  <c r="S842" i="3"/>
  <c r="Z854" i="3"/>
  <c r="AA854" i="3"/>
  <c r="S926" i="3"/>
  <c r="U986" i="3"/>
  <c r="V986" i="3"/>
  <c r="W986" i="3"/>
  <c r="AD1010" i="3"/>
  <c r="AB1010" i="3"/>
  <c r="Z1032" i="3"/>
  <c r="AA1032" i="3"/>
  <c r="S1034" i="3"/>
  <c r="Z1070" i="3"/>
  <c r="AA1070" i="3"/>
  <c r="AG1072" i="3"/>
  <c r="S1221" i="3"/>
  <c r="S1323" i="3"/>
  <c r="Y1330" i="3"/>
  <c r="X1330" i="3"/>
  <c r="AG1450" i="3"/>
  <c r="V1487" i="3"/>
  <c r="W1487" i="3"/>
  <c r="X1338" i="3"/>
  <c r="S1338" i="3"/>
  <c r="Z1036" i="3"/>
  <c r="AA1036" i="3"/>
  <c r="AG1447" i="3"/>
  <c r="AG1449" i="3"/>
  <c r="Z1177" i="3"/>
  <c r="AA1177" i="3"/>
  <c r="Z1263" i="3"/>
  <c r="AA1263" i="3"/>
  <c r="Z1268" i="3"/>
  <c r="AA1268" i="3"/>
  <c r="AA1348" i="3"/>
  <c r="Z1445" i="3"/>
  <c r="AA1445" i="3"/>
  <c r="Z1457" i="3"/>
  <c r="AA1457" i="3"/>
  <c r="Z1372" i="3"/>
  <c r="AA1372" i="3"/>
  <c r="S1383" i="3"/>
  <c r="S1395" i="3"/>
  <c r="Z373" i="3"/>
  <c r="AA373" i="3"/>
  <c r="Z549" i="3"/>
  <c r="AA549" i="3"/>
  <c r="S549" i="3"/>
  <c r="W24" i="3"/>
  <c r="Z329" i="3"/>
  <c r="AA329" i="3"/>
  <c r="S333" i="3"/>
  <c r="Z333" i="3"/>
  <c r="AA333" i="3"/>
  <c r="Z420" i="3"/>
  <c r="AA420" i="3"/>
  <c r="Z539" i="3"/>
  <c r="AA539" i="3"/>
  <c r="S539" i="3"/>
  <c r="Z540" i="3"/>
  <c r="AA540" i="3"/>
  <c r="Z569" i="3"/>
  <c r="AA569" i="3"/>
  <c r="S569" i="3"/>
  <c r="Z580" i="3"/>
  <c r="AA580" i="3"/>
  <c r="S580" i="3"/>
  <c r="Z603" i="3"/>
  <c r="AA603" i="3"/>
  <c r="S603" i="3"/>
  <c r="Z627" i="3"/>
  <c r="AA627" i="3"/>
  <c r="Z1239" i="3"/>
  <c r="AA1239" i="3"/>
  <c r="S1239" i="3"/>
  <c r="Z1826" i="3"/>
  <c r="AA1826" i="3"/>
  <c r="S1826" i="3"/>
  <c r="Z63" i="3"/>
  <c r="AA63" i="3"/>
  <c r="Z66" i="3"/>
  <c r="AA66" i="3"/>
  <c r="S256" i="3"/>
  <c r="Z295" i="3"/>
  <c r="AA295" i="3"/>
  <c r="S295" i="3"/>
  <c r="Z418" i="3"/>
  <c r="AA418" i="3"/>
  <c r="Z471" i="3"/>
  <c r="AA471" i="3"/>
  <c r="AA514" i="3"/>
  <c r="Z537" i="3"/>
  <c r="AA537" i="3"/>
  <c r="S537" i="3"/>
  <c r="S544" i="3"/>
  <c r="Z548" i="3"/>
  <c r="AA548" i="3"/>
  <c r="S548" i="3"/>
  <c r="Z593" i="3"/>
  <c r="AA593" i="3"/>
  <c r="S593" i="3"/>
  <c r="Z648" i="3"/>
  <c r="AA648" i="3"/>
  <c r="S648" i="3"/>
  <c r="Z1156" i="3"/>
  <c r="AA1156" i="3"/>
  <c r="S1156" i="3"/>
  <c r="Z1391" i="3"/>
  <c r="AA1391" i="3"/>
  <c r="S1391" i="3"/>
  <c r="S1450" i="3"/>
  <c r="Z1450" i="3"/>
  <c r="AA1450" i="3"/>
  <c r="S58" i="3"/>
  <c r="S318" i="3"/>
  <c r="Z318" i="3"/>
  <c r="AA318" i="3"/>
  <c r="AA507" i="3"/>
  <c r="S507" i="3"/>
  <c r="Z530" i="3"/>
  <c r="AA530" i="3"/>
  <c r="S530" i="3"/>
  <c r="S543" i="3"/>
  <c r="Z1020" i="3"/>
  <c r="AA1020" i="3"/>
  <c r="S1020" i="3"/>
  <c r="S1114" i="3"/>
  <c r="Z1253" i="3"/>
  <c r="AA1253" i="3"/>
  <c r="AG406" i="3"/>
  <c r="S568" i="3"/>
  <c r="S725" i="3"/>
  <c r="Z741" i="3"/>
  <c r="AA741" i="3"/>
  <c r="S1016" i="3"/>
  <c r="S1371" i="3"/>
  <c r="S1587" i="3"/>
  <c r="Z25" i="3"/>
  <c r="AA25" i="3"/>
  <c r="S45" i="3"/>
  <c r="Z47" i="3"/>
  <c r="AA47" i="3"/>
  <c r="V50" i="3"/>
  <c r="W50" i="3"/>
  <c r="AA81" i="3"/>
  <c r="S83" i="3"/>
  <c r="Z85" i="3"/>
  <c r="AA85" i="3"/>
  <c r="W86" i="3"/>
  <c r="S89" i="3"/>
  <c r="Z112" i="3"/>
  <c r="AA112" i="3"/>
  <c r="Z116" i="3"/>
  <c r="AA116" i="3"/>
  <c r="S133" i="3"/>
  <c r="AG135" i="3"/>
  <c r="S136" i="3"/>
  <c r="S155" i="3"/>
  <c r="AG163" i="3"/>
  <c r="X179" i="3"/>
  <c r="S179" i="3"/>
  <c r="AG14" i="3"/>
  <c r="X24" i="3"/>
  <c r="S24" i="3"/>
  <c r="Z55" i="3"/>
  <c r="AA55" i="3"/>
  <c r="AG90" i="3"/>
  <c r="Z108" i="3"/>
  <c r="AA108" i="3"/>
  <c r="AG134" i="3"/>
  <c r="Z164" i="3"/>
  <c r="AA164" i="3"/>
  <c r="AB169" i="3"/>
  <c r="X169" i="3"/>
  <c r="AA188" i="3"/>
  <c r="S188" i="3"/>
  <c r="AG86" i="3"/>
  <c r="W97" i="3"/>
  <c r="Z114" i="3"/>
  <c r="AA114" i="3"/>
  <c r="Z118" i="3"/>
  <c r="AA118" i="3"/>
  <c r="S130" i="3"/>
  <c r="AG138" i="3"/>
  <c r="AG150" i="3"/>
  <c r="AG172" i="3"/>
  <c r="AG174" i="3"/>
  <c r="Z175" i="3"/>
  <c r="AA175" i="3"/>
  <c r="S182" i="3"/>
  <c r="AG187" i="3"/>
  <c r="AG188" i="3"/>
  <c r="Z210" i="3"/>
  <c r="AA210" i="3"/>
  <c r="Z215" i="3"/>
  <c r="AA215" i="3"/>
  <c r="Z216" i="3"/>
  <c r="AA216" i="3"/>
  <c r="Z221" i="3"/>
  <c r="AA221" i="3"/>
  <c r="AB222" i="3"/>
  <c r="Z224" i="3"/>
  <c r="AA224" i="3"/>
  <c r="AG232" i="3"/>
  <c r="Z234" i="3"/>
  <c r="AA234" i="3"/>
  <c r="Z250" i="3"/>
  <c r="AA250" i="3"/>
  <c r="AG252" i="3"/>
  <c r="AG263" i="3"/>
  <c r="AG264" i="3"/>
  <c r="Z268" i="3"/>
  <c r="AA268" i="3"/>
  <c r="AG269" i="3"/>
  <c r="AG273" i="3"/>
  <c r="AG277" i="3"/>
  <c r="Z283" i="3"/>
  <c r="AA283" i="3"/>
  <c r="Z294" i="3"/>
  <c r="AA294" i="3"/>
  <c r="AG300" i="3"/>
  <c r="AG302" i="3"/>
  <c r="AG309" i="3"/>
  <c r="AG312" i="3"/>
  <c r="AG326" i="3"/>
  <c r="AG329" i="3"/>
  <c r="AG338" i="3"/>
  <c r="AG342" i="3"/>
  <c r="AG346" i="3"/>
  <c r="AG348" i="3"/>
  <c r="AG355" i="3"/>
  <c r="S360" i="3"/>
  <c r="S365" i="3"/>
  <c r="S384" i="3"/>
  <c r="Z400" i="3"/>
  <c r="AA400" i="3"/>
  <c r="Z521" i="3"/>
  <c r="AA521" i="3"/>
  <c r="S521" i="3"/>
  <c r="S524" i="3"/>
  <c r="Z524" i="3"/>
  <c r="AA524" i="3"/>
  <c r="Z587" i="3"/>
  <c r="AA587" i="3"/>
  <c r="S587" i="3"/>
  <c r="Z606" i="3"/>
  <c r="AA606" i="3"/>
  <c r="S606" i="3"/>
  <c r="Y782" i="3"/>
  <c r="X782" i="3"/>
  <c r="AB782" i="3"/>
  <c r="Z874" i="3"/>
  <c r="AA874" i="3"/>
  <c r="S874" i="3"/>
  <c r="AG334" i="3"/>
  <c r="S377" i="3"/>
  <c r="AG383" i="3"/>
  <c r="S399" i="3"/>
  <c r="AG407" i="3"/>
  <c r="Z413" i="3"/>
  <c r="AA413" i="3"/>
  <c r="S413" i="3"/>
  <c r="AG416" i="3"/>
  <c r="AG418" i="3"/>
  <c r="AG439" i="3"/>
  <c r="AG451" i="3"/>
  <c r="AG455" i="3"/>
  <c r="AG478" i="3"/>
  <c r="AG492" i="3"/>
  <c r="AA506" i="3"/>
  <c r="S515" i="3"/>
  <c r="S523" i="3"/>
  <c r="S528" i="3"/>
  <c r="Z528" i="3"/>
  <c r="AA528" i="3"/>
  <c r="S575" i="3"/>
  <c r="Z611" i="3"/>
  <c r="AA611" i="3"/>
  <c r="S611" i="3"/>
  <c r="S650" i="3"/>
  <c r="Z650" i="3"/>
  <c r="AA650" i="3"/>
  <c r="Z655" i="3"/>
  <c r="AA655" i="3"/>
  <c r="S655" i="3"/>
  <c r="Z786" i="3"/>
  <c r="AA786" i="3"/>
  <c r="S786" i="3"/>
  <c r="S803" i="3"/>
  <c r="Z803" i="3"/>
  <c r="AA803" i="3"/>
  <c r="AB914" i="3"/>
  <c r="Y914" i="3"/>
  <c r="X914" i="3"/>
  <c r="S914" i="3"/>
  <c r="Z967" i="3"/>
  <c r="AA967" i="3"/>
  <c r="S967" i="3"/>
  <c r="AG200" i="3"/>
  <c r="X201" i="3"/>
  <c r="S201" i="3"/>
  <c r="Z209" i="3"/>
  <c r="AA209" i="3"/>
  <c r="Z231" i="3"/>
  <c r="AA231" i="3"/>
  <c r="Z269" i="3"/>
  <c r="AA269" i="3"/>
  <c r="Z408" i="3"/>
  <c r="AA408" i="3"/>
  <c r="S408" i="3"/>
  <c r="AG425" i="3"/>
  <c r="AG433" i="3"/>
  <c r="S490" i="3"/>
  <c r="S520" i="3"/>
  <c r="Z520" i="3"/>
  <c r="AA520" i="3"/>
  <c r="Z538" i="3"/>
  <c r="AA538" i="3"/>
  <c r="S538" i="3"/>
  <c r="Z579" i="3"/>
  <c r="AA579" i="3"/>
  <c r="S579" i="3"/>
  <c r="S609" i="3"/>
  <c r="Z637" i="3"/>
  <c r="AA637" i="3"/>
  <c r="Z654" i="3"/>
  <c r="AA654" i="3"/>
  <c r="S654" i="3"/>
  <c r="S683" i="3"/>
  <c r="Z683" i="3"/>
  <c r="AA683" i="3"/>
  <c r="Z736" i="3"/>
  <c r="AA736" i="3"/>
  <c r="S736" i="3"/>
  <c r="Z802" i="3"/>
  <c r="AA802" i="3"/>
  <c r="S802" i="3"/>
  <c r="Z869" i="3"/>
  <c r="AA869" i="3"/>
  <c r="S869" i="3"/>
  <c r="Z908" i="3"/>
  <c r="AA908" i="3"/>
  <c r="S908" i="3"/>
  <c r="Z176" i="3"/>
  <c r="AA176" i="3"/>
  <c r="Z220" i="3"/>
  <c r="AA220" i="3"/>
  <c r="AG225" i="3"/>
  <c r="Z238" i="3"/>
  <c r="AA238" i="3"/>
  <c r="Z267" i="3"/>
  <c r="AA267" i="3"/>
  <c r="AG272" i="3"/>
  <c r="Z282" i="3"/>
  <c r="AA282" i="3"/>
  <c r="S324" i="3"/>
  <c r="AG335" i="3"/>
  <c r="AG340" i="3"/>
  <c r="Z344" i="3"/>
  <c r="AA344" i="3"/>
  <c r="AG377" i="3"/>
  <c r="S379" i="3"/>
  <c r="Z435" i="3"/>
  <c r="AA435" i="3"/>
  <c r="S435" i="3"/>
  <c r="S504" i="3"/>
  <c r="Z504" i="3"/>
  <c r="AA504" i="3"/>
  <c r="Z516" i="3"/>
  <c r="AA516" i="3"/>
  <c r="S516" i="3"/>
  <c r="S532" i="3"/>
  <c r="Z532" i="3"/>
  <c r="AA532" i="3"/>
  <c r="AD563" i="3"/>
  <c r="AB563" i="3"/>
  <c r="X563" i="3"/>
  <c r="Z653" i="3"/>
  <c r="AA653" i="3"/>
  <c r="S653" i="3"/>
  <c r="AB783" i="3"/>
  <c r="Y783" i="3"/>
  <c r="Z783" i="3"/>
  <c r="AA783" i="3"/>
  <c r="Z832" i="3"/>
  <c r="AA832" i="3"/>
  <c r="S832" i="3"/>
  <c r="S899" i="3"/>
  <c r="Z899" i="3"/>
  <c r="AA899" i="3"/>
  <c r="S950" i="3"/>
  <c r="Z950" i="3"/>
  <c r="AA950" i="3"/>
  <c r="S1011" i="3"/>
  <c r="Z1011" i="3"/>
  <c r="AA1011" i="3"/>
  <c r="Z1015" i="3"/>
  <c r="AA1015" i="3"/>
  <c r="S1015" i="3"/>
  <c r="U1027" i="3"/>
  <c r="W1027" i="3"/>
  <c r="Z1068" i="3"/>
  <c r="AA1068" i="3"/>
  <c r="S1068" i="3"/>
  <c r="S1090" i="3"/>
  <c r="Z1090" i="3"/>
  <c r="AA1090" i="3"/>
  <c r="Z1095" i="3"/>
  <c r="AA1095" i="3"/>
  <c r="S1095" i="3"/>
  <c r="Z1109" i="3"/>
  <c r="AA1109" i="3"/>
  <c r="S1109" i="3"/>
  <c r="S1180" i="3"/>
  <c r="Z1180" i="3"/>
  <c r="AA1180" i="3"/>
  <c r="Z1193" i="3"/>
  <c r="AA1193" i="3"/>
  <c r="S1193" i="3"/>
  <c r="S1229" i="3"/>
  <c r="Z1229" i="3"/>
  <c r="AA1229" i="3"/>
  <c r="Z1827" i="3"/>
  <c r="AA1827" i="3"/>
  <c r="S1827" i="3"/>
  <c r="Z518" i="3"/>
  <c r="AA518" i="3"/>
  <c r="S726" i="3"/>
  <c r="S866" i="3"/>
  <c r="AB905" i="3"/>
  <c r="Y905" i="3"/>
  <c r="X905" i="3"/>
  <c r="S905" i="3"/>
  <c r="Z923" i="3"/>
  <c r="AA923" i="3"/>
  <c r="S923" i="3"/>
  <c r="Z958" i="3"/>
  <c r="AA958" i="3"/>
  <c r="S998" i="3"/>
  <c r="Z998" i="3"/>
  <c r="AA998" i="3"/>
  <c r="Z1030" i="3"/>
  <c r="AA1030" i="3"/>
  <c r="U1037" i="3"/>
  <c r="V1037" i="3"/>
  <c r="W1037" i="3"/>
  <c r="S1037" i="3"/>
  <c r="S1051" i="3"/>
  <c r="Z1056" i="3"/>
  <c r="AA1056" i="3"/>
  <c r="S1056" i="3"/>
  <c r="Z1066" i="3"/>
  <c r="AA1066" i="3"/>
  <c r="Z1080" i="3"/>
  <c r="AA1080" i="3"/>
  <c r="S1080" i="3"/>
  <c r="S1087" i="3"/>
  <c r="Z1116" i="3"/>
  <c r="AA1116" i="3"/>
  <c r="S1116" i="3"/>
  <c r="Z1220" i="3"/>
  <c r="AA1220" i="3"/>
  <c r="S1220" i="3"/>
  <c r="Z1288" i="3"/>
  <c r="AA1288" i="3"/>
  <c r="S1288" i="3"/>
  <c r="X1344" i="3"/>
  <c r="S1344" i="3"/>
  <c r="AG386" i="3"/>
  <c r="AG396" i="3"/>
  <c r="AG426" i="3"/>
  <c r="AG427" i="3"/>
  <c r="S437" i="3"/>
  <c r="AG440" i="3"/>
  <c r="AG441" i="3"/>
  <c r="AG445" i="3"/>
  <c r="AG450" i="3"/>
  <c r="AG456" i="3"/>
  <c r="AG479" i="3"/>
  <c r="AG484" i="3"/>
  <c r="AG491" i="3"/>
  <c r="Z493" i="3"/>
  <c r="AA493" i="3"/>
  <c r="AG494" i="3"/>
  <c r="AG500" i="3"/>
  <c r="Z501" i="3"/>
  <c r="AA501" i="3"/>
  <c r="S534" i="3"/>
  <c r="S576" i="3"/>
  <c r="S582" i="3"/>
  <c r="S589" i="3"/>
  <c r="S604" i="3"/>
  <c r="AG610" i="3"/>
  <c r="Z614" i="3"/>
  <c r="AA614" i="3"/>
  <c r="Z638" i="3"/>
  <c r="AA638" i="3"/>
  <c r="Z645" i="3"/>
  <c r="AA645" i="3"/>
  <c r="S656" i="3"/>
  <c r="AG735" i="3"/>
  <c r="Z743" i="3"/>
  <c r="AA743" i="3"/>
  <c r="Z744" i="3"/>
  <c r="AA744" i="3"/>
  <c r="Z749" i="3"/>
  <c r="AA749" i="3"/>
  <c r="X756" i="3"/>
  <c r="AG762" i="3"/>
  <c r="AG766" i="3"/>
  <c r="Z776" i="3"/>
  <c r="AA776" i="3"/>
  <c r="Z836" i="3"/>
  <c r="AA836" i="3"/>
  <c r="Z880" i="3"/>
  <c r="AA880" i="3"/>
  <c r="Z892" i="3"/>
  <c r="AA892" i="3"/>
  <c r="S892" i="3"/>
  <c r="AB913" i="3"/>
  <c r="Y913" i="3"/>
  <c r="X913" i="3"/>
  <c r="S913" i="3"/>
  <c r="Z966" i="3"/>
  <c r="AA966" i="3"/>
  <c r="AG973" i="3"/>
  <c r="Z1012" i="3"/>
  <c r="AA1012" i="3"/>
  <c r="S1012" i="3"/>
  <c r="Z1029" i="3"/>
  <c r="AA1029" i="3"/>
  <c r="Z1038" i="3"/>
  <c r="AA1038" i="3"/>
  <c r="S1038" i="3"/>
  <c r="Z1078" i="3"/>
  <c r="AA1078" i="3"/>
  <c r="S1078" i="3"/>
  <c r="AG1263" i="3"/>
  <c r="Z1266" i="3"/>
  <c r="AA1266" i="3"/>
  <c r="Z1365" i="3"/>
  <c r="AA1365" i="3"/>
  <c r="S1365" i="3"/>
  <c r="Z718" i="3"/>
  <c r="AA718" i="3"/>
  <c r="AG765" i="3"/>
  <c r="Z821" i="3"/>
  <c r="AA821" i="3"/>
  <c r="AB915" i="3"/>
  <c r="Y915" i="3"/>
  <c r="Z915" i="3"/>
  <c r="AA915" i="3"/>
  <c r="AG971" i="3"/>
  <c r="AG1061" i="3"/>
  <c r="Z1062" i="3"/>
  <c r="AA1062" i="3"/>
  <c r="S1062" i="3"/>
  <c r="AG1068" i="3"/>
  <c r="Z1204" i="3"/>
  <c r="AA1204" i="3"/>
  <c r="Z1230" i="3"/>
  <c r="AA1230" i="3"/>
  <c r="S1230" i="3"/>
  <c r="S1335" i="3"/>
  <c r="Z1335" i="3"/>
  <c r="AA1335" i="3"/>
  <c r="S1382" i="3"/>
  <c r="Z1382" i="3"/>
  <c r="AA1382" i="3"/>
  <c r="Z1160" i="3"/>
  <c r="AA1160" i="3"/>
  <c r="AG1188" i="3"/>
  <c r="AG1208" i="3"/>
  <c r="Z1213" i="3"/>
  <c r="AA1213" i="3"/>
  <c r="Z1214" i="3"/>
  <c r="AA1214" i="3"/>
  <c r="Z1228" i="3"/>
  <c r="AA1228" i="3"/>
  <c r="AG1275" i="3"/>
  <c r="Z1398" i="3"/>
  <c r="AA1398" i="3"/>
  <c r="S1398" i="3"/>
  <c r="Z1412" i="3"/>
  <c r="AA1412" i="3"/>
  <c r="S1412" i="3"/>
  <c r="Z1424" i="3"/>
  <c r="AA1424" i="3"/>
  <c r="S1424" i="3"/>
  <c r="Z1430" i="3"/>
  <c r="AA1430" i="3"/>
  <c r="S1430" i="3"/>
  <c r="S1583" i="3"/>
  <c r="AA1583" i="3"/>
  <c r="Z1822" i="3"/>
  <c r="AA1822" i="3"/>
  <c r="S1822" i="3"/>
  <c r="Z841" i="3"/>
  <c r="AA841" i="3"/>
  <c r="Z847" i="3"/>
  <c r="AA847" i="3"/>
  <c r="Z856" i="3"/>
  <c r="AA856" i="3"/>
  <c r="AG880" i="3"/>
  <c r="AG884" i="3"/>
  <c r="AG917" i="3"/>
  <c r="Z922" i="3"/>
  <c r="AA922" i="3"/>
  <c r="Z945" i="3"/>
  <c r="AA945" i="3"/>
  <c r="Z960" i="3"/>
  <c r="AA960" i="3"/>
  <c r="AG972" i="3"/>
  <c r="AG991" i="3"/>
  <c r="AG1036" i="3"/>
  <c r="AG1037" i="3"/>
  <c r="AG1069" i="3"/>
  <c r="AG1070" i="3"/>
  <c r="AG1161" i="3"/>
  <c r="Z1189" i="3"/>
  <c r="AA1189" i="3"/>
  <c r="AG1189" i="3"/>
  <c r="AG1192" i="3"/>
  <c r="AG1209" i="3"/>
  <c r="S1237" i="3"/>
  <c r="AG1261" i="3"/>
  <c r="Z1271" i="3"/>
  <c r="AA1271" i="3"/>
  <c r="Z1274" i="3"/>
  <c r="AA1274" i="3"/>
  <c r="AG1305" i="3"/>
  <c r="Z1306" i="3"/>
  <c r="AA1306" i="3"/>
  <c r="AG1322" i="3"/>
  <c r="Z1375" i="3"/>
  <c r="AA1375" i="3"/>
  <c r="Z1378" i="3"/>
  <c r="AA1378" i="3"/>
  <c r="Z1808" i="3"/>
  <c r="AA1808" i="3"/>
  <c r="S1808" i="3"/>
  <c r="Z876" i="3"/>
  <c r="AA876" i="3"/>
  <c r="Z902" i="3"/>
  <c r="AA902" i="3"/>
  <c r="AG968" i="3"/>
  <c r="AG981" i="3"/>
  <c r="AG990" i="3"/>
  <c r="AG1063" i="3"/>
  <c r="AG1071" i="3"/>
  <c r="AG1073" i="3"/>
  <c r="AG1074" i="3"/>
  <c r="AG1101" i="3"/>
  <c r="S1130" i="3"/>
  <c r="AG1158" i="3"/>
  <c r="S1161" i="3"/>
  <c r="AG1191" i="3"/>
  <c r="AG1262" i="3"/>
  <c r="S1351" i="3"/>
  <c r="Z1823" i="3"/>
  <c r="AA1823" i="3"/>
  <c r="S1823" i="3"/>
  <c r="AG1373" i="3"/>
  <c r="Z1426" i="3"/>
  <c r="AA1426" i="3"/>
  <c r="Z1813" i="3"/>
  <c r="AA1813" i="3"/>
  <c r="Z1815" i="3"/>
  <c r="AA1815" i="3"/>
  <c r="Z1817" i="3"/>
  <c r="AA1817" i="3"/>
  <c r="AG1326" i="3"/>
  <c r="AG1367" i="3"/>
  <c r="AG1379" i="3"/>
  <c r="Z1386" i="3"/>
  <c r="AA1386" i="3"/>
  <c r="S1390" i="3"/>
  <c r="AG1393" i="3"/>
  <c r="S1403" i="3"/>
  <c r="S1414" i="3"/>
  <c r="W1717" i="3"/>
  <c r="Z1811" i="3"/>
  <c r="AA1811" i="3"/>
  <c r="Z94" i="3"/>
  <c r="AA94" i="3"/>
  <c r="S94" i="3"/>
  <c r="Z331" i="3"/>
  <c r="AA331" i="3"/>
  <c r="S331" i="3"/>
  <c r="Z326" i="3"/>
  <c r="AA326" i="3"/>
  <c r="S326" i="3"/>
  <c r="S197" i="3"/>
  <c r="Z197" i="3"/>
  <c r="AA197" i="3"/>
  <c r="S230" i="3"/>
  <c r="Z230" i="3"/>
  <c r="AA230" i="3"/>
  <c r="AA184" i="3"/>
  <c r="S184" i="3"/>
  <c r="Z190" i="3"/>
  <c r="AA190" i="3"/>
  <c r="S190" i="3"/>
  <c r="Z262" i="3"/>
  <c r="AA262" i="3"/>
  <c r="S262" i="3"/>
  <c r="Z310" i="3"/>
  <c r="AA310" i="3"/>
  <c r="S310" i="3"/>
  <c r="Z316" i="3"/>
  <c r="AA316" i="3"/>
  <c r="S316" i="3"/>
  <c r="AG311" i="3"/>
  <c r="AG318" i="3"/>
  <c r="AG320" i="3"/>
  <c r="S339" i="3"/>
  <c r="AG343" i="3"/>
  <c r="AG347" i="3"/>
  <c r="S387" i="3"/>
  <c r="Z387" i="3"/>
  <c r="AA387" i="3"/>
  <c r="Z469" i="3"/>
  <c r="AA469" i="3"/>
  <c r="S469" i="3"/>
  <c r="Z478" i="3"/>
  <c r="AA478" i="3"/>
  <c r="S478" i="3"/>
  <c r="Z481" i="3"/>
  <c r="AA481" i="3"/>
  <c r="S481" i="3"/>
  <c r="Z492" i="3"/>
  <c r="AA492" i="3"/>
  <c r="S492" i="3"/>
  <c r="S496" i="3"/>
  <c r="Z496" i="3"/>
  <c r="AA496" i="3"/>
  <c r="Z529" i="3"/>
  <c r="AA529" i="3"/>
  <c r="S529" i="3"/>
  <c r="Z531" i="3"/>
  <c r="AA531" i="3"/>
  <c r="S531" i="3"/>
  <c r="Z623" i="3"/>
  <c r="AA623" i="3"/>
  <c r="S623" i="3"/>
  <c r="Z647" i="3"/>
  <c r="AA647" i="3"/>
  <c r="S647" i="3"/>
  <c r="S720" i="3"/>
  <c r="Z720" i="3"/>
  <c r="AA720" i="3"/>
  <c r="Z7" i="3"/>
  <c r="AA7" i="3"/>
  <c r="Z13" i="3"/>
  <c r="AA13" i="3"/>
  <c r="S50" i="3"/>
  <c r="S57" i="3"/>
  <c r="S72" i="3"/>
  <c r="Z73" i="3"/>
  <c r="AA73" i="3"/>
  <c r="Z84" i="3"/>
  <c r="AA84" i="3"/>
  <c r="W94" i="3"/>
  <c r="AA101" i="3"/>
  <c r="AA102" i="3"/>
  <c r="AG113" i="3"/>
  <c r="Z120" i="3"/>
  <c r="AA120" i="3"/>
  <c r="S129" i="3"/>
  <c r="Z132" i="3"/>
  <c r="AA132" i="3"/>
  <c r="Z137" i="3"/>
  <c r="AA137" i="3"/>
  <c r="AA150" i="3"/>
  <c r="AG165" i="3"/>
  <c r="Z168" i="3"/>
  <c r="AA168" i="3"/>
  <c r="AA171" i="3"/>
  <c r="S175" i="3"/>
  <c r="AG176" i="3"/>
  <c r="AG196" i="3"/>
  <c r="S203" i="3"/>
  <c r="Z205" i="3"/>
  <c r="AA205" i="3"/>
  <c r="Z208" i="3"/>
  <c r="AA208" i="3"/>
  <c r="S212" i="3"/>
  <c r="S226" i="3"/>
  <c r="AG229" i="3"/>
  <c r="AG238" i="3"/>
  <c r="Z240" i="3"/>
  <c r="AA240" i="3"/>
  <c r="Z247" i="3"/>
  <c r="AA247" i="3"/>
  <c r="Z253" i="3"/>
  <c r="AA253" i="3"/>
  <c r="S274" i="3"/>
  <c r="S283" i="3"/>
  <c r="S286" i="3"/>
  <c r="S300" i="3"/>
  <c r="Z313" i="3"/>
  <c r="AA313" i="3"/>
  <c r="S313" i="3"/>
  <c r="S321" i="3"/>
  <c r="Z321" i="3"/>
  <c r="AA321" i="3"/>
  <c r="S381" i="3"/>
  <c r="Z385" i="3"/>
  <c r="AA385" i="3"/>
  <c r="AG385" i="3"/>
  <c r="Z397" i="3"/>
  <c r="AA397" i="3"/>
  <c r="S397" i="3"/>
  <c r="Z480" i="3"/>
  <c r="AA480" i="3"/>
  <c r="S480" i="3"/>
  <c r="S513" i="3"/>
  <c r="AA513" i="3"/>
  <c r="S558" i="3"/>
  <c r="Z558" i="3"/>
  <c r="AA558" i="3"/>
  <c r="Z592" i="3"/>
  <c r="AA592" i="3"/>
  <c r="S592" i="3"/>
  <c r="Z596" i="3"/>
  <c r="AA596" i="3"/>
  <c r="S596" i="3"/>
  <c r="AG611" i="3"/>
  <c r="Z675" i="3"/>
  <c r="AA675" i="3"/>
  <c r="S675" i="3"/>
  <c r="S735" i="3"/>
  <c r="AA735" i="3"/>
  <c r="S108" i="3"/>
  <c r="S216" i="3"/>
  <c r="Y15" i="3"/>
  <c r="X2" i="3"/>
  <c r="S2" i="3"/>
  <c r="AD6" i="3"/>
  <c r="AB6" i="3"/>
  <c r="Z10" i="3"/>
  <c r="AA10" i="3"/>
  <c r="X15" i="3"/>
  <c r="S15" i="3"/>
  <c r="X20" i="3"/>
  <c r="S20" i="3"/>
  <c r="S37" i="3"/>
  <c r="Z39" i="3"/>
  <c r="AA39" i="3"/>
  <c r="Z49" i="3"/>
  <c r="AA49" i="3"/>
  <c r="Z52" i="3"/>
  <c r="AA52" i="3"/>
  <c r="Z54" i="3"/>
  <c r="AA54" i="3"/>
  <c r="S68" i="3"/>
  <c r="Z76" i="3"/>
  <c r="AA76" i="3"/>
  <c r="Z77" i="3"/>
  <c r="AA77" i="3"/>
  <c r="AD79" i="3"/>
  <c r="AB79" i="3"/>
  <c r="AA80" i="3"/>
  <c r="S85" i="3"/>
  <c r="S88" i="3"/>
  <c r="Z91" i="3"/>
  <c r="AA91" i="3"/>
  <c r="Z105" i="3"/>
  <c r="AA105" i="3"/>
  <c r="Z107" i="3"/>
  <c r="AA107" i="3"/>
  <c r="Z109" i="3"/>
  <c r="AA109" i="3"/>
  <c r="AG116" i="3"/>
  <c r="S118" i="3"/>
  <c r="AG118" i="3"/>
  <c r="Z122" i="3"/>
  <c r="AA122" i="3"/>
  <c r="S125" i="3"/>
  <c r="Z126" i="3"/>
  <c r="AA126" i="3"/>
  <c r="AA146" i="3"/>
  <c r="S148" i="3"/>
  <c r="AG148" i="3"/>
  <c r="S151" i="3"/>
  <c r="S154" i="3"/>
  <c r="AG158" i="3"/>
  <c r="W160" i="3"/>
  <c r="AG160" i="3"/>
  <c r="AG164" i="3"/>
  <c r="AG171" i="3"/>
  <c r="AG178" i="3"/>
  <c r="AD179" i="3"/>
  <c r="AB179" i="3"/>
  <c r="Z193" i="3"/>
  <c r="AA193" i="3"/>
  <c r="AG195" i="3"/>
  <c r="AG201" i="3"/>
  <c r="AG213" i="3"/>
  <c r="S214" i="3"/>
  <c r="S218" i="3"/>
  <c r="AG219" i="3"/>
  <c r="AG222" i="3"/>
  <c r="AG230" i="3"/>
  <c r="Z244" i="3"/>
  <c r="AA244" i="3"/>
  <c r="Z245" i="3"/>
  <c r="AA245" i="3"/>
  <c r="AG251" i="3"/>
  <c r="Y254" i="3"/>
  <c r="Z254" i="3"/>
  <c r="AA254" i="3"/>
  <c r="Z255" i="3"/>
  <c r="AA255" i="3"/>
  <c r="Z259" i="3"/>
  <c r="AA259" i="3"/>
  <c r="AG260" i="3"/>
  <c r="Z270" i="3"/>
  <c r="AA270" i="3"/>
  <c r="Z276" i="3"/>
  <c r="AA276" i="3"/>
  <c r="S277" i="3"/>
  <c r="AG278" i="3"/>
  <c r="Z290" i="3"/>
  <c r="AA290" i="3"/>
  <c r="S299" i="3"/>
  <c r="Z303" i="3"/>
  <c r="AA303" i="3"/>
  <c r="Z304" i="3"/>
  <c r="AA304" i="3"/>
  <c r="S304" i="3"/>
  <c r="AG307" i="3"/>
  <c r="Z322" i="3"/>
  <c r="AA322" i="3"/>
  <c r="AG333" i="3"/>
  <c r="Z343" i="3"/>
  <c r="AA343" i="3"/>
  <c r="S347" i="3"/>
  <c r="Z347" i="3"/>
  <c r="AA347" i="3"/>
  <c r="S353" i="3"/>
  <c r="Z359" i="3"/>
  <c r="AA359" i="3"/>
  <c r="AG376" i="3"/>
  <c r="AG388" i="3"/>
  <c r="S389" i="3"/>
  <c r="Z389" i="3"/>
  <c r="AA389" i="3"/>
  <c r="AG409" i="3"/>
  <c r="Z415" i="3"/>
  <c r="AA415" i="3"/>
  <c r="S415" i="3"/>
  <c r="AG447" i="3"/>
  <c r="Z476" i="3"/>
  <c r="AA476" i="3"/>
  <c r="Z503" i="3"/>
  <c r="AA503" i="3"/>
  <c r="S503" i="3"/>
  <c r="Z541" i="3"/>
  <c r="AA541" i="3"/>
  <c r="S541" i="3"/>
  <c r="Z555" i="3"/>
  <c r="AA555" i="3"/>
  <c r="S555" i="3"/>
  <c r="S559" i="3"/>
  <c r="Z559" i="3"/>
  <c r="AA559" i="3"/>
  <c r="S564" i="3"/>
  <c r="Z564" i="3"/>
  <c r="AA564" i="3"/>
  <c r="S577" i="3"/>
  <c r="Z577" i="3"/>
  <c r="AA577" i="3"/>
  <c r="S584" i="3"/>
  <c r="Z584" i="3"/>
  <c r="AA584" i="3"/>
  <c r="S624" i="3"/>
  <c r="Z624" i="3"/>
  <c r="AA624" i="3"/>
  <c r="Z626" i="3"/>
  <c r="AA626" i="3"/>
  <c r="S626" i="3"/>
  <c r="Z671" i="3"/>
  <c r="AA671" i="3"/>
  <c r="S671" i="3"/>
  <c r="Z760" i="3"/>
  <c r="AA760" i="3"/>
  <c r="S760" i="3"/>
  <c r="S9" i="3"/>
  <c r="AG24" i="3"/>
  <c r="U4" i="3"/>
  <c r="W4" i="3"/>
  <c r="S12" i="3"/>
  <c r="S25" i="3"/>
  <c r="Z27" i="3"/>
  <c r="AA27" i="3"/>
  <c r="AG41" i="3"/>
  <c r="AG45" i="3"/>
  <c r="Z46" i="3"/>
  <c r="AA46" i="3"/>
  <c r="Z48" i="3"/>
  <c r="AA48" i="3"/>
  <c r="AG79" i="3"/>
  <c r="Z110" i="3"/>
  <c r="AA110" i="3"/>
  <c r="Z115" i="3"/>
  <c r="AA115" i="3"/>
  <c r="Z119" i="3"/>
  <c r="AA119" i="3"/>
  <c r="AG133" i="3"/>
  <c r="AG137" i="3"/>
  <c r="AG153" i="3"/>
  <c r="AG157" i="3"/>
  <c r="Z166" i="3"/>
  <c r="AA166" i="3"/>
  <c r="AG167" i="3"/>
  <c r="AG169" i="3"/>
  <c r="X195" i="3"/>
  <c r="S195" i="3"/>
  <c r="S224" i="3"/>
  <c r="AG231" i="3"/>
  <c r="Z233" i="3"/>
  <c r="AA233" i="3"/>
  <c r="Z237" i="3"/>
  <c r="AA237" i="3"/>
  <c r="AG265" i="3"/>
  <c r="AG274" i="3"/>
  <c r="Z278" i="3"/>
  <c r="AA278" i="3"/>
  <c r="AG291" i="3"/>
  <c r="AG292" i="3"/>
  <c r="AG293" i="3"/>
  <c r="Z305" i="3"/>
  <c r="AA305" i="3"/>
  <c r="AG317" i="3"/>
  <c r="AG327" i="3"/>
  <c r="Z328" i="3"/>
  <c r="AA328" i="3"/>
  <c r="S328" i="3"/>
  <c r="Z364" i="3"/>
  <c r="AA364" i="3"/>
  <c r="S364" i="3"/>
  <c r="AG372" i="3"/>
  <c r="AG412" i="3"/>
  <c r="AG436" i="3"/>
  <c r="S452" i="3"/>
  <c r="Z452" i="3"/>
  <c r="AA452" i="3"/>
  <c r="Z458" i="3"/>
  <c r="AA458" i="3"/>
  <c r="S458" i="3"/>
  <c r="Z474" i="3"/>
  <c r="AA474" i="3"/>
  <c r="S474" i="3"/>
  <c r="Y484" i="3"/>
  <c r="Z484" i="3"/>
  <c r="AA484" i="3"/>
  <c r="S484" i="3"/>
  <c r="AG485" i="3"/>
  <c r="S509" i="3"/>
  <c r="AA509" i="3"/>
  <c r="Z545" i="3"/>
  <c r="AA545" i="3"/>
  <c r="S545" i="3"/>
  <c r="S552" i="3"/>
  <c r="Z552" i="3"/>
  <c r="AA552" i="3"/>
  <c r="Z556" i="3"/>
  <c r="AA556" i="3"/>
  <c r="S556" i="3"/>
  <c r="Z591" i="3"/>
  <c r="AA591" i="3"/>
  <c r="S591" i="3"/>
  <c r="Z621" i="3"/>
  <c r="AA621" i="3"/>
  <c r="Z630" i="3"/>
  <c r="AA630" i="3"/>
  <c r="S630" i="3"/>
  <c r="Z635" i="3"/>
  <c r="AA635" i="3"/>
  <c r="S635" i="3"/>
  <c r="AG420" i="3"/>
  <c r="AG448" i="3"/>
  <c r="AG452" i="3"/>
  <c r="AG496" i="3"/>
  <c r="Z595" i="3"/>
  <c r="AA595" i="3"/>
  <c r="AG612" i="3"/>
  <c r="Z620" i="3"/>
  <c r="AA620" i="3"/>
  <c r="AG623" i="3"/>
  <c r="Z699" i="3"/>
  <c r="AA699" i="3"/>
  <c r="Z716" i="3"/>
  <c r="AA716" i="3"/>
  <c r="Z738" i="3"/>
  <c r="AA738" i="3"/>
  <c r="Z742" i="3"/>
  <c r="AA742" i="3"/>
  <c r="Z747" i="3"/>
  <c r="AA747" i="3"/>
  <c r="AB751" i="3"/>
  <c r="AB752" i="3"/>
  <c r="AB753" i="3"/>
  <c r="AG760" i="3"/>
  <c r="Z764" i="3"/>
  <c r="AA764" i="3"/>
  <c r="S782" i="3"/>
  <c r="Z782" i="3"/>
  <c r="AA782" i="3"/>
  <c r="Z860" i="3"/>
  <c r="AA860" i="3"/>
  <c r="S860" i="3"/>
  <c r="S882" i="3"/>
  <c r="Z882" i="3"/>
  <c r="AA882" i="3"/>
  <c r="Z929" i="3"/>
  <c r="AA929" i="3"/>
  <c r="S929" i="3"/>
  <c r="Z806" i="3"/>
  <c r="AA806" i="3"/>
  <c r="S821" i="3"/>
  <c r="S829" i="3"/>
  <c r="Z829" i="3"/>
  <c r="AA829" i="3"/>
  <c r="Z831" i="3"/>
  <c r="AA831" i="3"/>
  <c r="S831" i="3"/>
  <c r="Z833" i="3"/>
  <c r="AA833" i="3"/>
  <c r="S836" i="3"/>
  <c r="Z918" i="3"/>
  <c r="AA918" i="3"/>
  <c r="S918" i="3"/>
  <c r="Z931" i="3"/>
  <c r="AA931" i="3"/>
  <c r="S931" i="3"/>
  <c r="Z947" i="3"/>
  <c r="AA947" i="3"/>
  <c r="S947" i="3"/>
  <c r="AG275" i="3"/>
  <c r="AG313" i="3"/>
  <c r="AG325" i="3"/>
  <c r="AG339" i="3"/>
  <c r="AG378" i="3"/>
  <c r="AG402" i="3"/>
  <c r="AG410" i="3"/>
  <c r="AG413" i="3"/>
  <c r="AG417" i="3"/>
  <c r="AG435" i="3"/>
  <c r="AG437" i="3"/>
  <c r="AG446" i="3"/>
  <c r="AG454" i="3"/>
  <c r="AG474" i="3"/>
  <c r="AG480" i="3"/>
  <c r="AG486" i="3"/>
  <c r="S498" i="3"/>
  <c r="S588" i="3"/>
  <c r="Z598" i="3"/>
  <c r="AA598" i="3"/>
  <c r="Z600" i="3"/>
  <c r="AA600" i="3"/>
  <c r="Z612" i="3"/>
  <c r="AA612" i="3"/>
  <c r="Z615" i="3"/>
  <c r="AA615" i="3"/>
  <c r="Z644" i="3"/>
  <c r="AA644" i="3"/>
  <c r="S657" i="3"/>
  <c r="Z664" i="3"/>
  <c r="AA664" i="3"/>
  <c r="Z721" i="3"/>
  <c r="AA721" i="3"/>
  <c r="S723" i="3"/>
  <c r="S727" i="3"/>
  <c r="S730" i="3"/>
  <c r="W732" i="3"/>
  <c r="AG733" i="3"/>
  <c r="AG738" i="3"/>
  <c r="AD754" i="3"/>
  <c r="AB754" i="3"/>
  <c r="Z761" i="3"/>
  <c r="AA761" i="3"/>
  <c r="AG761" i="3"/>
  <c r="X766" i="3"/>
  <c r="S766" i="3"/>
  <c r="Z780" i="3"/>
  <c r="AA780" i="3"/>
  <c r="Z800" i="3"/>
  <c r="AA800" i="3"/>
  <c r="Z818" i="3"/>
  <c r="AA818" i="3"/>
  <c r="AD852" i="3"/>
  <c r="AB852" i="3"/>
  <c r="Z852" i="3"/>
  <c r="AA852" i="3"/>
  <c r="S891" i="3"/>
  <c r="Z896" i="3"/>
  <c r="AA896" i="3"/>
  <c r="S896" i="3"/>
  <c r="S917" i="3"/>
  <c r="Z917" i="3"/>
  <c r="AA917" i="3"/>
  <c r="Z919" i="3"/>
  <c r="AA919" i="3"/>
  <c r="U956" i="3"/>
  <c r="W956" i="3"/>
  <c r="S975" i="3"/>
  <c r="Z975" i="3"/>
  <c r="AA975" i="3"/>
  <c r="Z1040" i="3"/>
  <c r="AA1040" i="3"/>
  <c r="S1040" i="3"/>
  <c r="AG373" i="3"/>
  <c r="AG392" i="3"/>
  <c r="AG398" i="3"/>
  <c r="AG400" i="3"/>
  <c r="AG401" i="3"/>
  <c r="AG419" i="3"/>
  <c r="AG421" i="3"/>
  <c r="AG423" i="3"/>
  <c r="AG475" i="3"/>
  <c r="Z486" i="3"/>
  <c r="AA486" i="3"/>
  <c r="AG490" i="3"/>
  <c r="Z499" i="3"/>
  <c r="AA499" i="3"/>
  <c r="Z517" i="3"/>
  <c r="AA517" i="3"/>
  <c r="AG593" i="3"/>
  <c r="AG609" i="3"/>
  <c r="Z640" i="3"/>
  <c r="AA640" i="3"/>
  <c r="Z642" i="3"/>
  <c r="AA642" i="3"/>
  <c r="Z660" i="3"/>
  <c r="AA660" i="3"/>
  <c r="S718" i="3"/>
  <c r="U723" i="3"/>
  <c r="W723" i="3"/>
  <c r="S729" i="3"/>
  <c r="Z737" i="3"/>
  <c r="AA737" i="3"/>
  <c r="S739" i="3"/>
  <c r="AB743" i="3"/>
  <c r="AG751" i="3"/>
  <c r="AG753" i="3"/>
  <c r="AG756" i="3"/>
  <c r="X757" i="3"/>
  <c r="S757" i="3"/>
  <c r="AG757" i="3"/>
  <c r="AG767" i="3"/>
  <c r="Z789" i="3"/>
  <c r="AA789" i="3"/>
  <c r="S789" i="3"/>
  <c r="Z795" i="3"/>
  <c r="AA795" i="3"/>
  <c r="S795" i="3"/>
  <c r="S834" i="3"/>
  <c r="Z834" i="3"/>
  <c r="AA834" i="3"/>
  <c r="Z844" i="3"/>
  <c r="AA844" i="3"/>
  <c r="S844" i="3"/>
  <c r="S868" i="3"/>
  <c r="AB870" i="3"/>
  <c r="Y870" i="3"/>
  <c r="Z870" i="3"/>
  <c r="AA870" i="3"/>
  <c r="Z927" i="3"/>
  <c r="AA927" i="3"/>
  <c r="S927" i="3"/>
  <c r="Z1057" i="3"/>
  <c r="AA1057" i="3"/>
  <c r="S1057" i="3"/>
  <c r="S1083" i="3"/>
  <c r="Z1083" i="3"/>
  <c r="AA1083" i="3"/>
  <c r="Z1113" i="3"/>
  <c r="AA1113" i="3"/>
  <c r="S1113" i="3"/>
  <c r="S1184" i="3"/>
  <c r="Z1184" i="3"/>
  <c r="AA1184" i="3"/>
  <c r="Z846" i="3"/>
  <c r="AA846" i="3"/>
  <c r="Z858" i="3"/>
  <c r="AA858" i="3"/>
  <c r="Z873" i="3"/>
  <c r="AA873" i="3"/>
  <c r="V911" i="3"/>
  <c r="W911" i="3"/>
  <c r="Z940" i="3"/>
  <c r="AA940" i="3"/>
  <c r="S940" i="3"/>
  <c r="Z963" i="3"/>
  <c r="AA963" i="3"/>
  <c r="S963" i="3"/>
  <c r="Z970" i="3"/>
  <c r="AA970" i="3"/>
  <c r="AD970" i="3"/>
  <c r="AB970" i="3"/>
  <c r="Z972" i="3"/>
  <c r="AA972" i="3"/>
  <c r="Z1023" i="3"/>
  <c r="AA1023" i="3"/>
  <c r="S1031" i="3"/>
  <c r="S1075" i="3"/>
  <c r="Z1075" i="3"/>
  <c r="AA1075" i="3"/>
  <c r="S1101" i="3"/>
  <c r="Z1101" i="3"/>
  <c r="AA1101" i="3"/>
  <c r="S1155" i="3"/>
  <c r="Z1155" i="3"/>
  <c r="AA1155" i="3"/>
  <c r="S1190" i="3"/>
  <c r="Z1190" i="3"/>
  <c r="AA1190" i="3"/>
  <c r="Z823" i="3"/>
  <c r="AA823" i="3"/>
  <c r="S859" i="3"/>
  <c r="S867" i="3"/>
  <c r="S873" i="3"/>
  <c r="S875" i="3"/>
  <c r="Z879" i="3"/>
  <c r="AA879" i="3"/>
  <c r="Z895" i="3"/>
  <c r="AA895" i="3"/>
  <c r="S939" i="3"/>
  <c r="Z954" i="3"/>
  <c r="AA954" i="3"/>
  <c r="Z965" i="3"/>
  <c r="AA965" i="3"/>
  <c r="S965" i="3"/>
  <c r="AG967" i="3"/>
  <c r="AD972" i="3"/>
  <c r="AB972" i="3"/>
  <c r="Z973" i="3"/>
  <c r="AA973" i="3"/>
  <c r="AG974" i="3"/>
  <c r="S976" i="3"/>
  <c r="S984" i="3"/>
  <c r="Z989" i="3"/>
  <c r="AA989" i="3"/>
  <c r="Z1005" i="3"/>
  <c r="AA1005" i="3"/>
  <c r="Z1006" i="3"/>
  <c r="AA1006" i="3"/>
  <c r="S1027" i="3"/>
  <c r="AG1039" i="3"/>
  <c r="Z1076" i="3"/>
  <c r="AA1076" i="3"/>
  <c r="S1076" i="3"/>
  <c r="S1093" i="3"/>
  <c r="Z1093" i="3"/>
  <c r="AA1093" i="3"/>
  <c r="Z1094" i="3"/>
  <c r="AA1094" i="3"/>
  <c r="S1094" i="3"/>
  <c r="Z1099" i="3"/>
  <c r="AA1099" i="3"/>
  <c r="S1099" i="3"/>
  <c r="S1103" i="3"/>
  <c r="Z1103" i="3"/>
  <c r="AA1103" i="3"/>
  <c r="Z1106" i="3"/>
  <c r="AA1106" i="3"/>
  <c r="S1106" i="3"/>
  <c r="S1108" i="3"/>
  <c r="Z1108" i="3"/>
  <c r="AA1108" i="3"/>
  <c r="Z1134" i="3"/>
  <c r="AA1134" i="3"/>
  <c r="S1134" i="3"/>
  <c r="Z807" i="3"/>
  <c r="AA807" i="3"/>
  <c r="S808" i="3"/>
  <c r="S811" i="3"/>
  <c r="S817" i="3"/>
  <c r="W833" i="3"/>
  <c r="S843" i="3"/>
  <c r="S876" i="3"/>
  <c r="S880" i="3"/>
  <c r="S900" i="3"/>
  <c r="S959" i="3"/>
  <c r="S961" i="3"/>
  <c r="S964" i="3"/>
  <c r="AG970" i="3"/>
  <c r="Z982" i="3"/>
  <c r="AA982" i="3"/>
  <c r="S982" i="3"/>
  <c r="AG987" i="3"/>
  <c r="AG988" i="3"/>
  <c r="X995" i="3"/>
  <c r="S995" i="3"/>
  <c r="Y995" i="3"/>
  <c r="Z1013" i="3"/>
  <c r="AA1013" i="3"/>
  <c r="S1013" i="3"/>
  <c r="S1028" i="3"/>
  <c r="Z1028" i="3"/>
  <c r="AA1028" i="3"/>
  <c r="Z1033" i="3"/>
  <c r="AA1033" i="3"/>
  <c r="S1033" i="3"/>
  <c r="Z1054" i="3"/>
  <c r="AA1054" i="3"/>
  <c r="S1054" i="3"/>
  <c r="Z1115" i="3"/>
  <c r="AA1115" i="3"/>
  <c r="S1115" i="3"/>
  <c r="Z1132" i="3"/>
  <c r="AA1132" i="3"/>
  <c r="S1132" i="3"/>
  <c r="S1053" i="3"/>
  <c r="S1058" i="3"/>
  <c r="AG1059" i="3"/>
  <c r="AG1064" i="3"/>
  <c r="AG1094" i="3"/>
  <c r="AG1095" i="3"/>
  <c r="S1096" i="3"/>
  <c r="AG1102" i="3"/>
  <c r="S1112" i="3"/>
  <c r="Z1176" i="3"/>
  <c r="AA1176" i="3"/>
  <c r="Z1185" i="3"/>
  <c r="AA1185" i="3"/>
  <c r="S1194" i="3"/>
  <c r="Z1194" i="3"/>
  <c r="AA1194" i="3"/>
  <c r="AG1210" i="3"/>
  <c r="Z1215" i="3"/>
  <c r="AA1215" i="3"/>
  <c r="AG1227" i="3"/>
  <c r="AG1228" i="3"/>
  <c r="AG1229" i="3"/>
  <c r="AG1233" i="3"/>
  <c r="Z1242" i="3"/>
  <c r="AA1242" i="3"/>
  <c r="S1242" i="3"/>
  <c r="S1244" i="3"/>
  <c r="Z1292" i="3"/>
  <c r="AA1292" i="3"/>
  <c r="S1292" i="3"/>
  <c r="S1301" i="3"/>
  <c r="Z1301" i="3"/>
  <c r="AA1301" i="3"/>
  <c r="S1316" i="3"/>
  <c r="Z1316" i="3"/>
  <c r="AA1316" i="3"/>
  <c r="Z1227" i="3"/>
  <c r="AA1227" i="3"/>
  <c r="S1227" i="3"/>
  <c r="S1236" i="3"/>
  <c r="Z1236" i="3"/>
  <c r="AA1236" i="3"/>
  <c r="Z1252" i="3"/>
  <c r="AA1252" i="3"/>
  <c r="S1252" i="3"/>
  <c r="Z1275" i="3"/>
  <c r="AA1275" i="3"/>
  <c r="S1275" i="3"/>
  <c r="AA1347" i="3"/>
  <c r="S1347" i="3"/>
  <c r="Z1374" i="3"/>
  <c r="AA1374" i="3"/>
  <c r="S1374" i="3"/>
  <c r="Z953" i="3"/>
  <c r="AA953" i="3"/>
  <c r="AG989" i="3"/>
  <c r="Z1003" i="3"/>
  <c r="AA1003" i="3"/>
  <c r="AG1038" i="3"/>
  <c r="AG1065" i="3"/>
  <c r="AG1097" i="3"/>
  <c r="AG1100" i="3"/>
  <c r="AG1103" i="3"/>
  <c r="S1131" i="3"/>
  <c r="S1136" i="3"/>
  <c r="S1138" i="3"/>
  <c r="S1140" i="3"/>
  <c r="Z1151" i="3"/>
  <c r="AA1151" i="3"/>
  <c r="S1173" i="3"/>
  <c r="S1212" i="3"/>
  <c r="Z1232" i="3"/>
  <c r="AA1232" i="3"/>
  <c r="Z1238" i="3"/>
  <c r="AA1238" i="3"/>
  <c r="S1240" i="3"/>
  <c r="Z1243" i="3"/>
  <c r="AA1243" i="3"/>
  <c r="S1243" i="3"/>
  <c r="Z1248" i="3"/>
  <c r="AA1248" i="3"/>
  <c r="S1250" i="3"/>
  <c r="Z1255" i="3"/>
  <c r="AA1255" i="3"/>
  <c r="S1255" i="3"/>
  <c r="AG1104" i="3"/>
  <c r="S1152" i="3"/>
  <c r="Z1157" i="3"/>
  <c r="AA1157" i="3"/>
  <c r="Z1158" i="3"/>
  <c r="AA1158" i="3"/>
  <c r="S1158" i="3"/>
  <c r="S1189" i="3"/>
  <c r="S1197" i="3"/>
  <c r="Z1216" i="3"/>
  <c r="AA1216" i="3"/>
  <c r="S1216" i="3"/>
  <c r="Z1246" i="3"/>
  <c r="AA1246" i="3"/>
  <c r="S1246" i="3"/>
  <c r="S1247" i="3"/>
  <c r="Z1251" i="3"/>
  <c r="AA1251" i="3"/>
  <c r="S1251" i="3"/>
  <c r="Z1264" i="3"/>
  <c r="AA1264" i="3"/>
  <c r="S1264" i="3"/>
  <c r="AG1264" i="3"/>
  <c r="AG1265" i="3"/>
  <c r="AG1302" i="3"/>
  <c r="Z1318" i="3"/>
  <c r="AA1318" i="3"/>
  <c r="AG1325" i="3"/>
  <c r="AG1329" i="3"/>
  <c r="AA1345" i="3"/>
  <c r="V1352" i="3"/>
  <c r="W1352" i="3"/>
  <c r="S1355" i="3"/>
  <c r="S1358" i="3"/>
  <c r="V1359" i="3"/>
  <c r="W1359" i="3"/>
  <c r="Z1362" i="3"/>
  <c r="AA1362" i="3"/>
  <c r="AG1365" i="3"/>
  <c r="AG1378" i="3"/>
  <c r="S1404" i="3"/>
  <c r="Z1404" i="3"/>
  <c r="AA1404" i="3"/>
  <c r="Z1415" i="3"/>
  <c r="AA1415" i="3"/>
  <c r="S1418" i="3"/>
  <c r="S1459" i="3"/>
  <c r="Z1459" i="3"/>
  <c r="AA1459" i="3"/>
  <c r="U1509" i="3"/>
  <c r="W1509" i="3"/>
  <c r="Z1171" i="3"/>
  <c r="AA1171" i="3"/>
  <c r="AG1181" i="3"/>
  <c r="Z1187" i="3"/>
  <c r="AA1187" i="3"/>
  <c r="AG1187" i="3"/>
  <c r="AG1190" i="3"/>
  <c r="AG1194" i="3"/>
  <c r="Z1198" i="3"/>
  <c r="AA1198" i="3"/>
  <c r="V1205" i="3"/>
  <c r="W1205" i="3"/>
  <c r="AG1230" i="3"/>
  <c r="AG1232" i="3"/>
  <c r="W1237" i="3"/>
  <c r="S1254" i="3"/>
  <c r="AG1260" i="3"/>
  <c r="Z1262" i="3"/>
  <c r="AA1262" i="3"/>
  <c r="Z1269" i="3"/>
  <c r="AA1269" i="3"/>
  <c r="AG1303" i="3"/>
  <c r="AA1322" i="3"/>
  <c r="AA1326" i="3"/>
  <c r="Z1337" i="3"/>
  <c r="AA1337" i="3"/>
  <c r="Z1341" i="3"/>
  <c r="AA1341" i="3"/>
  <c r="AG1346" i="3"/>
  <c r="S1354" i="3"/>
  <c r="S1359" i="3"/>
  <c r="AG1362" i="3"/>
  <c r="Z1366" i="3"/>
  <c r="AA1366" i="3"/>
  <c r="AG1375" i="3"/>
  <c r="Z1380" i="3"/>
  <c r="AA1380" i="3"/>
  <c r="Z1388" i="3"/>
  <c r="AA1388" i="3"/>
  <c r="Z1392" i="3"/>
  <c r="AA1392" i="3"/>
  <c r="S1392" i="3"/>
  <c r="Z1400" i="3"/>
  <c r="AA1400" i="3"/>
  <c r="S1400" i="3"/>
  <c r="U1431" i="3"/>
  <c r="W1431" i="3"/>
  <c r="S1454" i="3"/>
  <c r="Z1454" i="3"/>
  <c r="AA1454" i="3"/>
  <c r="U1507" i="3"/>
  <c r="W1507" i="3"/>
  <c r="AG1266" i="3"/>
  <c r="S1381" i="3"/>
  <c r="Z1385" i="3"/>
  <c r="AA1385" i="3"/>
  <c r="S1385" i="3"/>
  <c r="Z1387" i="3"/>
  <c r="AA1387" i="3"/>
  <c r="Z1393" i="3"/>
  <c r="AA1393" i="3"/>
  <c r="Z1409" i="3"/>
  <c r="AA1409" i="3"/>
  <c r="S1409" i="3"/>
  <c r="S1448" i="3"/>
  <c r="Z1448" i="3"/>
  <c r="AA1448" i="3"/>
  <c r="Z1455" i="3"/>
  <c r="AA1455" i="3"/>
  <c r="S1455" i="3"/>
  <c r="S1496" i="3"/>
  <c r="V1496" i="3"/>
  <c r="W1496" i="3"/>
  <c r="U1510" i="3"/>
  <c r="W1510" i="3"/>
  <c r="AA1589" i="3"/>
  <c r="S1589" i="3"/>
  <c r="U1432" i="3"/>
  <c r="W1432" i="3"/>
  <c r="Z1441" i="3"/>
  <c r="AA1441" i="3"/>
  <c r="AG1448" i="3"/>
  <c r="Z1456" i="3"/>
  <c r="AA1456" i="3"/>
  <c r="W1444" i="3"/>
  <c r="AG1451" i="3"/>
  <c r="AG1453" i="3"/>
  <c r="Z1820" i="3"/>
  <c r="AA1820" i="3"/>
  <c r="AG1380" i="3"/>
  <c r="S1399" i="3"/>
  <c r="S1401" i="3"/>
  <c r="AG1414" i="3"/>
  <c r="W1442" i="3"/>
  <c r="Z1819" i="3"/>
  <c r="AA1819" i="3"/>
  <c r="Z1809" i="3"/>
  <c r="AA1809" i="3"/>
  <c r="Z1816" i="3"/>
  <c r="AA1816" i="3"/>
  <c r="Z1818" i="3"/>
  <c r="AA1818" i="3"/>
  <c r="Z1814" i="3"/>
  <c r="AA1814" i="3"/>
  <c r="Z1821" i="3"/>
  <c r="AA1821" i="3"/>
  <c r="S3" i="3"/>
  <c r="AA3" i="3"/>
  <c r="Z334" i="3"/>
  <c r="AA334" i="3"/>
  <c r="S334" i="3"/>
  <c r="Z93" i="3"/>
  <c r="AA93" i="3"/>
  <c r="S93" i="3"/>
  <c r="Z229" i="3"/>
  <c r="AA229" i="3"/>
  <c r="S229" i="3"/>
  <c r="Z96" i="3"/>
  <c r="AA96" i="3"/>
  <c r="S96" i="3"/>
  <c r="S99" i="3"/>
  <c r="Z99" i="3"/>
  <c r="AA99" i="3"/>
  <c r="Z323" i="3"/>
  <c r="AA323" i="3"/>
  <c r="S323" i="3"/>
  <c r="Z196" i="3"/>
  <c r="AA196" i="3"/>
  <c r="S196" i="3"/>
  <c r="Z174" i="3"/>
  <c r="AA174" i="3"/>
  <c r="Z187" i="3"/>
  <c r="AA187" i="3"/>
  <c r="S187" i="3"/>
  <c r="Z327" i="3"/>
  <c r="AA327" i="3"/>
  <c r="S327" i="3"/>
  <c r="Z335" i="3"/>
  <c r="AA335" i="3"/>
  <c r="S335" i="3"/>
  <c r="Z200" i="3"/>
  <c r="AA200" i="3"/>
  <c r="S200" i="3"/>
  <c r="Z225" i="3"/>
  <c r="AA225" i="3"/>
  <c r="S225" i="3"/>
  <c r="Z232" i="3"/>
  <c r="AA232" i="3"/>
  <c r="S232" i="3"/>
  <c r="S260" i="3"/>
  <c r="Z260" i="3"/>
  <c r="AA260" i="3"/>
  <c r="Z338" i="3"/>
  <c r="AA338" i="3"/>
  <c r="S338" i="3"/>
  <c r="S258" i="3"/>
  <c r="Z350" i="3"/>
  <c r="AA350" i="3"/>
  <c r="S350" i="3"/>
  <c r="S479" i="3"/>
  <c r="Z479" i="3"/>
  <c r="AA479" i="3"/>
  <c r="Z617" i="3"/>
  <c r="AA617" i="3"/>
  <c r="S617" i="3"/>
  <c r="Z634" i="3"/>
  <c r="AA634" i="3"/>
  <c r="S634" i="3"/>
  <c r="Z670" i="3"/>
  <c r="AA670" i="3"/>
  <c r="S670" i="3"/>
  <c r="Z673" i="3"/>
  <c r="AA673" i="3"/>
  <c r="S673" i="3"/>
  <c r="Z680" i="3"/>
  <c r="AA680" i="3"/>
  <c r="S680" i="3"/>
  <c r="X784" i="3"/>
  <c r="S784" i="3"/>
  <c r="Z903" i="3"/>
  <c r="AA903" i="3"/>
  <c r="S903" i="3"/>
  <c r="Z1000" i="3"/>
  <c r="AA1000" i="3"/>
  <c r="S1000" i="3"/>
  <c r="Z1135" i="3"/>
  <c r="AA1135" i="3"/>
  <c r="S1135" i="3"/>
  <c r="Z1139" i="3"/>
  <c r="AA1139" i="3"/>
  <c r="S1139" i="3"/>
  <c r="Z1181" i="3"/>
  <c r="AA1181" i="3"/>
  <c r="S1181" i="3"/>
  <c r="Z1182" i="3"/>
  <c r="AA1182" i="3"/>
  <c r="S1182" i="3"/>
  <c r="Z1317" i="3"/>
  <c r="AA1317" i="3"/>
  <c r="S1317" i="3"/>
  <c r="Z1334" i="3"/>
  <c r="AA1334" i="3"/>
  <c r="S1334" i="3"/>
  <c r="S1339" i="3"/>
  <c r="Z1339" i="3"/>
  <c r="AA1339" i="3"/>
  <c r="S1342" i="3"/>
  <c r="Z1342" i="3"/>
  <c r="AA1342" i="3"/>
  <c r="AA1591" i="3"/>
  <c r="S1591" i="3"/>
  <c r="S454" i="3"/>
  <c r="Z455" i="3"/>
  <c r="AA455" i="3"/>
  <c r="S455" i="3"/>
  <c r="S473" i="3"/>
  <c r="Z473" i="3"/>
  <c r="AA473" i="3"/>
  <c r="Z610" i="3"/>
  <c r="AA610" i="3"/>
  <c r="S610" i="3"/>
  <c r="Z622" i="3"/>
  <c r="AA622" i="3"/>
  <c r="S622" i="3"/>
  <c r="S672" i="3"/>
  <c r="Z672" i="3"/>
  <c r="AA672" i="3"/>
  <c r="S688" i="3"/>
  <c r="Z688" i="3"/>
  <c r="AA688" i="3"/>
  <c r="Z770" i="3"/>
  <c r="AA770" i="3"/>
  <c r="S770" i="3"/>
  <c r="Z792" i="3"/>
  <c r="AA792" i="3"/>
  <c r="S792" i="3"/>
  <c r="Z799" i="3"/>
  <c r="AA799" i="3"/>
  <c r="S799" i="3"/>
  <c r="Z839" i="3"/>
  <c r="AA839" i="3"/>
  <c r="S839" i="3"/>
  <c r="S41" i="3"/>
  <c r="S112" i="3"/>
  <c r="S307" i="3"/>
  <c r="Z468" i="3"/>
  <c r="AA468" i="3"/>
  <c r="S468" i="3"/>
  <c r="Z495" i="3"/>
  <c r="AA495" i="3"/>
  <c r="S495" i="3"/>
  <c r="S522" i="3"/>
  <c r="Z522" i="3"/>
  <c r="AA522" i="3"/>
  <c r="Z527" i="3"/>
  <c r="AA527" i="3"/>
  <c r="S527" i="3"/>
  <c r="S665" i="3"/>
  <c r="Z665" i="3"/>
  <c r="AA665" i="3"/>
  <c r="Z667" i="3"/>
  <c r="AA667" i="3"/>
  <c r="S667" i="3"/>
  <c r="S703" i="3"/>
  <c r="Z703" i="3"/>
  <c r="AA703" i="3"/>
  <c r="W2" i="3"/>
  <c r="W3" i="3"/>
  <c r="W5" i="3"/>
  <c r="S14" i="3"/>
  <c r="AA18" i="3"/>
  <c r="AA19" i="3"/>
  <c r="W20" i="3"/>
  <c r="W25" i="3"/>
  <c r="S26" i="3"/>
  <c r="S28" i="3"/>
  <c r="Z32" i="3"/>
  <c r="AA32" i="3"/>
  <c r="Z33" i="3"/>
  <c r="AA33" i="3"/>
  <c r="S64" i="3"/>
  <c r="Z67" i="3"/>
  <c r="AA67" i="3"/>
  <c r="S70" i="3"/>
  <c r="S74" i="3"/>
  <c r="Z75" i="3"/>
  <c r="AA75" i="3"/>
  <c r="AA78" i="3"/>
  <c r="AA79" i="3"/>
  <c r="W88" i="3"/>
  <c r="Z106" i="3"/>
  <c r="AA106" i="3"/>
  <c r="S106" i="3"/>
  <c r="S107" i="3"/>
  <c r="S110" i="3"/>
  <c r="S134" i="3"/>
  <c r="S135" i="3"/>
  <c r="AA139" i="3"/>
  <c r="AA143" i="3"/>
  <c r="W153" i="3"/>
  <c r="S157" i="3"/>
  <c r="Z173" i="3"/>
  <c r="AA173" i="3"/>
  <c r="S177" i="3"/>
  <c r="X186" i="3"/>
  <c r="AA186" i="3"/>
  <c r="S285" i="3"/>
  <c r="S291" i="3"/>
  <c r="S296" i="3"/>
  <c r="Z296" i="3"/>
  <c r="AA296" i="3"/>
  <c r="Z298" i="3"/>
  <c r="AA298" i="3"/>
  <c r="S320" i="3"/>
  <c r="Z337" i="3"/>
  <c r="AA337" i="3"/>
  <c r="S344" i="3"/>
  <c r="S355" i="3"/>
  <c r="AA369" i="3"/>
  <c r="Z370" i="3"/>
  <c r="AA370" i="3"/>
  <c r="S370" i="3"/>
  <c r="S373" i="3"/>
  <c r="Z374" i="3"/>
  <c r="AA374" i="3"/>
  <c r="S374" i="3"/>
  <c r="Z375" i="3"/>
  <c r="AA375" i="3"/>
  <c r="Z394" i="3"/>
  <c r="AA394" i="3"/>
  <c r="S394" i="3"/>
  <c r="Z402" i="3"/>
  <c r="AA402" i="3"/>
  <c r="Z407" i="3"/>
  <c r="AA407" i="3"/>
  <c r="S407" i="3"/>
  <c r="S409" i="3"/>
  <c r="Z437" i="3"/>
  <c r="AA437" i="3"/>
  <c r="Z442" i="3"/>
  <c r="AA442" i="3"/>
  <c r="S442" i="3"/>
  <c r="Z451" i="3"/>
  <c r="AA451" i="3"/>
  <c r="S451" i="3"/>
  <c r="X5" i="3"/>
  <c r="S5" i="3"/>
  <c r="W15" i="3"/>
  <c r="AA15" i="3"/>
  <c r="AA16" i="3"/>
  <c r="AA17" i="3"/>
  <c r="W29" i="3"/>
  <c r="Z38" i="3"/>
  <c r="AA38" i="3"/>
  <c r="S38" i="3"/>
  <c r="AA44" i="3"/>
  <c r="S48" i="3"/>
  <c r="S55" i="3"/>
  <c r="AG55" i="3"/>
  <c r="S56" i="3"/>
  <c r="AG57" i="3"/>
  <c r="S82" i="3"/>
  <c r="S86" i="3"/>
  <c r="S87" i="3"/>
  <c r="AG89" i="3"/>
  <c r="S90" i="3"/>
  <c r="S91" i="3"/>
  <c r="AG92" i="3"/>
  <c r="Z95" i="3"/>
  <c r="AA95" i="3"/>
  <c r="S97" i="3"/>
  <c r="W99" i="3"/>
  <c r="S105" i="3"/>
  <c r="S109" i="3"/>
  <c r="Z113" i="3"/>
  <c r="AA113" i="3"/>
  <c r="S114" i="3"/>
  <c r="AG115" i="3"/>
  <c r="AG117" i="3"/>
  <c r="Z123" i="3"/>
  <c r="AA123" i="3"/>
  <c r="S131" i="3"/>
  <c r="S140" i="3"/>
  <c r="AA141" i="3"/>
  <c r="S141" i="3"/>
  <c r="S156" i="3"/>
  <c r="Z163" i="3"/>
  <c r="AA163" i="3"/>
  <c r="S164" i="3"/>
  <c r="AA170" i="3"/>
  <c r="S173" i="3"/>
  <c r="AG173" i="3"/>
  <c r="S174" i="3"/>
  <c r="S181" i="3"/>
  <c r="S183" i="3"/>
  <c r="AA185" i="3"/>
  <c r="Z189" i="3"/>
  <c r="AA189" i="3"/>
  <c r="AG190" i="3"/>
  <c r="S191" i="3"/>
  <c r="S192" i="3"/>
  <c r="Z198" i="3"/>
  <c r="AA198" i="3"/>
  <c r="Z199" i="3"/>
  <c r="AA199" i="3"/>
  <c r="Z204" i="3"/>
  <c r="AA204" i="3"/>
  <c r="S204" i="3"/>
  <c r="AG210" i="3"/>
  <c r="S211" i="3"/>
  <c r="Z217" i="3"/>
  <c r="AA217" i="3"/>
  <c r="Z219" i="3"/>
  <c r="AA219" i="3"/>
  <c r="Z223" i="3"/>
  <c r="AA223" i="3"/>
  <c r="Z227" i="3"/>
  <c r="AA227" i="3"/>
  <c r="Z228" i="3"/>
  <c r="AA228" i="3"/>
  <c r="S233" i="3"/>
  <c r="AG233" i="3"/>
  <c r="Z235" i="3"/>
  <c r="AA235" i="3"/>
  <c r="S237" i="3"/>
  <c r="X239" i="3"/>
  <c r="Z248" i="3"/>
  <c r="AA248" i="3"/>
  <c r="Z252" i="3"/>
  <c r="AA252" i="3"/>
  <c r="S261" i="3"/>
  <c r="AG262" i="3"/>
  <c r="S270" i="3"/>
  <c r="S271" i="3"/>
  <c r="AG283" i="3"/>
  <c r="Z289" i="3"/>
  <c r="AA289" i="3"/>
  <c r="Z292" i="3"/>
  <c r="AA292" i="3"/>
  <c r="S293" i="3"/>
  <c r="Z297" i="3"/>
  <c r="AA297" i="3"/>
  <c r="S297" i="3"/>
  <c r="AG299" i="3"/>
  <c r="AG301" i="3"/>
  <c r="S302" i="3"/>
  <c r="S306" i="3"/>
  <c r="Z308" i="3"/>
  <c r="AA308" i="3"/>
  <c r="S309" i="3"/>
  <c r="S317" i="3"/>
  <c r="AG321" i="3"/>
  <c r="AG324" i="3"/>
  <c r="S325" i="3"/>
  <c r="S330" i="3"/>
  <c r="AG331" i="3"/>
  <c r="Z341" i="3"/>
  <c r="AA341" i="3"/>
  <c r="S346" i="3"/>
  <c r="Z348" i="3"/>
  <c r="AA348" i="3"/>
  <c r="S351" i="3"/>
  <c r="S367" i="3"/>
  <c r="Z371" i="3"/>
  <c r="AA371" i="3"/>
  <c r="Z376" i="3"/>
  <c r="AA376" i="3"/>
  <c r="AG382" i="3"/>
  <c r="S386" i="3"/>
  <c r="Z395" i="3"/>
  <c r="AA395" i="3"/>
  <c r="S416" i="3"/>
  <c r="Z416" i="3"/>
  <c r="AA416" i="3"/>
  <c r="AG434" i="3"/>
  <c r="Z440" i="3"/>
  <c r="AA440" i="3"/>
  <c r="Z443" i="3"/>
  <c r="AA443" i="3"/>
  <c r="S446" i="3"/>
  <c r="Z446" i="3"/>
  <c r="AA446" i="3"/>
  <c r="Z453" i="3"/>
  <c r="AA453" i="3"/>
  <c r="S459" i="3"/>
  <c r="Z460" i="3"/>
  <c r="AA460" i="3"/>
  <c r="S460" i="3"/>
  <c r="Z462" i="3"/>
  <c r="AA462" i="3"/>
  <c r="S466" i="3"/>
  <c r="Z494" i="3"/>
  <c r="AA494" i="3"/>
  <c r="S494" i="3"/>
  <c r="Z625" i="3"/>
  <c r="AA625" i="3"/>
  <c r="S625" i="3"/>
  <c r="Z678" i="3"/>
  <c r="AA678" i="3"/>
  <c r="S678" i="3"/>
  <c r="S682" i="3"/>
  <c r="Z682" i="3"/>
  <c r="AA682" i="3"/>
  <c r="Z685" i="3"/>
  <c r="AA685" i="3"/>
  <c r="S685" i="3"/>
  <c r="S686" i="3"/>
  <c r="Z686" i="3"/>
  <c r="AA686" i="3"/>
  <c r="S697" i="3"/>
  <c r="Z697" i="3"/>
  <c r="AA697" i="3"/>
  <c r="Z712" i="3"/>
  <c r="AA712" i="3"/>
  <c r="S712" i="3"/>
  <c r="U735" i="3"/>
  <c r="W735" i="3"/>
  <c r="Z751" i="3"/>
  <c r="AA751" i="3"/>
  <c r="S751" i="3"/>
  <c r="Z768" i="3"/>
  <c r="AA768" i="3"/>
  <c r="S768" i="3"/>
  <c r="Z791" i="3"/>
  <c r="AA791" i="3"/>
  <c r="S791" i="3"/>
  <c r="Z826" i="3"/>
  <c r="AA826" i="3"/>
  <c r="S826" i="3"/>
  <c r="S273" i="3"/>
  <c r="S288" i="3"/>
  <c r="Z288" i="3"/>
  <c r="AA288" i="3"/>
  <c r="S40" i="3"/>
  <c r="S59" i="3"/>
  <c r="S60" i="3"/>
  <c r="S92" i="3"/>
  <c r="Z98" i="3"/>
  <c r="AA98" i="3"/>
  <c r="S115" i="3"/>
  <c r="Z149" i="3"/>
  <c r="AA149" i="3"/>
  <c r="S149" i="3"/>
  <c r="W159" i="3"/>
  <c r="S160" i="3"/>
  <c r="W176" i="3"/>
  <c r="W178" i="3"/>
  <c r="Z202" i="3"/>
  <c r="AA202" i="3"/>
  <c r="S202" i="3"/>
  <c r="S206" i="3"/>
  <c r="S215" i="3"/>
  <c r="Z246" i="3"/>
  <c r="AA246" i="3"/>
  <c r="S257" i="3"/>
  <c r="Z263" i="3"/>
  <c r="AA263" i="3"/>
  <c r="AA6" i="3"/>
  <c r="AG10" i="3"/>
  <c r="X21" i="3"/>
  <c r="S21" i="3"/>
  <c r="AA23" i="3"/>
  <c r="W28" i="3"/>
  <c r="Z31" i="3"/>
  <c r="AA31" i="3"/>
  <c r="Z34" i="3"/>
  <c r="AA34" i="3"/>
  <c r="S34" i="3"/>
  <c r="W44" i="3"/>
  <c r="S46" i="3"/>
  <c r="Z65" i="3"/>
  <c r="AA65" i="3"/>
  <c r="S65" i="3"/>
  <c r="Z69" i="3"/>
  <c r="AA69" i="3"/>
  <c r="S69" i="3"/>
  <c r="U87" i="3"/>
  <c r="W87" i="3"/>
  <c r="Z117" i="3"/>
  <c r="AA117" i="3"/>
  <c r="S119" i="3"/>
  <c r="Z124" i="3"/>
  <c r="AA124" i="3"/>
  <c r="AG126" i="3"/>
  <c r="AA138" i="3"/>
  <c r="S142" i="3"/>
  <c r="AG166" i="3"/>
  <c r="AG175" i="3"/>
  <c r="W177" i="3"/>
  <c r="W179" i="3"/>
  <c r="AA180" i="3"/>
  <c r="AG197" i="3"/>
  <c r="Z207" i="3"/>
  <c r="AA207" i="3"/>
  <c r="S207" i="3"/>
  <c r="AG212" i="3"/>
  <c r="AG217" i="3"/>
  <c r="AG223" i="3"/>
  <c r="AG226" i="3"/>
  <c r="Z249" i="3"/>
  <c r="AA249" i="3"/>
  <c r="Z264" i="3"/>
  <c r="AA264" i="3"/>
  <c r="Z265" i="3"/>
  <c r="AA265" i="3"/>
  <c r="Z266" i="3"/>
  <c r="AA266" i="3"/>
  <c r="Z279" i="3"/>
  <c r="AA279" i="3"/>
  <c r="S284" i="3"/>
  <c r="Z284" i="3"/>
  <c r="AA284" i="3"/>
  <c r="Z287" i="3"/>
  <c r="AA287" i="3"/>
  <c r="AG295" i="3"/>
  <c r="AG310" i="3"/>
  <c r="Z312" i="3"/>
  <c r="AA312" i="3"/>
  <c r="S319" i="3"/>
  <c r="Z336" i="3"/>
  <c r="AA336" i="3"/>
  <c r="AG349" i="3"/>
  <c r="Z354" i="3"/>
  <c r="AA354" i="3"/>
  <c r="S354" i="3"/>
  <c r="AG403" i="3"/>
  <c r="Z417" i="3"/>
  <c r="AA417" i="3"/>
  <c r="S417" i="3"/>
  <c r="S419" i="3"/>
  <c r="S421" i="3"/>
  <c r="S438" i="3"/>
  <c r="Z438" i="3"/>
  <c r="AA438" i="3"/>
  <c r="Z448" i="3"/>
  <c r="AA448" i="3"/>
  <c r="S448" i="3"/>
  <c r="Z464" i="3"/>
  <c r="AA464" i="3"/>
  <c r="S464" i="3"/>
  <c r="Z465" i="3"/>
  <c r="AA465" i="3"/>
  <c r="S465" i="3"/>
  <c r="Z472" i="3"/>
  <c r="AA472" i="3"/>
  <c r="S472" i="3"/>
  <c r="AA505" i="3"/>
  <c r="S505" i="3"/>
  <c r="S562" i="3"/>
  <c r="Z562" i="3"/>
  <c r="AA562" i="3"/>
  <c r="Z597" i="3"/>
  <c r="AA597" i="3"/>
  <c r="S597" i="3"/>
  <c r="S618" i="3"/>
  <c r="Z618" i="3"/>
  <c r="AA618" i="3"/>
  <c r="S636" i="3"/>
  <c r="Z636" i="3"/>
  <c r="AA636" i="3"/>
  <c r="Z641" i="3"/>
  <c r="AA641" i="3"/>
  <c r="S641" i="3"/>
  <c r="Z643" i="3"/>
  <c r="AA643" i="3"/>
  <c r="S643" i="3"/>
  <c r="S659" i="3"/>
  <c r="Z659" i="3"/>
  <c r="AA659" i="3"/>
  <c r="Z677" i="3"/>
  <c r="AA677" i="3"/>
  <c r="S677" i="3"/>
  <c r="Z681" i="3"/>
  <c r="AA681" i="3"/>
  <c r="S681" i="3"/>
  <c r="Z689" i="3"/>
  <c r="AA689" i="3"/>
  <c r="S689" i="3"/>
  <c r="S694" i="3"/>
  <c r="Z694" i="3"/>
  <c r="AA694" i="3"/>
  <c r="Z698" i="3"/>
  <c r="AA698" i="3"/>
  <c r="S698" i="3"/>
  <c r="Z706" i="3"/>
  <c r="AA706" i="3"/>
  <c r="S706" i="3"/>
  <c r="X732" i="3"/>
  <c r="S732" i="3"/>
  <c r="Z787" i="3"/>
  <c r="AA787" i="3"/>
  <c r="S787" i="3"/>
  <c r="S798" i="3"/>
  <c r="Z798" i="3"/>
  <c r="AA798" i="3"/>
  <c r="Z461" i="3"/>
  <c r="AA461" i="3"/>
  <c r="Z485" i="3"/>
  <c r="AA485" i="3"/>
  <c r="AG493" i="3"/>
  <c r="Z557" i="3"/>
  <c r="AA557" i="3"/>
  <c r="S557" i="3"/>
  <c r="AG594" i="3"/>
  <c r="Z599" i="3"/>
  <c r="AA599" i="3"/>
  <c r="Z658" i="3"/>
  <c r="AA658" i="3"/>
  <c r="S658" i="3"/>
  <c r="S666" i="3"/>
  <c r="Z666" i="3"/>
  <c r="AA666" i="3"/>
  <c r="Z669" i="3"/>
  <c r="AA669" i="3"/>
  <c r="Z674" i="3"/>
  <c r="AA674" i="3"/>
  <c r="Z687" i="3"/>
  <c r="AA687" i="3"/>
  <c r="Z691" i="3"/>
  <c r="AA691" i="3"/>
  <c r="Z692" i="3"/>
  <c r="AA692" i="3"/>
  <c r="S692" i="3"/>
  <c r="Z693" i="3"/>
  <c r="AA693" i="3"/>
  <c r="S693" i="3"/>
  <c r="S696" i="3"/>
  <c r="Z696" i="3"/>
  <c r="AA696" i="3"/>
  <c r="S710" i="3"/>
  <c r="Z710" i="3"/>
  <c r="AA710" i="3"/>
  <c r="X734" i="3"/>
  <c r="S734" i="3"/>
  <c r="X759" i="3"/>
  <c r="AD759" i="3"/>
  <c r="AB759" i="3"/>
  <c r="AD763" i="3"/>
  <c r="AB763" i="3"/>
  <c r="Z763" i="3"/>
  <c r="AA763" i="3"/>
  <c r="Z765" i="3"/>
  <c r="AA765" i="3"/>
  <c r="S765" i="3"/>
  <c r="Z767" i="3"/>
  <c r="AA767" i="3"/>
  <c r="S767" i="3"/>
  <c r="Z774" i="3"/>
  <c r="AA774" i="3"/>
  <c r="S774" i="3"/>
  <c r="Z797" i="3"/>
  <c r="AA797" i="3"/>
  <c r="S797" i="3"/>
  <c r="S827" i="3"/>
  <c r="Z827" i="3"/>
  <c r="AA827" i="3"/>
  <c r="Z888" i="3"/>
  <c r="AA888" i="3"/>
  <c r="S888" i="3"/>
  <c r="Z936" i="3"/>
  <c r="AA936" i="3"/>
  <c r="S936" i="3"/>
  <c r="Z938" i="3"/>
  <c r="AA938" i="3"/>
  <c r="S938" i="3"/>
  <c r="Z990" i="3"/>
  <c r="AA990" i="3"/>
  <c r="S990" i="3"/>
  <c r="S1043" i="3"/>
  <c r="Z1043" i="3"/>
  <c r="AA1043" i="3"/>
  <c r="Z1049" i="3"/>
  <c r="AA1049" i="3"/>
  <c r="S1049" i="3"/>
  <c r="Z424" i="3"/>
  <c r="AA424" i="3"/>
  <c r="S424" i="3"/>
  <c r="Z433" i="3"/>
  <c r="AA433" i="3"/>
  <c r="S433" i="3"/>
  <c r="Z441" i="3"/>
  <c r="AA441" i="3"/>
  <c r="Z445" i="3"/>
  <c r="AA445" i="3"/>
  <c r="Z546" i="3"/>
  <c r="AA546" i="3"/>
  <c r="S546" i="3"/>
  <c r="Z613" i="3"/>
  <c r="AA613" i="3"/>
  <c r="S613" i="3"/>
  <c r="S616" i="3"/>
  <c r="Z616" i="3"/>
  <c r="AA616" i="3"/>
  <c r="Z633" i="3"/>
  <c r="AA633" i="3"/>
  <c r="S633" i="3"/>
  <c r="S646" i="3"/>
  <c r="Z646" i="3"/>
  <c r="AA646" i="3"/>
  <c r="Z649" i="3"/>
  <c r="AA649" i="3"/>
  <c r="S649" i="3"/>
  <c r="S661" i="3"/>
  <c r="Z661" i="3"/>
  <c r="AA661" i="3"/>
  <c r="S663" i="3"/>
  <c r="Z663" i="3"/>
  <c r="AA663" i="3"/>
  <c r="Z668" i="3"/>
  <c r="AA668" i="3"/>
  <c r="S668" i="3"/>
  <c r="Z695" i="3"/>
  <c r="AA695" i="3"/>
  <c r="S695" i="3"/>
  <c r="Z700" i="3"/>
  <c r="AA700" i="3"/>
  <c r="S700" i="3"/>
  <c r="Z701" i="3"/>
  <c r="AA701" i="3"/>
  <c r="S701" i="3"/>
  <c r="Z702" i="3"/>
  <c r="AA702" i="3"/>
  <c r="S702" i="3"/>
  <c r="Z708" i="3"/>
  <c r="AA708" i="3"/>
  <c r="S708" i="3"/>
  <c r="AA731" i="3"/>
  <c r="S731" i="3"/>
  <c r="Z750" i="3"/>
  <c r="AA750" i="3"/>
  <c r="S750" i="3"/>
  <c r="AD758" i="3"/>
  <c r="AB758" i="3"/>
  <c r="Z758" i="3"/>
  <c r="AA758" i="3"/>
  <c r="S764" i="3"/>
  <c r="Z769" i="3"/>
  <c r="AA769" i="3"/>
  <c r="S769" i="3"/>
  <c r="S794" i="3"/>
  <c r="Z794" i="3"/>
  <c r="AA794" i="3"/>
  <c r="Z796" i="3"/>
  <c r="AA796" i="3"/>
  <c r="Z820" i="3"/>
  <c r="AA820" i="3"/>
  <c r="S820" i="3"/>
  <c r="Z824" i="3"/>
  <c r="AA824" i="3"/>
  <c r="S824" i="3"/>
  <c r="Z825" i="3"/>
  <c r="AA825" i="3"/>
  <c r="S825" i="3"/>
  <c r="Z887" i="3"/>
  <c r="AA887" i="3"/>
  <c r="S887" i="3"/>
  <c r="Z921" i="3"/>
  <c r="AA921" i="3"/>
  <c r="S921" i="3"/>
  <c r="Z1014" i="3"/>
  <c r="AA1014" i="3"/>
  <c r="S1014" i="3"/>
  <c r="AG297" i="3"/>
  <c r="AG336" i="3"/>
  <c r="AG341" i="3"/>
  <c r="S393" i="3"/>
  <c r="Z401" i="3"/>
  <c r="AA401" i="3"/>
  <c r="Z403" i="3"/>
  <c r="AA403" i="3"/>
  <c r="AG415" i="3"/>
  <c r="Z422" i="3"/>
  <c r="AA422" i="3"/>
  <c r="Z436" i="3"/>
  <c r="AA436" i="3"/>
  <c r="S436" i="3"/>
  <c r="S441" i="3"/>
  <c r="Z444" i="3"/>
  <c r="AA444" i="3"/>
  <c r="S445" i="3"/>
  <c r="Z449" i="3"/>
  <c r="AA449" i="3"/>
  <c r="Z450" i="3"/>
  <c r="AA450" i="3"/>
  <c r="Z456" i="3"/>
  <c r="AA456" i="3"/>
  <c r="Z457" i="3"/>
  <c r="AA457" i="3"/>
  <c r="S457" i="3"/>
  <c r="S462" i="3"/>
  <c r="Z463" i="3"/>
  <c r="AA463" i="3"/>
  <c r="AG477" i="3"/>
  <c r="AG499" i="3"/>
  <c r="S500" i="3"/>
  <c r="S501" i="3"/>
  <c r="AA511" i="3"/>
  <c r="S511" i="3"/>
  <c r="Z519" i="3"/>
  <c r="AA519" i="3"/>
  <c r="Z526" i="3"/>
  <c r="AA526" i="3"/>
  <c r="S526" i="3"/>
  <c r="U553" i="3"/>
  <c r="V553" i="3"/>
  <c r="W553" i="3"/>
  <c r="AG563" i="3"/>
  <c r="S599" i="3"/>
  <c r="Z639" i="3"/>
  <c r="AA639" i="3"/>
  <c r="Z662" i="3"/>
  <c r="AA662" i="3"/>
  <c r="S662" i="3"/>
  <c r="Z676" i="3"/>
  <c r="AA676" i="3"/>
  <c r="S676" i="3"/>
  <c r="S679" i="3"/>
  <c r="Z679" i="3"/>
  <c r="AA679" i="3"/>
  <c r="Z684" i="3"/>
  <c r="AA684" i="3"/>
  <c r="S684" i="3"/>
  <c r="Z690" i="3"/>
  <c r="AA690" i="3"/>
  <c r="S690" i="3"/>
  <c r="Z704" i="3"/>
  <c r="AA704" i="3"/>
  <c r="S704" i="3"/>
  <c r="S705" i="3"/>
  <c r="Z705" i="3"/>
  <c r="AA705" i="3"/>
  <c r="Z709" i="3"/>
  <c r="AA709" i="3"/>
  <c r="S709" i="3"/>
  <c r="S711" i="3"/>
  <c r="Z714" i="3"/>
  <c r="AA714" i="3"/>
  <c r="S714" i="3"/>
  <c r="Z719" i="3"/>
  <c r="AA719" i="3"/>
  <c r="S719" i="3"/>
  <c r="S740" i="3"/>
  <c r="Z740" i="3"/>
  <c r="AA740" i="3"/>
  <c r="X755" i="3"/>
  <c r="S755" i="3"/>
  <c r="Z779" i="3"/>
  <c r="AA779" i="3"/>
  <c r="S779" i="3"/>
  <c r="S793" i="3"/>
  <c r="Z881" i="3"/>
  <c r="AA881" i="3"/>
  <c r="S881" i="3"/>
  <c r="S883" i="3"/>
  <c r="Z883" i="3"/>
  <c r="AA883" i="3"/>
  <c r="Z905" i="3"/>
  <c r="AA905" i="3"/>
  <c r="W724" i="3"/>
  <c r="W733" i="3"/>
  <c r="U855" i="3"/>
  <c r="W855" i="3"/>
  <c r="Z871" i="3"/>
  <c r="AA871" i="3"/>
  <c r="S871" i="3"/>
  <c r="Z901" i="3"/>
  <c r="AA901" i="3"/>
  <c r="S901" i="3"/>
  <c r="Z906" i="3"/>
  <c r="AA906" i="3"/>
  <c r="S906" i="3"/>
  <c r="Z907" i="3"/>
  <c r="AA907" i="3"/>
  <c r="S907" i="3"/>
  <c r="Z930" i="3"/>
  <c r="AA930" i="3"/>
  <c r="S930" i="3"/>
  <c r="Z934" i="3"/>
  <c r="AA934" i="3"/>
  <c r="S934" i="3"/>
  <c r="Z937" i="3"/>
  <c r="AA937" i="3"/>
  <c r="S937" i="3"/>
  <c r="Z974" i="3"/>
  <c r="AA974" i="3"/>
  <c r="S974" i="3"/>
  <c r="Z988" i="3"/>
  <c r="AA988" i="3"/>
  <c r="S988" i="3"/>
  <c r="AB999" i="3"/>
  <c r="Y999" i="3"/>
  <c r="X999" i="3"/>
  <c r="S1045" i="3"/>
  <c r="Z1045" i="3"/>
  <c r="AA1045" i="3"/>
  <c r="Z1102" i="3"/>
  <c r="AA1102" i="3"/>
  <c r="S1102" i="3"/>
  <c r="Z1195" i="3"/>
  <c r="AA1195" i="3"/>
  <c r="S1195" i="3"/>
  <c r="S652" i="3"/>
  <c r="Z707" i="3"/>
  <c r="AA707" i="3"/>
  <c r="S717" i="3"/>
  <c r="W722" i="3"/>
  <c r="S738" i="3"/>
  <c r="AG739" i="3"/>
  <c r="S746" i="3"/>
  <c r="S748" i="3"/>
  <c r="Z752" i="3"/>
  <c r="AA752" i="3"/>
  <c r="AA785" i="3"/>
  <c r="S819" i="3"/>
  <c r="Z828" i="3"/>
  <c r="AA828" i="3"/>
  <c r="W830" i="3"/>
  <c r="W832" i="3"/>
  <c r="W834" i="3"/>
  <c r="Z838" i="3"/>
  <c r="AA838" i="3"/>
  <c r="Z886" i="3"/>
  <c r="AA886" i="3"/>
  <c r="S886" i="3"/>
  <c r="Z889" i="3"/>
  <c r="AA889" i="3"/>
  <c r="S889" i="3"/>
  <c r="Z890" i="3"/>
  <c r="AA890" i="3"/>
  <c r="S890" i="3"/>
  <c r="Z951" i="3"/>
  <c r="AA951" i="3"/>
  <c r="S951" i="3"/>
  <c r="Z969" i="3"/>
  <c r="AA969" i="3"/>
  <c r="AD969" i="3"/>
  <c r="AB969" i="3"/>
  <c r="Z978" i="3"/>
  <c r="AA978" i="3"/>
  <c r="S978" i="3"/>
  <c r="Z979" i="3"/>
  <c r="AA979" i="3"/>
  <c r="S979" i="3"/>
  <c r="Z987" i="3"/>
  <c r="AA987" i="3"/>
  <c r="S987" i="3"/>
  <c r="Z1017" i="3"/>
  <c r="AA1017" i="3"/>
  <c r="S1017" i="3"/>
  <c r="Z1050" i="3"/>
  <c r="AA1050" i="3"/>
  <c r="S1050" i="3"/>
  <c r="Z1200" i="3"/>
  <c r="AA1200" i="3"/>
  <c r="S1200" i="3"/>
  <c r="Z1235" i="3"/>
  <c r="AA1235" i="3"/>
  <c r="S1235" i="3"/>
  <c r="S651" i="3"/>
  <c r="Z713" i="3"/>
  <c r="AA713" i="3"/>
  <c r="Z715" i="3"/>
  <c r="AA715" i="3"/>
  <c r="S716" i="3"/>
  <c r="S724" i="3"/>
  <c r="W731" i="3"/>
  <c r="AG732" i="3"/>
  <c r="S733" i="3"/>
  <c r="S742" i="3"/>
  <c r="S752" i="3"/>
  <c r="AG752" i="3"/>
  <c r="Z771" i="3"/>
  <c r="AA771" i="3"/>
  <c r="S772" i="3"/>
  <c r="Z773" i="3"/>
  <c r="AA773" i="3"/>
  <c r="Z775" i="3"/>
  <c r="AA775" i="3"/>
  <c r="S776" i="3"/>
  <c r="S790" i="3"/>
  <c r="S807" i="3"/>
  <c r="AM825" i="3"/>
  <c r="S837" i="3"/>
  <c r="V837" i="3"/>
  <c r="W837" i="3"/>
  <c r="S840" i="3"/>
  <c r="S850" i="3"/>
  <c r="Z872" i="3"/>
  <c r="AA872" i="3"/>
  <c r="S872" i="3"/>
  <c r="Z878" i="3"/>
  <c r="AA878" i="3"/>
  <c r="S878" i="3"/>
  <c r="Z920" i="3"/>
  <c r="AA920" i="3"/>
  <c r="S920" i="3"/>
  <c r="Z933" i="3"/>
  <c r="AA933" i="3"/>
  <c r="S933" i="3"/>
  <c r="Z971" i="3"/>
  <c r="AA971" i="3"/>
  <c r="S971" i="3"/>
  <c r="S977" i="3"/>
  <c r="Z977" i="3"/>
  <c r="AA977" i="3"/>
  <c r="Z991" i="3"/>
  <c r="AA991" i="3"/>
  <c r="S991" i="3"/>
  <c r="Z994" i="3"/>
  <c r="AA994" i="3"/>
  <c r="S994" i="3"/>
  <c r="Z996" i="3"/>
  <c r="AA996" i="3"/>
  <c r="S996" i="3"/>
  <c r="S997" i="3"/>
  <c r="Z997" i="3"/>
  <c r="AA997" i="3"/>
  <c r="S1041" i="3"/>
  <c r="Z1041" i="3"/>
  <c r="AA1041" i="3"/>
  <c r="Z1164" i="3"/>
  <c r="AA1164" i="3"/>
  <c r="S1164" i="3"/>
  <c r="Z1166" i="3"/>
  <c r="AA1166" i="3"/>
  <c r="S1166" i="3"/>
  <c r="Z1168" i="3"/>
  <c r="AA1168" i="3"/>
  <c r="S1168" i="3"/>
  <c r="Z1170" i="3"/>
  <c r="AA1170" i="3"/>
  <c r="S1170" i="3"/>
  <c r="Z1208" i="3"/>
  <c r="AA1208" i="3"/>
  <c r="S1208" i="3"/>
  <c r="Z877" i="3"/>
  <c r="AA877" i="3"/>
  <c r="Z884" i="3"/>
  <c r="AA884" i="3"/>
  <c r="S884" i="3"/>
  <c r="Z898" i="3"/>
  <c r="AA898" i="3"/>
  <c r="Z925" i="3"/>
  <c r="AA925" i="3"/>
  <c r="S925" i="3"/>
  <c r="Z932" i="3"/>
  <c r="AA932" i="3"/>
  <c r="S932" i="3"/>
  <c r="Z944" i="3"/>
  <c r="AA944" i="3"/>
  <c r="Z948" i="3"/>
  <c r="AA948" i="3"/>
  <c r="S948" i="3"/>
  <c r="Z956" i="3"/>
  <c r="AA956" i="3"/>
  <c r="Z957" i="3"/>
  <c r="AA957" i="3"/>
  <c r="Z968" i="3"/>
  <c r="AA968" i="3"/>
  <c r="S1024" i="3"/>
  <c r="Z1024" i="3"/>
  <c r="AA1024" i="3"/>
  <c r="Z1039" i="3"/>
  <c r="AA1039" i="3"/>
  <c r="S1039" i="3"/>
  <c r="Z1061" i="3"/>
  <c r="AA1061" i="3"/>
  <c r="S1061" i="3"/>
  <c r="Z1086" i="3"/>
  <c r="AA1086" i="3"/>
  <c r="S1086" i="3"/>
  <c r="S1107" i="3"/>
  <c r="Z1159" i="3"/>
  <c r="AA1159" i="3"/>
  <c r="S1159" i="3"/>
  <c r="S1231" i="3"/>
  <c r="Z1231" i="3"/>
  <c r="AA1231" i="3"/>
  <c r="Z1279" i="3"/>
  <c r="AA1279" i="3"/>
  <c r="S1279" i="3"/>
  <c r="Z845" i="3"/>
  <c r="AA845" i="3"/>
  <c r="Z851" i="3"/>
  <c r="AA851" i="3"/>
  <c r="Z853" i="3"/>
  <c r="AA853" i="3"/>
  <c r="AG882" i="3"/>
  <c r="Z885" i="3"/>
  <c r="AA885" i="3"/>
  <c r="AG914" i="3"/>
  <c r="U954" i="3"/>
  <c r="W954" i="3"/>
  <c r="AG976" i="3"/>
  <c r="Z1010" i="3"/>
  <c r="AA1010" i="3"/>
  <c r="S1010" i="3"/>
  <c r="Z1042" i="3"/>
  <c r="AA1042" i="3"/>
  <c r="S1042" i="3"/>
  <c r="Z1044" i="3"/>
  <c r="AA1044" i="3"/>
  <c r="S1044" i="3"/>
  <c r="Z1048" i="3"/>
  <c r="AA1048" i="3"/>
  <c r="S1048" i="3"/>
  <c r="Z1060" i="3"/>
  <c r="AA1060" i="3"/>
  <c r="S1060" i="3"/>
  <c r="Z1065" i="3"/>
  <c r="AA1065" i="3"/>
  <c r="S1065" i="3"/>
  <c r="Z1163" i="3"/>
  <c r="AA1163" i="3"/>
  <c r="S1163" i="3"/>
  <c r="Z1165" i="3"/>
  <c r="AA1165" i="3"/>
  <c r="S1165" i="3"/>
  <c r="Z1167" i="3"/>
  <c r="AA1167" i="3"/>
  <c r="S1167" i="3"/>
  <c r="Z1169" i="3"/>
  <c r="AA1169" i="3"/>
  <c r="S1169" i="3"/>
  <c r="S1183" i="3"/>
  <c r="Z1183" i="3"/>
  <c r="AA1183" i="3"/>
  <c r="Z1186" i="3"/>
  <c r="AA1186" i="3"/>
  <c r="S1186" i="3"/>
  <c r="S1206" i="3"/>
  <c r="Z1206" i="3"/>
  <c r="AA1206" i="3"/>
  <c r="Z1211" i="3"/>
  <c r="AA1211" i="3"/>
  <c r="Z1257" i="3"/>
  <c r="AA1257" i="3"/>
  <c r="S1257" i="3"/>
  <c r="Z1265" i="3"/>
  <c r="AA1265" i="3"/>
  <c r="S1265" i="3"/>
  <c r="S1278" i="3"/>
  <c r="Z1278" i="3"/>
  <c r="AA1278" i="3"/>
  <c r="Z1289" i="3"/>
  <c r="AA1289" i="3"/>
  <c r="S1289" i="3"/>
  <c r="Z1300" i="3"/>
  <c r="AA1300" i="3"/>
  <c r="S1300" i="3"/>
  <c r="Z849" i="3"/>
  <c r="AA849" i="3"/>
  <c r="Z928" i="3"/>
  <c r="AA928" i="3"/>
  <c r="S928" i="3"/>
  <c r="S949" i="3"/>
  <c r="Z949" i="3"/>
  <c r="AA949" i="3"/>
  <c r="Z952" i="3"/>
  <c r="AA952" i="3"/>
  <c r="S952" i="3"/>
  <c r="AL977" i="3"/>
  <c r="AG977" i="3"/>
  <c r="P977" i="3"/>
  <c r="S980" i="3"/>
  <c r="Z980" i="3"/>
  <c r="AA980" i="3"/>
  <c r="Z981" i="3"/>
  <c r="AA981" i="3"/>
  <c r="S981" i="3"/>
  <c r="S1001" i="3"/>
  <c r="Z1001" i="3"/>
  <c r="AA1001" i="3"/>
  <c r="Z1002" i="3"/>
  <c r="AA1002" i="3"/>
  <c r="S1002" i="3"/>
  <c r="Z1022" i="3"/>
  <c r="AA1022" i="3"/>
  <c r="S1022" i="3"/>
  <c r="Z1047" i="3"/>
  <c r="AA1047" i="3"/>
  <c r="S1047" i="3"/>
  <c r="Z1059" i="3"/>
  <c r="AA1059" i="3"/>
  <c r="S1059" i="3"/>
  <c r="Z1064" i="3"/>
  <c r="AA1064" i="3"/>
  <c r="S1064" i="3"/>
  <c r="Z1098" i="3"/>
  <c r="AA1098" i="3"/>
  <c r="S1098" i="3"/>
  <c r="Z1100" i="3"/>
  <c r="AA1100" i="3"/>
  <c r="S1100" i="3"/>
  <c r="S1105" i="3"/>
  <c r="Z1105" i="3"/>
  <c r="AA1105" i="3"/>
  <c r="Z1111" i="3"/>
  <c r="AA1111" i="3"/>
  <c r="S1111" i="3"/>
  <c r="S1141" i="3"/>
  <c r="Z1141" i="3"/>
  <c r="AA1141" i="3"/>
  <c r="S1222" i="3"/>
  <c r="Z1222" i="3"/>
  <c r="AA1222" i="3"/>
  <c r="Z1226" i="3"/>
  <c r="AA1226" i="3"/>
  <c r="S1226" i="3"/>
  <c r="S1241" i="3"/>
  <c r="Z1241" i="3"/>
  <c r="AA1241" i="3"/>
  <c r="Z1281" i="3"/>
  <c r="AA1281" i="3"/>
  <c r="S1281" i="3"/>
  <c r="AG1062" i="3"/>
  <c r="Z1084" i="3"/>
  <c r="AA1084" i="3"/>
  <c r="S1084" i="3"/>
  <c r="AG1092" i="3"/>
  <c r="S1110" i="3"/>
  <c r="V1110" i="3"/>
  <c r="W1110" i="3"/>
  <c r="Z1153" i="3"/>
  <c r="AA1153" i="3"/>
  <c r="Z1172" i="3"/>
  <c r="AA1172" i="3"/>
  <c r="S1172" i="3"/>
  <c r="AG1186" i="3"/>
  <c r="Z1188" i="3"/>
  <c r="AA1188" i="3"/>
  <c r="AG1195" i="3"/>
  <c r="S1205" i="3"/>
  <c r="AG1212" i="3"/>
  <c r="Z1259" i="3"/>
  <c r="AA1259" i="3"/>
  <c r="S1259" i="3"/>
  <c r="Z1261" i="3"/>
  <c r="AA1261" i="3"/>
  <c r="S1282" i="3"/>
  <c r="Z1282" i="3"/>
  <c r="AA1282" i="3"/>
  <c r="Z1294" i="3"/>
  <c r="AA1294" i="3"/>
  <c r="S1294" i="3"/>
  <c r="Z1303" i="3"/>
  <c r="AA1303" i="3"/>
  <c r="S1303" i="3"/>
  <c r="Z1308" i="3"/>
  <c r="AA1308" i="3"/>
  <c r="S1308" i="3"/>
  <c r="Z1315" i="3"/>
  <c r="AA1315" i="3"/>
  <c r="Z1377" i="3"/>
  <c r="AA1377" i="3"/>
  <c r="S1377" i="3"/>
  <c r="S1411" i="3"/>
  <c r="Z1411" i="3"/>
  <c r="AA1411" i="3"/>
  <c r="U1433" i="3"/>
  <c r="W1433" i="3"/>
  <c r="Z1082" i="3"/>
  <c r="AA1082" i="3"/>
  <c r="S1082" i="3"/>
  <c r="X1091" i="3"/>
  <c r="Z1091" i="3"/>
  <c r="AA1091" i="3"/>
  <c r="Z1210" i="3"/>
  <c r="AA1210" i="3"/>
  <c r="Z1233" i="3"/>
  <c r="AA1233" i="3"/>
  <c r="Z1256" i="3"/>
  <c r="AA1256" i="3"/>
  <c r="S1256" i="3"/>
  <c r="Z1260" i="3"/>
  <c r="AA1260" i="3"/>
  <c r="S1260" i="3"/>
  <c r="Z1285" i="3"/>
  <c r="AA1285" i="3"/>
  <c r="S1285" i="3"/>
  <c r="Z1295" i="3"/>
  <c r="AA1295" i="3"/>
  <c r="S1295" i="3"/>
  <c r="Z1333" i="3"/>
  <c r="AA1333" i="3"/>
  <c r="S1333" i="3"/>
  <c r="Z1368" i="3"/>
  <c r="AA1368" i="3"/>
  <c r="S1368" i="3"/>
  <c r="S1072" i="3"/>
  <c r="S1088" i="3"/>
  <c r="V1091" i="3"/>
  <c r="W1091" i="3"/>
  <c r="Z1097" i="3"/>
  <c r="AA1097" i="3"/>
  <c r="S1104" i="3"/>
  <c r="S1129" i="3"/>
  <c r="S1133" i="3"/>
  <c r="S1137" i="3"/>
  <c r="S1153" i="3"/>
  <c r="Z1154" i="3"/>
  <c r="AA1154" i="3"/>
  <c r="S1154" i="3"/>
  <c r="AG1155" i="3"/>
  <c r="Z1162" i="3"/>
  <c r="AA1162" i="3"/>
  <c r="Z1179" i="3"/>
  <c r="AA1179" i="3"/>
  <c r="S1179" i="3"/>
  <c r="S1188" i="3"/>
  <c r="Z1191" i="3"/>
  <c r="AA1191" i="3"/>
  <c r="S1191" i="3"/>
  <c r="Z1192" i="3"/>
  <c r="AA1192" i="3"/>
  <c r="Z1199" i="3"/>
  <c r="AA1199" i="3"/>
  <c r="S1210" i="3"/>
  <c r="Z1223" i="3"/>
  <c r="AA1223" i="3"/>
  <c r="Z1224" i="3"/>
  <c r="AA1224" i="3"/>
  <c r="Z1225" i="3"/>
  <c r="AA1225" i="3"/>
  <c r="S1249" i="3"/>
  <c r="Z1249" i="3"/>
  <c r="AA1249" i="3"/>
  <c r="Z1267" i="3"/>
  <c r="AA1267" i="3"/>
  <c r="Z1299" i="3"/>
  <c r="AA1299" i="3"/>
  <c r="S1299" i="3"/>
  <c r="S1320" i="3"/>
  <c r="Z1320" i="3"/>
  <c r="AA1320" i="3"/>
  <c r="AA1329" i="3"/>
  <c r="S1329" i="3"/>
  <c r="Z1302" i="3"/>
  <c r="AA1302" i="3"/>
  <c r="Z1319" i="3"/>
  <c r="AA1319" i="3"/>
  <c r="S1319" i="3"/>
  <c r="AA1346" i="3"/>
  <c r="Z1369" i="3"/>
  <c r="AA1369" i="3"/>
  <c r="S1369" i="3"/>
  <c r="Z1379" i="3"/>
  <c r="AA1379" i="3"/>
  <c r="S1379" i="3"/>
  <c r="Z1437" i="3"/>
  <c r="AA1437" i="3"/>
  <c r="S1437" i="3"/>
  <c r="Z1438" i="3"/>
  <c r="AA1438" i="3"/>
  <c r="S1438" i="3"/>
  <c r="S1261" i="3"/>
  <c r="S1263" i="3"/>
  <c r="S1268" i="3"/>
  <c r="S1270" i="3"/>
  <c r="S1272" i="3"/>
  <c r="Z1280" i="3"/>
  <c r="AA1280" i="3"/>
  <c r="Z1290" i="3"/>
  <c r="AA1290" i="3"/>
  <c r="Z1305" i="3"/>
  <c r="AA1305" i="3"/>
  <c r="Z1307" i="3"/>
  <c r="AA1307" i="3"/>
  <c r="Z1311" i="3"/>
  <c r="AA1311" i="3"/>
  <c r="Z1312" i="3"/>
  <c r="AA1312" i="3"/>
  <c r="AA1325" i="3"/>
  <c r="S1325" i="3"/>
  <c r="Z1343" i="3"/>
  <c r="AA1343" i="3"/>
  <c r="S1343" i="3"/>
  <c r="S1357" i="3"/>
  <c r="S1364" i="3"/>
  <c r="Z1364" i="3"/>
  <c r="AA1364" i="3"/>
  <c r="Z1376" i="3"/>
  <c r="AA1376" i="3"/>
  <c r="S1376" i="3"/>
  <c r="S1077" i="3"/>
  <c r="S1079" i="3"/>
  <c r="S1081" i="3"/>
  <c r="S1178" i="3"/>
  <c r="Z1258" i="3"/>
  <c r="AA1258" i="3"/>
  <c r="AG1276" i="3"/>
  <c r="S1277" i="3"/>
  <c r="S1280" i="3"/>
  <c r="Z1287" i="3"/>
  <c r="AA1287" i="3"/>
  <c r="Z1293" i="3"/>
  <c r="AA1293" i="3"/>
  <c r="Z1298" i="3"/>
  <c r="AA1298" i="3"/>
  <c r="S1302" i="3"/>
  <c r="Z1304" i="3"/>
  <c r="AA1304" i="3"/>
  <c r="AG1304" i="3"/>
  <c r="Z1310" i="3"/>
  <c r="AA1310" i="3"/>
  <c r="AG1317" i="3"/>
  <c r="AG1328" i="3"/>
  <c r="AA1349" i="3"/>
  <c r="Z1356" i="3"/>
  <c r="AA1356" i="3"/>
  <c r="S1356" i="3"/>
  <c r="S1363" i="3"/>
  <c r="Z1363" i="3"/>
  <c r="AA1363" i="3"/>
  <c r="Z1367" i="3"/>
  <c r="AA1367" i="3"/>
  <c r="Z1396" i="3"/>
  <c r="AA1396" i="3"/>
  <c r="S1396" i="3"/>
  <c r="Z1417" i="3"/>
  <c r="AA1417" i="3"/>
  <c r="S1417" i="3"/>
  <c r="AG1338" i="3"/>
  <c r="AG1345" i="3"/>
  <c r="AG1348" i="3"/>
  <c r="AA1350" i="3"/>
  <c r="AG1374" i="3"/>
  <c r="AG1388" i="3"/>
  <c r="Z1421" i="3"/>
  <c r="S1421" i="3"/>
  <c r="Z1431" i="3"/>
  <c r="AA1431" i="3"/>
  <c r="S1433" i="3"/>
  <c r="Z1433" i="3"/>
  <c r="AA1433" i="3"/>
  <c r="S1435" i="3"/>
  <c r="Z1436" i="3"/>
  <c r="AA1436" i="3"/>
  <c r="S1436" i="3"/>
  <c r="S1439" i="3"/>
  <c r="Z1440" i="3"/>
  <c r="AA1440" i="3"/>
  <c r="S1440" i="3"/>
  <c r="U1441" i="3"/>
  <c r="W1441" i="3"/>
  <c r="Z1331" i="3"/>
  <c r="AA1331" i="3"/>
  <c r="Z1332" i="3"/>
  <c r="AA1332" i="3"/>
  <c r="Z1360" i="3"/>
  <c r="AA1360" i="3"/>
  <c r="S1360" i="3"/>
  <c r="Z1361" i="3"/>
  <c r="AA1361" i="3"/>
  <c r="S1361" i="3"/>
  <c r="AG1366" i="3"/>
  <c r="V1373" i="3"/>
  <c r="W1373" i="3"/>
  <c r="S1373" i="3"/>
  <c r="Z1389" i="3"/>
  <c r="AA1389" i="3"/>
  <c r="S1389" i="3"/>
  <c r="Z1402" i="3"/>
  <c r="AA1402" i="3"/>
  <c r="S1402" i="3"/>
  <c r="Z1408" i="3"/>
  <c r="AA1408" i="3"/>
  <c r="S1408" i="3"/>
  <c r="Z1416" i="3"/>
  <c r="AA1416" i="3"/>
  <c r="S1416" i="3"/>
  <c r="U1434" i="3"/>
  <c r="W1434" i="3"/>
  <c r="Z1449" i="3"/>
  <c r="AA1449" i="3"/>
  <c r="S1449" i="3"/>
  <c r="Z1452" i="3"/>
  <c r="AA1452" i="3"/>
  <c r="S1452" i="3"/>
  <c r="Z1384" i="3"/>
  <c r="AA1384" i="3"/>
  <c r="S1384" i="3"/>
  <c r="AG1386" i="3"/>
  <c r="AG1391" i="3"/>
  <c r="S1434" i="3"/>
  <c r="Z1434" i="3"/>
  <c r="AA1434" i="3"/>
  <c r="Z1444" i="3"/>
  <c r="AA1444" i="3"/>
  <c r="S1444" i="3"/>
  <c r="S1446" i="3"/>
  <c r="Z1446" i="3"/>
  <c r="AA1446" i="3"/>
  <c r="S1489" i="3"/>
  <c r="V1489" i="3"/>
  <c r="W1489" i="3"/>
  <c r="Z1442" i="3"/>
  <c r="AA1442" i="3"/>
  <c r="W1430" i="3"/>
  <c r="S1442" i="3"/>
  <c r="W1443" i="3"/>
  <c r="Z1447" i="3"/>
  <c r="AA1447" i="3"/>
  <c r="Z1451" i="3"/>
  <c r="AA1451" i="3"/>
  <c r="S1457" i="3"/>
  <c r="AG1381" i="3"/>
  <c r="Z1394" i="3"/>
  <c r="AA1394" i="3"/>
  <c r="Z1432" i="3"/>
  <c r="AA1432" i="3"/>
  <c r="Z1443" i="3"/>
  <c r="AA1443" i="3"/>
  <c r="Z1453" i="3"/>
  <c r="AA1453" i="3"/>
  <c r="Z1458" i="3"/>
  <c r="AA1458" i="3"/>
  <c r="U1506" i="3"/>
  <c r="W1506" i="3"/>
  <c r="U1694" i="3"/>
  <c r="W1694" i="3"/>
  <c r="W1508" i="3"/>
  <c r="Z1812" i="3"/>
  <c r="AA1812" i="3"/>
  <c r="S1812" i="3"/>
  <c r="Z1810" i="3"/>
  <c r="AA1810" i="3"/>
  <c r="Z1824" i="3"/>
  <c r="AA1824" i="3"/>
  <c r="Z1825" i="3"/>
  <c r="AA1825" i="3"/>
  <c r="Z1831" i="3"/>
  <c r="AA1831" i="3"/>
  <c r="S1831" i="3"/>
  <c r="AA766" i="3"/>
  <c r="AA194" i="3"/>
  <c r="AA24" i="3"/>
  <c r="AA22" i="3"/>
  <c r="AA20" i="3"/>
  <c r="AA4" i="3"/>
  <c r="AA2" i="3"/>
  <c r="AA1344" i="3"/>
  <c r="Z483" i="3"/>
  <c r="AA483" i="3"/>
  <c r="S43" i="3"/>
  <c r="Z43" i="3"/>
  <c r="AA43" i="3"/>
  <c r="Z781" i="3"/>
  <c r="AA781" i="3"/>
  <c r="S781" i="3"/>
  <c r="Z1330" i="3"/>
  <c r="AA1330" i="3"/>
  <c r="S1330" i="3"/>
  <c r="Z1338" i="3"/>
  <c r="AA1338" i="3"/>
  <c r="Y169" i="3"/>
  <c r="Z913" i="3"/>
  <c r="AA913" i="3"/>
  <c r="Z914" i="3"/>
  <c r="AA914" i="3"/>
  <c r="AA179" i="3"/>
  <c r="AA195" i="3"/>
  <c r="AA201" i="3"/>
  <c r="Z756" i="3"/>
  <c r="AA756" i="3"/>
  <c r="S756" i="3"/>
  <c r="Z563" i="3"/>
  <c r="AA563" i="3"/>
  <c r="S563" i="3"/>
  <c r="S1091" i="3"/>
  <c r="AA21" i="3"/>
  <c r="Z995" i="3"/>
  <c r="AA995" i="3"/>
  <c r="AA757" i="3"/>
  <c r="AA784" i="3"/>
  <c r="S186" i="3"/>
  <c r="AA5" i="3"/>
  <c r="AD1421" i="3"/>
  <c r="AB1421" i="3"/>
  <c r="AA1421" i="3"/>
  <c r="S759" i="3"/>
  <c r="Z759" i="3"/>
  <c r="AA759" i="3"/>
  <c r="S239" i="3"/>
  <c r="AA239" i="3"/>
  <c r="Z999" i="3"/>
  <c r="AA999" i="3"/>
  <c r="S999" i="3"/>
  <c r="AA755" i="3"/>
  <c r="AA734" i="3"/>
  <c r="AA732" i="3"/>
  <c r="S169" i="3"/>
  <c r="Z169" i="3"/>
  <c r="AA169" i="3"/>
  <c r="AB405" i="3"/>
  <c r="Y405" i="3"/>
  <c r="Z405" i="3"/>
  <c r="AA405" i="3"/>
  <c r="AA1352" i="3"/>
  <c r="S135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dionysia dionysiou</author>
  </authors>
  <commentList>
    <comment ref="F8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dionysia dionysiou:</t>
        </r>
        <r>
          <rPr>
            <sz val="9"/>
            <color indexed="81"/>
            <rFont val="Tahoma"/>
            <family val="2"/>
          </rPr>
          <t xml:space="preserve">
the accounts ffor the year before and after exist
it is only that for this year the book is misiing in the library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Theocharis</author>
    <author>User</author>
  </authors>
  <commentList>
    <comment ref="O15" authorId="0" shapeId="0" xr:uid="{669A3B0B-B467-43A4-9739-1DDF6D5CA6D3}">
      <text>
        <r>
          <rPr>
            <b/>
            <sz val="9"/>
            <color indexed="81"/>
            <rFont val="Tahoma"/>
            <family val="2"/>
          </rPr>
          <t>Theocharis:</t>
        </r>
        <r>
          <rPr>
            <sz val="9"/>
            <color indexed="81"/>
            <rFont val="Tahoma"/>
            <family val="2"/>
          </rPr>
          <t xml:space="preserve">
2nd auditor exists but not signed
</t>
        </r>
      </text>
    </comment>
    <comment ref="O16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Theocharis:</t>
        </r>
        <r>
          <rPr>
            <sz val="9"/>
            <color indexed="81"/>
            <rFont val="Tahoma"/>
            <family val="2"/>
          </rPr>
          <t xml:space="preserve">
2nd auditor exists but not signed
</t>
        </r>
      </text>
    </comment>
    <comment ref="B50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Theocharis:</t>
        </r>
        <r>
          <rPr>
            <sz val="9"/>
            <color indexed="81"/>
            <rFont val="Tahoma"/>
            <family val="2"/>
          </rPr>
          <t xml:space="preserve">
Reported on both, Indian Rupee and GBP</t>
        </r>
      </text>
    </comment>
    <comment ref="B60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Theocharis:</t>
        </r>
        <r>
          <rPr>
            <sz val="9"/>
            <color indexed="81"/>
            <rFont val="Tahoma"/>
            <family val="2"/>
          </rPr>
          <t xml:space="preserve">
Indian Rupee converte to GBP, But BS amounts not converted</t>
        </r>
      </text>
    </comment>
    <comment ref="B100" authorId="0" shapeId="0" xr:uid="{45AD6D81-CEF5-400A-A49E-8F6CA2B7388D}">
      <text>
        <r>
          <rPr>
            <b/>
            <sz val="9"/>
            <color indexed="81"/>
            <rFont val="Tahoma"/>
            <family val="2"/>
          </rPr>
          <t>Theocharis:</t>
        </r>
        <r>
          <rPr>
            <sz val="9"/>
            <color indexed="81"/>
            <rFont val="Tahoma"/>
            <family val="2"/>
          </rPr>
          <t xml:space="preserve">
BS amounts only on RS</t>
        </r>
      </text>
    </comment>
    <comment ref="B101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Theocharis:</t>
        </r>
        <r>
          <rPr>
            <sz val="9"/>
            <color indexed="81"/>
            <rFont val="Tahoma"/>
            <family val="2"/>
          </rPr>
          <t xml:space="preserve">
BS amounts only on RS</t>
        </r>
      </text>
    </comment>
    <comment ref="X101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Theocharis:</t>
        </r>
        <r>
          <rPr>
            <sz val="9"/>
            <color indexed="81"/>
            <rFont val="Tahoma"/>
            <family val="2"/>
          </rPr>
          <t xml:space="preserve">
Govrnment Capital</t>
        </r>
      </text>
    </comment>
    <comment ref="B103" authorId="0" shapeId="0" xr:uid="{EDB989B6-19DD-4EA7-88B9-75A30FA2E0D2}">
      <text>
        <r>
          <rPr>
            <b/>
            <sz val="9"/>
            <color indexed="81"/>
            <rFont val="Tahoma"/>
            <family val="2"/>
          </rPr>
          <t>Theocharis:</t>
        </r>
        <r>
          <rPr>
            <sz val="9"/>
            <color indexed="81"/>
            <rFont val="Tahoma"/>
            <family val="2"/>
          </rPr>
          <t xml:space="preserve">
BS amounts only on RS</t>
        </r>
      </text>
    </comment>
    <comment ref="B104" authorId="0" shapeId="0" xr:uid="{374E5F8F-986C-44FD-91CF-4BA80DB28D36}">
      <text>
        <r>
          <rPr>
            <b/>
            <sz val="9"/>
            <color indexed="81"/>
            <rFont val="Tahoma"/>
            <family val="2"/>
          </rPr>
          <t>Theocharis:</t>
        </r>
        <r>
          <rPr>
            <sz val="9"/>
            <color indexed="81"/>
            <rFont val="Tahoma"/>
            <family val="2"/>
          </rPr>
          <t xml:space="preserve">
BS amounts only on RS</t>
        </r>
      </text>
    </comment>
    <comment ref="B159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Theocharis:</t>
        </r>
        <r>
          <rPr>
            <sz val="9"/>
            <color indexed="81"/>
            <rFont val="Tahoma"/>
            <family val="2"/>
          </rPr>
          <t xml:space="preserve">
Revenue a/c in Dollars, but then converted and reported ONLY in GBP</t>
        </r>
      </text>
    </comment>
    <comment ref="X196" authorId="1" shapeId="0" xr:uid="{90776427-6CD5-4C42-8F76-4691FB2FB2E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Savings Bank Depositors</t>
        </r>
      </text>
    </comment>
    <comment ref="AL196" authorId="1" shapeId="0" xr:uid="{44735211-C26D-47D0-8DC7-E8450C45663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General interest a/c</t>
        </r>
      </text>
    </comment>
    <comment ref="AH215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Theocharis:</t>
        </r>
        <r>
          <rPr>
            <sz val="9"/>
            <color indexed="81"/>
            <rFont val="Tahoma"/>
            <family val="2"/>
          </rPr>
          <t xml:space="preserve">
Other Income?</t>
        </r>
      </text>
    </comment>
    <comment ref="Y219" authorId="1" shapeId="0" xr:uid="{A1781FB2-8C7B-4561-A887-2E0F38F0F91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Debenture % Interest accrued
Savings bank Deposits</t>
        </r>
      </text>
    </comment>
    <comment ref="X235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Theocharis:</t>
        </r>
        <r>
          <rPr>
            <sz val="9"/>
            <color indexed="81"/>
            <rFont val="Tahoma"/>
            <family val="2"/>
          </rPr>
          <t xml:space="preserve">
to Savings bank deposits?</t>
        </r>
      </text>
    </comment>
    <comment ref="S243" authorId="1" shapeId="0" xr:uid="{62014FF4-40E7-4844-8D9E-987FD3DD344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See again</t>
        </r>
      </text>
    </comment>
    <comment ref="Y243" authorId="1" shapeId="0" xr:uid="{82115CD1-6911-4C27-B61B-B4789ADFB40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Lloyds Bonds</t>
        </r>
      </text>
    </comment>
    <comment ref="AE243" authorId="1" shapeId="0" xr:uid="{E675D1D5-BDA3-46CC-9D56-7C3DC4E4B76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Deposits at interest?</t>
        </r>
      </text>
    </comment>
    <comment ref="AE278" authorId="1" shapeId="0" xr:uid="{8619A316-6E38-418B-9861-E7AAC7CB595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cash on deposit incl
</t>
        </r>
      </text>
    </comment>
    <comment ref="AJ278" authorId="1" shapeId="0" xr:uid="{C6322A3F-6B84-4DEC-B4C1-5D6F9475E76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rent stock guaranteed dividend</t>
        </r>
      </text>
    </comment>
    <comment ref="B300" authorId="0" shapeId="0" xr:uid="{A3C1FCA0-9882-494C-B8B2-601F3FB6191F}">
      <text>
        <r>
          <rPr>
            <b/>
            <sz val="9"/>
            <color indexed="81"/>
            <rFont val="Tahoma"/>
            <family val="2"/>
          </rPr>
          <t>Theocharis:</t>
        </r>
        <r>
          <rPr>
            <sz val="9"/>
            <color indexed="81"/>
            <rFont val="Tahoma"/>
            <family val="2"/>
          </rPr>
          <t xml:space="preserve">
Reported in Dollars and converted in Revenue a/c in GBP</t>
        </r>
      </text>
    </comment>
    <comment ref="B301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Theocharis:</t>
        </r>
        <r>
          <rPr>
            <sz val="9"/>
            <color indexed="81"/>
            <rFont val="Tahoma"/>
            <family val="2"/>
          </rPr>
          <t xml:space="preserve">
Reported in Dollars and converted in Revenue a/c in GBP</t>
        </r>
      </text>
    </comment>
    <comment ref="B303" authorId="0" shapeId="0" xr:uid="{BE97CE75-B9D9-43CC-A9C8-16567D373AE5}">
      <text>
        <r>
          <rPr>
            <b/>
            <sz val="9"/>
            <color indexed="81"/>
            <rFont val="Tahoma"/>
            <family val="2"/>
          </rPr>
          <t>Theocharis:</t>
        </r>
        <r>
          <rPr>
            <sz val="9"/>
            <color indexed="81"/>
            <rFont val="Tahoma"/>
            <family val="2"/>
          </rPr>
          <t xml:space="preserve">
Reported in Dollars and converted in Revenue a/c in GBP</t>
        </r>
      </text>
    </comment>
    <comment ref="B359" authorId="0" shapeId="0" xr:uid="{F9652474-62C5-4C75-9A95-06E8F75B39D2}">
      <text>
        <r>
          <rPr>
            <b/>
            <sz val="9"/>
            <color indexed="81"/>
            <rFont val="Tahoma"/>
            <family val="2"/>
          </rPr>
          <t>Theocharis:</t>
        </r>
        <r>
          <rPr>
            <sz val="9"/>
            <color indexed="81"/>
            <rFont val="Tahoma"/>
            <family val="2"/>
          </rPr>
          <t xml:space="preserve">
Revenue a/c in Indian Rupee and BS in GBP</t>
        </r>
      </text>
    </comment>
    <comment ref="B361" authorId="0" shapeId="0" xr:uid="{00000000-0006-0000-0200-000012000000}">
      <text>
        <r>
          <rPr>
            <b/>
            <sz val="9"/>
            <color indexed="81"/>
            <rFont val="Tahoma"/>
            <family val="2"/>
          </rPr>
          <t>Theocharis:</t>
        </r>
        <r>
          <rPr>
            <sz val="9"/>
            <color indexed="81"/>
            <rFont val="Tahoma"/>
            <family val="2"/>
          </rPr>
          <t xml:space="preserve">
Revenue a/c in Indian Rupee and BS in GBP</t>
        </r>
      </text>
    </comment>
    <comment ref="B365" authorId="0" shapeId="0" xr:uid="{3E951773-0EB3-46E8-891D-9959A61788A3}">
      <text>
        <r>
          <rPr>
            <b/>
            <sz val="9"/>
            <color indexed="81"/>
            <rFont val="Tahoma"/>
            <family val="2"/>
          </rPr>
          <t>Theocharis:</t>
        </r>
        <r>
          <rPr>
            <sz val="9"/>
            <color indexed="81"/>
            <rFont val="Tahoma"/>
            <family val="2"/>
          </rPr>
          <t xml:space="preserve">
Revenue a/c in Indian Rupee and BS in GBP</t>
        </r>
      </text>
    </comment>
    <comment ref="B367" authorId="0" shapeId="0" xr:uid="{40D2F039-F088-4145-9292-CAA7840A15C2}">
      <text>
        <r>
          <rPr>
            <b/>
            <sz val="9"/>
            <color indexed="81"/>
            <rFont val="Tahoma"/>
            <family val="2"/>
          </rPr>
          <t>Theocharis:</t>
        </r>
        <r>
          <rPr>
            <sz val="9"/>
            <color indexed="81"/>
            <rFont val="Tahoma"/>
            <family val="2"/>
          </rPr>
          <t xml:space="preserve">
Revenue a/c in Indian Rupee and BS in GBP</t>
        </r>
      </text>
    </comment>
    <comment ref="Q369" authorId="1" shapeId="0" xr:uid="{11332F25-96CE-4E62-85E0-E85D7435BAD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Also reported in Pesos</t>
        </r>
      </text>
    </comment>
    <comment ref="B400" authorId="0" shapeId="0" xr:uid="{00000000-0006-0000-0200-000014000000}">
      <text>
        <r>
          <rPr>
            <b/>
            <sz val="9"/>
            <color indexed="81"/>
            <rFont val="Tahoma"/>
            <family val="2"/>
          </rPr>
          <t>Theocharis:</t>
        </r>
        <r>
          <rPr>
            <sz val="9"/>
            <color indexed="81"/>
            <rFont val="Tahoma"/>
            <family val="2"/>
          </rPr>
          <t xml:space="preserve">
Other currency in Revenue a/c aand GBP afterwards</t>
        </r>
      </text>
    </comment>
    <comment ref="B424" authorId="0" shapeId="0" xr:uid="{00000000-0006-0000-0200-000016000000}">
      <text>
        <r>
          <rPr>
            <b/>
            <sz val="9"/>
            <color indexed="81"/>
            <rFont val="Tahoma"/>
            <family val="2"/>
          </rPr>
          <t>Theocharis:</t>
        </r>
        <r>
          <rPr>
            <sz val="9"/>
            <color indexed="81"/>
            <rFont val="Tahoma"/>
            <family val="2"/>
          </rPr>
          <t xml:space="preserve">
Confusing Financial Statements</t>
        </r>
      </text>
    </comment>
    <comment ref="B428" authorId="0" shapeId="0" xr:uid="{9C5E9A51-D60D-4E64-A0EC-12C0524AD745}">
      <text>
        <r>
          <rPr>
            <b/>
            <sz val="9"/>
            <color indexed="81"/>
            <rFont val="Tahoma"/>
            <family val="2"/>
          </rPr>
          <t>Theocharis:</t>
        </r>
        <r>
          <rPr>
            <sz val="9"/>
            <color indexed="81"/>
            <rFont val="Tahoma"/>
            <family val="2"/>
          </rPr>
          <t xml:space="preserve">
Confusing Financial Statements</t>
        </r>
      </text>
    </comment>
    <comment ref="B431" authorId="0" shapeId="0" xr:uid="{2FCE4ABA-6EC0-4404-814F-930933969379}">
      <text>
        <r>
          <rPr>
            <b/>
            <sz val="9"/>
            <color indexed="81"/>
            <rFont val="Tahoma"/>
            <family val="2"/>
          </rPr>
          <t>Theocharis:</t>
        </r>
        <r>
          <rPr>
            <sz val="9"/>
            <color indexed="81"/>
            <rFont val="Tahoma"/>
            <family val="2"/>
          </rPr>
          <t xml:space="preserve">
Confusing Financial Statements</t>
        </r>
      </text>
    </comment>
    <comment ref="B466" authorId="1" shapeId="0" xr:uid="{D713000C-3003-4927-8B17-B28FF981175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Different currencies</t>
        </r>
      </text>
    </comment>
    <comment ref="B565" authorId="0" shapeId="0" xr:uid="{7CCE41CE-9053-4F6B-85DF-0FE18E2BC340}">
      <text>
        <r>
          <rPr>
            <b/>
            <sz val="9"/>
            <color indexed="81"/>
            <rFont val="Tahoma"/>
            <family val="2"/>
          </rPr>
          <t>Theocharis:</t>
        </r>
        <r>
          <rPr>
            <sz val="9"/>
            <color indexed="81"/>
            <rFont val="Tahoma"/>
            <family val="2"/>
          </rPr>
          <t xml:space="preserve">
Other Company???</t>
        </r>
      </text>
    </comment>
    <comment ref="B567" authorId="0" shapeId="0" xr:uid="{00000000-0006-0000-0200-00001B000000}">
      <text>
        <r>
          <rPr>
            <b/>
            <sz val="9"/>
            <color indexed="81"/>
            <rFont val="Tahoma"/>
            <family val="2"/>
          </rPr>
          <t>Theocharis:</t>
        </r>
        <r>
          <rPr>
            <sz val="9"/>
            <color indexed="81"/>
            <rFont val="Tahoma"/>
            <family val="2"/>
          </rPr>
          <t xml:space="preserve">
Other Company???</t>
        </r>
      </text>
    </comment>
    <comment ref="B568" authorId="0" shapeId="0" xr:uid="{B70DF1F6-C145-4842-8610-9B4A626180C7}">
      <text>
        <r>
          <rPr>
            <b/>
            <sz val="9"/>
            <color indexed="81"/>
            <rFont val="Tahoma"/>
            <family val="2"/>
          </rPr>
          <t>Theocharis:</t>
        </r>
        <r>
          <rPr>
            <sz val="9"/>
            <color indexed="81"/>
            <rFont val="Tahoma"/>
            <family val="2"/>
          </rPr>
          <t xml:space="preserve">
Other Company???</t>
        </r>
      </text>
    </comment>
    <comment ref="B569" authorId="0" shapeId="0" xr:uid="{DB591CAB-71E9-4748-92D7-EB428E2A6771}">
      <text>
        <r>
          <rPr>
            <b/>
            <sz val="9"/>
            <color indexed="81"/>
            <rFont val="Tahoma"/>
            <family val="2"/>
          </rPr>
          <t>Theocharis:</t>
        </r>
        <r>
          <rPr>
            <sz val="9"/>
            <color indexed="81"/>
            <rFont val="Tahoma"/>
            <family val="2"/>
          </rPr>
          <t xml:space="preserve">
Other Company???</t>
        </r>
      </text>
    </comment>
    <comment ref="AG597" authorId="0" shapeId="0" xr:uid="{00000000-0006-0000-0200-00001D000000}">
      <text>
        <r>
          <rPr>
            <b/>
            <sz val="9"/>
            <color indexed="81"/>
            <rFont val="Tahoma"/>
            <family val="2"/>
          </rPr>
          <t>Theocharis:</t>
        </r>
        <r>
          <rPr>
            <sz val="9"/>
            <color indexed="81"/>
            <rFont val="Tahoma"/>
            <family val="2"/>
          </rPr>
          <t xml:space="preserve">
Amounts written off?</t>
        </r>
      </text>
    </comment>
    <comment ref="B629" authorId="0" shapeId="0" xr:uid="{00000000-0006-0000-0200-00001E000000}">
      <text>
        <r>
          <rPr>
            <b/>
            <sz val="9"/>
            <color indexed="81"/>
            <rFont val="Tahoma"/>
            <family val="2"/>
          </rPr>
          <t>Theocharis:</t>
        </r>
        <r>
          <rPr>
            <sz val="9"/>
            <color indexed="81"/>
            <rFont val="Tahoma"/>
            <family val="2"/>
          </rPr>
          <t xml:space="preserve">
Spanish ONE</t>
        </r>
      </text>
    </comment>
    <comment ref="AO698" authorId="0" shapeId="0" xr:uid="{00000000-0006-0000-0200-000024000000}">
      <text>
        <r>
          <rPr>
            <b/>
            <sz val="9"/>
            <color indexed="81"/>
            <rFont val="Tahoma"/>
            <family val="2"/>
          </rPr>
          <t>Theocharis:</t>
        </r>
        <r>
          <rPr>
            <sz val="9"/>
            <color indexed="81"/>
            <rFont val="Tahoma"/>
            <family val="2"/>
          </rPr>
          <t xml:space="preserve">
Assume that NoSO hasnn't been changed (I cannot see the Total)</t>
        </r>
      </text>
    </comment>
    <comment ref="AO699" authorId="0" shapeId="0" xr:uid="{D7AE3F70-79F6-4D3B-96D6-91F55DA29F2F}">
      <text>
        <r>
          <rPr>
            <b/>
            <sz val="9"/>
            <color indexed="81"/>
            <rFont val="Tahoma"/>
            <family val="2"/>
          </rPr>
          <t>Theocharis:</t>
        </r>
        <r>
          <rPr>
            <sz val="9"/>
            <color indexed="81"/>
            <rFont val="Tahoma"/>
            <family val="2"/>
          </rPr>
          <t xml:space="preserve">
Assume that NoSO hasnn't been changed (I cannot see the Total)</t>
        </r>
      </text>
    </comment>
    <comment ref="AO700" authorId="0" shapeId="0" xr:uid="{AA34BB03-5B16-4FDA-87BE-4D9F9495B674}">
      <text>
        <r>
          <rPr>
            <b/>
            <sz val="9"/>
            <color indexed="81"/>
            <rFont val="Tahoma"/>
            <family val="2"/>
          </rPr>
          <t>Theocharis:</t>
        </r>
        <r>
          <rPr>
            <sz val="9"/>
            <color indexed="81"/>
            <rFont val="Tahoma"/>
            <family val="2"/>
          </rPr>
          <t xml:space="preserve">
Assume that NoSO hasnn't been changed (I cannot see the Total)</t>
        </r>
      </text>
    </comment>
    <comment ref="AF703" authorId="0" shapeId="0" xr:uid="{00000000-0006-0000-0200-000025000000}">
      <text>
        <r>
          <rPr>
            <b/>
            <sz val="9"/>
            <color indexed="81"/>
            <rFont val="Tahoma"/>
            <family val="2"/>
          </rPr>
          <t>Theocharis:</t>
        </r>
        <r>
          <rPr>
            <sz val="9"/>
            <color indexed="81"/>
            <rFont val="Tahoma"/>
            <family val="2"/>
          </rPr>
          <t xml:space="preserve">
Less 100000 As per Directors' Report</t>
        </r>
      </text>
    </comment>
    <comment ref="AF752" authorId="0" shapeId="0" xr:uid="{00000000-0006-0000-0200-000026000000}">
      <text>
        <r>
          <rPr>
            <b/>
            <sz val="9"/>
            <color indexed="81"/>
            <rFont val="Tahoma"/>
            <family val="2"/>
          </rPr>
          <t>Theocharis:</t>
        </r>
        <r>
          <rPr>
            <sz val="9"/>
            <color indexed="81"/>
            <rFont val="Tahoma"/>
            <family val="2"/>
          </rPr>
          <t xml:space="preserve">
found on Auditors' Report</t>
        </r>
      </text>
    </comment>
    <comment ref="AF753" authorId="0" shapeId="0" xr:uid="{00000000-0006-0000-0200-000027000000}">
      <text>
        <r>
          <rPr>
            <b/>
            <sz val="9"/>
            <color indexed="81"/>
            <rFont val="Tahoma"/>
            <family val="2"/>
          </rPr>
          <t>Theocharis:</t>
        </r>
        <r>
          <rPr>
            <sz val="9"/>
            <color indexed="81"/>
            <rFont val="Tahoma"/>
            <family val="2"/>
          </rPr>
          <t xml:space="preserve">
Other elements included</t>
        </r>
      </text>
    </comment>
    <comment ref="AE851" authorId="1" shapeId="0" xr:uid="{6955AD20-889A-4483-9651-522AD17039A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Incl Debts</t>
        </r>
      </text>
    </comment>
    <comment ref="AG899" authorId="0" shapeId="0" xr:uid="{00000000-0006-0000-0200-00002F000000}">
      <text>
        <r>
          <rPr>
            <b/>
            <sz val="9"/>
            <color indexed="81"/>
            <rFont val="Tahoma"/>
            <family val="2"/>
          </rPr>
          <t>Theocharis:</t>
        </r>
        <r>
          <rPr>
            <sz val="9"/>
            <color indexed="81"/>
            <rFont val="Tahoma"/>
            <family val="2"/>
          </rPr>
          <t xml:space="preserve">
Interest paid in advance</t>
        </r>
      </text>
    </comment>
    <comment ref="H944" authorId="0" shapeId="0" xr:uid="{00000000-0006-0000-0200-000032000000}">
      <text>
        <r>
          <rPr>
            <b/>
            <sz val="9"/>
            <color indexed="81"/>
            <rFont val="Tahoma"/>
            <family val="2"/>
          </rPr>
          <t>Theocharis:</t>
        </r>
        <r>
          <rPr>
            <sz val="9"/>
            <color indexed="81"/>
            <rFont val="Tahoma"/>
            <family val="2"/>
          </rPr>
          <t xml:space="preserve">
3 different year  ends
</t>
        </r>
      </text>
    </comment>
    <comment ref="H945" authorId="0" shapeId="0" xr:uid="{00000000-0006-0000-0200-000033000000}">
      <text>
        <r>
          <rPr>
            <b/>
            <sz val="9"/>
            <color indexed="81"/>
            <rFont val="Tahoma"/>
            <family val="2"/>
          </rPr>
          <t>Theocharis:</t>
        </r>
        <r>
          <rPr>
            <sz val="9"/>
            <color indexed="81"/>
            <rFont val="Tahoma"/>
            <family val="2"/>
          </rPr>
          <t xml:space="preserve">
3 different year  ends
</t>
        </r>
      </text>
    </comment>
    <comment ref="AH977" authorId="1" shapeId="0" xr:uid="{6C78F0B2-A867-4E3F-9A0A-66DBC43E4BE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Interest and dividends paid but invluded in the same figure</t>
        </r>
      </text>
    </comment>
    <comment ref="B983" authorId="0" shapeId="0" xr:uid="{00000000-0006-0000-0200-000039000000}">
      <text>
        <r>
          <rPr>
            <b/>
            <sz val="9"/>
            <color indexed="81"/>
            <rFont val="Tahoma"/>
            <family val="2"/>
          </rPr>
          <t>Theocharis:</t>
        </r>
        <r>
          <rPr>
            <sz val="9"/>
            <color indexed="81"/>
            <rFont val="Tahoma"/>
            <family val="2"/>
          </rPr>
          <t xml:space="preserve">
English Or American</t>
        </r>
      </text>
    </comment>
    <comment ref="Q983" authorId="0" shapeId="0" xr:uid="{00000000-0006-0000-0200-00003A000000}">
      <text>
        <r>
          <rPr>
            <b/>
            <sz val="9"/>
            <color indexed="81"/>
            <rFont val="Tahoma"/>
            <family val="2"/>
          </rPr>
          <t>Theocharis:</t>
        </r>
        <r>
          <rPr>
            <sz val="9"/>
            <color indexed="81"/>
            <rFont val="Tahoma"/>
            <family val="2"/>
          </rPr>
          <t xml:space="preserve">
Income Sstatement in $ with conversion to GBP</t>
        </r>
      </text>
    </comment>
    <comment ref="Q984" authorId="0" shapeId="0" xr:uid="{00000000-0006-0000-0200-00003B000000}">
      <text>
        <r>
          <rPr>
            <b/>
            <sz val="9"/>
            <color indexed="81"/>
            <rFont val="Tahoma"/>
            <family val="2"/>
          </rPr>
          <t>Theocharis:</t>
        </r>
        <r>
          <rPr>
            <sz val="9"/>
            <color indexed="81"/>
            <rFont val="Tahoma"/>
            <family val="2"/>
          </rPr>
          <t xml:space="preserve">
Income Sstatement in $ with conversion to GBP</t>
        </r>
      </text>
    </comment>
    <comment ref="B1032" authorId="0" shapeId="0" xr:uid="{132192C8-CC4F-429B-8922-981288F868A8}">
      <text>
        <r>
          <rPr>
            <b/>
            <sz val="9"/>
            <color indexed="81"/>
            <rFont val="Tahoma"/>
            <family val="2"/>
          </rPr>
          <t>Theocharis:</t>
        </r>
        <r>
          <rPr>
            <sz val="9"/>
            <color indexed="81"/>
            <rFont val="Tahoma"/>
            <family val="2"/>
          </rPr>
          <t xml:space="preserve">
American &amp; ENglish</t>
        </r>
      </text>
    </comment>
    <comment ref="B1035" authorId="0" shapeId="0" xr:uid="{B4C8560D-56C4-4C84-A529-767D5E351258}">
      <text>
        <r>
          <rPr>
            <b/>
            <sz val="9"/>
            <color indexed="81"/>
            <rFont val="Tahoma"/>
            <family val="2"/>
          </rPr>
          <t>Theocharis:</t>
        </r>
        <r>
          <rPr>
            <sz val="9"/>
            <color indexed="81"/>
            <rFont val="Tahoma"/>
            <family val="2"/>
          </rPr>
          <t xml:space="preserve">
American &amp; ENglish</t>
        </r>
      </text>
    </comment>
    <comment ref="AE1041" authorId="1" shapeId="0" xr:uid="{B2501292-AF46-4C56-82CB-0BBDC1240EA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Cash * Investment in same account</t>
        </r>
      </text>
    </comment>
    <comment ref="B1244" authorId="1" shapeId="0" xr:uid="{27A394D5-FA3E-4684-AF1F-F45B4327C72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Half-yearly and then for 9 months</t>
        </r>
      </text>
    </comment>
    <comment ref="B1246" authorId="1" shapeId="0" xr:uid="{D00595BD-6E23-4891-8E8D-EDEF2A3C7EA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Half-yearly and then for 9 months</t>
        </r>
      </text>
    </comment>
    <comment ref="B1249" authorId="1" shapeId="0" xr:uid="{AA566F3D-21E3-4D1B-A338-AF91161D97C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Half-yearly and then for 9 months</t>
        </r>
      </text>
    </comment>
    <comment ref="AG1274" authorId="0" shapeId="0" xr:uid="{00000000-0006-0000-0200-00006E000000}">
      <text>
        <r>
          <rPr>
            <b/>
            <sz val="9"/>
            <color indexed="81"/>
            <rFont val="Tahoma"/>
            <family val="2"/>
          </rPr>
          <t>Theocharis:</t>
        </r>
        <r>
          <rPr>
            <sz val="9"/>
            <color indexed="81"/>
            <rFont val="Tahoma"/>
            <family val="2"/>
          </rPr>
          <t xml:space="preserve">
Interest on Reserve fund included</t>
        </r>
      </text>
    </comment>
    <comment ref="Q1331" authorId="0" shapeId="0" xr:uid="{00000000-0006-0000-0200-000077000000}">
      <text>
        <r>
          <rPr>
            <b/>
            <sz val="9"/>
            <color indexed="81"/>
            <rFont val="Tahoma"/>
            <family val="2"/>
          </rPr>
          <t xml:space="preserve">Theocharis:
</t>
        </r>
        <r>
          <rPr>
            <sz val="9"/>
            <color indexed="81"/>
            <rFont val="Tahoma"/>
            <family val="2"/>
          </rPr>
          <t>Gross profit reported on Rs but then converted</t>
        </r>
      </text>
    </comment>
    <comment ref="B1373" authorId="0" shapeId="0" xr:uid="{00000000-0006-0000-0200-000080000000}">
      <text>
        <r>
          <rPr>
            <b/>
            <sz val="9"/>
            <color indexed="81"/>
            <rFont val="Tahoma"/>
            <family val="2"/>
          </rPr>
          <t>Theocharis:</t>
        </r>
        <r>
          <rPr>
            <sz val="9"/>
            <color indexed="81"/>
            <rFont val="Tahoma"/>
            <family val="2"/>
          </rPr>
          <t xml:space="preserve">
Duplicated Photos</t>
        </r>
      </text>
    </comment>
    <comment ref="B1381" authorId="0" shapeId="0" xr:uid="{00000000-0006-0000-0200-000081000000}">
      <text>
        <r>
          <rPr>
            <b/>
            <sz val="9"/>
            <color indexed="81"/>
            <rFont val="Tahoma"/>
            <family val="2"/>
          </rPr>
          <t>Theocharis:</t>
        </r>
        <r>
          <rPr>
            <sz val="9"/>
            <color indexed="81"/>
            <rFont val="Tahoma"/>
            <family val="2"/>
          </rPr>
          <t xml:space="preserve">
Duplicated Photos</t>
        </r>
      </text>
    </comment>
    <comment ref="B1389" authorId="0" shapeId="0" xr:uid="{00000000-0006-0000-0200-000082000000}">
      <text>
        <r>
          <rPr>
            <b/>
            <sz val="9"/>
            <color indexed="81"/>
            <rFont val="Tahoma"/>
            <family val="2"/>
          </rPr>
          <t>Theocharis:</t>
        </r>
        <r>
          <rPr>
            <sz val="9"/>
            <color indexed="81"/>
            <rFont val="Tahoma"/>
            <family val="2"/>
          </rPr>
          <t xml:space="preserve">
Duplicated Photos</t>
        </r>
      </text>
    </comment>
    <comment ref="AH1461" authorId="0" shapeId="0" xr:uid="{00000000-0006-0000-0200-000084000000}">
      <text>
        <r>
          <rPr>
            <b/>
            <sz val="9"/>
            <color indexed="81"/>
            <rFont val="Tahoma"/>
            <family val="2"/>
          </rPr>
          <t>Theocharis:</t>
        </r>
        <r>
          <rPr>
            <sz val="9"/>
            <color indexed="81"/>
            <rFont val="Tahoma"/>
            <family val="2"/>
          </rPr>
          <t xml:space="preserve">
Appropriation a/c - DEP'N?</t>
        </r>
      </text>
    </comment>
    <comment ref="B1465" authorId="0" shapeId="0" xr:uid="{B3D7E7B3-9669-46F7-BAD6-96CAAC2E146C}">
      <text>
        <r>
          <rPr>
            <b/>
            <sz val="9"/>
            <color indexed="81"/>
            <rFont val="Tahoma"/>
            <family val="2"/>
          </rPr>
          <t>Theocharis:</t>
        </r>
        <r>
          <rPr>
            <sz val="9"/>
            <color indexed="81"/>
            <rFont val="Tahoma"/>
            <family val="2"/>
          </rPr>
          <t xml:space="preserve">
Income statement for half-year</t>
        </r>
      </text>
    </comment>
    <comment ref="B1466" authorId="0" shapeId="0" xr:uid="{B0DF0819-AE20-4A79-BD4B-8799C791C1F1}">
      <text>
        <r>
          <rPr>
            <b/>
            <sz val="9"/>
            <color indexed="81"/>
            <rFont val="Tahoma"/>
            <family val="2"/>
          </rPr>
          <t>Theocharis:</t>
        </r>
        <r>
          <rPr>
            <sz val="9"/>
            <color indexed="81"/>
            <rFont val="Tahoma"/>
            <family val="2"/>
          </rPr>
          <t xml:space="preserve">
Income statement for half-year</t>
        </r>
      </text>
    </comment>
    <comment ref="B1467" authorId="0" shapeId="0" xr:uid="{00000000-0006-0000-0200-000085000000}">
      <text>
        <r>
          <rPr>
            <b/>
            <sz val="9"/>
            <color indexed="81"/>
            <rFont val="Tahoma"/>
            <family val="2"/>
          </rPr>
          <t>Theocharis:</t>
        </r>
        <r>
          <rPr>
            <sz val="9"/>
            <color indexed="81"/>
            <rFont val="Tahoma"/>
            <family val="2"/>
          </rPr>
          <t xml:space="preserve">
Income statement for half-year</t>
        </r>
      </text>
    </comment>
    <comment ref="B1469" authorId="0" shapeId="0" xr:uid="{77601064-33A7-44C0-8BE6-38F96B5A99C4}">
      <text>
        <r>
          <rPr>
            <b/>
            <sz val="9"/>
            <color indexed="81"/>
            <rFont val="Tahoma"/>
            <family val="2"/>
          </rPr>
          <t>Theocharis:</t>
        </r>
        <r>
          <rPr>
            <sz val="9"/>
            <color indexed="81"/>
            <rFont val="Tahoma"/>
            <family val="2"/>
          </rPr>
          <t xml:space="preserve">
Income statement for half-year</t>
        </r>
      </text>
    </comment>
    <comment ref="B1470" authorId="0" shapeId="0" xr:uid="{3F53E7A1-18F4-4E11-BCBD-78C5C077B288}">
      <text>
        <r>
          <rPr>
            <b/>
            <sz val="9"/>
            <color indexed="81"/>
            <rFont val="Tahoma"/>
            <family val="2"/>
          </rPr>
          <t>Theocharis:</t>
        </r>
        <r>
          <rPr>
            <sz val="9"/>
            <color indexed="81"/>
            <rFont val="Tahoma"/>
            <family val="2"/>
          </rPr>
          <t xml:space="preserve">
Income statement for half-year</t>
        </r>
      </text>
    </comment>
    <comment ref="O1473" authorId="1" shapeId="0" xr:uid="{753B3008-3DA8-4A89-A288-C67275F6C75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Accountant - General</t>
        </r>
      </text>
    </comment>
    <comment ref="X1473" authorId="0" shapeId="0" xr:uid="{00000000-0006-0000-0200-000086000000}">
      <text>
        <r>
          <rPr>
            <b/>
            <sz val="9"/>
            <color indexed="81"/>
            <rFont val="Tahoma"/>
            <family val="2"/>
          </rPr>
          <t>Theocharis:</t>
        </r>
        <r>
          <rPr>
            <sz val="9"/>
            <color indexed="81"/>
            <rFont val="Tahoma"/>
            <family val="2"/>
          </rPr>
          <t xml:space="preserve">
REST???</t>
        </r>
      </text>
    </comment>
    <comment ref="X1474" authorId="0" shapeId="0" xr:uid="{00000000-0006-0000-0200-000087000000}">
      <text>
        <r>
          <rPr>
            <b/>
            <sz val="9"/>
            <color indexed="81"/>
            <rFont val="Tahoma"/>
            <family val="2"/>
          </rPr>
          <t>Theocharis:</t>
        </r>
        <r>
          <rPr>
            <sz val="9"/>
            <color indexed="81"/>
            <rFont val="Tahoma"/>
            <family val="2"/>
          </rPr>
          <t xml:space="preserve">
rest</t>
        </r>
      </text>
    </comment>
    <comment ref="X1475" authorId="0" shapeId="0" xr:uid="{00000000-0006-0000-0200-000088000000}">
      <text>
        <r>
          <rPr>
            <b/>
            <sz val="9"/>
            <color indexed="81"/>
            <rFont val="Tahoma"/>
            <family val="2"/>
          </rPr>
          <t>Theocharis:</t>
        </r>
        <r>
          <rPr>
            <sz val="9"/>
            <color indexed="81"/>
            <rFont val="Tahoma"/>
            <family val="2"/>
          </rPr>
          <t xml:space="preserve">
rest</t>
        </r>
      </text>
    </comment>
    <comment ref="B1674" authorId="0" shapeId="0" xr:uid="{682B4FF4-0606-4A31-B86F-F6A5A47BE6BC}">
      <text>
        <r>
          <rPr>
            <b/>
            <sz val="9"/>
            <color indexed="81"/>
            <rFont val="Tahoma"/>
            <family val="2"/>
          </rPr>
          <t>Theocharis:</t>
        </r>
        <r>
          <rPr>
            <sz val="9"/>
            <color indexed="81"/>
            <rFont val="Tahoma"/>
            <family val="2"/>
          </rPr>
          <t xml:space="preserve">
Reported in Egyptiann Pound and converted in GBP</t>
        </r>
      </text>
    </comment>
    <comment ref="B1675" authorId="0" shapeId="0" xr:uid="{00000000-0006-0000-0200-000096000000}">
      <text>
        <r>
          <rPr>
            <b/>
            <sz val="9"/>
            <color indexed="81"/>
            <rFont val="Tahoma"/>
            <family val="2"/>
          </rPr>
          <t>Theocharis:</t>
        </r>
        <r>
          <rPr>
            <sz val="9"/>
            <color indexed="81"/>
            <rFont val="Tahoma"/>
            <family val="2"/>
          </rPr>
          <t xml:space="preserve">
Reported in Egyptiann Pound and converted in GBP</t>
        </r>
      </text>
    </comment>
    <comment ref="B1677" authorId="0" shapeId="0" xr:uid="{E6350CF5-7F13-4C95-AD25-18AF1DD9A71C}">
      <text>
        <r>
          <rPr>
            <b/>
            <sz val="9"/>
            <color indexed="81"/>
            <rFont val="Tahoma"/>
            <family val="2"/>
          </rPr>
          <t>Theocharis:</t>
        </r>
        <r>
          <rPr>
            <sz val="9"/>
            <color indexed="81"/>
            <rFont val="Tahoma"/>
            <family val="2"/>
          </rPr>
          <t xml:space="preserve">
Reported in Egyptiann Pound and converted in GBP</t>
        </r>
      </text>
    </comment>
    <comment ref="B1678" authorId="0" shapeId="0" xr:uid="{850C1FC6-5E14-418A-A98F-DB37E9A86408}">
      <text>
        <r>
          <rPr>
            <b/>
            <sz val="9"/>
            <color indexed="81"/>
            <rFont val="Tahoma"/>
            <family val="2"/>
          </rPr>
          <t>Theocharis:</t>
        </r>
        <r>
          <rPr>
            <sz val="9"/>
            <color indexed="81"/>
            <rFont val="Tahoma"/>
            <family val="2"/>
          </rPr>
          <t xml:space="preserve">
Reported in Egyptiann Pound and converted in GBP</t>
        </r>
      </text>
    </comment>
    <comment ref="AG1761" authorId="0" shapeId="0" xr:uid="{00000000-0006-0000-0200-00009B000000}">
      <text>
        <r>
          <rPr>
            <b/>
            <sz val="9"/>
            <color indexed="81"/>
            <rFont val="Tahoma"/>
            <family val="2"/>
          </rPr>
          <t>Theocharis:</t>
        </r>
        <r>
          <rPr>
            <sz val="9"/>
            <color indexed="81"/>
            <rFont val="Tahoma"/>
            <family val="2"/>
          </rPr>
          <t xml:space="preserve">
Rebate on bills included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Theocharis</author>
    <author>User</author>
  </authors>
  <commentList>
    <comment ref="A346" authorId="0" shapeId="0" xr:uid="{20866371-3B92-4DCE-A3C3-730A2241520A}">
      <text>
        <r>
          <rPr>
            <b/>
            <sz val="9"/>
            <color indexed="81"/>
            <rFont val="Tahoma"/>
            <family val="2"/>
          </rPr>
          <t>Theocharis:</t>
        </r>
        <r>
          <rPr>
            <sz val="9"/>
            <color indexed="81"/>
            <rFont val="Tahoma"/>
            <family val="2"/>
          </rPr>
          <t xml:space="preserve">
Reported on both, Indian Rupee and GBP</t>
        </r>
      </text>
    </comment>
    <comment ref="A355" authorId="0" shapeId="0" xr:uid="{2B3E2877-858C-4C45-A10F-F8DB007B59C3}">
      <text>
        <r>
          <rPr>
            <b/>
            <sz val="9"/>
            <color indexed="81"/>
            <rFont val="Tahoma"/>
            <family val="2"/>
          </rPr>
          <t>Theocharis:</t>
        </r>
        <r>
          <rPr>
            <sz val="9"/>
            <color indexed="81"/>
            <rFont val="Tahoma"/>
            <family val="2"/>
          </rPr>
          <t xml:space="preserve">
Indian Rupee converte to GBP, But BS amounts not converted</t>
        </r>
      </text>
    </comment>
    <comment ref="A390" authorId="0" shapeId="0" xr:uid="{83BB2D18-0D41-4AB4-8AFB-B655C90DA15D}">
      <text>
        <r>
          <rPr>
            <b/>
            <sz val="9"/>
            <color indexed="81"/>
            <rFont val="Tahoma"/>
            <family val="2"/>
          </rPr>
          <t>Theocharis:</t>
        </r>
        <r>
          <rPr>
            <sz val="9"/>
            <color indexed="81"/>
            <rFont val="Tahoma"/>
            <family val="2"/>
          </rPr>
          <t xml:space="preserve">
BS amounts only on RS</t>
        </r>
      </text>
    </comment>
    <comment ref="A392" authorId="0" shapeId="0" xr:uid="{2B0A2FBC-A09C-48E0-A263-463D83B5953D}">
      <text>
        <r>
          <rPr>
            <b/>
            <sz val="9"/>
            <color indexed="81"/>
            <rFont val="Tahoma"/>
            <family val="2"/>
          </rPr>
          <t>Theocharis:</t>
        </r>
        <r>
          <rPr>
            <sz val="9"/>
            <color indexed="81"/>
            <rFont val="Tahoma"/>
            <family val="2"/>
          </rPr>
          <t xml:space="preserve">
BS amounts only on RS</t>
        </r>
      </text>
    </comment>
    <comment ref="A393" authorId="0" shapeId="0" xr:uid="{AEA89811-421C-4E60-8953-2DAF19F23375}">
      <text>
        <r>
          <rPr>
            <b/>
            <sz val="9"/>
            <color indexed="81"/>
            <rFont val="Tahoma"/>
            <family val="2"/>
          </rPr>
          <t>Theocharis:</t>
        </r>
        <r>
          <rPr>
            <sz val="9"/>
            <color indexed="81"/>
            <rFont val="Tahoma"/>
            <family val="2"/>
          </rPr>
          <t xml:space="preserve">
BS amounts only on RS</t>
        </r>
      </text>
    </comment>
    <comment ref="A439" authorId="0" shapeId="0" xr:uid="{93895962-1AFC-4075-90A8-C949FE89B45C}">
      <text>
        <r>
          <rPr>
            <b/>
            <sz val="9"/>
            <color indexed="81"/>
            <rFont val="Tahoma"/>
            <family val="2"/>
          </rPr>
          <t>Theocharis:</t>
        </r>
        <r>
          <rPr>
            <sz val="9"/>
            <color indexed="81"/>
            <rFont val="Tahoma"/>
            <family val="2"/>
          </rPr>
          <t xml:space="preserve">
Revenue a/c in Dollars, but then converted and reported ONLY in GBP</t>
        </r>
      </text>
    </comment>
    <comment ref="A561" authorId="0" shapeId="0" xr:uid="{E4B4F1B6-EA40-4477-B6A7-1B675971257B}">
      <text>
        <r>
          <rPr>
            <b/>
            <sz val="9"/>
            <color indexed="81"/>
            <rFont val="Tahoma"/>
            <family val="2"/>
          </rPr>
          <t>Theocharis:</t>
        </r>
        <r>
          <rPr>
            <sz val="9"/>
            <color indexed="81"/>
            <rFont val="Tahoma"/>
            <family val="2"/>
          </rPr>
          <t xml:space="preserve">
Reported in Dollars and converted in Revenue a/c in GBP</t>
        </r>
      </text>
    </comment>
    <comment ref="A563" authorId="0" shapeId="0" xr:uid="{F42E9DE7-CB15-47EE-ABC5-49BA6E546D52}">
      <text>
        <r>
          <rPr>
            <b/>
            <sz val="9"/>
            <color indexed="81"/>
            <rFont val="Tahoma"/>
            <family val="2"/>
          </rPr>
          <t>Theocharis:</t>
        </r>
        <r>
          <rPr>
            <sz val="9"/>
            <color indexed="81"/>
            <rFont val="Tahoma"/>
            <family val="2"/>
          </rPr>
          <t xml:space="preserve">
Reported in Dollars and converted in Revenue a/c in GBP</t>
        </r>
      </text>
    </comment>
    <comment ref="A613" authorId="0" shapeId="0" xr:uid="{4D2281CD-C3AB-4BDB-8834-45065024BD60}">
      <text>
        <r>
          <rPr>
            <b/>
            <sz val="9"/>
            <color indexed="81"/>
            <rFont val="Tahoma"/>
            <family val="2"/>
          </rPr>
          <t>Theocharis:</t>
        </r>
        <r>
          <rPr>
            <sz val="9"/>
            <color indexed="81"/>
            <rFont val="Tahoma"/>
            <family val="2"/>
          </rPr>
          <t xml:space="preserve">
Revenue a/c in Indian Rupee and BS in GBP</t>
        </r>
      </text>
    </comment>
    <comment ref="A617" authorId="0" shapeId="0" xr:uid="{D6A38A62-0AAA-4E71-A47C-32E6AA026C52}">
      <text>
        <r>
          <rPr>
            <b/>
            <sz val="9"/>
            <color indexed="81"/>
            <rFont val="Tahoma"/>
            <family val="2"/>
          </rPr>
          <t>Theocharis:</t>
        </r>
        <r>
          <rPr>
            <sz val="9"/>
            <color indexed="81"/>
            <rFont val="Tahoma"/>
            <family val="2"/>
          </rPr>
          <t xml:space="preserve">
Revenue a/c in Indian Rupee and BS in GBP</t>
        </r>
      </text>
    </comment>
    <comment ref="A619" authorId="0" shapeId="0" xr:uid="{2819FE19-3048-4A4A-8FE8-3E531C695EF4}">
      <text>
        <r>
          <rPr>
            <b/>
            <sz val="9"/>
            <color indexed="81"/>
            <rFont val="Tahoma"/>
            <family val="2"/>
          </rPr>
          <t>Theocharis:</t>
        </r>
        <r>
          <rPr>
            <sz val="9"/>
            <color indexed="81"/>
            <rFont val="Tahoma"/>
            <family val="2"/>
          </rPr>
          <t xml:space="preserve">
Revenue a/c in Indian Rupee and BS in GBP</t>
        </r>
      </text>
    </comment>
    <comment ref="A647" authorId="0" shapeId="0" xr:uid="{A65FCBEA-A4BB-4EF9-A37F-0CC2EAC87334}">
      <text>
        <r>
          <rPr>
            <b/>
            <sz val="9"/>
            <color indexed="81"/>
            <rFont val="Tahoma"/>
            <family val="2"/>
          </rPr>
          <t>Theocharis:</t>
        </r>
        <r>
          <rPr>
            <sz val="9"/>
            <color indexed="81"/>
            <rFont val="Tahoma"/>
            <family val="2"/>
          </rPr>
          <t xml:space="preserve">
Other currency in Revenue a/c aand GBP afterwards</t>
        </r>
      </text>
    </comment>
    <comment ref="A672" authorId="0" shapeId="0" xr:uid="{2BCF7DC4-E90F-475F-89F7-E59DEFC9ED65}">
      <text>
        <r>
          <rPr>
            <b/>
            <sz val="9"/>
            <color indexed="81"/>
            <rFont val="Tahoma"/>
            <family val="2"/>
          </rPr>
          <t>Theocharis:</t>
        </r>
        <r>
          <rPr>
            <sz val="9"/>
            <color indexed="81"/>
            <rFont val="Tahoma"/>
            <family val="2"/>
          </rPr>
          <t xml:space="preserve">
Confusing Financial Statements</t>
        </r>
      </text>
    </comment>
    <comment ref="A675" authorId="0" shapeId="0" xr:uid="{AC2690CF-5C91-4E95-A57E-B8699C45B516}">
      <text>
        <r>
          <rPr>
            <b/>
            <sz val="9"/>
            <color indexed="81"/>
            <rFont val="Tahoma"/>
            <family val="2"/>
          </rPr>
          <t>Theocharis:</t>
        </r>
        <r>
          <rPr>
            <sz val="9"/>
            <color indexed="81"/>
            <rFont val="Tahoma"/>
            <family val="2"/>
          </rPr>
          <t xml:space="preserve">
Confusing Financial Statements</t>
        </r>
      </text>
    </comment>
    <comment ref="A705" authorId="1" shapeId="0" xr:uid="{FE2BA780-20C8-48D2-B82A-890BDDF7066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Different currencies</t>
        </r>
      </text>
    </comment>
    <comment ref="A789" authorId="0" shapeId="0" xr:uid="{0A56E911-736E-42A8-8563-F71B688BE3DF}">
      <text>
        <r>
          <rPr>
            <b/>
            <sz val="9"/>
            <color indexed="81"/>
            <rFont val="Tahoma"/>
            <family val="2"/>
          </rPr>
          <t>Theocharis:</t>
        </r>
        <r>
          <rPr>
            <sz val="9"/>
            <color indexed="81"/>
            <rFont val="Tahoma"/>
            <family val="2"/>
          </rPr>
          <t xml:space="preserve">
Other Company???</t>
        </r>
      </text>
    </comment>
    <comment ref="A790" authorId="0" shapeId="0" xr:uid="{409905C2-D842-49D5-AAE4-C23D679CCC16}">
      <text>
        <r>
          <rPr>
            <b/>
            <sz val="9"/>
            <color indexed="81"/>
            <rFont val="Tahoma"/>
            <family val="2"/>
          </rPr>
          <t>Theocharis:</t>
        </r>
        <r>
          <rPr>
            <sz val="9"/>
            <color indexed="81"/>
            <rFont val="Tahoma"/>
            <family val="2"/>
          </rPr>
          <t xml:space="preserve">
Other Company???</t>
        </r>
      </text>
    </comment>
    <comment ref="A791" authorId="0" shapeId="0" xr:uid="{88A96C7D-041F-4D96-B0EB-36D659AC5206}">
      <text>
        <r>
          <rPr>
            <b/>
            <sz val="9"/>
            <color indexed="81"/>
            <rFont val="Tahoma"/>
            <family val="2"/>
          </rPr>
          <t>Theocharis:</t>
        </r>
        <r>
          <rPr>
            <sz val="9"/>
            <color indexed="81"/>
            <rFont val="Tahoma"/>
            <family val="2"/>
          </rPr>
          <t xml:space="preserve">
Other Company???</t>
        </r>
      </text>
    </comment>
    <comment ref="A838" authorId="0" shapeId="0" xr:uid="{1B29522C-7A8B-432B-A229-48DE671963AE}">
      <text>
        <r>
          <rPr>
            <b/>
            <sz val="9"/>
            <color indexed="81"/>
            <rFont val="Tahoma"/>
            <family val="2"/>
          </rPr>
          <t>Theocharis:</t>
        </r>
        <r>
          <rPr>
            <sz val="9"/>
            <color indexed="81"/>
            <rFont val="Tahoma"/>
            <family val="2"/>
          </rPr>
          <t xml:space="preserve">
Spanish ONE</t>
        </r>
      </text>
    </comment>
    <comment ref="A1121" authorId="0" shapeId="0" xr:uid="{492C7CB5-5398-492B-AF15-DBFF505B96DA}">
      <text>
        <r>
          <rPr>
            <b/>
            <sz val="9"/>
            <color indexed="81"/>
            <rFont val="Tahoma"/>
            <family val="2"/>
          </rPr>
          <t>Theocharis:</t>
        </r>
        <r>
          <rPr>
            <sz val="9"/>
            <color indexed="81"/>
            <rFont val="Tahoma"/>
            <family val="2"/>
          </rPr>
          <t xml:space="preserve">
English Or American</t>
        </r>
      </text>
    </comment>
    <comment ref="A1163" authorId="0" shapeId="0" xr:uid="{B0BE49D8-92A5-4565-9E79-0F1B6F80F161}">
      <text>
        <r>
          <rPr>
            <b/>
            <sz val="9"/>
            <color indexed="81"/>
            <rFont val="Tahoma"/>
            <family val="2"/>
          </rPr>
          <t>Theocharis:</t>
        </r>
        <r>
          <rPr>
            <sz val="9"/>
            <color indexed="81"/>
            <rFont val="Tahoma"/>
            <family val="2"/>
          </rPr>
          <t xml:space="preserve">
American &amp; ENglish</t>
        </r>
      </text>
    </comment>
    <comment ref="A1339" authorId="1" shapeId="0" xr:uid="{F36F3B97-6366-4D05-A7C3-0E6C0822BC9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Half-yearly and then for 9 months</t>
        </r>
      </text>
    </comment>
    <comment ref="A1342" authorId="1" shapeId="0" xr:uid="{4CE04D3A-91A0-49CF-8266-BCC290AA90B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Half-yearly and then for 9 months</t>
        </r>
      </text>
    </comment>
    <comment ref="A1445" authorId="0" shapeId="0" xr:uid="{5C7153B3-6205-42F7-9E5B-A4F93C06AB3D}">
      <text>
        <r>
          <rPr>
            <b/>
            <sz val="9"/>
            <color indexed="81"/>
            <rFont val="Tahoma"/>
            <family val="2"/>
          </rPr>
          <t>Theocharis:</t>
        </r>
        <r>
          <rPr>
            <sz val="9"/>
            <color indexed="81"/>
            <rFont val="Tahoma"/>
            <family val="2"/>
          </rPr>
          <t xml:space="preserve">
Duplicated Photos</t>
        </r>
      </text>
    </comment>
    <comment ref="A1452" authorId="0" shapeId="0" xr:uid="{2D869B2E-A4C8-4725-8965-B51E7418A09A}">
      <text>
        <r>
          <rPr>
            <b/>
            <sz val="9"/>
            <color indexed="81"/>
            <rFont val="Tahoma"/>
            <family val="2"/>
          </rPr>
          <t>Theocharis:</t>
        </r>
        <r>
          <rPr>
            <sz val="9"/>
            <color indexed="81"/>
            <rFont val="Tahoma"/>
            <family val="2"/>
          </rPr>
          <t xml:space="preserve">
Duplicated Photos</t>
        </r>
      </text>
    </comment>
    <comment ref="A1459" authorId="0" shapeId="0" xr:uid="{4BAE68E6-5C9D-4768-B543-7EA11380E27A}">
      <text>
        <r>
          <rPr>
            <b/>
            <sz val="9"/>
            <color indexed="81"/>
            <rFont val="Tahoma"/>
            <family val="2"/>
          </rPr>
          <t>Theocharis:</t>
        </r>
        <r>
          <rPr>
            <sz val="9"/>
            <color indexed="81"/>
            <rFont val="Tahoma"/>
            <family val="2"/>
          </rPr>
          <t xml:space="preserve">
Duplicated Photos</t>
        </r>
      </text>
    </comment>
    <comment ref="A1521" authorId="0" shapeId="0" xr:uid="{3D2D282F-2292-4EA8-B642-E1CA9551A9EE}">
      <text>
        <r>
          <rPr>
            <b/>
            <sz val="9"/>
            <color indexed="81"/>
            <rFont val="Tahoma"/>
            <family val="2"/>
          </rPr>
          <t>Theocharis:</t>
        </r>
        <r>
          <rPr>
            <sz val="9"/>
            <color indexed="81"/>
            <rFont val="Tahoma"/>
            <family val="2"/>
          </rPr>
          <t xml:space="preserve">
Income statement for half-year</t>
        </r>
      </text>
    </comment>
    <comment ref="A1522" authorId="0" shapeId="0" xr:uid="{15006FFD-C2D8-439B-8F67-EABCA0F9A57C}">
      <text>
        <r>
          <rPr>
            <b/>
            <sz val="9"/>
            <color indexed="81"/>
            <rFont val="Tahoma"/>
            <family val="2"/>
          </rPr>
          <t>Theocharis:</t>
        </r>
        <r>
          <rPr>
            <sz val="9"/>
            <color indexed="81"/>
            <rFont val="Tahoma"/>
            <family val="2"/>
          </rPr>
          <t xml:space="preserve">
Income statement for half-year</t>
        </r>
      </text>
    </comment>
    <comment ref="A1524" authorId="0" shapeId="0" xr:uid="{B0339F6C-2E01-4C67-A378-339F009DA781}">
      <text>
        <r>
          <rPr>
            <b/>
            <sz val="9"/>
            <color indexed="81"/>
            <rFont val="Tahoma"/>
            <family val="2"/>
          </rPr>
          <t>Theocharis:</t>
        </r>
        <r>
          <rPr>
            <sz val="9"/>
            <color indexed="81"/>
            <rFont val="Tahoma"/>
            <family val="2"/>
          </rPr>
          <t xml:space="preserve">
Income statement for half-year</t>
        </r>
      </text>
    </comment>
    <comment ref="A1525" authorId="0" shapeId="0" xr:uid="{2D4E53AC-AFF7-432F-9264-A1AFBBE1539D}">
      <text>
        <r>
          <rPr>
            <b/>
            <sz val="9"/>
            <color indexed="81"/>
            <rFont val="Tahoma"/>
            <family val="2"/>
          </rPr>
          <t>Theocharis:</t>
        </r>
        <r>
          <rPr>
            <sz val="9"/>
            <color indexed="81"/>
            <rFont val="Tahoma"/>
            <family val="2"/>
          </rPr>
          <t xml:space="preserve">
Income statement for half-year</t>
        </r>
      </text>
    </comment>
    <comment ref="A1700" authorId="0" shapeId="0" xr:uid="{C6A453BE-F06A-4EBA-9700-4C95BACF4C5F}">
      <text>
        <r>
          <rPr>
            <b/>
            <sz val="9"/>
            <color indexed="81"/>
            <rFont val="Tahoma"/>
            <family val="2"/>
          </rPr>
          <t>Theocharis:</t>
        </r>
        <r>
          <rPr>
            <sz val="9"/>
            <color indexed="81"/>
            <rFont val="Tahoma"/>
            <family val="2"/>
          </rPr>
          <t xml:space="preserve">
Reported in Egyptiann Pound and converted in GBP</t>
        </r>
      </text>
    </comment>
    <comment ref="A1702" authorId="0" shapeId="0" xr:uid="{8D77F605-54F0-4655-8215-B91921898D8A}">
      <text>
        <r>
          <rPr>
            <b/>
            <sz val="9"/>
            <color indexed="81"/>
            <rFont val="Tahoma"/>
            <family val="2"/>
          </rPr>
          <t>Theocharis:</t>
        </r>
        <r>
          <rPr>
            <sz val="9"/>
            <color indexed="81"/>
            <rFont val="Tahoma"/>
            <family val="2"/>
          </rPr>
          <t xml:space="preserve">
Reported in Egyptiann Pound and converted in GBP</t>
        </r>
      </text>
    </comment>
    <comment ref="A1703" authorId="0" shapeId="0" xr:uid="{29E2CE04-6CEF-4E7D-81A1-B6066059020B}">
      <text>
        <r>
          <rPr>
            <b/>
            <sz val="9"/>
            <color indexed="81"/>
            <rFont val="Tahoma"/>
            <family val="2"/>
          </rPr>
          <t>Theocharis:</t>
        </r>
        <r>
          <rPr>
            <sz val="9"/>
            <color indexed="81"/>
            <rFont val="Tahoma"/>
            <family val="2"/>
          </rPr>
          <t xml:space="preserve">
Reported in Egyptiann Pound and converted in GBP</t>
        </r>
      </text>
    </comment>
  </commentList>
</comments>
</file>

<file path=xl/sharedStrings.xml><?xml version="1.0" encoding="utf-8"?>
<sst xmlns="http://schemas.openxmlformats.org/spreadsheetml/2006/main" count="31323" uniqueCount="4446">
  <si>
    <t>A.J. White (patent medicines)</t>
  </si>
  <si>
    <t>Alabama, NO, T &amp; Pacific Junction Railway</t>
  </si>
  <si>
    <t>Alexandra (Newport) Docks &amp; Railway</t>
  </si>
  <si>
    <t>Alliance &amp; Dublin Consumers Gas</t>
  </si>
  <si>
    <t>Alliance Assurance</t>
  </si>
  <si>
    <t>Alliance Trust</t>
  </si>
  <si>
    <t>Allsopp (beer)</t>
  </si>
  <si>
    <t>American Investment Trust</t>
  </si>
  <si>
    <t>Anglo South American Bank</t>
  </si>
  <si>
    <t>Anglo-American Telegraph</t>
  </si>
  <si>
    <t>Anglo-Argentine Tramways</t>
  </si>
  <si>
    <t>Antofagasta &amp; Bolivia Railway</t>
  </si>
  <si>
    <t>Apollinaris &amp; Johannis (spring water)</t>
  </si>
  <si>
    <t>Argentine Great Western Railway</t>
  </si>
  <si>
    <t>Argentine Navigation (steamships)</t>
  </si>
  <si>
    <t>Argentine North Eastern Railway</t>
  </si>
  <si>
    <t>Armstrong-Whitworth (ships/arms)</t>
  </si>
  <si>
    <t>Artizans Labourers &amp; General Dwellings</t>
  </si>
  <si>
    <t>Assam Bengal Railway</t>
  </si>
  <si>
    <t>Assam Railways &amp; Trading (coal/timber)</t>
  </si>
  <si>
    <t>Associated News/Amalgamated Press[i]</t>
  </si>
  <si>
    <t>Associated Portland Cement</t>
  </si>
  <si>
    <t>Atlas Assurance</t>
  </si>
  <si>
    <t>Bank of Africa</t>
  </si>
  <si>
    <t>Bank of England</t>
  </si>
  <si>
    <t>Bank of Ireland</t>
  </si>
  <si>
    <t>Bank of Liverpool</t>
  </si>
  <si>
    <t>Bank of New Zealand</t>
  </si>
  <si>
    <t>Bank of Scotland</t>
  </si>
  <si>
    <t>Bankers Investment Trust</t>
  </si>
  <si>
    <t>Barclay (banking)</t>
  </si>
  <si>
    <t>Barclay Perkins (beer)</t>
  </si>
  <si>
    <t>Barry Railway</t>
  </si>
  <si>
    <t>Bass Ratcliff &amp; Gretton (beer)</t>
  </si>
  <si>
    <t>Bengal &amp; North Western Railway</t>
  </si>
  <si>
    <t>Bengal Nagpur Railway</t>
  </si>
  <si>
    <t>Bleachers (textile finishing)</t>
  </si>
  <si>
    <t>Bolckow Vaughan (steel/coal)</t>
  </si>
  <si>
    <t>Bombay Baroda &amp; Central India Railway</t>
  </si>
  <si>
    <t>Bombay Electric Supply &amp; Tramways</t>
  </si>
  <si>
    <t>Bovril (food processing/farming)</t>
  </si>
  <si>
    <t>Bradford Dyers (textile finishing)</t>
  </si>
  <si>
    <t>Brecon &amp; Merthyr Tydfil Railway</t>
  </si>
  <si>
    <t>Bristol Gas</t>
  </si>
  <si>
    <t>Bristol Tramways &amp; Carriage</t>
  </si>
  <si>
    <t>Bristol Waterworks</t>
  </si>
  <si>
    <t>British Columbia Electric (power, trams)</t>
  </si>
  <si>
    <t>British Cotton &amp; Wool Dyers</t>
  </si>
  <si>
    <t>British Electric Traction (tramways)</t>
  </si>
  <si>
    <t>British India Steam Navigation</t>
  </si>
  <si>
    <t>British Insulated &amp; Helsby Cables</t>
  </si>
  <si>
    <t>British Investment Trust</t>
  </si>
  <si>
    <t>British Linen Bank</t>
  </si>
  <si>
    <t>British Oil &amp; Cake Mills (seed-crushing)</t>
  </si>
  <si>
    <t>British Wagon (hire purchase)</t>
  </si>
  <si>
    <t>Brunner Mond (chemicals)</t>
  </si>
  <si>
    <t>Buenos Ayres &amp; Pacific Railway</t>
  </si>
  <si>
    <t>Buenos Ayres Great Southern Railway</t>
  </si>
  <si>
    <t>Buenos Ayres Western Railway</t>
  </si>
  <si>
    <t>Burma Railways</t>
  </si>
  <si>
    <t>Caledonian Railway</t>
  </si>
  <si>
    <t>Calico Printers (textile finishing)</t>
  </si>
  <si>
    <t>Cambrian Railways</t>
  </si>
  <si>
    <t>Cammell Laird (ships/steel)</t>
  </si>
  <si>
    <t>Canadian Car &amp; Foundry (railcars)</t>
  </si>
  <si>
    <t>Canadian Pacific Railway</t>
  </si>
  <si>
    <t>Cannon Brewery</t>
  </si>
  <si>
    <t>Capital &amp; Counties Bank</t>
  </si>
  <si>
    <t>Cardiff Railway</t>
  </si>
  <si>
    <t>Cargo Fleet Iron</t>
  </si>
  <si>
    <t>Catalinas Warehouses &amp; Mole</t>
  </si>
  <si>
    <t>Central Argentine Railway</t>
  </si>
  <si>
    <t>Central London Railway</t>
  </si>
  <si>
    <t>Central Uruguay Railway &amp; Extensions</t>
  </si>
  <si>
    <t>Charing X, West End &amp; City Electricity</t>
  </si>
  <si>
    <t>Charter Trust &amp; Agency</t>
  </si>
  <si>
    <t>Chartered Bank</t>
  </si>
  <si>
    <t>Chinese Engineering &amp; Mining (coal)</t>
  </si>
  <si>
    <t>City &amp; South London Railway</t>
  </si>
  <si>
    <t>City of Chicago Brewing &amp; Malting</t>
  </si>
  <si>
    <t>City of London Brewery</t>
  </si>
  <si>
    <t>City of London Electric Lighting</t>
  </si>
  <si>
    <t>City of London Real Property (offices)</t>
  </si>
  <si>
    <t>Clydesdale Bank</t>
  </si>
  <si>
    <t>Commercial Bank of Scotland</t>
  </si>
  <si>
    <t>Commercial Gas</t>
  </si>
  <si>
    <t>Commercial Union Assurance</t>
  </si>
  <si>
    <t>Consett Iron</t>
  </si>
  <si>
    <t>Consolidated Tea &amp; Lands (plantations)</t>
  </si>
  <si>
    <t>Continental Union Gas</t>
  </si>
  <si>
    <t>Cordoba Central Railways</t>
  </si>
  <si>
    <t>Courage (beer)</t>
  </si>
  <si>
    <t>Crompton &amp; Evans' Union Bank</t>
  </si>
  <si>
    <t>Cuban Central Railways</t>
  </si>
  <si>
    <t>Cunard Steamship</t>
  </si>
  <si>
    <t>Dalgety (merchants/finance)</t>
  </si>
  <si>
    <t>Debenhams (warehouses, stores)</t>
  </si>
  <si>
    <t>Debenture Corporation (trustees/insurer)</t>
  </si>
  <si>
    <t>Direct United States Cable</t>
  </si>
  <si>
    <t>Distillers (whisky)</t>
  </si>
  <si>
    <t>Dorman Long (engineering/ships)</t>
  </si>
  <si>
    <t>Dublin &amp; South Eastern Railway</t>
  </si>
  <si>
    <t>Dublin United Tramways</t>
  </si>
  <si>
    <t>Dunderland Iron Ore</t>
  </si>
  <si>
    <t>Dunlop Pneumatic Tyre</t>
  </si>
  <si>
    <t>Eagle Insurance</t>
  </si>
  <si>
    <t>Eastern Extension Telegraph</t>
  </si>
  <si>
    <t>Eastern Telegraph</t>
  </si>
  <si>
    <t>Eastmans (cold stores, chain butchers)</t>
  </si>
  <si>
    <t>Edward Lloyd (paper/pulp)</t>
  </si>
  <si>
    <t>Egyptian Delta Light Railways</t>
  </si>
  <si>
    <t>Ellerman Lines (ships)</t>
  </si>
  <si>
    <t>Employers' Liability Insurance</t>
  </si>
  <si>
    <t>English Scottish &amp; Australian Bank</t>
  </si>
  <si>
    <t>English Sewing Cotton</t>
  </si>
  <si>
    <t>Entre Rios Railways</t>
  </si>
  <si>
    <t>Equity &amp; Law Life Assurance</t>
  </si>
  <si>
    <t>European Gas</t>
  </si>
  <si>
    <t>Fife Coal</t>
  </si>
  <si>
    <t>Fine Cotton Spinners &amp; Doublers</t>
  </si>
  <si>
    <t>Foreign &amp; Colonial Investment Trust</t>
  </si>
  <si>
    <t>Foreign American &amp; General Investments</t>
  </si>
  <si>
    <t>Forestal Land Timber &amp; Railways</t>
  </si>
  <si>
    <t>Furness Railway</t>
  </si>
  <si>
    <t>Furness Withy (shipping/shipbuilding)</t>
  </si>
  <si>
    <t>Gas Light &amp; Coke</t>
  </si>
  <si>
    <t>General Accident Fire &amp; Life Assurance</t>
  </si>
  <si>
    <t>General Life Assurance</t>
  </si>
  <si>
    <t>Glasgow &amp; South Western Railway</t>
  </si>
  <si>
    <t>Glasgow District Subway (cable rail)</t>
  </si>
  <si>
    <t>Globe Telegraph (investment trust)</t>
  </si>
  <si>
    <t>Gordon Hotels</t>
  </si>
  <si>
    <t>Grand Junction Canal</t>
  </si>
  <si>
    <t>Grand Trunk Railway of Canada</t>
  </si>
  <si>
    <t>Great Central Railway</t>
  </si>
  <si>
    <t>Great Eastern Railway</t>
  </si>
  <si>
    <t>Great North of Scotland Railway</t>
  </si>
  <si>
    <t>Great Northern &amp; City Railway</t>
  </si>
  <si>
    <t>Great Northern Railway</t>
  </si>
  <si>
    <t>Great Northern Railway (Ireland)</t>
  </si>
  <si>
    <t>Great Southern &amp; Western Railway</t>
  </si>
  <si>
    <t>Great Western of Brazil Railway</t>
  </si>
  <si>
    <t>Great Western Railway</t>
  </si>
  <si>
    <t>Guardian Assurance</t>
  </si>
  <si>
    <t>Guest Keen &amp; Nettlefold (steel/coal)</t>
  </si>
  <si>
    <t>Guinness (stout)</t>
  </si>
  <si>
    <t>Hibernian Bank</t>
  </si>
  <si>
    <t>Highland Railway</t>
  </si>
  <si>
    <t>Home &amp; Colonial Stores (grocery chain)</t>
  </si>
  <si>
    <t>Hongkong &amp; Shanghai Banking</t>
  </si>
  <si>
    <t>Howard &amp; Bullough (textile machinery)</t>
  </si>
  <si>
    <t>Hudson’s Bay (real estate)</t>
  </si>
  <si>
    <t>Hull &amp; Barnsley Railway</t>
  </si>
  <si>
    <t>Imperial Continental Gas</t>
  </si>
  <si>
    <t>Imperial Tobacco</t>
  </si>
  <si>
    <t>Ind Coope (beer)</t>
  </si>
  <si>
    <t>Industrial &amp; General Trust</t>
  </si>
  <si>
    <t>International Investment Trust</t>
  </si>
  <si>
    <t>International Tea (chain grocery)</t>
  </si>
  <si>
    <t>Interoceanic Railway of Mexico</t>
  </si>
  <si>
    <t>Investment Trust Corporation</t>
  </si>
  <si>
    <t>J &amp; P Coats (sewing thread)</t>
  </si>
  <si>
    <t>J. Lyons (restaurants, bakery)</t>
  </si>
  <si>
    <t>John Brown (ships/arms/steel)</t>
  </si>
  <si>
    <t>Kellner-Partington Paper Pulp</t>
  </si>
  <si>
    <t>Lagunas Syndicate (nitrate)</t>
  </si>
  <si>
    <t>Lancashire &amp; Yorkshire Bank</t>
  </si>
  <si>
    <t>Lancashire &amp; Yorkshire Railway</t>
  </si>
  <si>
    <t>Law Union and Rock Insurance</t>
  </si>
  <si>
    <t>Leeds &amp; Liverpool Canal</t>
  </si>
  <si>
    <t>Leeds Fireclay</t>
  </si>
  <si>
    <t>Legal &amp; General Life Assurance</t>
  </si>
  <si>
    <t>Leopoldina Railway</t>
  </si>
  <si>
    <t>Lever Bros (soap/chemical)</t>
  </si>
  <si>
    <t>Liebigs Extract of Meat</t>
  </si>
  <si>
    <t>Linen Thread</t>
  </si>
  <si>
    <t>Lipton (grocery chain/tea plantations)</t>
  </si>
  <si>
    <t>Lisbon Electric Tramways</t>
  </si>
  <si>
    <t>Lister (silk)</t>
  </si>
  <si>
    <t>Liverpool &amp; London &amp; Globe Insurance</t>
  </si>
  <si>
    <t>Liverpool United Gas Light</t>
  </si>
  <si>
    <t>Lloyd’s Bank</t>
  </si>
  <si>
    <t>London &amp; Brazilian Bank</t>
  </si>
  <si>
    <t>London &amp; Lancashire Fire Insurance</t>
  </si>
  <si>
    <t>London &amp; North Western Railway</t>
  </si>
  <si>
    <t>London &amp; Provincial Bank</t>
  </si>
  <si>
    <t>London &amp; Provincial Marine &amp; General Insurance</t>
  </si>
  <si>
    <t>London &amp; River Plate Bank</t>
  </si>
  <si>
    <t>London &amp; South Western Bank</t>
  </si>
  <si>
    <t>London &amp; South Western Railway</t>
  </si>
  <si>
    <t>London Bank of Australia</t>
  </si>
  <si>
    <t>London Brighton &amp; South Coast Railway</t>
  </si>
  <si>
    <t>London Chatham &amp; Dover Railway</t>
  </si>
  <si>
    <t>London City and Midland Bank</t>
  </si>
  <si>
    <t>London County &amp; Westminster Bank</t>
  </si>
  <si>
    <t>London General Omnibus</t>
  </si>
  <si>
    <t>London Joint Stock Bank</t>
  </si>
  <si>
    <t>London Tilbury &amp; Southend Railway</t>
  </si>
  <si>
    <t>London United Tramways</t>
  </si>
  <si>
    <t>Madras &amp; Southern Mahratta Railway</t>
  </si>
  <si>
    <t>Magadi Soda (natural chemicals)</t>
  </si>
  <si>
    <t>Manchester &amp; Liverpool District Banking</t>
  </si>
  <si>
    <t>Manchester and County Bank</t>
  </si>
  <si>
    <t>Manchester Ship Canal</t>
  </si>
  <si>
    <t>Manila Railway</t>
  </si>
  <si>
    <t>Mann Crossman &amp; Paulin (beer)</t>
  </si>
  <si>
    <t>Maple (furniture)</t>
  </si>
  <si>
    <t>Marconi’s Wireless Telegraph (radio)</t>
  </si>
  <si>
    <t>Martin's Bank</t>
  </si>
  <si>
    <t>Mather &amp; Platt (engineering)</t>
  </si>
  <si>
    <t>Mercantile Investment &amp; General Trust</t>
  </si>
  <si>
    <t>Merchants Trust</t>
  </si>
  <si>
    <t>Mersey Railway</t>
  </si>
  <si>
    <t>Metropolitan Amalgamated (railcars)</t>
  </si>
  <si>
    <t>Metropolitan Bank</t>
  </si>
  <si>
    <t>Metropolitan District Railway</t>
  </si>
  <si>
    <t>Metropolitan Electric Supply</t>
  </si>
  <si>
    <t>Metropolitan Railway</t>
  </si>
  <si>
    <t>Meux’s  Brewery</t>
  </si>
  <si>
    <t>Mexican Railway</t>
  </si>
  <si>
    <t>Midland Great Western Railway (Ireland)</t>
  </si>
  <si>
    <t>Midland Railway</t>
  </si>
  <si>
    <t>Millar’s Karri &amp; Jarrah (timber)</t>
  </si>
  <si>
    <t>Mortgage Company of Egypt</t>
  </si>
  <si>
    <t>Moss Empires (variety theatres)</t>
  </si>
  <si>
    <t>Natal Bank</t>
  </si>
  <si>
    <t>National Bank (Ireland)</t>
  </si>
  <si>
    <t>National Bank of Egypt</t>
  </si>
  <si>
    <t>National Bank of India</t>
  </si>
  <si>
    <t>National Bank of New Zealand</t>
  </si>
  <si>
    <t>National Bank of Scotland</t>
  </si>
  <si>
    <t>National Bank of South Africa</t>
  </si>
  <si>
    <t>National Discount</t>
  </si>
  <si>
    <t>National Provincial Bank of England</t>
  </si>
  <si>
    <t>National Telephone</t>
  </si>
  <si>
    <t>New Zealand &amp; Australian Land (sheep)</t>
  </si>
  <si>
    <t>Newcastle &amp; Gateshead Water</t>
  </si>
  <si>
    <t>Newcastle-upon-Tyne &amp; G Gas</t>
  </si>
  <si>
    <t>Newcastle-upon-Tyne Electric Supply</t>
  </si>
  <si>
    <t>Nitrate Railways</t>
  </si>
  <si>
    <t>Nizam’s Railways</t>
  </si>
  <si>
    <t>Nobel Dynamite</t>
  </si>
  <si>
    <t>North British &amp; Mercantile Insurance</t>
  </si>
  <si>
    <t>North British Locomotive</t>
  </si>
  <si>
    <t>North British Railway</t>
  </si>
  <si>
    <t>North Eastern Banking</t>
  </si>
  <si>
    <t>North Eastern Railway</t>
  </si>
  <si>
    <t>North London Railway</t>
  </si>
  <si>
    <t>North of Scotland &amp; Town &amp; Country Bank</t>
  </si>
  <si>
    <t>North Staffordshire Railway</t>
  </si>
  <si>
    <t>Northern Assurance</t>
  </si>
  <si>
    <t>Northern Banking</t>
  </si>
  <si>
    <t>Norwich Union Fire Insurance</t>
  </si>
  <si>
    <t>Ottoman Imperial Railway</t>
  </si>
  <si>
    <t>Parr’s Bank</t>
  </si>
  <si>
    <t>Pearson &amp; Knowles Coal &amp; Iron</t>
  </si>
  <si>
    <t>Pease &amp; Partners (coal mines)</t>
  </si>
  <si>
    <t>Pekin Syndicate (coal mines, railway)</t>
  </si>
  <si>
    <t>Peninsular &amp; Oriental Steam Navigation</t>
  </si>
  <si>
    <t>Peruvian Corporation (natural chemicals)</t>
  </si>
  <si>
    <t>Peter Walker &amp; Son (beer)</t>
  </si>
  <si>
    <t>Phoenix Assurance</t>
  </si>
  <si>
    <t>Pillsbury-Washburn Flour Mills</t>
  </si>
  <si>
    <t>Port Talbot Railway &amp; Docks</t>
  </si>
  <si>
    <t>Powell Duffryn Steam Coal</t>
  </si>
  <si>
    <t>Primitiva Gas of Buenos Aires</t>
  </si>
  <si>
    <t>Provincial Bank of Ireland</t>
  </si>
  <si>
    <t>Railway Debenture &amp; General Trust</t>
  </si>
  <si>
    <t>Railway Investment (investment trust)</t>
  </si>
  <si>
    <t>Regent’s Canal &amp; Dock</t>
  </si>
  <si>
    <t>Rhodesia Railways Trust</t>
  </si>
  <si>
    <t>Rhymney Iron</t>
  </si>
  <si>
    <t>Rhymney Railway</t>
  </si>
  <si>
    <t>Rio de Janeiro City Improvements</t>
  </si>
  <si>
    <t>Royal Bank of Ireland</t>
  </si>
  <si>
    <t>Royal Bank of Scotland</t>
  </si>
  <si>
    <t>Royal Insurance</t>
  </si>
  <si>
    <t>Royal Mail Steam Packet</t>
  </si>
  <si>
    <t>Rylands &amp; Sons (cotton warehouses)</t>
  </si>
  <si>
    <t>Salt Union</t>
  </si>
  <si>
    <t>San Paulo Railway</t>
  </si>
  <si>
    <t>Scottish American Investment</t>
  </si>
  <si>
    <t>Scottish American Mortgage</t>
  </si>
  <si>
    <t>Scottish Australian Investment</t>
  </si>
  <si>
    <t>Scottish Union and National Insurance</t>
  </si>
  <si>
    <t>Sheffield &amp; Hallamshire Bank</t>
  </si>
  <si>
    <t>Sheffield &amp; South Yorkshire Navigation</t>
  </si>
  <si>
    <t>Sheffield Banking</t>
  </si>
  <si>
    <t>South African Breweries</t>
  </si>
  <si>
    <t>South Eastern Railway</t>
  </si>
  <si>
    <t>South Indian Railway</t>
  </si>
  <si>
    <t>South Metropolitan Gas</t>
  </si>
  <si>
    <t>South Staffordshire Waterworks</t>
  </si>
  <si>
    <t>Southern Punjab Railway</t>
  </si>
  <si>
    <t>Spillers &amp; Bakers (flour mills)</t>
  </si>
  <si>
    <t>St Louis Breweries</t>
  </si>
  <si>
    <t>Standard Bank of South Africa</t>
  </si>
  <si>
    <t>Staveley Coal &amp; Iron</t>
  </si>
  <si>
    <t>Steel Bros (India merchants)</t>
  </si>
  <si>
    <t>Stewarts &amp; Lloyds (steel)</t>
  </si>
  <si>
    <t>Suez Canal</t>
  </si>
  <si>
    <t>Swan Hunter &amp; WR (engineering/ships)</t>
  </si>
  <si>
    <t>Taff Vale Railway</t>
  </si>
  <si>
    <t>Thames &amp; Mersey Marine Insurance</t>
  </si>
  <si>
    <t>Tredegar Iron &amp; Coal</t>
  </si>
  <si>
    <t>Trust &amp; Agency of Australasia</t>
  </si>
  <si>
    <t>Trustees Executors &amp; Securities Insurance</t>
  </si>
  <si>
    <t>Ulster Bank</t>
  </si>
  <si>
    <t>Underground Electric Railway</t>
  </si>
  <si>
    <t>Union Bank of Australia</t>
  </si>
  <si>
    <t>Union Bank of Scotland</t>
  </si>
  <si>
    <t>Union Castle Mail Steamship</t>
  </si>
  <si>
    <t>Union of London &amp; Smith’s Bank</t>
  </si>
  <si>
    <t>United Alkali</t>
  </si>
  <si>
    <t>United Collieries</t>
  </si>
  <si>
    <t>United Counties Bank</t>
  </si>
  <si>
    <t>United Railways of the Havana &amp; R W</t>
  </si>
  <si>
    <t>United River Plate Telephone</t>
  </si>
  <si>
    <t>Van den Bergh (margarine)</t>
  </si>
  <si>
    <t>Vickers (ships/arms/steel/engineering)</t>
  </si>
  <si>
    <t>Victoria Falls &amp; Transvaal Power</t>
  </si>
  <si>
    <t>Wall Paper Manufacturers</t>
  </si>
  <si>
    <t>Waring &amp; Gillow (furniture)</t>
  </si>
  <si>
    <t>Waterlow &amp; Sons (stationers/printers)</t>
  </si>
  <si>
    <t>Watney Combe Reid (beer)</t>
  </si>
  <si>
    <t>West India &amp; Panama Telegraph</t>
  </si>
  <si>
    <t>Western Railway of Havana</t>
  </si>
  <si>
    <t>Western Telegraph</t>
  </si>
  <si>
    <t>Westminster Electric Supply</t>
  </si>
  <si>
    <t>Whitbread (beer)</t>
  </si>
  <si>
    <t>White Pass &amp; Yukon Railway</t>
  </si>
  <si>
    <t>Wigan Coal &amp; Iron (+steel)</t>
  </si>
  <si>
    <t>William Cory &amp; Son (coal factors)</t>
  </si>
  <si>
    <t>William McEwan (beer)</t>
  </si>
  <si>
    <t>Williams Deacon's Bank</t>
  </si>
  <si>
    <t>Workington Iron &amp; Steel</t>
  </si>
  <si>
    <t>Worthington (beer)</t>
  </si>
  <si>
    <t>[i] The Harmsworth newspaper empire was technically two independent companies, but Lord Northcliffe chaired both and he and his brother dominated the shareholdings, so we have treated them as a unitary firm.</t>
  </si>
  <si>
    <t>rail</t>
  </si>
  <si>
    <t>bank</t>
  </si>
  <si>
    <t>brewery</t>
  </si>
  <si>
    <t>Insurance</t>
  </si>
  <si>
    <t>canal</t>
  </si>
  <si>
    <t>tramways</t>
  </si>
  <si>
    <t>GLC</t>
  </si>
  <si>
    <t>telegraph</t>
  </si>
  <si>
    <t>waterworks</t>
  </si>
  <si>
    <t>finance - other</t>
  </si>
  <si>
    <t>IRON COAL AND STEEL</t>
  </si>
  <si>
    <t>Metropolitan 3 1/2 % con.</t>
  </si>
  <si>
    <t>Stock</t>
  </si>
  <si>
    <t>Jan;Apr;Jul;Oct</t>
  </si>
  <si>
    <t>qa</t>
  </si>
  <si>
    <t>Free</t>
  </si>
  <si>
    <t>LondonL''pool.</t>
  </si>
  <si>
    <t>Do 3 % consolidated</t>
  </si>
  <si>
    <t>Feb;May;Aug;Nov</t>
  </si>
  <si>
    <t>Do 2 1/2 %</t>
  </si>
  <si>
    <t>Mar;Jun;Sep;Dec</t>
  </si>
  <si>
    <t>1920-1949</t>
  </si>
  <si>
    <t>London.</t>
  </si>
  <si>
    <t>London County 2 1/2 %</t>
  </si>
  <si>
    <t>aft.</t>
  </si>
  <si>
    <t xml:space="preserve">Do 3 % </t>
  </si>
  <si>
    <t>Do 3 1/2 %</t>
  </si>
  <si>
    <t>Corp. of Lond. 3 1/2 % debs.</t>
  </si>
  <si>
    <t>May;Nov</t>
  </si>
  <si>
    <t>hy</t>
  </si>
  <si>
    <t>by</t>
  </si>
  <si>
    <t>Do 2 1/2 % deb.</t>
  </si>
  <si>
    <t>Jan;Jul</t>
  </si>
  <si>
    <t>1927-1957</t>
  </si>
  <si>
    <t>Do 3 % deb.</t>
  </si>
  <si>
    <t>Mar;Sep</t>
  </si>
  <si>
    <t>1Feb;1Aug</t>
  </si>
  <si>
    <t>Barnsley 3 %</t>
  </si>
  <si>
    <t>31Mar;30Sep</t>
  </si>
  <si>
    <t>1916-1946</t>
  </si>
  <si>
    <t>Barry Urban District 3 %</t>
  </si>
  <si>
    <t>x</t>
  </si>
  <si>
    <t>1914-1946</t>
  </si>
  <si>
    <t>Bath 3 %</t>
  </si>
  <si>
    <t>1Apr;1Oct</t>
  </si>
  <si>
    <t>1909-1934</t>
  </si>
  <si>
    <t>LondonBristol.</t>
  </si>
  <si>
    <t>..</t>
  </si>
  <si>
    <t>1930-1950</t>
  </si>
  <si>
    <t>Belfast 3 1/2 %</t>
  </si>
  <si>
    <t>Belfast.</t>
  </si>
  <si>
    <t>Birmingham £1 G. &amp; W. Ann</t>
  </si>
  <si>
    <t>l p. an.</t>
  </si>
  <si>
    <t>per 1 l</t>
  </si>
  <si>
    <t>£1 per annum 1Jan and 1Jul</t>
  </si>
  <si>
    <t>Birmingham.</t>
  </si>
  <si>
    <t>1Jan;1Jul</t>
  </si>
  <si>
    <t>London&amp;.</t>
  </si>
  <si>
    <t>Blackburn 3 1/2 % irred.</t>
  </si>
  <si>
    <t>Manch.London.</t>
  </si>
  <si>
    <t>Bolton 3 1/2 %</t>
  </si>
  <si>
    <t>Manchester.</t>
  </si>
  <si>
    <t>Bournemouth 3 %</t>
  </si>
  <si>
    <t>1913-1933</t>
  </si>
  <si>
    <t>Bradford 3 %</t>
  </si>
  <si>
    <t>15Apr;15Oct</t>
  </si>
  <si>
    <t>Manchester&amp;c.</t>
  </si>
  <si>
    <t>Do 3 1/2 % deb.</t>
  </si>
  <si>
    <t>Brighton 3 1/2 %</t>
  </si>
  <si>
    <t>1May;1Nov</t>
  </si>
  <si>
    <t>1933-1953</t>
  </si>
  <si>
    <t>Bristol 3 %</t>
  </si>
  <si>
    <t>1920-1960</t>
  </si>
  <si>
    <t>LondonBrostol.</t>
  </si>
  <si>
    <t>10Jan;10Jul</t>
  </si>
  <si>
    <t>1925-1965</t>
  </si>
  <si>
    <t xml:space="preserve">Burnley 3 1/2 % </t>
  </si>
  <si>
    <t>1Mar;1Sep</t>
  </si>
  <si>
    <t>Burton 3 %</t>
  </si>
  <si>
    <t>1913-1943</t>
  </si>
  <si>
    <t>Bury 3 1/2 %</t>
  </si>
  <si>
    <t>Cambridge 3 %</t>
  </si>
  <si>
    <t>Cardiff 3 1/2 %</t>
  </si>
  <si>
    <t>Jun;Dec</t>
  </si>
  <si>
    <t>1914-1954</t>
  </si>
  <si>
    <t>Cheltenham 3 %</t>
  </si>
  <si>
    <t>Sep;Mar</t>
  </si>
  <si>
    <t>unreadable</t>
  </si>
  <si>
    <t>Coventry 2 3/4 %</t>
  </si>
  <si>
    <t>1917-1957</t>
  </si>
  <si>
    <t>Croydon 3 1/2 % Irred.</t>
  </si>
  <si>
    <t>5Apr;5Oct</t>
  </si>
  <si>
    <t>1940-1960</t>
  </si>
  <si>
    <t>Derby 3 %</t>
  </si>
  <si>
    <t>1920-1950</t>
  </si>
  <si>
    <t>Devonport 3 %</t>
  </si>
  <si>
    <t>Dewsbury 3 1/2 %</t>
  </si>
  <si>
    <t>London Leeds.</t>
  </si>
  <si>
    <t>Douglas (Isle of Man) 3 %</t>
  </si>
  <si>
    <t>1926-1945</t>
  </si>
  <si>
    <t>Douglas Town 3 1/2 %</t>
  </si>
  <si>
    <t>1921-1940</t>
  </si>
  <si>
    <t>LondonManchstr.</t>
  </si>
  <si>
    <t>Dover 3 %</t>
  </si>
  <si>
    <t>Dublin 3 1/4 %</t>
  </si>
  <si>
    <t>DublinLondon.</t>
  </si>
  <si>
    <t>Dundee Water £10 Annuities</t>
  </si>
  <si>
    <t>£;Total Annuity</t>
  </si>
  <si>
    <t>£; per annum May &amp; Nov</t>
  </si>
  <si>
    <t>Ednbgh.Glasgw.</t>
  </si>
  <si>
    <t>Eastbourne 3 %</t>
  </si>
  <si>
    <t>24Jun;24Dec</t>
  </si>
  <si>
    <t>1920-1940</t>
  </si>
  <si>
    <t>1926-1946</t>
  </si>
  <si>
    <t>Edinburgh 3 %</t>
  </si>
  <si>
    <t>15May;11Nov</t>
  </si>
  <si>
    <t>Edinburgh.</t>
  </si>
  <si>
    <t>Edin. &amp; Dist. Water Trust An.</t>
  </si>
  <si>
    <t>Exeter 2 1/2 %</t>
  </si>
  <si>
    <t>Dealings Limited</t>
  </si>
  <si>
    <t>Glamorgan County 3 %</t>
  </si>
  <si>
    <t>1914-1934</t>
  </si>
  <si>
    <t>Glasgow Gas Annuities 9 %</t>
  </si>
  <si>
    <t>Glasgw.Edinbgh.</t>
  </si>
  <si>
    <t>Glasgow Gas Annuities 6 3/4 %</t>
  </si>
  <si>
    <t>Glasgow Water £1 Annuities</t>
  </si>
  <si>
    <t>£; Total annuity</t>
  </si>
  <si>
    <t>Glasgow.</t>
  </si>
  <si>
    <t>Do 4 % Water funded debt</t>
  </si>
  <si>
    <t>Do 3 1/2 % irred.</t>
  </si>
  <si>
    <t>1925-1940</t>
  </si>
  <si>
    <t>Gloucester 3 %</t>
  </si>
  <si>
    <t>15Mar;15Sep</t>
  </si>
  <si>
    <t>1915-1955</t>
  </si>
  <si>
    <t>Harrogate 3 %</t>
  </si>
  <si>
    <t>Hastings 3 %</t>
  </si>
  <si>
    <t>1915-1954</t>
  </si>
  <si>
    <t>Hertfordshire County 2 1/2 %</t>
  </si>
  <si>
    <t>15Jan;15Jul</t>
  </si>
  <si>
    <t>1916-1936</t>
  </si>
  <si>
    <t>Do 3 1/2 % stock</t>
  </si>
  <si>
    <t>1927-1947</t>
  </si>
  <si>
    <t>Heywood 3 %</t>
  </si>
  <si>
    <t>Lond.Manchstr.</t>
  </si>
  <si>
    <t>Huddersfield 3 1/2 %</t>
  </si>
  <si>
    <t>Do 3 %</t>
  </si>
  <si>
    <t>Hull 3 1/2 %</t>
  </si>
  <si>
    <t>1921-1951</t>
  </si>
  <si>
    <t>1925-1955</t>
  </si>
  <si>
    <t>Do 3 1/2 % 2nd Issue</t>
  </si>
  <si>
    <t>Ipswich 3 %</t>
  </si>
  <si>
    <t>Lancaster 3 % stock</t>
  </si>
  <si>
    <t>1919-1955</t>
  </si>
  <si>
    <t>Free stps</t>
  </si>
  <si>
    <t>Leeds 4 % debenture stock</t>
  </si>
  <si>
    <t>Leeds.</t>
  </si>
  <si>
    <t>Leicester 3 1/2 %</t>
  </si>
  <si>
    <t>1919-1944</t>
  </si>
  <si>
    <t>1928-1958</t>
  </si>
  <si>
    <t>Lincoln 3 %</t>
  </si>
  <si>
    <t>Liverpool 3 1/2 %</t>
  </si>
  <si>
    <t>LondonLiverp''l.</t>
  </si>
  <si>
    <t>Manchester 4 % con. debt.</t>
  </si>
  <si>
    <t>M''chstrLond&amp;c.</t>
  </si>
  <si>
    <t>Do 3 % 1891</t>
  </si>
  <si>
    <t>Middlesbro'' 3 1/2 %</t>
  </si>
  <si>
    <t>Middlesex C. Council 3 % 1915-35</t>
  </si>
  <si>
    <t>1915-1935</t>
  </si>
  <si>
    <t>Feb;Aug</t>
  </si>
  <si>
    <t>Newcastle-on-Tyne 3 1/2 %</t>
  </si>
  <si>
    <t>N''castleLondon.</t>
  </si>
  <si>
    <t>Do irredeemable 3 1/2 %</t>
  </si>
  <si>
    <t xml:space="preserve">Do 3 1/2 % </t>
  </si>
  <si>
    <t>Do 2 3/4 % Stock</t>
  </si>
  <si>
    <t>1915-1936</t>
  </si>
  <si>
    <t xml:space="preserve">Newport (Mon.) 3 % </t>
  </si>
  <si>
    <t>Newport (Mon.) 3 %</t>
  </si>
  <si>
    <t>1928-1968</t>
  </si>
  <si>
    <t>Norwich 3 %</t>
  </si>
  <si>
    <t>Nottingham 3 % irred.</t>
  </si>
  <si>
    <t>Oldham 4 % deb.</t>
  </si>
  <si>
    <t>Oxford 3 %</t>
  </si>
  <si>
    <t>Paisley 3 %</t>
  </si>
  <si>
    <t>1914-1929</t>
  </si>
  <si>
    <t>Plymouth 3 %</t>
  </si>
  <si>
    <t xml:space="preserve">Do 2 3/4 % </t>
  </si>
  <si>
    <t>1918-1958</t>
  </si>
  <si>
    <t xml:space="preserve">Pontypridd 3 1/2 % </t>
  </si>
  <si>
    <t>15Jun;15Dec</t>
  </si>
  <si>
    <t>1929-1969</t>
  </si>
  <si>
    <t>Portsmouth 3 1/2 %</t>
  </si>
  <si>
    <t xml:space="preserve">Do </t>
  </si>
  <si>
    <t>1924-1927</t>
  </si>
  <si>
    <t>1Jan;Jul</t>
  </si>
  <si>
    <t>Do 2 3/4 %</t>
  </si>
  <si>
    <t>1919-1949</t>
  </si>
  <si>
    <t>Ramsgate 3 %</t>
  </si>
  <si>
    <t>Reading 3 1/2 %</t>
  </si>
  <si>
    <t>Apr;Oct</t>
  </si>
  <si>
    <t>Rhondda Urb. Dist. Coun. 3 1/2 %</t>
  </si>
  <si>
    <t>Rhyl Urban Dist. Coun. 3 1/2 %</t>
  </si>
  <si>
    <t>Richmond (Surrey) 3 %</t>
  </si>
  <si>
    <t>Rotherham 4 %</t>
  </si>
  <si>
    <t>Sheffield.</t>
  </si>
  <si>
    <t>St Helen''s 3 %</t>
  </si>
  <si>
    <t>Scarborough 3 %</t>
  </si>
  <si>
    <t>1915-1950</t>
  </si>
  <si>
    <t>Sheffield 3 1/2 %</t>
  </si>
  <si>
    <t>1925-1936</t>
  </si>
  <si>
    <t>Do Water annuities</t>
  </si>
  <si>
    <t>£; per annum</t>
  </si>
  <si>
    <t>Do</t>
  </si>
  <si>
    <t xml:space="preserve">Shipley Urban Dist. Coun. 3 % </t>
  </si>
  <si>
    <t>Somerset County 3 %</t>
  </si>
  <si>
    <t>1923-1933</t>
  </si>
  <si>
    <t>London Bristol*.</t>
  </si>
  <si>
    <t>South Shields 3 %</t>
  </si>
  <si>
    <t>1915-1945</t>
  </si>
  <si>
    <t>Lond. N''castle &amp;c.</t>
  </si>
  <si>
    <t>Southampton 2 3/4 %</t>
  </si>
  <si>
    <t>London&amp;c.</t>
  </si>
  <si>
    <t>Southend-on-Sea 3 %</t>
  </si>
  <si>
    <t>London*.</t>
  </si>
  <si>
    <t>Southport 3 1/2 %</t>
  </si>
  <si>
    <t xml:space="preserve">Staffs. County Council 3 % </t>
  </si>
  <si>
    <t>12Feb;12Aug</t>
  </si>
  <si>
    <t>Stockport 3 %</t>
  </si>
  <si>
    <t>10May;10Nov</t>
  </si>
  <si>
    <t>Lond. Manchestr.</t>
  </si>
  <si>
    <t>Stockton 3 %</t>
  </si>
  <si>
    <t>Stoke-on-Trent 3 %</t>
  </si>
  <si>
    <t>1914-1943</t>
  </si>
  <si>
    <t>Surrey County 3 %</t>
  </si>
  <si>
    <t>1922-1932</t>
  </si>
  <si>
    <t>Swansea 3 1/2 %</t>
  </si>
  <si>
    <t>London Bristol.</t>
  </si>
  <si>
    <t>1930-1970</t>
  </si>
  <si>
    <t>Taunton 3 % deb.</t>
  </si>
  <si>
    <t>1Jun;1Dec</t>
  </si>
  <si>
    <t>1911-1943</t>
  </si>
  <si>
    <t>Torquay 3 %</t>
  </si>
  <si>
    <t>Tunbridge Wells 3 %</t>
  </si>
  <si>
    <t>Tynemouth 3 %</t>
  </si>
  <si>
    <t>LondonNewcastle.</t>
  </si>
  <si>
    <t>Wakefield 3 %</t>
  </si>
  <si>
    <t>Walsall 3 %</t>
  </si>
  <si>
    <t>London Birmingham.</t>
  </si>
  <si>
    <t>West Bromwich 3 %</t>
  </si>
  <si>
    <t>West Ham 3 1/4 %</t>
  </si>
  <si>
    <t>W. Sussex County Council 3 %</t>
  </si>
  <si>
    <t>Weston-super-Mare 3 %</t>
  </si>
  <si>
    <t>1914-1944</t>
  </si>
  <si>
    <t xml:space="preserve">Weymouth &amp; M. Regis 3 % </t>
  </si>
  <si>
    <t>1918-1938</t>
  </si>
  <si>
    <t>Widnes 3 %</t>
  </si>
  <si>
    <t>Wigan 3 %</t>
  </si>
  <si>
    <t>London Liverpool.</t>
  </si>
  <si>
    <t>Do 3 3/4 % Mort. Bonds</t>
  </si>
  <si>
    <t>Windsor 3 %</t>
  </si>
  <si>
    <t>1918-1948</t>
  </si>
  <si>
    <t xml:space="preserve">Wisbech Borough 3 1/2 % </t>
  </si>
  <si>
    <t>Wolverhampton 3 1/2 %</t>
  </si>
  <si>
    <t>1924-1954</t>
  </si>
  <si>
    <t>Worcester 3 1/4 %</t>
  </si>
  <si>
    <t>25Mar;25Sep</t>
  </si>
  <si>
    <t>York 3 %</t>
  </si>
  <si>
    <t>1916-1941</t>
  </si>
  <si>
    <t>Leeds Lond. &amp;c.</t>
  </si>
  <si>
    <t>Belfast Water Comrs. 3 1/2 %</t>
  </si>
  <si>
    <t>LondonBelfast.</t>
  </si>
  <si>
    <t>1953-1958</t>
  </si>
  <si>
    <t>Clyde Nav. Trst. 4 % fund debt</t>
  </si>
  <si>
    <t>Glasgow&amp;c.</t>
  </si>
  <si>
    <t>Greenock Harb. deb. "A" 3 1/2 %</t>
  </si>
  <si>
    <t>Do "B" 4 %</t>
  </si>
  <si>
    <t>Mersey Docks and Harbour Board</t>
  </si>
  <si>
    <t>Annuities</t>
  </si>
  <si>
    <t>%</t>
  </si>
  <si>
    <t>Liverpool.</t>
  </si>
  <si>
    <t>1935-1965</t>
  </si>
  <si>
    <t>Met. Water Board "B" 3 %</t>
  </si>
  <si>
    <t>1934-2003</t>
  </si>
  <si>
    <t>Do "A" stock</t>
  </si>
  <si>
    <t>E. Lon. W''works 3 % db. red.</t>
  </si>
  <si>
    <t>Kent W''works 3 % deb. red.</t>
  </si>
  <si>
    <t>Lambeth W''wks. 3 % red. deb.</t>
  </si>
  <si>
    <t>New River 3 % deb. "C" red.</t>
  </si>
  <si>
    <t>Do do "D" red.</t>
  </si>
  <si>
    <t>S. &amp; Vaux. W''ks. 3 % "B" db. rd.</t>
  </si>
  <si>
    <t>Do 3 % inter. db. stk. red.</t>
  </si>
  <si>
    <t>Staines Res. 3 % guar. deb. red.</t>
  </si>
  <si>
    <t>W. Middlesex Wks. 3 % deb red</t>
  </si>
  <si>
    <t>Port of Lond. Auth. 3 % "A"</t>
  </si>
  <si>
    <t>1929-1999</t>
  </si>
  <si>
    <t>refers to 19111271812 &amp; 19111271813</t>
  </si>
  <si>
    <t>Do 4 % "B"</t>
  </si>
  <si>
    <t>Do 3 1/2 % Inscribed Stock</t>
  </si>
  <si>
    <t>1949-1999</t>
  </si>
  <si>
    <t>Dover Harbour Board 3 3/4 %</t>
  </si>
  <si>
    <t>Swansea Harbour Trust stock</t>
  </si>
  <si>
    <t>Bristol Cardiff &amp;c.</t>
  </si>
  <si>
    <t>Do 4 % "A"</t>
  </si>
  <si>
    <t>1926-1965</t>
  </si>
  <si>
    <t xml:space="preserve">Tees Conservancy 3 % </t>
  </si>
  <si>
    <t>30Apr;31Oct</t>
  </si>
  <si>
    <t>Thames Cons. 3 % "B" deb. stk.</t>
  </si>
  <si>
    <t>Tyne Impt. Com. 3 1/2 %</t>
  </si>
  <si>
    <t>1918-1952</t>
  </si>
  <si>
    <t>London Newcastle.</t>
  </si>
  <si>
    <t>Auckld. (N. Z.) Harb. 5 % bonds</t>
  </si>
  <si>
    <t>10Apr;10Oct</t>
  </si>
  <si>
    <t>Do 4 1/2 % 20-year bonds</t>
  </si>
  <si>
    <t xml:space="preserve">Auckland (City) 6 % </t>
  </si>
  <si>
    <t>Do 5 % debs.</t>
  </si>
  <si>
    <t>1934-1938</t>
  </si>
  <si>
    <t xml:space="preserve">Do 4 % cons. loan debs. </t>
  </si>
  <si>
    <t>Bloemfontein (Cty of) 4 % Ins.</t>
  </si>
  <si>
    <t xml:space="preserve">Bombay Imp. Trust 4 % debs. </t>
  </si>
  <si>
    <t>Rs</t>
  </si>
  <si>
    <t>Bombay (Port of) 4 % stg. deb. loan</t>
  </si>
  <si>
    <t>Calcutta (Port of) 4 % debs.</t>
  </si>
  <si>
    <t xml:space="preserve">Do 4 % </t>
  </si>
  <si>
    <t>Calgary (City of) 4 1/2 % debs.</t>
  </si>
  <si>
    <t>1930-1941</t>
  </si>
  <si>
    <t>Christchurch (N. Z.) 6 %</t>
  </si>
  <si>
    <t>30Jun;31Dec</t>
  </si>
  <si>
    <t>Cape Town 4 % debs.</t>
  </si>
  <si>
    <t>Do 3 1/2 % debs.</t>
  </si>
  <si>
    <t>Do 4 % Inscribed</t>
  </si>
  <si>
    <t>Do Sub. Mun. Watwks 4 % Ins.</t>
  </si>
  <si>
    <t>Durban (Boro'' of) 3 1/2 % Ins.</t>
  </si>
  <si>
    <t>Do 4 % Insc.</t>
  </si>
  <si>
    <t>1951-1952-1953</t>
  </si>
  <si>
    <t>East London 4 % Insc.</t>
  </si>
  <si>
    <t>Edmonton (City of) 5 % debs.</t>
  </si>
  <si>
    <t>1915-1948</t>
  </si>
  <si>
    <t>Do 4 1/2 % debs.</t>
  </si>
  <si>
    <t>1918-1951</t>
  </si>
  <si>
    <t>Gisborne Harb. Bd. 5 % loan</t>
  </si>
  <si>
    <t>Hamilton (City of) 4 % debs.</t>
  </si>
  <si>
    <t>Johannesburg Mun. 4 % Insc.</t>
  </si>
  <si>
    <t>1933-1934</t>
  </si>
  <si>
    <t xml:space="preserve">Lyttelton (N. Z.) Harbour 6 % </t>
  </si>
  <si>
    <t xml:space="preserve">Mlb''rne. &amp; Met. Bd. Wks 4 % debs. </t>
  </si>
  <si>
    <t>Melbourne 4 1/2 % debs.</t>
  </si>
  <si>
    <t>1912-1927</t>
  </si>
  <si>
    <t>Do 4 % debs.</t>
  </si>
  <si>
    <t>1915-1920-1922</t>
  </si>
  <si>
    <t xml:space="preserve">Melbourne Harb. Trust 4 1/2 % </t>
  </si>
  <si>
    <t>Do 4 % bonds</t>
  </si>
  <si>
    <t>1918-1921</t>
  </si>
  <si>
    <t xml:space="preserve">Do Trmys. Trust 4 1/2 % debs. </t>
  </si>
  <si>
    <t>1914-1916</t>
  </si>
  <si>
    <t>Montreal 3 1/2 % 40-year bonds</t>
  </si>
  <si>
    <t>Do 3 % perpetual</t>
  </si>
  <si>
    <t>Do 4 % debenture</t>
  </si>
  <si>
    <t>Do 3 1/2 % sterling reg. debs.</t>
  </si>
  <si>
    <t xml:space="preserve">Do 4 % regd. stk. </t>
  </si>
  <si>
    <t>Napier Harbour Board 5 %</t>
  </si>
  <si>
    <t>Otago Harbour Board 5 % debs.</t>
  </si>
  <si>
    <t>Do 5 % consolidation bonds</t>
  </si>
  <si>
    <t>Ottawa 4 % sterling debs.</t>
  </si>
  <si>
    <t>Pietermaritzburg 3 1/2 % cons</t>
  </si>
  <si>
    <t>Do 4 % cons.</t>
  </si>
  <si>
    <t>1949-1953</t>
  </si>
  <si>
    <t>Port Elizabeth W''wks 4 % Ins.</t>
  </si>
  <si>
    <t xml:space="preserve">Port Louis (Mauritius) 5 % </t>
  </si>
  <si>
    <t>Pretoria (City of) 4 % Ins.</t>
  </si>
  <si>
    <t>Quebec City 4 % sterling debs.</t>
  </si>
  <si>
    <t>Do 3 1/2 % cons. reg. red.</t>
  </si>
  <si>
    <t>dwgs.</t>
  </si>
  <si>
    <t>Rand Water Board 4 % Insc.</t>
  </si>
  <si>
    <t>Rangoon (Port of) 4 % loan</t>
  </si>
  <si>
    <t>Regina (City of) 5 % debs.</t>
  </si>
  <si>
    <t>1923-1938</t>
  </si>
  <si>
    <t>St John (C. of) N. B. 4 % debs.</t>
  </si>
  <si>
    <t>Saskatoon (City of) 5 % ster. debs.</t>
  </si>
  <si>
    <t xml:space="preserve">Sherbrooke (City of) 4 1/2 % str. dbs. </t>
  </si>
  <si>
    <t>Sydney City 4 % debentures</t>
  </si>
  <si>
    <t>1912-1913</t>
  </si>
  <si>
    <t>Do 4 % debentures</t>
  </si>
  <si>
    <t>Toronto 5 % gold con. debs.</t>
  </si>
  <si>
    <t>1919-1920</t>
  </si>
  <si>
    <t xml:space="preserve">Toronto 5 % gold con. debs. </t>
  </si>
  <si>
    <t>Do 4 % sterling bonds</t>
  </si>
  <si>
    <t>1922-1928</t>
  </si>
  <si>
    <t>Do 4 % improv. bonds.</t>
  </si>
  <si>
    <t>1911-1919</t>
  </si>
  <si>
    <t>Do 3 1/2 % gen. cons. debs.</t>
  </si>
  <si>
    <t>Vancouver (C. of) 4 % bonds</t>
  </si>
  <si>
    <t>Do 4 % sterling debs.</t>
  </si>
  <si>
    <t>1926-1947</t>
  </si>
  <si>
    <t>1947-1949</t>
  </si>
  <si>
    <t>Victoria (City) B.C. 4 % db.</t>
  </si>
  <si>
    <t>21Jan;21Jul</t>
  </si>
  <si>
    <t xml:space="preserve">Wellington (N. Zealand) 6 % </t>
  </si>
  <si>
    <t>Do 6 % Imprv. and Water</t>
  </si>
  <si>
    <t>Do 4 1/2 % debentures</t>
  </si>
  <si>
    <t xml:space="preserve">Winnipeg 5 % </t>
  </si>
  <si>
    <t>1913-1936</t>
  </si>
  <si>
    <t>Do 4 % con. reg. stock</t>
  </si>
  <si>
    <t xml:space="preserve">Do 4 % cons. reg. </t>
  </si>
  <si>
    <t>Woodstock 4 % Ins.</t>
  </si>
  <si>
    <t>Aarhus (City of) 4 % bds. 1909</t>
  </si>
  <si>
    <t>dwgs</t>
  </si>
  <si>
    <t>Alexandria 4 % bonds</t>
  </si>
  <si>
    <t>Amsterdam (City of) 3 % bonds</t>
  </si>
  <si>
    <t>fl</t>
  </si>
  <si>
    <t>Bahia (Pt. of) 5 % deb. bds.</t>
  </si>
  <si>
    <t>1923-1972</t>
  </si>
  <si>
    <t>Baku (City of) 5 % gold loan</t>
  </si>
  <si>
    <t>Belle Horrizonte 6 % bds. 1905</t>
  </si>
  <si>
    <t xml:space="preserve">Bergen (City of) 4 % </t>
  </si>
  <si>
    <t>Do 4 % loan 1909</t>
  </si>
  <si>
    <t>Budapest 4 % sterling loan</t>
  </si>
  <si>
    <t>Buenos Ayres (City) 4 1/2 % bonds</t>
  </si>
  <si>
    <t>Do 5 % loan 1909</t>
  </si>
  <si>
    <t>Christiania 4 % sterling loan</t>
  </si>
  <si>
    <t>Constantinople 5 % Mun. Loan.</t>
  </si>
  <si>
    <t>14Jun;14Dec</t>
  </si>
  <si>
    <t>Copenhagen 3 1/2 % bonds</t>
  </si>
  <si>
    <t>15Feb;15Aug</t>
  </si>
  <si>
    <t>Do 4 % bonds 1901</t>
  </si>
  <si>
    <t>15May;15Nov</t>
  </si>
  <si>
    <t>Do 4 % loan 1908</t>
  </si>
  <si>
    <t>Do 4 % loan 1910</t>
  </si>
  <si>
    <t>Gothenburg (City of) 4 % 1909</t>
  </si>
  <si>
    <t>Helsingfors (City of) 4 1/2 % loan</t>
  </si>
  <si>
    <t>Manaos (City of) 5 1/2 % sterling</t>
  </si>
  <si>
    <t>Mexico (City of) 5 % sterling</t>
  </si>
  <si>
    <t>Montevideo 5 % asdg. 6 %</t>
  </si>
  <si>
    <t>Moscow (City of) 5 % loan 1908</t>
  </si>
  <si>
    <t>14May;14Sep</t>
  </si>
  <si>
    <t>Nagoya (City of) 5 % sterling</t>
  </si>
  <si>
    <t>New York 4 1/2 % Corp. stk.</t>
  </si>
  <si>
    <t>$</t>
  </si>
  <si>
    <t>Osaka (City of) 5 % str.</t>
  </si>
  <si>
    <t>1919-1939</t>
  </si>
  <si>
    <t>Para (Belem) Mun. of 5 %</t>
  </si>
  <si>
    <t>Para (Pt. of) 5 % 1st mt. rd. gld.</t>
  </si>
  <si>
    <t xml:space="preserve">Pernambuco (Recife) 5 % gt. ln. </t>
  </si>
  <si>
    <t>Porto Allegre (C. of) 5 % guar. str.</t>
  </si>
  <si>
    <t>20Jun;20Dec</t>
  </si>
  <si>
    <t>Rio de Jan. (Fed. Dist.) 5 % gold</t>
  </si>
  <si>
    <t>Do 5 % guar. gold bonds</t>
  </si>
  <si>
    <t xml:space="preserve">Rio de Janeiro (City of) 4 % </t>
  </si>
  <si>
    <t>Rosario (City of) 4 % sterling conversion loan bonds</t>
  </si>
  <si>
    <t>Int until Nov.11912 payable 2 2/3% in cash 1 1/4% in certs.exchang''ble for bnds</t>
  </si>
  <si>
    <t>Santos (C. of) 6 % Int. stg. loan</t>
  </si>
  <si>
    <t>30Apr;30Oct</t>
  </si>
  <si>
    <t>San Paulo 6 % gold loan</t>
  </si>
  <si>
    <t>Saratoff (City of) 5 % loan</t>
  </si>
  <si>
    <t>Stockholm 4 % bonds</t>
  </si>
  <si>
    <t>15Feb;5Aug</t>
  </si>
  <si>
    <t xml:space="preserve">Tammerfors (City of) 4 1/2 % </t>
  </si>
  <si>
    <t>Tokyo 5 % ster. loan</t>
  </si>
  <si>
    <t>Valparaiso 5 1/2 % bonds</t>
  </si>
  <si>
    <t xml:space="preserve">Yokohama (C. of) 5 % </t>
  </si>
  <si>
    <t>1917-1937</t>
  </si>
  <si>
    <t>Do 5 % sterling loan</t>
  </si>
  <si>
    <t>5Jan;5Jul</t>
  </si>
  <si>
    <t>Allsopp S. &amp; Sons L. ord. stock</t>
  </si>
  <si>
    <t>£</t>
  </si>
  <si>
    <t>Dr; refers to 19111274602 &amp; 19111274601 &amp; 19111274604 &amp; 19111274605 &amp; 19111274603</t>
  </si>
  <si>
    <t>nil</t>
  </si>
  <si>
    <t>Do 6 % cum. preference</t>
  </si>
  <si>
    <t>9 % in Funded Inc. Certs to Jne 1903</t>
  </si>
  <si>
    <t>Do 4 1/2 % deb. stock</t>
  </si>
  <si>
    <t>Do 3 1/2 % deb. stock red.</t>
  </si>
  <si>
    <t>Do 4 % income deb. Stk. Red</t>
  </si>
  <si>
    <t xml:space="preserve">Arnold Perrett &amp; Co. 6 % cum pref. </t>
  </si>
  <si>
    <t>Arrol (Archd. and Sons) cum pref.</t>
  </si>
  <si>
    <t>nil since</t>
  </si>
  <si>
    <t xml:space="preserve"> </t>
  </si>
  <si>
    <t>refers to 19111274607 &amp; 19111274608</t>
  </si>
  <si>
    <t>Do 4 1/2 % deb. stock red</t>
  </si>
  <si>
    <t>Ashby''s Staines Brewery</t>
  </si>
  <si>
    <t>%=excluding bonus</t>
  </si>
  <si>
    <t>refers to 19111274610 &amp; 19111274611 &amp; 19111274609</t>
  </si>
  <si>
    <t>Do 5 % cum. pref.</t>
  </si>
  <si>
    <t>Do 4 % perp. deb.</t>
  </si>
  <si>
    <t>Barclay Perkins &amp; Co. 10 % cm. prf.</t>
  </si>
  <si>
    <t>refers to 19111274612 &amp; 19111274613</t>
  </si>
  <si>
    <t>Do 3 1/2 % deb. stock. red.</t>
  </si>
  <si>
    <t>Barnsley Brewery Co. Limited</t>
  </si>
  <si>
    <t>interim</t>
  </si>
  <si>
    <t>refers to 19111274615 &amp; 19111274614</t>
  </si>
  <si>
    <t>Do 6 % cum. Pref.</t>
  </si>
  <si>
    <t>Bartholomay Brewing Co. 8 % cm. pf.</t>
  </si>
  <si>
    <t>refers to 19111274617 &amp; 19111274616</t>
  </si>
  <si>
    <t>Do 6 % deb.</t>
  </si>
  <si>
    <t>Bass Ratcliff &amp; Gretton 5 % cm. pref.</t>
  </si>
  <si>
    <t>refers to 19111274620 &amp; 19111274618 &amp; 19111274619</t>
  </si>
  <si>
    <t>Do 4 1/2 % mort. deb. stock</t>
  </si>
  <si>
    <t>Do 3 1/2 % "B" mort. red.</t>
  </si>
  <si>
    <t>Benskin''s Wat. Bwy. 5 % cum. prf.</t>
  </si>
  <si>
    <t>refers to 19111274621 &amp; 19111274623 &amp; 19111274622</t>
  </si>
  <si>
    <t>Do 4 % deb. stock irred.</t>
  </si>
  <si>
    <t>Do 4 % "B" irred. Deb.</t>
  </si>
  <si>
    <t>Bentley''s Yorkshire Breweries</t>
  </si>
  <si>
    <t>refers to 19111274625 &amp; 19111274626 &amp; 19111274624 &amp; 19111274627</t>
  </si>
  <si>
    <t>Do 4 1/2 % red. deb.</t>
  </si>
  <si>
    <t>Do 4 % irred. deb.</t>
  </si>
  <si>
    <t>Bent''s Brewery Co. Limited</t>
  </si>
  <si>
    <t>refers to 19111274630 &amp; 19111274628 &amp; 19111274629</t>
  </si>
  <si>
    <t>Lond.Leeds&amp;c.</t>
  </si>
  <si>
    <t>Do 6 % cum. pref.</t>
  </si>
  <si>
    <t>(to Dec 10)</t>
  </si>
  <si>
    <t>Do 4 % irred. deb. stock</t>
  </si>
  <si>
    <t>Bernard (T. &amp; J.) pref.</t>
  </si>
  <si>
    <t>Bieckert''s Brewery (1900)</t>
  </si>
  <si>
    <t>refers to 19111274633 &amp; 19111274634 &amp; 19111274632</t>
  </si>
  <si>
    <t xml:space="preserve">Do 5 % cum. pref. </t>
  </si>
  <si>
    <t>Do 4 % 1st deb. red.</t>
  </si>
  <si>
    <t>Birkenhead Brewery Lim.</t>
  </si>
  <si>
    <t>Interim</t>
  </si>
  <si>
    <t>Boardman''s United Bws. 1st. mt. db.</t>
  </si>
  <si>
    <t>ManchesterLon.</t>
  </si>
  <si>
    <t>Boddingtons'' Breweries Limited</t>
  </si>
  <si>
    <t>refers to 19111274639 &amp; 19111274637 &amp; 19111274638</t>
  </si>
  <si>
    <t>LondonManch.</t>
  </si>
  <si>
    <t>Do 5 % pref.</t>
  </si>
  <si>
    <t>Do 4 % deb. stock</t>
  </si>
  <si>
    <t>Brakspear (W. H.) &amp; Sons 4 1/4 % rd. db.</t>
  </si>
  <si>
    <t xml:space="preserve">Brampton Brewery Co. ord. </t>
  </si>
  <si>
    <t>refers to 19111274642 &amp; 19111274641</t>
  </si>
  <si>
    <t xml:space="preserve">Do 5 1/2 % cum. pref. </t>
  </si>
  <si>
    <t>Brandon''s Putney Bwy 5 % cum. pf.</t>
  </si>
  <si>
    <t>refers to 19111274643 &amp; 19111274644</t>
  </si>
  <si>
    <t xml:space="preserve">Do 4 % red. deb. stock </t>
  </si>
  <si>
    <t>Brickwood and Co. 4 % red. deb.</t>
  </si>
  <si>
    <t xml:space="preserve">Bristol Brewery Georges &amp; Co. L. </t>
  </si>
  <si>
    <t>Bristol United Breweries Limited</t>
  </si>
  <si>
    <t>refers to 19111274648 &amp; 19111274647 &amp; 19111274649</t>
  </si>
  <si>
    <t>Bristol.</t>
  </si>
  <si>
    <t>Bullard and Sons L. 4 % deb. red.</t>
  </si>
  <si>
    <t>Bulloch Lade &amp; Co. 5 % pref.</t>
  </si>
  <si>
    <t>LondonGlas.</t>
  </si>
  <si>
    <t>Camden Brewery Co. L. pref.</t>
  </si>
  <si>
    <t>refers to 19111274653 &amp; 19111274652 &amp; 19111274654</t>
  </si>
  <si>
    <t>Do 4 1/4 % deb. stock</t>
  </si>
  <si>
    <t>Do 4 1/4 % "B" deb. red</t>
  </si>
  <si>
    <t>Cameron (J.W.) &amp; Co. 5 1/2 % cum. pf.</t>
  </si>
  <si>
    <t>refers to 19111274655 &amp; 19111274657 &amp; 19111274656</t>
  </si>
  <si>
    <t>LondonHull&amp;c.</t>
  </si>
  <si>
    <t>Do 4 1/4 % mort. deb. stock.</t>
  </si>
  <si>
    <t>Do 3 1/2 % perp. deb.</t>
  </si>
  <si>
    <t>Cannon Brewery Co. 5 % cum. pref.</t>
  </si>
  <si>
    <t>refers to 19111274659 &amp; 19111274660 &amp; 19111274658</t>
  </si>
  <si>
    <t>Do 4 % mort. deb. stock</t>
  </si>
  <si>
    <t>Do 4 % "B" deb. red.</t>
  </si>
  <si>
    <t>Charrington &amp; Co. 3 1/2 % red. deb.</t>
  </si>
  <si>
    <t>Chester''s Brewery Co.</t>
  </si>
  <si>
    <t>refers to 19111274663 &amp; 19111274664 &amp; 19111274662</t>
  </si>
  <si>
    <t>Do 5 % debs. red.</t>
  </si>
  <si>
    <t>Chicago Breweries Limited</t>
  </si>
  <si>
    <t>City of London Brewery Co.</t>
  </si>
  <si>
    <t>refers to 19111274668 &amp; 19111274666 &amp; 19111274670 &amp; 19111274669 &amp; 19111274667</t>
  </si>
  <si>
    <t>Do ordinary shares</t>
  </si>
  <si>
    <t>d</t>
  </si>
  <si>
    <t>Do 3 1/2 % irred. deb.</t>
  </si>
  <si>
    <t>Clarkson''s Old Brewery (Barnsley)</t>
  </si>
  <si>
    <t>refers to 19111274671 &amp; 19111274672</t>
  </si>
  <si>
    <t>Leeds&amp;c.</t>
  </si>
  <si>
    <t>Do 6 % pref.</t>
  </si>
  <si>
    <t>Colchester Brewing L.</t>
  </si>
  <si>
    <t>refers to 19111274673 &amp; 19111274674 &amp; 19111274676 &amp; 19111274675</t>
  </si>
  <si>
    <t>Do 7 % pref.</t>
  </si>
  <si>
    <t>Do 4 1/2 % deb. stock red.</t>
  </si>
  <si>
    <t>Do 4 1/2 % "A" deb. red.</t>
  </si>
  <si>
    <t>Commercial Bwy. Co. 5 % deb. stk.</t>
  </si>
  <si>
    <t>Courage &amp; Co. L. 5 % cum. pref.</t>
  </si>
  <si>
    <t>refers to 19111274678 &amp; 19111274679 &amp; 19111274680</t>
  </si>
  <si>
    <t>Do 3 1/2 % "B" mort.</t>
  </si>
  <si>
    <t>Daniell &amp; Sons L. 7 % cum. pref.</t>
  </si>
  <si>
    <t>for 1909</t>
  </si>
  <si>
    <t>refers to 19111274681 &amp; 19111274684 &amp; 19111274683 &amp; 19111274682</t>
  </si>
  <si>
    <t xml:space="preserve">Daniell &amp; Sons L. 7 % cum. pref. </t>
  </si>
  <si>
    <t>Do ordinary</t>
  </si>
  <si>
    <t>Do 4 1/2 % perp. deb.</t>
  </si>
  <si>
    <t>Do 4 1/2 % "B" deb. stock</t>
  </si>
  <si>
    <t>Dartford Brewery Co.</t>
  </si>
  <si>
    <t>refers to 19111274685 &amp; 19111274687 &amp; 19111274686</t>
  </si>
  <si>
    <t>Do 5 1/2 % cum. pref.</t>
  </si>
  <si>
    <t>Do 4 % deb. red.</t>
  </si>
  <si>
    <t>Denver United Breweries</t>
  </si>
  <si>
    <t>Oct1898</t>
  </si>
  <si>
    <t>refers to 19111274689 &amp; 19111274688</t>
  </si>
  <si>
    <t>Do 8 % cum. Pref.</t>
  </si>
  <si>
    <t>to Dec1907</t>
  </si>
  <si>
    <t xml:space="preserve">Dewar (Jno.) and Sons 5 % pref. </t>
  </si>
  <si>
    <t>Lond.Edinburgh.</t>
  </si>
  <si>
    <t>Distillers Co. Limited</t>
  </si>
  <si>
    <t>refers to 19111274693 &amp; 19111274691 &amp; 19111274692; Includes Depreciation Fund</t>
  </si>
  <si>
    <t>EdinburghGlasg.</t>
  </si>
  <si>
    <t>Dunville and Co. Limited</t>
  </si>
  <si>
    <t>DublinBelfast.</t>
  </si>
  <si>
    <t>Eadie (J) L. 5 % cum. pref.</t>
  </si>
  <si>
    <t>refers to 19111274802 &amp; 19111274803</t>
  </si>
  <si>
    <t>Edinburgh United Breweries</t>
  </si>
  <si>
    <t>refers to 19111274804 &amp; 19111274805 &amp; 19111274806</t>
  </si>
  <si>
    <t>Edin.London&amp;c.</t>
  </si>
  <si>
    <t xml:space="preserve">Do 4 % 1st. mort. debs. </t>
  </si>
  <si>
    <t>Farnham United Breweries</t>
  </si>
  <si>
    <t>refers to 19111274807 &amp; 19111274808</t>
  </si>
  <si>
    <t xml:space="preserve">Do 6 % cum. pref. </t>
  </si>
  <si>
    <t>Flower &amp; Sons irred. deb. stock</t>
  </si>
  <si>
    <t>Gartsides (Brookside Brewery)</t>
  </si>
  <si>
    <t>refers to 19111274810 &amp; 19111274812 &amp; 19111274811</t>
  </si>
  <si>
    <t>London Manchester.</t>
  </si>
  <si>
    <t xml:space="preserve">Do 4 1/4 % red. deb. </t>
  </si>
  <si>
    <t>Green (J. W.) 4 % deb. red.</t>
  </si>
  <si>
    <t>Groves and Whitnall 5 % cum. pref.</t>
  </si>
  <si>
    <t>refers to 19111274814</t>
  </si>
  <si>
    <t>refers to 19111274815</t>
  </si>
  <si>
    <t>Guinness (Arthur) Son &amp; Co. L. ord</t>
  </si>
  <si>
    <t>refers to 19111274816 &amp; 19111274818 &amp; 19111274817</t>
  </si>
  <si>
    <t>Do 6 % preference</t>
  </si>
  <si>
    <t xml:space="preserve">Do 3 1/2 % deb. stock red. </t>
  </si>
  <si>
    <t>Hall''s Oxford Brewery 5 % pref.</t>
  </si>
  <si>
    <t>refers to 19111274819 &amp; 19111274820;Including Depreciation Fund</t>
  </si>
  <si>
    <t>Do 4 % deb. stk. red.</t>
  </si>
  <si>
    <t>Hancock &amp; Co. (N Z) 5 1/2 % db. stk. red.</t>
  </si>
  <si>
    <t>Hancock (Wm.) &amp; Co. L. pref. con. ord.</t>
  </si>
  <si>
    <t>refers to 19111274822 &amp; 19111274824 &amp; 19111274823</t>
  </si>
  <si>
    <t>London Bristol Cardiff &amp; Dublin.</t>
  </si>
  <si>
    <t>Hancock (Wm.) &amp; Co. L. defd. con. ord.</t>
  </si>
  <si>
    <t>Hardys'' Crown Brewery L.</t>
  </si>
  <si>
    <t>refers to 19111274825 &amp; 19111274827 &amp; 19111274826</t>
  </si>
  <si>
    <t>Hardys'' Kimberley Bwy. 4 % irr. deb.</t>
  </si>
  <si>
    <t>Highland Distilleries Co. L.</t>
  </si>
  <si>
    <t>nil betwn</t>
  </si>
  <si>
    <t>Hoare &amp; Co. Limited</t>
  </si>
  <si>
    <t>refers to 19111274832 &amp; 19111274831 &amp; 19111274830</t>
  </si>
  <si>
    <t>Hodgson''s Kingston Brewery L.</t>
  </si>
  <si>
    <t>refers to 19111274833 &amp; 19111274834</t>
  </si>
  <si>
    <t>Do 4 % perp. deb. stock</t>
  </si>
  <si>
    <t>Huggins and Co. L.</t>
  </si>
  <si>
    <t>refers to 19111274835 &amp; 19111274837 &amp; 19111274836</t>
  </si>
  <si>
    <t>Do 4 1/2 % cum. pref.</t>
  </si>
  <si>
    <t>Ind Coope &amp; Co. L. "B" pref.</t>
  </si>
  <si>
    <t>Do 4 1/2 % deb.</t>
  </si>
  <si>
    <t>Do 4 % "B" mort. red.</t>
  </si>
  <si>
    <t>Do 4 1/2 % irred. deb.</t>
  </si>
  <si>
    <t>Indianapolis Brwys. 8 % cum. pref.</t>
  </si>
  <si>
    <t>refers to 19111274843 &amp; 19111274842</t>
  </si>
  <si>
    <t>Do 6 % debs. red.</t>
  </si>
  <si>
    <t>Jones (Frank) Brewery Co.</t>
  </si>
  <si>
    <t>Jun1896</t>
  </si>
  <si>
    <t>Nov1896</t>
  </si>
  <si>
    <t>Jun1897</t>
  </si>
  <si>
    <t>Do cum. pref. 7 1/2 %</t>
  </si>
  <si>
    <t xml:space="preserve">Do 5 % 1st mort. debs. </t>
  </si>
  <si>
    <t>Lacon (E. &amp; Co.) L. 4 % deb.</t>
  </si>
  <si>
    <t>Do 4 % irred. "B" deb.</t>
  </si>
  <si>
    <t xml:space="preserve">Lascelles Tickner &amp; Co. L. </t>
  </si>
  <si>
    <t>refers to 19111274849 &amp; 19111274850</t>
  </si>
  <si>
    <t>Lion Brewery L.</t>
  </si>
  <si>
    <t>refers to 19111274853 &amp; 19111274851 &amp; 19111274852 &amp; 19111274854</t>
  </si>
  <si>
    <t>Do new shares at 3 pm.</t>
  </si>
  <si>
    <t xml:space="preserve">Do preference 6 % </t>
  </si>
  <si>
    <t xml:space="preserve">Do 4 % "B" deb. stock red. </t>
  </si>
  <si>
    <t xml:space="preserve">Lloyd &amp; Yorath L. 4 1/2 % red. deb. </t>
  </si>
  <si>
    <t xml:space="preserve">Do 5 % "A" deb. stk. red. </t>
  </si>
  <si>
    <t>Lovibond (John) &amp; Sons cum. pref.</t>
  </si>
  <si>
    <t>refers to 19111274857 &amp; 19111274858</t>
  </si>
  <si>
    <t xml:space="preserve">McEwan Wm. &amp; Co. 5 % pref. </t>
  </si>
  <si>
    <t xml:space="preserve">Manchester Brewery Co. Lim. ord. </t>
  </si>
  <si>
    <t>refers to 19111274860 &amp; 19111274861 &amp; 19111274862 &amp; 19111274864 &amp; 19111274863</t>
  </si>
  <si>
    <t>Do 1st preference</t>
  </si>
  <si>
    <t>Do 2nd preference</t>
  </si>
  <si>
    <t>Do 5 1/2 % deb. stock</t>
  </si>
  <si>
    <t xml:space="preserve">Do 4 % "A" irred. deb. </t>
  </si>
  <si>
    <t>Mann Crossman and Paulin pref.</t>
  </si>
  <si>
    <t xml:space="preserve">Marston Thompson &amp; Evershed 5 % cm. pf. </t>
  </si>
  <si>
    <t>refers to 19111274867 &amp; 19111274869 &amp; 19111274868</t>
  </si>
  <si>
    <t>Marston Thompson &amp; Evershed 4 % deb.</t>
  </si>
  <si>
    <t>Do 4 % Evershed deb.</t>
  </si>
  <si>
    <t>Massey''s Burnley Brwy. 6 % cum. prf.</t>
  </si>
  <si>
    <t>LondonMan.&amp;c.</t>
  </si>
  <si>
    <t>Meux''s Brewery Co. 5 % cum. pref.</t>
  </si>
  <si>
    <t xml:space="preserve">Do 6 % deb. stock red. </t>
  </si>
  <si>
    <t>Mile-end Distillery Co. 4 1/2 % red. deb.</t>
  </si>
  <si>
    <t>Milwaukee and Chicago Breweries</t>
  </si>
  <si>
    <t>Mitchells and Butlers</t>
  </si>
  <si>
    <t>refers to 19111274876 &amp; 19111274877 &amp; 19111274878</t>
  </si>
  <si>
    <t>Jan;Aug</t>
  </si>
  <si>
    <t>Do 5 % debenture</t>
  </si>
  <si>
    <t xml:space="preserve">Morgan''s Brewery Co. 6 % pref. </t>
  </si>
  <si>
    <t xml:space="preserve">Nalder &amp; Collyer''s Brewery Co. L. </t>
  </si>
  <si>
    <t>refers to 19111274881 &amp; 19111274880</t>
  </si>
  <si>
    <t>New England Brewery Co.</t>
  </si>
  <si>
    <t>refers to 19111274882 &amp; 19111274884 &amp; 19111274883</t>
  </si>
  <si>
    <t>Do 8 % cum. pref.</t>
  </si>
  <si>
    <t>Do 6 % debs.</t>
  </si>
  <si>
    <t xml:space="preserve">New London Brewery Co. deb. stk. </t>
  </si>
  <si>
    <t xml:space="preserve">New Westminster Brewery Co. L. </t>
  </si>
  <si>
    <t>refers to 19111274886 &amp; 19111274887;Including Property Reserve</t>
  </si>
  <si>
    <t>Dec;Jul</t>
  </si>
  <si>
    <t>New York Breweries Co. Unified</t>
  </si>
  <si>
    <t xml:space="preserve">Do 6 % debs. red. </t>
  </si>
  <si>
    <t>Newcastle Breweries L.</t>
  </si>
  <si>
    <t>refers to 19111274893 &amp; 19111274890 &amp; 19111274891 &amp; 19111274892;Including Depreciation Fund</t>
  </si>
  <si>
    <t>Lond. Newcastle.</t>
  </si>
  <si>
    <t>Do 5 % 1st mort. debs. red.</t>
  </si>
  <si>
    <t>Do 4 % "A" mort. red.</t>
  </si>
  <si>
    <t>Noakes and Co. 5 % cum. pref.</t>
  </si>
  <si>
    <t>refers to 19111274894 &amp; 19111274895</t>
  </si>
  <si>
    <t>Do 4 % red. deb.</t>
  </si>
  <si>
    <t xml:space="preserve">Northampton Brewery Co. L. </t>
  </si>
  <si>
    <t>refers to 19111275004 &amp; 19111275003 &amp; 19111275002 &amp; 19111275001</t>
  </si>
  <si>
    <t>Do 7 % preference</t>
  </si>
  <si>
    <t>Do 5 % deb. stock</t>
  </si>
  <si>
    <t>North-Eastern Breweries</t>
  </si>
  <si>
    <t>refers to 19111275005 &amp; 19111275006</t>
  </si>
  <si>
    <t>Do debs.</t>
  </si>
  <si>
    <t xml:space="preserve">Nottingham Brewery Lim. cm. prf. </t>
  </si>
  <si>
    <t>refers to 19111275007 &amp; 19111275009 &amp; 19111275008</t>
  </si>
  <si>
    <t>Lon.Nottingh''m.</t>
  </si>
  <si>
    <t>Do 1st mort. deb. stock</t>
  </si>
  <si>
    <t>Reduced from 5 % until total Debenture debt is reduced to £160000</t>
  </si>
  <si>
    <t xml:space="preserve">Do "B" deb. red. </t>
  </si>
  <si>
    <t>Ohlsson''s Cape Breweries</t>
  </si>
  <si>
    <t>refers to 19111275010 &amp; 19111275014 &amp; 19111275013 &amp; 19111275012 &amp; 19111275011</t>
  </si>
  <si>
    <t>Do 7 % cum. pref.</t>
  </si>
  <si>
    <t>Do 2nd cum. 4 1/2 % pref.</t>
  </si>
  <si>
    <t xml:space="preserve">Do 4 1/2 % deb. red. </t>
  </si>
  <si>
    <t>Page and Overton''s Bwy. 5 % cm. prf.</t>
  </si>
  <si>
    <t>refers to 19111275015 &amp; 19111275016</t>
  </si>
  <si>
    <t>Do 4 1/2 % red. deb. stock</t>
  </si>
  <si>
    <t>Parker''s Burslem Brewery Lim.</t>
  </si>
  <si>
    <t>refers to 19111275017 &amp; 19111275018 &amp; 19111275019 &amp; 19111275020</t>
  </si>
  <si>
    <t>Lond.ManchstrDublin.</t>
  </si>
  <si>
    <t>Do 4 % deb. stock red.</t>
  </si>
  <si>
    <t>Do 4 1/2 % do do</t>
  </si>
  <si>
    <t>Phipps (P.) and Co. 4 % irred. deb.</t>
  </si>
  <si>
    <t xml:space="preserve">Reid (W. B. &amp; Co.) 5 % deb. </t>
  </si>
  <si>
    <t>refers to 19111275022 &amp; 19111275024 &amp; 19111275023</t>
  </si>
  <si>
    <t>Newcastle.</t>
  </si>
  <si>
    <t>Reid (W. B. &amp; Co.) 5 % deb.</t>
  </si>
  <si>
    <t>Do 5 % do "B"</t>
  </si>
  <si>
    <t xml:space="preserve">Do 5 % 1st mort. red. deb. stk. </t>
  </si>
  <si>
    <t>Robertson Sanderson &amp; Co. 5 % cm. pf.</t>
  </si>
  <si>
    <t>GlasgowEdin.</t>
  </si>
  <si>
    <t xml:space="preserve">Robinson''s Bwy. 4 1/4 % 1st mort. deb. </t>
  </si>
  <si>
    <t xml:space="preserve">Royal Brewery Brentford </t>
  </si>
  <si>
    <t>refers to 19111275028 &amp; 19111275027 &amp; 19111275029</t>
  </si>
  <si>
    <t>Do 5 % 1st mort. deb. stk. red.</t>
  </si>
  <si>
    <t>St Louis Breweries ord.</t>
  </si>
  <si>
    <t>refers to 19111275030 &amp; 19111275031</t>
  </si>
  <si>
    <t>St Pauli Breweries Co. 7 % cum. prf.</t>
  </si>
  <si>
    <t>Salt (Thos.) &amp; Co. 4 1/4 % 1st mort. deb.</t>
  </si>
  <si>
    <t xml:space="preserve">Savill Bros. Limited 4 1/2 % deb. red. </t>
  </si>
  <si>
    <t xml:space="preserve">Shipstone (James) and Sons deb. </t>
  </si>
  <si>
    <t>Showell''s Brewery Co. L. 7 % pref.</t>
  </si>
  <si>
    <t>Dr.; refers to 19111275037 &amp; 19111275036</t>
  </si>
  <si>
    <t>Do 4 1/2 % mort. deb. red.</t>
  </si>
  <si>
    <t>LondonBirm.</t>
  </si>
  <si>
    <t>Simonds (H. &amp; G.) L. 4 % red. deb.</t>
  </si>
  <si>
    <t>Smith Garrett and Co. Limited</t>
  </si>
  <si>
    <t>interim;%=excluding bonus</t>
  </si>
  <si>
    <t>refers to 19111275039 &amp; 19111275040</t>
  </si>
  <si>
    <t>Do 3 3/4 % perp. mort. deb. stock</t>
  </si>
  <si>
    <t xml:space="preserve">South African Breweries </t>
  </si>
  <si>
    <t>refers to 19111275041 &amp; 19111275042</t>
  </si>
  <si>
    <t>Southdown &amp; E. Grinstead 5 % pref</t>
  </si>
  <si>
    <t>Steward and Patteson deb. stock</t>
  </si>
  <si>
    <t xml:space="preserve">Strettons Derby Brewery Limited </t>
  </si>
  <si>
    <t>refers to 19111275046 &amp; 19111275045 &amp; 19111275047 &amp; 19111275048</t>
  </si>
  <si>
    <t>London &amp;c.</t>
  </si>
  <si>
    <t>Do 6 % "B" cum. pref.</t>
  </si>
  <si>
    <t>Do 4 % irred deb. stock</t>
  </si>
  <si>
    <t xml:space="preserve">Strong &amp; Co. of Romsey deb. stock </t>
  </si>
  <si>
    <t>refers to 19111275049 &amp; 19111275050</t>
  </si>
  <si>
    <t>Strong &amp; Co. of Romsey deb. stock</t>
  </si>
  <si>
    <t>Do "B" deb. stock red.</t>
  </si>
  <si>
    <t xml:space="preserve">Style and Winch 4 % deb. stock </t>
  </si>
  <si>
    <t>London Manchr.</t>
  </si>
  <si>
    <t>Tadcaster Tower Brwy. Co. 4 1/2 % deb.</t>
  </si>
  <si>
    <t>London</t>
  </si>
  <si>
    <t xml:space="preserve">Tamplin &amp; Sons Limited </t>
  </si>
  <si>
    <t>refers to 19111275053 &amp; 19111275057 &amp; 19111275054 &amp; 19111275056 &amp; 19111275055</t>
  </si>
  <si>
    <t>Do 5 1/2 % "A" cum. pref.</t>
  </si>
  <si>
    <t>Do 4 % "A" deb. stock red.</t>
  </si>
  <si>
    <t xml:space="preserve">Do 4 % "B" mort. red. </t>
  </si>
  <si>
    <t>Tennant Bros. Limited</t>
  </si>
  <si>
    <t>refers to 19111275058 &amp; 19111275059</t>
  </si>
  <si>
    <t xml:space="preserve">Do fully paid </t>
  </si>
  <si>
    <t xml:space="preserve">Thwaites (Daniel) &amp; Co. 5 % pref. </t>
  </si>
  <si>
    <t>Thorne (R.) &amp; Sons L. 6 % cum. pref.</t>
  </si>
  <si>
    <t xml:space="preserve">Threlfall''s Brewery Co. Limited </t>
  </si>
  <si>
    <t>refers to 19111275064 &amp; 19111275063 &amp; 19111275062</t>
  </si>
  <si>
    <t>L''pool.London.</t>
  </si>
  <si>
    <t>Do 6 % cumulative pref.</t>
  </si>
  <si>
    <t>Tollemache''s Ipswich Bwy 4 1/4 % deb.</t>
  </si>
  <si>
    <t>Truman Hanbury Buxton &amp; Co. 4 % 1st pref.</t>
  </si>
  <si>
    <t>Truman Hanbury Buxton &amp; Co. 4 % deb. stock</t>
  </si>
  <si>
    <t>Truman Hanbury Buxton &amp; Co. 3 % "B" deb.</t>
  </si>
  <si>
    <t>Walker and Homfrays red. deb.</t>
  </si>
  <si>
    <t>Manchester London.</t>
  </si>
  <si>
    <t>Walker (Peter) &amp; Son L. 5 % cum. pf.</t>
  </si>
  <si>
    <t>refers to 19111275071 &amp; 19111275070</t>
  </si>
  <si>
    <t>LondonLiverpool&amp;c.</t>
  </si>
  <si>
    <t>Do 4 % mortgage debentures</t>
  </si>
  <si>
    <t>Watney Combe Reid &amp; Co. prf. ord.</t>
  </si>
  <si>
    <t>refers to 19111275073 &amp; 19111275072 &amp; 19111275075 &amp; 19111275074;Including Insurance Fund</t>
  </si>
  <si>
    <t xml:space="preserve">Do deferred ordinary </t>
  </si>
  <si>
    <t>Do 3 1/2 % perp. 1st deb.</t>
  </si>
  <si>
    <t xml:space="preserve">Watney (D.) &amp; Son L. 5 % pref. </t>
  </si>
  <si>
    <t>refers to 19111275076 &amp; 19111275077</t>
  </si>
  <si>
    <t>Wenlock Brewery Co. 5 % pref.</t>
  </si>
  <si>
    <t>refers to 19111275078 &amp; 19111275079</t>
  </si>
  <si>
    <t>Do 4 % 1st mort. red.</t>
  </si>
  <si>
    <t>Whitbread &amp; Co. 4 1/2 % cum. prf. ord.</t>
  </si>
  <si>
    <t>refers to 19111275080 &amp; 19111275083 &amp; 19111275081 &amp; 19111275082</t>
  </si>
  <si>
    <t>Do 4 1/2 % pref.</t>
  </si>
  <si>
    <t>Do 3 1/2 % "B" deb. red.</t>
  </si>
  <si>
    <t>Wilson''s Brewery 5 % cum. pref.</t>
  </si>
  <si>
    <t>refers to 19111275084 &amp; 19111275085</t>
  </si>
  <si>
    <t xml:space="preserve">Do 4 % irred. deb. </t>
  </si>
  <si>
    <t xml:space="preserve">Wolverhampton &amp; Dudley Brws. </t>
  </si>
  <si>
    <t>refers to 19111275088 &amp; 19111275087 &amp; 19111275086</t>
  </si>
  <si>
    <t>Worthington &amp; Co. 5 1/2 % cum. pref.</t>
  </si>
  <si>
    <t>refers to 19111275089 &amp; 19111275092 &amp; 19111275091 &amp; 19111275090</t>
  </si>
  <si>
    <t>Do 5 1/2 % cum. pref. "B"</t>
  </si>
  <si>
    <t>Do 4 1/2 % deb</t>
  </si>
  <si>
    <t>Do 3 1/2 % "B" Irred.</t>
  </si>
  <si>
    <t xml:space="preserve">Younger (G.) and Son 5 % pref. </t>
  </si>
  <si>
    <t>Younger (R.) 5 % pref.</t>
  </si>
  <si>
    <t>Younger (Wm. &amp; Co.) 5 % pref.</t>
  </si>
  <si>
    <t>refers to 19111275096 &amp; 19111275095</t>
  </si>
  <si>
    <t>London Edinburgh.</t>
  </si>
  <si>
    <t xml:space="preserve">Younger (Wm. &amp; Co.) 5 % pref. </t>
  </si>
  <si>
    <t>Do 3 1/2 % red debs.</t>
  </si>
  <si>
    <t xml:space="preserve">Ayr Harbour Trust "A" 3 1/4 % </t>
  </si>
  <si>
    <t xml:space="preserve">Do "B" 3 1/4 % </t>
  </si>
  <si>
    <t>Belfast Harbour Comms. con. 3 1/2 %</t>
  </si>
  <si>
    <t>Birm. Canal Navigations</t>
  </si>
  <si>
    <t>Do 4 % debenture stock</t>
  </si>
  <si>
    <t>Grand Canal Co. ord.</t>
  </si>
  <si>
    <t>refers to 19111275206 &amp; 19111275207</t>
  </si>
  <si>
    <t>Dublin.</t>
  </si>
  <si>
    <t>Do 3 % pref.</t>
  </si>
  <si>
    <t>Grand Junction Canal Co.</t>
  </si>
  <si>
    <t>Lond.Birmingham.</t>
  </si>
  <si>
    <t>Hill''s Dry Docks &amp; Enging. Co. L.</t>
  </si>
  <si>
    <t>Cardiff Bristol.</t>
  </si>
  <si>
    <t>Leeds and Liverpool Canal Co.</t>
  </si>
  <si>
    <t>refers to 19111275210 &amp; 19111275211;Including Depreciation or Insurance Funds</t>
  </si>
  <si>
    <t>Liverpool Leeds.</t>
  </si>
  <si>
    <t>Do 3 1/2 % deb. stock</t>
  </si>
  <si>
    <t>Manchester Ship Canal Co.</t>
  </si>
  <si>
    <t>Jan1890</t>
  </si>
  <si>
    <t>Jul1890</t>
  </si>
  <si>
    <t>Jan1891</t>
  </si>
  <si>
    <t>Dr.; refers to 19111275216 &amp; 19111275212 &amp; 19111275217 &amp; 19111275214 &amp; 19111275215 &amp; 19111275213</t>
  </si>
  <si>
    <t>Manch.Lond.&amp;c.</t>
  </si>
  <si>
    <t>Do 5 % preference</t>
  </si>
  <si>
    <t>Do 3 1/2 % 1st mort. deb.</t>
  </si>
  <si>
    <t>Do 4 % do 1914</t>
  </si>
  <si>
    <t>Do 2nd mort. 1914</t>
  </si>
  <si>
    <t>Do 3 1/2 % perp. deb. stock</t>
  </si>
  <si>
    <t>Milford Docks Co. deb. stock "A"</t>
  </si>
  <si>
    <t>0/28/0</t>
  </si>
  <si>
    <t>28/</t>
  </si>
  <si>
    <t>0/12/0</t>
  </si>
  <si>
    <t>12/</t>
  </si>
  <si>
    <t>0/25/0</t>
  </si>
  <si>
    <t>25/</t>
  </si>
  <si>
    <t>0/14/8</t>
  </si>
  <si>
    <t>Cardiff Swansea.</t>
  </si>
  <si>
    <t xml:space="preserve">Newhaven Harbour Co. (guar 4 %) </t>
  </si>
  <si>
    <t>Regent''s Canal and Dock Co.</t>
  </si>
  <si>
    <t>refers to 19111275220 &amp; 19111275221</t>
  </si>
  <si>
    <t>Rochdale Canal</t>
  </si>
  <si>
    <t>Sharpness New Docks &amp;c.</t>
  </si>
  <si>
    <t>refers to 19111275223 &amp; 19111275227 &amp; 19111275225 &amp; 19111275226 &amp; 19111275224</t>
  </si>
  <si>
    <t>Birmghm. Brist.*.</t>
  </si>
  <si>
    <t>Do preference "A " 5 %</t>
  </si>
  <si>
    <t>Do do "B " 5 1/2 %</t>
  </si>
  <si>
    <t>Do do "C " 5 %</t>
  </si>
  <si>
    <t xml:space="preserve">Staffordshire &amp; Worcester Canal Co. </t>
  </si>
  <si>
    <t>refers to 19111275228 &amp; 19111275229</t>
  </si>
  <si>
    <t>Staffordshire &amp; Worcester Canal Co.</t>
  </si>
  <si>
    <t>Do 4 1/2 % debenture stock</t>
  </si>
  <si>
    <t xml:space="preserve">Suez Canal Co. </t>
  </si>
  <si>
    <t>for 1907</t>
  </si>
  <si>
    <t>for 1908</t>
  </si>
  <si>
    <t>for 1910</t>
  </si>
  <si>
    <t>London Paris.</t>
  </si>
  <si>
    <t>Adelaide Elec. Sup. 6 % cum. pref</t>
  </si>
  <si>
    <t>Bournemouth and Poole Elec. Supply Co. Lim. ord.</t>
  </si>
  <si>
    <t>refers to 19111275233 &amp; 19111275234 &amp; 19111275232;Including Depreciation or Insurance Funds</t>
  </si>
  <si>
    <t>Bournemouth and Poole Elec. Supply Co. Lim. 4 1/2 % pref.</t>
  </si>
  <si>
    <t>Do 6 % 2nd Cum. Pref.</t>
  </si>
  <si>
    <t>Brompton and Kensington Electric Supply ord.</t>
  </si>
  <si>
    <t>refers to 19111275235 &amp; 19111275236</t>
  </si>
  <si>
    <t>Brompton and Kensington Electric Supply 7 % pf.</t>
  </si>
  <si>
    <t>Brush Elect. Engineering Co. Lim.</t>
  </si>
  <si>
    <t>Dr.; refers to 19111275239 &amp; 19111275238 &amp; 19111275237 &amp; 19111275240</t>
  </si>
  <si>
    <t>Do 4 1/2 % 2nd deb.</t>
  </si>
  <si>
    <t xml:space="preserve">Calcutta Electric Supply Corp. L. </t>
  </si>
  <si>
    <t>refers to 19111275241 &amp; 19111275242</t>
  </si>
  <si>
    <t>Calgary Power Co. 5 % 1st mt. bds.</t>
  </si>
  <si>
    <t>Canadian General Electric com.</t>
  </si>
  <si>
    <t>Do 7 % cum. pref. stock</t>
  </si>
  <si>
    <t>Central Electric Sup. Co. L. 4 % deb.</t>
  </si>
  <si>
    <t>Including Depreciation or Insurance Funds</t>
  </si>
  <si>
    <t>Charing Cross West End &amp; City Elec</t>
  </si>
  <si>
    <t>Including Depreciation or Insurance Funds; refers to 19111275250 &amp; 19111275249 &amp; 19111275247 &amp; 19111275251 &amp; 19111275248</t>
  </si>
  <si>
    <t>Do 4 1/2 % deb. red.</t>
  </si>
  <si>
    <t>Do (City undtkg) 4 1/2 % cum. pref.</t>
  </si>
  <si>
    <t>Chelsea Elec. Supply Limited (f)</t>
  </si>
  <si>
    <t>refers to 19111275253 &amp; 19111275252</t>
  </si>
  <si>
    <t>Chelsea Elec. Supply Limited</t>
  </si>
  <si>
    <t>Do 4 1/2 % deb. stock red. at £110</t>
  </si>
  <si>
    <t xml:space="preserve">City of London Electric Lgtg. L. </t>
  </si>
  <si>
    <t>Including Depreciation or Insurance Funds; refers to 19111275254 &amp; 19111275257 &amp; 19111275256 &amp; 19111275255</t>
  </si>
  <si>
    <t>Mar;Aug</t>
  </si>
  <si>
    <t>Do 5 % debenture stock</t>
  </si>
  <si>
    <t>Do 4 1/2 % 2nd deb. stock red.</t>
  </si>
  <si>
    <t>Cordoba Light Power and Traction</t>
  </si>
  <si>
    <t>for 1908-1909</t>
  </si>
  <si>
    <t>for 1909-1910</t>
  </si>
  <si>
    <t>for 1910-1911</t>
  </si>
  <si>
    <t>Do 5 % deb. stock red.</t>
  </si>
  <si>
    <t>County of Durham Power Distrib</t>
  </si>
  <si>
    <t>for 1905</t>
  </si>
  <si>
    <t>for 1906</t>
  </si>
  <si>
    <t>refers to 19111275262 &amp; 19111275261 &amp; 19111275260</t>
  </si>
  <si>
    <t>Newcastle London.</t>
  </si>
  <si>
    <t>Do 5 % pref non-cum</t>
  </si>
  <si>
    <t>Do 5 % 1st mort. deb. stock red.</t>
  </si>
  <si>
    <t>County of Lon. Electric Supply L. ordinary</t>
  </si>
  <si>
    <t>Including Depreciation or Insurance Funds; refers to 19111275266 &amp; 19111275265 &amp; 19111275264 &amp; 19111275263</t>
  </si>
  <si>
    <t>County of Lon. Electric Supply L. 6 % pref.</t>
  </si>
  <si>
    <t>Do 4 1/2 % 2nd deb. stock</t>
  </si>
  <si>
    <t>Crompton &amp; Co. Limited</t>
  </si>
  <si>
    <t>Dr.; refers to 19111275267 &amp; 19111275268</t>
  </si>
  <si>
    <t>Do 5 % debs</t>
  </si>
  <si>
    <t>Edmundson''s Elec. Corporation</t>
  </si>
  <si>
    <t>refers to 19111275271 &amp; 19111275269 &amp; 19111275270</t>
  </si>
  <si>
    <t>Elec. Light and Power Co. of Cochabamba 6 % Govt. guar. bds. red.</t>
  </si>
  <si>
    <t>Lond.</t>
  </si>
  <si>
    <t>Folkestone Electricity Supply</t>
  </si>
  <si>
    <t>Hove Electric Lighting ordinary</t>
  </si>
  <si>
    <t>Indian Elec. Supply and Traction</t>
  </si>
  <si>
    <t>Kalgoorlie Elec. Power &amp; Lighting Corporation 6 % pref.</t>
  </si>
  <si>
    <t>Kens. and Knightsbdge Elect. Ltg.</t>
  </si>
  <si>
    <t>Lima Lt. Power &amp; Trams 5 1/2 % 1st dbs.</t>
  </si>
  <si>
    <t>London Electric Supply Corp. L</t>
  </si>
  <si>
    <t>refers to 19111275279 &amp; 19111275281 &amp; 19111275280</t>
  </si>
  <si>
    <t>Do 4 % red. Deb.</t>
  </si>
  <si>
    <t>Madras Electric Supply Corp</t>
  </si>
  <si>
    <t>Metrop. Electric Supply L. (f)</t>
  </si>
  <si>
    <t>Including Depreciation or Insurance Funds; refers to 19111275283 &amp; 19111275286 &amp; 19111275284 &amp; 19111275285</t>
  </si>
  <si>
    <t>Metrop. Electric Supply L.</t>
  </si>
  <si>
    <t>Do 3 1/2 % deb. red.</t>
  </si>
  <si>
    <t xml:space="preserve">Mexican Light and Power Co. Lim. </t>
  </si>
  <si>
    <t>$; refers to 19111275288 &amp; 19111275287</t>
  </si>
  <si>
    <t>Do 5 % 1st Gold Bonds red</t>
  </si>
  <si>
    <t>Midland Elec. Corp. 4 1/2 % debs</t>
  </si>
  <si>
    <t>31Dec;30Jun</t>
  </si>
  <si>
    <t>Monterey Rly. Lt. &amp; Pow. Co. 5 % Deb.</t>
  </si>
  <si>
    <t>31Feb;30Aug</t>
  </si>
  <si>
    <t>Montreal Light Heat Power Co.</t>
  </si>
  <si>
    <t>Newcastle-upon-Tyne Elec. Supply</t>
  </si>
  <si>
    <t>Including depreciation or insurance funds; refers to 19111275401 &amp; 19111275402</t>
  </si>
  <si>
    <t>Do 5 % pref</t>
  </si>
  <si>
    <t>Mar;Jul</t>
  </si>
  <si>
    <t>N''wc''sle.London.</t>
  </si>
  <si>
    <t>Do 4 1/2 % Cons. 1st mt. deb. stk. red</t>
  </si>
  <si>
    <t>Oxford Electric</t>
  </si>
  <si>
    <t>Pachuca L. &amp; Pwr. Co. 5 % 1st mt bds</t>
  </si>
  <si>
    <t>Pennsylvania Water &amp; Prw. 5 % bds</t>
  </si>
  <si>
    <t xml:space="preserve">River Plate Electricity </t>
  </si>
  <si>
    <t>Including contingent fund; refers to 19111275408 &amp; 19111275407 &amp; 19111275409</t>
  </si>
  <si>
    <t>Do 6 % non-cum. pref.</t>
  </si>
  <si>
    <t xml:space="preserve">Do 5 % red. deb </t>
  </si>
  <si>
    <t>St. James'' &amp; Pall Mall Elect. Light L. ordinary</t>
  </si>
  <si>
    <t>refers to 19111275410 &amp; 19111275411</t>
  </si>
  <si>
    <t>St. James'' &amp; Pall Mall Elect. Light L. 7 % pref.</t>
  </si>
  <si>
    <t>Shawinigan Water &amp; Power Co.</t>
  </si>
  <si>
    <t>Shawinigan Water &amp; Power Co</t>
  </si>
  <si>
    <t>Do 5 % cons. 1st mort. bonds</t>
  </si>
  <si>
    <t>Do 4 1/2 % perp. cons. mt. deb. stock</t>
  </si>
  <si>
    <t xml:space="preserve">Smithfield Markets Elec. Sup. Co. L. </t>
  </si>
  <si>
    <t>South London Elec. Sup. Corpn. L.</t>
  </si>
  <si>
    <t>Including depreciation or insurance funds</t>
  </si>
  <si>
    <t>S. Metropolitan Elec. 7 % cum. pref.</t>
  </si>
  <si>
    <t>Including depreciation or insurance funds; refers to 19111275418 &amp; 19111275417</t>
  </si>
  <si>
    <t xml:space="preserve">Do 4 1/2 % debenture stock.. </t>
  </si>
  <si>
    <t xml:space="preserve">Toronto Power Co. 4 1/2 % deb. stock. </t>
  </si>
  <si>
    <t xml:space="preserve">Urban Electric Supply </t>
  </si>
  <si>
    <t>Urban Electric Supply</t>
  </si>
  <si>
    <t>Vera Cruz Elec Lt Pwr &amp; Trct 5 % deb</t>
  </si>
  <si>
    <t>Victoria Falls &amp; Transvaal Power Co. Limited 6 % cum. pref.</t>
  </si>
  <si>
    <t>% per annum (paid to 14Oct1909)</t>
  </si>
  <si>
    <t>West Kootenay Pwr. &amp; Light Co. L. 6 % 35-yr. Sink. Fd. Gld. Bonds</t>
  </si>
  <si>
    <t>Westminster Electric Sup. Corp. L.</t>
  </si>
  <si>
    <t>Including depreciation or insurance funds; refers to 19111275426 &amp; 19111275427</t>
  </si>
  <si>
    <t>Alliance and Dublin Consumers Gas Co. cons. ord.</t>
  </si>
  <si>
    <t>refers to 19111275429 &amp; 19111275428</t>
  </si>
  <si>
    <t>Alliance and Dublin Consumers Gas Co. stk. 4 % debs.</t>
  </si>
  <si>
    <t xml:space="preserve">Bombay Gas Limited </t>
  </si>
  <si>
    <t>Bournemouth Gas &amp; Water 10 % Stand.</t>
  </si>
  <si>
    <t>refers to 19111275433 &amp; 19111275432 &amp; 19111275431</t>
  </si>
  <si>
    <t>Bournemouth Gas &amp; Water "B" 7 % max.</t>
  </si>
  <si>
    <t>Brentford Gas-Consol. stock</t>
  </si>
  <si>
    <t>Including depreciation or insurance funds; refers to 19111275434 &amp; 19111275436 &amp; 19111275435</t>
  </si>
  <si>
    <t xml:space="preserve">Do new stock </t>
  </si>
  <si>
    <t xml:space="preserve">Brighton &amp; Hove Gen. Gas Orig. </t>
  </si>
  <si>
    <t>Including depreciation or insurance funds; refers to 19111275438 &amp; 19111275437</t>
  </si>
  <si>
    <t>Do "A" ordinary</t>
  </si>
  <si>
    <t>British Gas Light Limited</t>
  </si>
  <si>
    <t xml:space="preserve">Bromley and Crays Gas "A" </t>
  </si>
  <si>
    <t>Mar</t>
  </si>
  <si>
    <t>Including contingent fund; refers to 19111275440 &amp; 19111275441</t>
  </si>
  <si>
    <t xml:space="preserve">Do "B" </t>
  </si>
  <si>
    <t>Cape Town and District Gas Light and Coke L. ord.</t>
  </si>
  <si>
    <t>refers to 19111275443 &amp; 19111275442</t>
  </si>
  <si>
    <t>Cape Town and District Gas Light and Coke L. 4 1/2 % pf.</t>
  </si>
  <si>
    <t>Commercial Gas 4 % stock</t>
  </si>
  <si>
    <t>Including depreciation or insurance funds; refers to 19111275445 &amp; 19111275444 &amp; 19111275446</t>
  </si>
  <si>
    <t>Do 3 % debenture stock</t>
  </si>
  <si>
    <t>Continental Union Gas Limited</t>
  </si>
  <si>
    <t>refers to 19111275448 &amp; 19111275447</t>
  </si>
  <si>
    <t xml:space="preserve">Do 7 % preference </t>
  </si>
  <si>
    <t xml:space="preserve">European Gas Limited </t>
  </si>
  <si>
    <t>Gas Light and Coke ordinary</t>
  </si>
  <si>
    <t>Including depreciation or insurance funds; refers to 19111275450 &amp; 19111275451 &amp; 19111275452 &amp; 19111275453</t>
  </si>
  <si>
    <t>Do 3 1/2 % maximum</t>
  </si>
  <si>
    <t xml:space="preserve">Do 4 % cons. pref. </t>
  </si>
  <si>
    <t xml:space="preserve">Do 3 % con. deb. </t>
  </si>
  <si>
    <t>Hastings &amp; St Leon''rds Gas 3 1/2 % Conv.</t>
  </si>
  <si>
    <t xml:space="preserve">Hong Kong and China Gas Lim. </t>
  </si>
  <si>
    <t xml:space="preserve">Lea Bridge District Gas </t>
  </si>
  <si>
    <t xml:space="preserve">Liverpool United Gas Light "A" </t>
  </si>
  <si>
    <t>refers to 19111275459 &amp; 19111275460</t>
  </si>
  <si>
    <t>Liverpool United Gas Light "A"</t>
  </si>
  <si>
    <t>Do 7 % maximum "B" stock</t>
  </si>
  <si>
    <t>Malta and Mediterranean Gas L.</t>
  </si>
  <si>
    <t xml:space="preserve">Metrop. Gas of Melb. 5 % db. 1910-12 </t>
  </si>
  <si>
    <t>refers to 19111275463 &amp; 19111275464</t>
  </si>
  <si>
    <t>Metrop. Gas of Melb. 5 % db. 1910-12</t>
  </si>
  <si>
    <t xml:space="preserve">Do 4 1/2 % debs. 1918 and 1918-24 </t>
  </si>
  <si>
    <t xml:space="preserve">Monte Video Gas Limited </t>
  </si>
  <si>
    <t>Newcastle-on-Tyne &amp; Gateshd. Gas</t>
  </si>
  <si>
    <t xml:space="preserve">Oriental Gas Limited </t>
  </si>
  <si>
    <t xml:space="preserve">Ottoman Gas Limited </t>
  </si>
  <si>
    <t>Primitiva Gas Co. of Buenos Aires Lim. ord.</t>
  </si>
  <si>
    <t>refers to 19111275469 &amp; 19111275470 &amp; 19111275471 &amp; 19111275472 &amp; 19111275473</t>
  </si>
  <si>
    <t>Primitiva Gas Co. of Buenos Aires Lim. 5 % pref.</t>
  </si>
  <si>
    <t>Do 4 % (Buenos Ayres New) red</t>
  </si>
  <si>
    <t>Do 4 % (River Plate) deb. stk. red.</t>
  </si>
  <si>
    <t>San Paulo Gas Limited</t>
  </si>
  <si>
    <t xml:space="preserve">Sheffield United Gas Light "A" </t>
  </si>
  <si>
    <t>refers to 19111275475 &amp; 19111275476 &amp; 19111275477</t>
  </si>
  <si>
    <t>Sheffield United Gas Light "A"</t>
  </si>
  <si>
    <t xml:space="preserve">Do "C" </t>
  </si>
  <si>
    <t>South Barracas (Buenos Ayres) Gas</t>
  </si>
  <si>
    <t>Including depreciation or insurance funds; refers to 19111275479 &amp; 19111275480</t>
  </si>
  <si>
    <t xml:space="preserve">Do perp. 3 % deb. stock </t>
  </si>
  <si>
    <t xml:space="preserve">South Suburban Gas ord. </t>
  </si>
  <si>
    <t>Including depreciation or insurance funds; refers to 19111275481 &amp; 19111275482</t>
  </si>
  <si>
    <t>South Suburban Gas ord.</t>
  </si>
  <si>
    <t xml:space="preserve">Do 5 % preference stock </t>
  </si>
  <si>
    <t xml:space="preserve">Southampton Gas L. &amp; Coke ord. </t>
  </si>
  <si>
    <t>South Shields Gas Cons. and New</t>
  </si>
  <si>
    <t>Sunderland Gas - Original</t>
  </si>
  <si>
    <t>refers to 19111275485 &amp; 19111275486</t>
  </si>
  <si>
    <t>Do 8 1/2 % maximum</t>
  </si>
  <si>
    <t>Tottenham &amp; Edmonton Gas Light and Coke "A"</t>
  </si>
  <si>
    <t>Including depreciation or insurance funds; refers to 19111275487 &amp; 19111275488</t>
  </si>
  <si>
    <t>Tottenham &amp; Edmonton Gas Light and Coke "B"</t>
  </si>
  <si>
    <t xml:space="preserve">Tuscan Gas Limited </t>
  </si>
  <si>
    <t xml:space="preserve">Wolverhampton Gas </t>
  </si>
  <si>
    <t>Including depreciation or insurance funds; refers to 19111275490 &amp; 19111275491</t>
  </si>
  <si>
    <t>Addie (R. &amp; Sons) Colls. 6 % cum. pref.</t>
  </si>
  <si>
    <t>Including Depreciation or Insurance Funds.</t>
  </si>
  <si>
    <t>Glasgw.Edinb''g.</t>
  </si>
  <si>
    <t>Albion Steam Colliery Limited</t>
  </si>
  <si>
    <t>CardiffBristol.</t>
  </si>
  <si>
    <t>Armstrong (Sir W. G.) Whitwh. &amp; Co.</t>
  </si>
  <si>
    <t>Including Depreciation or Insurance Funds.; refers to 19111275603 &amp; 19111275604 &amp; 19111275605</t>
  </si>
  <si>
    <t>Do 4 % cum. pref.</t>
  </si>
  <si>
    <t>Apr;Sep</t>
  </si>
  <si>
    <t>Do 4 % mort. deb. stock red</t>
  </si>
  <si>
    <t>Including Depreciation or Insurance Funds.;refers to 19111275603 &amp; 19111275604 &amp; 19111275605</t>
  </si>
  <si>
    <t>Arniston Coal Limited</t>
  </si>
  <si>
    <t>Astley and Tyldesley Collieries</t>
  </si>
  <si>
    <t>Babcock and Wilcox Limited</t>
  </si>
  <si>
    <t>refers to 19111275609 &amp; 19111275610</t>
  </si>
  <si>
    <t>Do 6 % cum. pref</t>
  </si>
  <si>
    <t>Baldwins Lim. 5 1/2 % cum. pref</t>
  </si>
  <si>
    <t>refers to 19111275611 &amp; 19111275612</t>
  </si>
  <si>
    <t>Barrow Hematite Steel Limited</t>
  </si>
  <si>
    <t>refers to 19111275614 &amp; 19111275613</t>
  </si>
  <si>
    <t>Do cum. 6 2/3 % 2nd pref.</t>
  </si>
  <si>
    <t xml:space="preserve">Beardmore (William) &amp; Co. 4 1/2 % debs. </t>
  </si>
  <si>
    <t>Bell Brothers 6 % cum. pref.</t>
  </si>
  <si>
    <t>refers to 19111275616 &amp; 19111275617</t>
  </si>
  <si>
    <t>LondonNwcstle.</t>
  </si>
  <si>
    <t>Do 4 % deb. stock red</t>
  </si>
  <si>
    <t>Bengal Iron and Steel (f)</t>
  </si>
  <si>
    <t>Bessemer (Henry) and Co. Limited</t>
  </si>
  <si>
    <t>refers to 19111275620 &amp; 19111275619</t>
  </si>
  <si>
    <t>Beyer Peacock and Co. Limited</t>
  </si>
  <si>
    <t>Including Depreciation or Insurance Funds.; refers to 19111275622 &amp; 19111275621</t>
  </si>
  <si>
    <t>Blaenavon Co. Limited ordinary</t>
  </si>
  <si>
    <t xml:space="preserve">Bolckow Vaughan and Co. Lim. </t>
  </si>
  <si>
    <t>0/12/0 (in p/s/d format); 12/</t>
  </si>
  <si>
    <t>refers to 19111275625 &amp; 19111275624 &amp; 19111275626</t>
  </si>
  <si>
    <t>Manch.Sheff.&amp;c.</t>
  </si>
  <si>
    <t>Do fully paid</t>
  </si>
  <si>
    <t>Briggs (Henry) Son and Co. Lim. "A"</t>
  </si>
  <si>
    <t>refers to 19111275628 &amp; 19111275627</t>
  </si>
  <si>
    <t>Sheffield Leeds.</t>
  </si>
  <si>
    <t>Briggs (Henry) Son and Co. Lim. "B" shares</t>
  </si>
  <si>
    <t>Broomhill Collieries</t>
  </si>
  <si>
    <t>Brown Bayley''s Steel Limited</t>
  </si>
  <si>
    <t>Brown (John) &amp; Co. Limited</t>
  </si>
  <si>
    <t>refers to 19111275634 &amp; 19111275633 &amp; 19111275632</t>
  </si>
  <si>
    <t>Manchstr.Shffld.</t>
  </si>
  <si>
    <t>Cairntable Gas Coal Limited</t>
  </si>
  <si>
    <t>0/5/0</t>
  </si>
  <si>
    <t>5/</t>
  </si>
  <si>
    <t>0/3/0</t>
  </si>
  <si>
    <t>3/</t>
  </si>
  <si>
    <t>0/4/0</t>
  </si>
  <si>
    <t>4/</t>
  </si>
  <si>
    <t>Cambrian Collieries ord.</t>
  </si>
  <si>
    <t>refers to 19111275638 &amp; 19111275636 &amp; 19111275637</t>
  </si>
  <si>
    <t>Cardiff.</t>
  </si>
  <si>
    <t>Cambrian Collieries pref.</t>
  </si>
  <si>
    <t>Cambrian Collieries 5 % debs</t>
  </si>
  <si>
    <t>Cammell Laird and Co. Limited</t>
  </si>
  <si>
    <t>refers to 19111275641 &amp; 19111275643 &amp; 19111275639 &amp; 19111275640 &amp; 19111275642</t>
  </si>
  <si>
    <t>SheffieldLondon.</t>
  </si>
  <si>
    <t>%=excluding bonus;Yeld calculated at 10 per cent</t>
  </si>
  <si>
    <t>Do 4 % debs</t>
  </si>
  <si>
    <t>Can. Iron Corp. L. 6 % 1st mt. ster. Bds</t>
  </si>
  <si>
    <t>Canadian Collieries 5 % 1st mt. rd. g. bds.</t>
  </si>
  <si>
    <t>refers to 19111275646 &amp; 19111275647</t>
  </si>
  <si>
    <t>London Sheffield.</t>
  </si>
  <si>
    <t xml:space="preserve">Do 4 1/2 % debs. red. </t>
  </si>
  <si>
    <t>Carnforth Hematite Iron</t>
  </si>
  <si>
    <t>Clayton and Shuttleworth</t>
  </si>
  <si>
    <t>refers to 19111275649 &amp; 19111275650 &amp; 19111275651 &amp; 19111275652</t>
  </si>
  <si>
    <t>Do 4 1/2 % "B" deb. red.</t>
  </si>
  <si>
    <t>Coltness Iron ordinary</t>
  </si>
  <si>
    <t>refers to 19111275653 &amp; 19111275654 &amp; 19111275655</t>
  </si>
  <si>
    <t>Do 2nd 5 1/2 % cum. pref.</t>
  </si>
  <si>
    <t>Consett Iron Limited</t>
  </si>
  <si>
    <t>refers to 19111275656 &amp; 19111275657</t>
  </si>
  <si>
    <t>Consett Spanish Ore Company</t>
  </si>
  <si>
    <t>0/3/9</t>
  </si>
  <si>
    <t>interim; 3/9</t>
  </si>
  <si>
    <t>0/6/3</t>
  </si>
  <si>
    <t>0/3/6</t>
  </si>
  <si>
    <t>interim; 3/6</t>
  </si>
  <si>
    <t>0/6/0</t>
  </si>
  <si>
    <t>6/</t>
  </si>
  <si>
    <t>Cooke (William) and Co. Limited</t>
  </si>
  <si>
    <t>refers to 19111275659 &amp; 19111275660</t>
  </si>
  <si>
    <t>Cory (Wm.) and Son ordinary</t>
  </si>
  <si>
    <t>Including Depreciation or Insurance Funds; refers to 19111275661 &amp; 19111275663 &amp; 19111275662</t>
  </si>
  <si>
    <t>Including Depreciation or Insurance Funds.; refers to 19111275661 &amp; 19111275663 &amp; 19111275662</t>
  </si>
  <si>
    <t>Do 4 % red. deb. stock</t>
  </si>
  <si>
    <t>Davy Brothers Limited</t>
  </si>
  <si>
    <t>D. Davis and Sons Limited</t>
  </si>
  <si>
    <t>Dominion Iron &amp; Steel Co. 5 % mt. bds.</t>
  </si>
  <si>
    <t>Dorman Long and Co. Limited</t>
  </si>
  <si>
    <t>refers to 19111275667 &amp; 19111275669 &amp; 19111275668</t>
  </si>
  <si>
    <t>Do 4 % 1st mort. deb. stock</t>
  </si>
  <si>
    <t>Do 2nd mort. 6 % red.</t>
  </si>
  <si>
    <t>Dundee Coal Co. (L.) Natal</t>
  </si>
  <si>
    <t>Dunlop (James) and Co. Limited</t>
  </si>
  <si>
    <t>refers to 19111275671 &amp; 19111275672</t>
  </si>
  <si>
    <t>Ebbw Vale Steel Iron &amp; Coal L.</t>
  </si>
  <si>
    <t>Mchstr.Shef.&amp;c.</t>
  </si>
  <si>
    <t>Edinburgh Collieries ord</t>
  </si>
  <si>
    <t>refers to 19111275674 &amp; 19111275675</t>
  </si>
  <si>
    <t>Evans (Richard) &amp; Co. Lim. "A"</t>
  </si>
  <si>
    <t>refers to 19111275676 &amp; 19111275677 &amp; 19111275678</t>
  </si>
  <si>
    <t>Do "B"</t>
  </si>
  <si>
    <t>Fairbairn Lawson Combe Barbour</t>
  </si>
  <si>
    <t>refers to 19111275679 &amp; 19111275680</t>
  </si>
  <si>
    <t>Do 5 % cum. Pref</t>
  </si>
  <si>
    <t>Fairfield Shipbuilding and Engineering 6 % pref</t>
  </si>
  <si>
    <t>refers to 19111275682 &amp; 19111275681</t>
  </si>
  <si>
    <t>Fairfield Shipbuilding and Engineering 4 1/2 % 1st deb.</t>
  </si>
  <si>
    <t>Fife Coal Limited</t>
  </si>
  <si>
    <t>Do 5 % cum. pref</t>
  </si>
  <si>
    <t>Fraser and Chalmers Limited</t>
  </si>
  <si>
    <t>refers to 19111275685 &amp; 19111275686</t>
  </si>
  <si>
    <t>Do 7 1/2 % cum. pref.</t>
  </si>
  <si>
    <t>Gt. Western Colliery A. pref.</t>
  </si>
  <si>
    <t>refers to 19111275687 &amp; 19111275688</t>
  </si>
  <si>
    <t>Do "B" ord.</t>
  </si>
  <si>
    <t>Guest Keen and Nettlefolds</t>
  </si>
  <si>
    <t>refers to 19111275689 &amp; 19111275691 &amp; 19111275690</t>
  </si>
  <si>
    <t>Lond.Birmghm.</t>
  </si>
  <si>
    <t>Hadfield''s Steel Foundry</t>
  </si>
  <si>
    <t>refers to 19111275692 &amp; 19111275693</t>
  </si>
  <si>
    <t>SeffieldLondon.</t>
  </si>
  <si>
    <t>Hall (J. and E.) 6 % cum. pref.</t>
  </si>
  <si>
    <t>Hallamshire Steel &amp; File Limited</t>
  </si>
  <si>
    <t>Harrison Ainslie and Co.</t>
  </si>
  <si>
    <t>Harvey United Steel Limited</t>
  </si>
  <si>
    <t>0/5/0 (in p/s/d format); 5/</t>
  </si>
  <si>
    <t>Hawthorn (R. &amp; W.) Leslie &amp; Co.</t>
  </si>
  <si>
    <t>Head Wrightson and Co.</t>
  </si>
  <si>
    <t>Henderson (D. and W.) cum. pref.</t>
  </si>
  <si>
    <t>Hill (Richard) and Co.</t>
  </si>
  <si>
    <t>refers to 19111275806 &amp; 19111275807</t>
  </si>
  <si>
    <t>Hokkaido Colly. &amp; Rly. 5 % stg. bds.</t>
  </si>
  <si>
    <t>Horden Collieries</t>
  </si>
  <si>
    <t>Hornsby (Richard) &amp; Sons Lim.</t>
  </si>
  <si>
    <t>refers to 19111275810 &amp; 19111275811</t>
  </si>
  <si>
    <t>Howard &amp; Bullough Limited</t>
  </si>
  <si>
    <t>Inc Div Res; refers to 19111275812 &amp; 19111275814 &amp; 19111275813</t>
  </si>
  <si>
    <t>Manchester Lon.</t>
  </si>
  <si>
    <t>Jessop (William) &amp; Sons Limited</t>
  </si>
  <si>
    <t>Kayser Ellison &amp; Co.</t>
  </si>
  <si>
    <t>refers to 19111275816 &amp; 19111275817</t>
  </si>
  <si>
    <t>Knowles (Andrew &amp; Sons) Lim.</t>
  </si>
  <si>
    <t>Lake Superior Corporation</t>
  </si>
  <si>
    <t>Do. 5 % 1st Mort. Gold Bonds</t>
  </si>
  <si>
    <t>Lambert Bros. Limited</t>
  </si>
  <si>
    <t>refers to 19111275822 &amp; 19111275821</t>
  </si>
  <si>
    <t>Leeds Forge ordinary</t>
  </si>
  <si>
    <t>refers to 19111275823 &amp; 19111275825 &amp; 19111275824</t>
  </si>
  <si>
    <t>LeedsLondon.</t>
  </si>
  <si>
    <t>Do 5 % debentures</t>
  </si>
  <si>
    <t>Lehigh Valley 5 % bonds red.</t>
  </si>
  <si>
    <t>Lochgelly Iron and Coal</t>
  </si>
  <si>
    <t xml:space="preserve">Lysaght (John) Lim. 6 % pref. </t>
  </si>
  <si>
    <t>refers to 19111275829 &amp; 19111275828</t>
  </si>
  <si>
    <t>Bristol London.</t>
  </si>
  <si>
    <t>MacLellan (P. and W.) 6 % cm. prf.</t>
  </si>
  <si>
    <t>Inc Dep Fund or Insur</t>
  </si>
  <si>
    <t>Main Colliery Lim. ordinary</t>
  </si>
  <si>
    <t>Marbella Iron Ore Co. Limited</t>
  </si>
  <si>
    <t>0/2/0</t>
  </si>
  <si>
    <t>interim; 2/</t>
  </si>
  <si>
    <t>Mather and Platt</t>
  </si>
  <si>
    <t>refers to 19111275833 &amp; 19111275834</t>
  </si>
  <si>
    <t>Do cum. pref.</t>
  </si>
  <si>
    <t>Merry and Cuninghame cum. pref.</t>
  </si>
  <si>
    <t>Millom &amp; Askam Hematite Iron 7 % cum. pref.</t>
  </si>
  <si>
    <t>refers to 19111275836 &amp; 19111275837</t>
  </si>
  <si>
    <t>Millom &amp; Askam Hematite Iron 5 % debs.</t>
  </si>
  <si>
    <t>Nantyglo &amp; Blaina Ironworks 8 % pf.</t>
  </si>
  <si>
    <t>0/60/0</t>
  </si>
  <si>
    <t>60/</t>
  </si>
  <si>
    <t>0/50/0</t>
  </si>
  <si>
    <t>50/</t>
  </si>
  <si>
    <t>London Mnchstr.</t>
  </si>
  <si>
    <t>Nwprt Abrcrn Black Vein Stm Coal</t>
  </si>
  <si>
    <t>New Russia Co. 6 % 1st mt. deb. red.</t>
  </si>
  <si>
    <t xml:space="preserve">New Sharlston Colls. Lim. pref. </t>
  </si>
  <si>
    <t>Newton Chambers &amp; Co. Limited</t>
  </si>
  <si>
    <t>refers to 19111275842 &amp; 19111275843</t>
  </si>
  <si>
    <t>Niddrie &amp; Benhar Coal Limited</t>
  </si>
  <si>
    <t>Normanby Ironworks</t>
  </si>
  <si>
    <t>refers to 19111275846 &amp; 19111275845</t>
  </si>
  <si>
    <t>refers to 19111275847 &amp; 19111275848</t>
  </si>
  <si>
    <t>GlasgowLondon.</t>
  </si>
  <si>
    <t xml:space="preserve">North-Eastern Steel deb. stock red. </t>
  </si>
  <si>
    <t>North Lonsdale Iron and Steel</t>
  </si>
  <si>
    <t xml:space="preserve">North''s Navigation Colls. 1889 L. </t>
  </si>
  <si>
    <t>refers to 19111275851 &amp; 19111275852</t>
  </si>
  <si>
    <t>London Cardiff.</t>
  </si>
  <si>
    <t>Do 10 % cum. preference</t>
  </si>
  <si>
    <t>Feb;Jul</t>
  </si>
  <si>
    <t>Otis Steel Co. cons. stock</t>
  </si>
  <si>
    <t>refers to 19111275853 &amp; 19111275854</t>
  </si>
  <si>
    <t>Do 5 % deb. stk. red.</t>
  </si>
  <si>
    <t>Palmer''s Shipblding &amp; Iron L. "A"</t>
  </si>
  <si>
    <t>Dr; refers to 19111275856 &amp; 19111275857 &amp; 19111275855</t>
  </si>
  <si>
    <t>Manchester Newcastle.</t>
  </si>
  <si>
    <t>Do 5 % cum. pref. partcpg</t>
  </si>
  <si>
    <t>Park Gate Iron and Steel Limited</t>
  </si>
  <si>
    <t>0/1/6</t>
  </si>
  <si>
    <t>0/1/3</t>
  </si>
  <si>
    <t>ManchesterSheff.</t>
  </si>
  <si>
    <t>Pearson &amp; Knowles Coal &amp; Iron ordinary</t>
  </si>
  <si>
    <t>refers to 19111275860 &amp; 19111275859</t>
  </si>
  <si>
    <t>WarringtonManchester.</t>
  </si>
  <si>
    <t>Pearson &amp; Knowles Coal &amp; Iron 6 % cum. pref.</t>
  </si>
  <si>
    <t>Do 6 % cum. 2nd pref.</t>
  </si>
  <si>
    <t>Pease and Partners</t>
  </si>
  <si>
    <t>Inc Res for Renewals; refers to 19111275862 &amp; 19111275864 &amp; 19111275863</t>
  </si>
  <si>
    <t>Do deferred</t>
  </si>
  <si>
    <t>Penrikyber Navigation Colliery ordinary</t>
  </si>
  <si>
    <t>refers to 19111275866 &amp; 19111275865</t>
  </si>
  <si>
    <t>Penrikyber Navigation Colliery 5 to 7 1/2 % pref.</t>
  </si>
  <si>
    <t>Powell-Duffryn Steam Coal Co.</t>
  </si>
  <si>
    <t>refers to 19111275867 &amp; 19111275868</t>
  </si>
  <si>
    <t>Rand Collieries</t>
  </si>
  <si>
    <t>Rhymney Iron Limited</t>
  </si>
  <si>
    <t>refers to 19111275870 &amp; 19111275871</t>
  </si>
  <si>
    <t>Lond.Manchestr.</t>
  </si>
  <si>
    <t>Do new</t>
  </si>
  <si>
    <t>Richardsons Westgarth ord</t>
  </si>
  <si>
    <t>Dr; refers to 19111275874 &amp; 19111275872 &amp; 19111275873</t>
  </si>
  <si>
    <t>Do 4 1/2 % deb. perp.</t>
  </si>
  <si>
    <t>Rickett Cockerell &amp; Co. cum. pref.</t>
  </si>
  <si>
    <t>Ruston Proctor and Co.</t>
  </si>
  <si>
    <t>refers to 19111275877 &amp; 19111275876 &amp; 19111275878</t>
  </si>
  <si>
    <t>Scott (Walter) ordinary</t>
  </si>
  <si>
    <t>refers to 19111275880 &amp; 19111275879</t>
  </si>
  <si>
    <t>Lon. Newcastle.</t>
  </si>
  <si>
    <t>(to Jne 10)</t>
  </si>
  <si>
    <t>Sheff. Forge &amp; Roll. Mills Lim.</t>
  </si>
  <si>
    <t>Sheepbridge Coal &amp; Iron Lim. ord.</t>
  </si>
  <si>
    <t>refers to 19111275882 &amp; 19111275884 &amp; 19111275883</t>
  </si>
  <si>
    <t>Manchestr.Sheff.</t>
  </si>
  <si>
    <t xml:space="preserve">Do guar. pref. </t>
  </si>
  <si>
    <t>%=excluding bonus;interim</t>
  </si>
  <si>
    <t>Do do do</t>
  </si>
  <si>
    <t>0/8/0 (in p/s/d format); 8/</t>
  </si>
  <si>
    <t>Shelton Iron Steel &amp; Coal 5 % debs.</t>
  </si>
  <si>
    <t>Do 6 % 2nd debentures</t>
  </si>
  <si>
    <t>Sneyd Collieries 6 % cum. pref.</t>
  </si>
  <si>
    <t>South Durham Steel and Iron</t>
  </si>
  <si>
    <t>refers to 19111275888 &amp; 19111275889 &amp; 19111275890</t>
  </si>
  <si>
    <t>NewcastleLond.</t>
  </si>
  <si>
    <t>South Hetton Coal Limited</t>
  </si>
  <si>
    <t>South Wales Colliery "A"</t>
  </si>
  <si>
    <t>refers to 19111275893 &amp; 19111275892</t>
  </si>
  <si>
    <t>South Wales Colliery "B"</t>
  </si>
  <si>
    <t>Staveley Coal &amp; Iron ord.</t>
  </si>
  <si>
    <t>Inc Dep Fund or Insur; refers to 19111275894 &amp; 19111275895</t>
  </si>
  <si>
    <t>Manchestr. Sheff.</t>
  </si>
  <si>
    <t>Do new ord</t>
  </si>
  <si>
    <t>0/15/0 (in p/s/d format); 15/</t>
  </si>
  <si>
    <t>Steel Co. of Canada 6 % 1st mt. bds.</t>
  </si>
  <si>
    <t>Steel Company of Scotland Lim</t>
  </si>
  <si>
    <t>Glasgw. Edinbrgh.</t>
  </si>
  <si>
    <t xml:space="preserve">Stephenson (Robt.) and Co. ord. </t>
  </si>
  <si>
    <t>Dr.; refers to 19111276004 &amp; 19111276005 &amp; 19111276002 &amp; 19111276003</t>
  </si>
  <si>
    <t>nil between</t>
  </si>
  <si>
    <t>Do 5 % "A" deb.</t>
  </si>
  <si>
    <t>Stewarts and Lloyds prefd. ord.</t>
  </si>
  <si>
    <t>refers to 19111276007 &amp; 19111276006</t>
  </si>
  <si>
    <t>Lond. Glasgow.</t>
  </si>
  <si>
    <t>Summerlee Iron pref.</t>
  </si>
  <si>
    <t>Swan Hunt''r &amp; Wigham-Richrdson</t>
  </si>
  <si>
    <t>refers to 19111276009 &amp; 19111276010</t>
  </si>
  <si>
    <t>Newcastle Lond.</t>
  </si>
  <si>
    <t xml:space="preserve">Thames Ironworks &amp;c. pref. </t>
  </si>
  <si>
    <t>Dr.; refers to 19111276011 &amp; 19111276012</t>
  </si>
  <si>
    <t>Do 4 % irred. debs.</t>
  </si>
  <si>
    <t>Thornycroft (John I.) &amp; Co. ord.</t>
  </si>
  <si>
    <t>refers to 19111276015 &amp; 19111276014 &amp; 19111276013</t>
  </si>
  <si>
    <t>Thornycroft (John I.) &amp; Co. 6 % cm. pf.</t>
  </si>
  <si>
    <t>Thornycroft (John I.) &amp; Co. 5 % debs.</t>
  </si>
  <si>
    <t>Tredegar Iron &amp; Coal Lim. "A"</t>
  </si>
  <si>
    <t>0/14/0 (in p/s/d format); 14/</t>
  </si>
  <si>
    <t>refers to 19111276017 &amp; 19111276016</t>
  </si>
  <si>
    <t>Do do "B"</t>
  </si>
  <si>
    <t>United Collieries 5 % deb. red.</t>
  </si>
  <si>
    <t>in 1907</t>
  </si>
  <si>
    <t>in 1910</t>
  </si>
  <si>
    <t xml:space="preserve">United States Steel Corporation </t>
  </si>
  <si>
    <t>Do 5 % Sinking Fund Gold Bds Rd</t>
  </si>
  <si>
    <t>Vickers Limited ordinary</t>
  </si>
  <si>
    <t>refers to 19111276023 &amp; 19111276027 &amp; 19111276026 &amp; 19111276025 &amp; 19111276024 &amp; 19111276022</t>
  </si>
  <si>
    <t>Do non cum. preferred 5 % stock</t>
  </si>
  <si>
    <t>Do 5 % non cum. preference</t>
  </si>
  <si>
    <t>Do 4 1/2 % 2nd debs.</t>
  </si>
  <si>
    <t>Do 5 % 3rd debs.</t>
  </si>
  <si>
    <t>Vulcan Foundry ordinary</t>
  </si>
  <si>
    <t>refers to 19111276029 &amp; 19111276028</t>
  </si>
  <si>
    <t>Wallsend Slipway &amp; Eng. Limited</t>
  </si>
  <si>
    <t>refers to 19111276030 &amp; 19111276031</t>
  </si>
  <si>
    <t xml:space="preserve">Wath Main Colliery </t>
  </si>
  <si>
    <t>0/1/0</t>
  </si>
  <si>
    <t>interim; 1/</t>
  </si>
  <si>
    <t>1/</t>
  </si>
  <si>
    <t>0/0/9</t>
  </si>
  <si>
    <t>interim; 9 d</t>
  </si>
  <si>
    <t>refers to 19111276033 &amp; 19111276032</t>
  </si>
  <si>
    <t xml:space="preserve">Watson Jno. Limited </t>
  </si>
  <si>
    <t>months</t>
  </si>
  <si>
    <t>And 30s bonus applied to make shares fully paid</t>
  </si>
  <si>
    <t>Weardale Steel Coal and Coke def. ord.</t>
  </si>
  <si>
    <t>Including Depreciation or Insurance Funds; refers to 19111276035 &amp; 19111276037 &amp; 19111276036</t>
  </si>
  <si>
    <t>Weardale Steel Coal and Coke</t>
  </si>
  <si>
    <t>for 1907-1908</t>
  </si>
  <si>
    <t>Wells (J. &amp; G.)</t>
  </si>
  <si>
    <t>Dr.</t>
  </si>
  <si>
    <t>Wemyss Coal 6 % cum. pref.</t>
  </si>
  <si>
    <t>Wemyss Collieries'' Trust 5 1/2 % pref.</t>
  </si>
  <si>
    <t>Do 3 3/4 % red. deb.</t>
  </si>
  <si>
    <t xml:space="preserve">Wigan Coal and Iron Limited </t>
  </si>
  <si>
    <t>refers to 19111276042 &amp; 19111276043</t>
  </si>
  <si>
    <t>LiverpoolManchester&amp;c.</t>
  </si>
  <si>
    <t>Do do</t>
  </si>
  <si>
    <t>Willans and Robinson</t>
  </si>
  <si>
    <t>refers to 19111276046 &amp; 19111276044 &amp; 19111276045</t>
  </si>
  <si>
    <t xml:space="preserve">Wilsons &amp; Clyde Coal Limited </t>
  </si>
  <si>
    <t>Glasgow Edinburgh.</t>
  </si>
  <si>
    <t>Workington Iron and Steel ord.</t>
  </si>
  <si>
    <t>refers to 19111276049 &amp; 19111276048</t>
  </si>
  <si>
    <t xml:space="preserve">Aboukir Co. bearer shares </t>
  </si>
  <si>
    <t>American Freehold Lnd. Mort. of Lon. L. 6 % cum. pref.</t>
  </si>
  <si>
    <t>refers to 19111276052 &amp; 19111276051</t>
  </si>
  <si>
    <t>LondonEdnbrgh.</t>
  </si>
  <si>
    <t>American Freehold Lnd. Mort. of Lon. L. 4 1/2 % deb. stk. red.</t>
  </si>
  <si>
    <t xml:space="preserve">Anglo-Belgian Company of Egypt </t>
  </si>
  <si>
    <t>Anglo-French Explor. Lim. (f)</t>
  </si>
  <si>
    <t>refers to 19111276054 &amp; 19111276055</t>
  </si>
  <si>
    <t>Anglo-French Explor. Lim.</t>
  </si>
  <si>
    <t xml:space="preserve">Do 6 % cum. pref </t>
  </si>
  <si>
    <t>Anglo-Newfoundland Dev. 5 % db. red.</t>
  </si>
  <si>
    <t xml:space="preserve">Argentine Est. of Bovril 6 % cm. ptg. pf </t>
  </si>
  <si>
    <t>Argentine Land and Invest. ord</t>
  </si>
  <si>
    <t>0/10/0 (in p/s/d format); 10/</t>
  </si>
  <si>
    <t>refers to 19111276058 &amp; 19111276059</t>
  </si>
  <si>
    <t>2/</t>
  </si>
  <si>
    <t xml:space="preserve">Argentine Northern Land </t>
  </si>
  <si>
    <t xml:space="preserve">Argentine Southern Land </t>
  </si>
  <si>
    <t>%=excluding bonus;Also dis. of 50% out of Res. fund paid in shrs</t>
  </si>
  <si>
    <t xml:space="preserve">Assets Limited </t>
  </si>
  <si>
    <t>Assets Realisation Limited</t>
  </si>
  <si>
    <t xml:space="preserve">Australian Agricultural </t>
  </si>
  <si>
    <t>0/40/0</t>
  </si>
  <si>
    <t>interim; 40/</t>
  </si>
  <si>
    <t>40/</t>
  </si>
  <si>
    <t>Aust. Estates &amp; Mort. cons. ord. stk.</t>
  </si>
  <si>
    <t>refers to 19111276066 &amp; 19111276065 &amp; 19111276068 &amp; 19111276067</t>
  </si>
  <si>
    <t>Do 4 1/2 % 1st deb. red.</t>
  </si>
  <si>
    <t>Do 5 % "A" deb. stock red.</t>
  </si>
  <si>
    <t>Do 4 % "B" deb. stock red.</t>
  </si>
  <si>
    <t xml:space="preserve">Austrln. Merc. Land &amp; Finance L. </t>
  </si>
  <si>
    <t>refers to 19111276069 &amp; 19111276071 &amp; 19111276072 &amp; 19111276070</t>
  </si>
  <si>
    <t>Austrln. Merc. Land &amp; Finance L.</t>
  </si>
  <si>
    <t>Do new shares</t>
  </si>
  <si>
    <t>Do 3 % do</t>
  </si>
  <si>
    <t>Bengal Pr. (Bettiah Raj.) 5 % dbs. ''26</t>
  </si>
  <si>
    <t>British American Land "A"</t>
  </si>
  <si>
    <t>0/12/6</t>
  </si>
  <si>
    <t>interim; 12/6</t>
  </si>
  <si>
    <t>British &amp; American Mort. Lim</t>
  </si>
  <si>
    <t>Including Contingent Account; refers to 19111276075 &amp; 19111276077 &amp; 19111276076</t>
  </si>
  <si>
    <t xml:space="preserve">Do 5 % preference </t>
  </si>
  <si>
    <t>British &amp; Austral. Trust &amp; Loan</t>
  </si>
  <si>
    <t>refers to 19111276078 &amp; 19111276079</t>
  </si>
  <si>
    <t xml:space="preserve">British and Chinese Corporation </t>
  </si>
  <si>
    <t xml:space="preserve">British Columbia Fruit Lands </t>
  </si>
  <si>
    <t xml:space="preserve">British North Borneo Co. </t>
  </si>
  <si>
    <t xml:space="preserve">British South Africa </t>
  </si>
  <si>
    <t xml:space="preserve">Do 5 % red. deb. </t>
  </si>
  <si>
    <t>Bromboro Port Estate 4 1/2 % deb. stk.</t>
  </si>
  <si>
    <t>Caja de Prest. Para Obras de Irrigen. &amp;c. 35 yr 4 1/2 % sg. fd. gd. bds. (b)</t>
  </si>
  <si>
    <t>Calgary and Edmonton Land</t>
  </si>
  <si>
    <t>0/1/0 (in p/s/d format); 1/</t>
  </si>
  <si>
    <t xml:space="preserve">Canada Company </t>
  </si>
  <si>
    <t>0/8/0</t>
  </si>
  <si>
    <t>interim; 8/</t>
  </si>
  <si>
    <t>0/22/0</t>
  </si>
  <si>
    <t>22/</t>
  </si>
  <si>
    <t>0/10/0</t>
  </si>
  <si>
    <t>interim; 10/</t>
  </si>
  <si>
    <t>Canadian and American Mortgage and Trust Limited</t>
  </si>
  <si>
    <t>refers to 19111276090 &amp; 19111276089 &amp; 19111276091</t>
  </si>
  <si>
    <t xml:space="preserve">Canadian Wheat Lands </t>
  </si>
  <si>
    <t xml:space="preserve">Corporation of Western Egypt </t>
  </si>
  <si>
    <t>Credit Foncier of Mauritius deb.</t>
  </si>
  <si>
    <t>Debenture Corporation Lim. (f)</t>
  </si>
  <si>
    <t>refers to 19111276203 &amp; 19111276205 &amp; 19111276204</t>
  </si>
  <si>
    <t>Debenture Corporation Lim.</t>
  </si>
  <si>
    <t>Deb. Corp. Founders'' Shares Lim.</t>
  </si>
  <si>
    <t>Eastrn. Mt. &amp; Agcy. 4 1/2 % 1st db. stk (f)</t>
  </si>
  <si>
    <t>refers to 19111276207 &amp; 19111276208</t>
  </si>
  <si>
    <t>Eastrn. Mt. &amp; Agcy. 4 1/2 % 1st db. stk</t>
  </si>
  <si>
    <t>Edinburgh Amer. Land Mort. L.</t>
  </si>
  <si>
    <t>Egyptian Delta Land &amp; Investment</t>
  </si>
  <si>
    <t>0/0/5</t>
  </si>
  <si>
    <t>5 d</t>
  </si>
  <si>
    <t>Egyptian Estates</t>
  </si>
  <si>
    <t>Egyptian Gov. 4 % Irrig. Trust. Certs.</t>
  </si>
  <si>
    <t>Elec. &amp; Genl. Invest. 6 % cum. prf. (f)</t>
  </si>
  <si>
    <t>Exploration Company</t>
  </si>
  <si>
    <t xml:space="preserve">Forestal Land Timber &amp; Rlys. ord. </t>
  </si>
  <si>
    <t>refers to 19111276215 &amp; 19111276217 &amp; 19111276216</t>
  </si>
  <si>
    <t>Do preference</t>
  </si>
  <si>
    <t>Do 5 % 1st mt. debs. red.</t>
  </si>
  <si>
    <t>Freehold and Leasehold Investment ordinary</t>
  </si>
  <si>
    <t>refers to 19111276220 &amp; 19111276218 &amp; 19111276219</t>
  </si>
  <si>
    <t>Freehold and Leasehold Investment 5 % cum. pref.</t>
  </si>
  <si>
    <t>Do 4 % deb.</t>
  </si>
  <si>
    <t>House Property and Investment</t>
  </si>
  <si>
    <t>Hudson''s Bay</t>
  </si>
  <si>
    <t>0/65/0</t>
  </si>
  <si>
    <t>65/</t>
  </si>
  <si>
    <t>0/20/0</t>
  </si>
  <si>
    <t>interim; 20/</t>
  </si>
  <si>
    <t>Hyderabad (Deccan) Co.</t>
  </si>
  <si>
    <t>Imp. Col. Fin. &amp; Agency Lim. (f)</t>
  </si>
  <si>
    <t>Impl. Prop. Inv. 4 % "A" db. stk. rd.</t>
  </si>
  <si>
    <t>Do 5 % "B" deb. stock red.</t>
  </si>
  <si>
    <t>International Finl. Society Lim.</t>
  </si>
  <si>
    <t>Investors Mort. Security ord. stock</t>
  </si>
  <si>
    <t>refers to 19111276230 &amp; 19111276228 &amp; 19111276229</t>
  </si>
  <si>
    <t>Do 5 % preferred stock</t>
  </si>
  <si>
    <t>Irish Civil Service Per. Bldg.</t>
  </si>
  <si>
    <t>Johannesburg Cons. Invest.</t>
  </si>
  <si>
    <t>Johannesburg Estate</t>
  </si>
  <si>
    <t>Kallikote Raj. Sterl. 5 % debs.</t>
  </si>
  <si>
    <t>Land &amp; Mort. Co. of Egypt Lim.</t>
  </si>
  <si>
    <t>refers to 19111276238 &amp; 19111276237 &amp; 19111276235 &amp; 19111276236</t>
  </si>
  <si>
    <t>Do 5 % 36 years debentures</t>
  </si>
  <si>
    <t>Do 4 1/2 % debs. red.</t>
  </si>
  <si>
    <t>Land Company of Chiapas Mexico</t>
  </si>
  <si>
    <t>0/18/0 (in p/s/d format); 18/</t>
  </si>
  <si>
    <t>Land Corporation of Canada</t>
  </si>
  <si>
    <t>Law Debenture Corp. Lim. (f)</t>
  </si>
  <si>
    <t>Law Debenture Corp. Lim.</t>
  </si>
  <si>
    <t>Law Land ordinary</t>
  </si>
  <si>
    <t>refers to 19111276245 &amp; 19111276244</t>
  </si>
  <si>
    <t>Liverpool Exchange</t>
  </si>
  <si>
    <t>Lon. &amp; Middlesex Freehold Estates</t>
  </si>
  <si>
    <t>Mashonaland Agency</t>
  </si>
  <si>
    <t>Jun1899</t>
  </si>
  <si>
    <t>Matador Land &amp; Cattle Limited</t>
  </si>
  <si>
    <t>Dundee.</t>
  </si>
  <si>
    <t>Midnapore Zemindary 5 % debs.</t>
  </si>
  <si>
    <t>Mortgage and Deb. 5 % cum. pref.</t>
  </si>
  <si>
    <t>refers to 19111276251</t>
  </si>
  <si>
    <t>Do 4 1/4 % deb.</t>
  </si>
  <si>
    <t>refers to 19111276252</t>
  </si>
  <si>
    <t>Mortgage Co. of Egypt 5 % cm. pfd.</t>
  </si>
  <si>
    <t>Do 4 1/2 % 1st charge debs. red.</t>
  </si>
  <si>
    <t xml:space="preserve">Mortgage Co. of River Plate Lim. </t>
  </si>
  <si>
    <t>refers to 19111276257 &amp; 19111276256 &amp; 19111276255</t>
  </si>
  <si>
    <t>Mozambique</t>
  </si>
  <si>
    <t>nil btwn</t>
  </si>
  <si>
    <t>Dec1898</t>
  </si>
  <si>
    <t>Natal Land &amp; Colonisation Lim.</t>
  </si>
  <si>
    <t>refers to 19111276260 &amp; 19111276259</t>
  </si>
  <si>
    <t>Do 8 % preference</t>
  </si>
  <si>
    <t>Natl. Mtg. and Agency of New Z.</t>
  </si>
  <si>
    <t>New S. Wales Mort. Land &amp; Agency</t>
  </si>
  <si>
    <t>refers to 19111276263 &amp; 19111276262</t>
  </si>
  <si>
    <t>N. Zealand &amp; Austral. Land Lim.</t>
  </si>
  <si>
    <t>Including Insurance Funds; refers to 19111276264 &amp; 19111276266 &amp; 19111276265</t>
  </si>
  <si>
    <t>EdinbghGlasgw.</t>
  </si>
  <si>
    <t>Do 4 % pref. (cumulative)</t>
  </si>
  <si>
    <t>Do 4 % red. debenture stock</t>
  </si>
  <si>
    <t>N. Zealand &amp; R. Plate Land Mort.</t>
  </si>
  <si>
    <t>N. Z. Loan &amp; Merc. Agcy. Prior In. db.</t>
  </si>
  <si>
    <t>refers to 19111276268 &amp; 19111276270 &amp; 19111276269</t>
  </si>
  <si>
    <t>N. Z. Loan &amp; Merc. Agcy. Prior ln. db</t>
  </si>
  <si>
    <t>Do 4 % 2nd debenture stock</t>
  </si>
  <si>
    <t>Do 3rd debenture stock</t>
  </si>
  <si>
    <t>N. of Scotland Canadian Mort. L.</t>
  </si>
  <si>
    <t>refers to 19111276271 &amp; 19111276272</t>
  </si>
  <si>
    <t>Edin.Aberdeen.</t>
  </si>
  <si>
    <t>Oceana Consolidated Limited</t>
  </si>
  <si>
    <t>%=excluding bonus;Interim</t>
  </si>
  <si>
    <t>Cal. On 10% for months.=8% for year.</t>
  </si>
  <si>
    <t>Oregon Mortgage</t>
  </si>
  <si>
    <t>Pacific Loan and Investment Lim.</t>
  </si>
  <si>
    <t>refers to 19111276275 &amp; 19111276276</t>
  </si>
  <si>
    <t>Liverpool &amp;c.</t>
  </si>
  <si>
    <t>Peel River Land and Mineral Lim.</t>
  </si>
  <si>
    <t>Also special dis. of 20% "Reserve and Balance after last dividend" Including Contingent or Depreciation Account.</t>
  </si>
  <si>
    <t>Pekin Syndicate Ordinary</t>
  </si>
  <si>
    <t>0/2/0 (in p/s/d format); 2/</t>
  </si>
  <si>
    <t>refers to 19111276279 &amp; 19111276278</t>
  </si>
  <si>
    <t>Do Shansi shares</t>
  </si>
  <si>
    <t>Peruvian Corporation Limited</t>
  </si>
  <si>
    <t>refers to 19111276280 &amp; 19111276281 &amp; 19111276282</t>
  </si>
  <si>
    <t>Do 4 % preference</t>
  </si>
  <si>
    <t>Do 6 % 1st mort. debs. int. reduc.</t>
  </si>
  <si>
    <t>Port Madryn (Argentina) Co.</t>
  </si>
  <si>
    <t>Prairie Cattle Limited</t>
  </si>
  <si>
    <t>EdinbghDundee.</t>
  </si>
  <si>
    <t>Ramnad Raj. Sterling 5 % debs.</t>
  </si>
  <si>
    <t>Realisation and Debenture Corporation of Scotland (f)</t>
  </si>
  <si>
    <t>refers to 19111276288 &amp; 19111276286 &amp; 19111276287</t>
  </si>
  <si>
    <t>Edin.Glasgow.</t>
  </si>
  <si>
    <t>Realisation and Debenture Corporation of Scotland</t>
  </si>
  <si>
    <t>Do 4 1/2 % red. debenture stock</t>
  </si>
  <si>
    <t>Rio Negro (Argentina) Land</t>
  </si>
  <si>
    <t>River Plate Trust Loan &amp; Agncy "A"</t>
  </si>
  <si>
    <t>refers to 19111276290 &amp; 19111276291 &amp; 19111276292</t>
  </si>
  <si>
    <t>Do "B" shares</t>
  </si>
  <si>
    <t>Santa Fe &amp; Cordova Gt. Sthn. Land</t>
  </si>
  <si>
    <t>Santa Fe Land shares</t>
  </si>
  <si>
    <t>refers to 19111276294 &amp; 19111276295</t>
  </si>
  <si>
    <t xml:space="preserve">Scottish American Investment L. </t>
  </si>
  <si>
    <t>refers to 19111276403 &amp; 19111276402 &amp; 19111276401</t>
  </si>
  <si>
    <t>Edinburgh*.</t>
  </si>
  <si>
    <t>Do 3 1/2 % consolidated</t>
  </si>
  <si>
    <t>Scottish American Mortgage Lim.</t>
  </si>
  <si>
    <t>refers to 19111276404 &amp; 19111276405 &amp; 19111276408 &amp; 19111276406 &amp; 19111276407</t>
  </si>
  <si>
    <t xml:space="preserve">Do 4 1/4 % "A" preference stock </t>
  </si>
  <si>
    <t xml:space="preserve">Do 5 % "B" preference stock </t>
  </si>
  <si>
    <t xml:space="preserve">Do 4 % perpetual debentures </t>
  </si>
  <si>
    <t xml:space="preserve">Scottish Australian Investment L. </t>
  </si>
  <si>
    <t>refers to 19111276409 &amp; 19111276412 &amp; 19111276411 &amp; 19111276410</t>
  </si>
  <si>
    <t>London Aberdeen.</t>
  </si>
  <si>
    <t xml:space="preserve">Do 6 % guaranteed cum. pref. stk. </t>
  </si>
  <si>
    <t xml:space="preserve">Do 5 % do do do </t>
  </si>
  <si>
    <t xml:space="preserve">Do 4 % perpetual debenture </t>
  </si>
  <si>
    <t xml:space="preserve">Sivagunga Zemindary 5 % mt bnds. </t>
  </si>
  <si>
    <t xml:space="preserve">South Australian Company </t>
  </si>
  <si>
    <t>0/30/0</t>
  </si>
  <si>
    <t>interim; 30/</t>
  </si>
  <si>
    <t>0/35/0</t>
  </si>
  <si>
    <t>35/</t>
  </si>
  <si>
    <t xml:space="preserve">Southern Alberta Land Co. </t>
  </si>
  <si>
    <t>Do 5 % deb. stock red</t>
  </si>
  <si>
    <t>Stock Exchange 3 % debentures</t>
  </si>
  <si>
    <t xml:space="preserve">Swan Land and Cattle Limited </t>
  </si>
  <si>
    <t>refers to 19111276418 &amp; 19111276419</t>
  </si>
  <si>
    <t>Do 5 % cumulative preference</t>
  </si>
  <si>
    <t>Tecka (Argentina) Land Co.</t>
  </si>
  <si>
    <t>Texas Land and Mortgage 4 % deb.</t>
  </si>
  <si>
    <t>DundeeEdin.&amp;c.</t>
  </si>
  <si>
    <t xml:space="preserve">Transvaal Estates and Dev. Lim. </t>
  </si>
  <si>
    <t>Trust and Agency of Australasia L.</t>
  </si>
  <si>
    <t>refers to 19111276423 &amp; 19111276425 &amp; 19111276427 &amp; 19111276426 &amp; 19111276424</t>
  </si>
  <si>
    <t>Do all paid (9 l bears 6 % interest)</t>
  </si>
  <si>
    <t>Do (9 l bears 4 % interest)</t>
  </si>
  <si>
    <t>Trust and Agency of Australasia L</t>
  </si>
  <si>
    <t xml:space="preserve">Trust &amp; Loan Company of Canada </t>
  </si>
  <si>
    <t>refers to 19111276429 &amp; 19111276430 &amp; 19111276428</t>
  </si>
  <si>
    <t>Trust and Mort. of Iowa 4 1/2 % debs.</t>
  </si>
  <si>
    <t>Trustees Exors. &amp; Securities Ins. C.</t>
  </si>
  <si>
    <t>refers to 19111276432 &amp; 19111276433 &amp; 19111276434</t>
  </si>
  <si>
    <t xml:space="preserve">Do 4 1/2 % cum. pref. </t>
  </si>
  <si>
    <t>Do 4 1/4 % irred. debenture stock</t>
  </si>
  <si>
    <t>U. S. Deb. Corp. £1 (c)</t>
  </si>
  <si>
    <t>refers to 19111276435 &amp; 19111276437 &amp; 19111276436</t>
  </si>
  <si>
    <t>U. S. Deb. Corp. £1</t>
  </si>
  <si>
    <t>Do 5 1/2 % cum. preference stock</t>
  </si>
  <si>
    <t>Do 4 1/2 % irred. debenture stock</t>
  </si>
  <si>
    <t>U. S. Investment Corp. 4 1/2 % cum. pf.</t>
  </si>
  <si>
    <t xml:space="preserve">Van Diemen''s Land </t>
  </si>
  <si>
    <t>Walker (P. &amp; Son) Prop. Corp. 4 % dbs</t>
  </si>
  <si>
    <t>Warner Estate 5 % cum. preference</t>
  </si>
  <si>
    <t xml:space="preserve">Western Canada Land </t>
  </si>
  <si>
    <t>Alianza Co.</t>
  </si>
  <si>
    <t xml:space="preserve">Angela Nitrate </t>
  </si>
  <si>
    <t xml:space="preserve">Anglo-Chilian Nitrate and Railway </t>
  </si>
  <si>
    <t>Inc. Deprecation Fund; refers to 19111276447 &amp; 19111276445 &amp; 19111276446</t>
  </si>
  <si>
    <t xml:space="preserve">Do 4 1/2 % cons. bonds 1936 </t>
  </si>
  <si>
    <t xml:space="preserve">Colorado Nitrate </t>
  </si>
  <si>
    <t xml:space="preserve">Lagunas Nitrate Limited </t>
  </si>
  <si>
    <t xml:space="preserve">Lagunas Syndicate Limited </t>
  </si>
  <si>
    <t xml:space="preserve">Lautaro Nitrate Limited </t>
  </si>
  <si>
    <t xml:space="preserve">Liverpool Nitrate Limited </t>
  </si>
  <si>
    <t xml:space="preserve">London Nitrate Limited </t>
  </si>
  <si>
    <t>New Paccha and Jazpampa Nitrate</t>
  </si>
  <si>
    <t xml:space="preserve">New Tamarugal Nitrate </t>
  </si>
  <si>
    <t>Pan de Azucar Nitrate Co.</t>
  </si>
  <si>
    <t>Inc. Insurance or Depreciation Funds.</t>
  </si>
  <si>
    <t>Rosario Nitrate</t>
  </si>
  <si>
    <t>Salar del Carmen Nitrate Synd.</t>
  </si>
  <si>
    <t>San Lorenzo Nitrate</t>
  </si>
  <si>
    <t>San Sebastian Nitrate</t>
  </si>
  <si>
    <t>Santa Catalina Nitrate</t>
  </si>
  <si>
    <t>Santa Rita Nitrate</t>
  </si>
  <si>
    <t>Santiago Nitrate</t>
  </si>
  <si>
    <t xml:space="preserve">Tarapaca and Tocopilla Nitrate </t>
  </si>
  <si>
    <t>refers to 19111276464 &amp; 19111276465</t>
  </si>
  <si>
    <t>Anglo-Persian Oil 6 % ptg. pref</t>
  </si>
  <si>
    <t xml:space="preserve">Assam Oil </t>
  </si>
  <si>
    <t xml:space="preserve">Bibi-Eybat Petroleum </t>
  </si>
  <si>
    <t>British Australian Oil</t>
  </si>
  <si>
    <t xml:space="preserve">Brit. Burmah Petroleum 6 % deb. rd </t>
  </si>
  <si>
    <t>Broxburn Oil Lim. ordinary</t>
  </si>
  <si>
    <t>0/17/0 (in p/s/d format); 17/</t>
  </si>
  <si>
    <t>in 1908</t>
  </si>
  <si>
    <t>in 1909</t>
  </si>
  <si>
    <t>refers to 19111276472 &amp; 19111276473</t>
  </si>
  <si>
    <t xml:space="preserve">Burmah Oil </t>
  </si>
  <si>
    <t xml:space="preserve">Also Bonus 1 New Ord. Share </t>
  </si>
  <si>
    <t>for  2 Old. Shrs</t>
  </si>
  <si>
    <t>Inc. Insurance or Depreciation Funds.; refers to 19111276475 &amp; 19111276474 &amp; 19111276477 &amp; 19111276476</t>
  </si>
  <si>
    <t>GlasgowEdinburghLondon.</t>
  </si>
  <si>
    <t>Do 6 % 1st pref.</t>
  </si>
  <si>
    <t>Do 6 % 2nd pref.</t>
  </si>
  <si>
    <t xml:space="preserve">California Oilfields </t>
  </si>
  <si>
    <t>refers to 19111276478 &amp; 19111276479</t>
  </si>
  <si>
    <t>Do 5 % 1st mort. debs.</t>
  </si>
  <si>
    <t>Commonwealth Oil Corp. pref. ord.</t>
  </si>
  <si>
    <t>Kern River Oilfields of California</t>
  </si>
  <si>
    <t xml:space="preserve">Lobitos Oilfields </t>
  </si>
  <si>
    <t xml:space="preserve">Oakbank Oil Limited </t>
  </si>
  <si>
    <t>in 1911</t>
  </si>
  <si>
    <t xml:space="preserve">Pacific Oilfields </t>
  </si>
  <si>
    <t xml:space="preserve">Premier Oil and Pipe Line </t>
  </si>
  <si>
    <t xml:space="preserve">Pumpherston Oil ordinary </t>
  </si>
  <si>
    <t>refers to 19111276487 &amp; 19111276486</t>
  </si>
  <si>
    <t>Pumpherston Oil ordinary</t>
  </si>
  <si>
    <t>Jun</t>
  </si>
  <si>
    <t>yl</t>
  </si>
  <si>
    <t xml:space="preserve">Schibaieff Petroleum 6 % cum. pref </t>
  </si>
  <si>
    <t xml:space="preserve">Shell Transport and Trading ord. </t>
  </si>
  <si>
    <t>refers to 19111276489 &amp; 19111276490</t>
  </si>
  <si>
    <t>Shell Transport and Trading ord.</t>
  </si>
  <si>
    <t xml:space="preserve">Spies Petroleum </t>
  </si>
  <si>
    <t xml:space="preserve">Trinidad Oilfields </t>
  </si>
  <si>
    <t>Young''s Paraffin Light &amp; Min. Oil</t>
  </si>
  <si>
    <t xml:space="preserve">African Steamship </t>
  </si>
  <si>
    <t>10/</t>
  </si>
  <si>
    <t>interim;12/</t>
  </si>
  <si>
    <t>0/16/0</t>
  </si>
  <si>
    <t>16/</t>
  </si>
  <si>
    <t>0/14/0</t>
  </si>
  <si>
    <t>interim;14/</t>
  </si>
  <si>
    <t xml:space="preserve">Allan Line 4 % debs </t>
  </si>
  <si>
    <t xml:space="preserve">Anchor Lin. (Henderson Brs.) cm. prf. </t>
  </si>
  <si>
    <t>refers to 19111276603 &amp; 19111276604</t>
  </si>
  <si>
    <t>Anchor Lin. (Henderson Brs.) cm. prf.</t>
  </si>
  <si>
    <t xml:space="preserve">Do 4 1/2 % red. deb. </t>
  </si>
  <si>
    <t xml:space="preserve">Argentine Navigation Co. pref </t>
  </si>
  <si>
    <t>refers to 19111276605 &amp; 19111276606</t>
  </si>
  <si>
    <t>Argentine Navigation Co. pref</t>
  </si>
  <si>
    <t>Do 6 % 1st mort. debs. red</t>
  </si>
  <si>
    <t>Australasian United S. Navig. Deb.</t>
  </si>
  <si>
    <t>Booth Steam. L. 4 1/2 % 1st mt. deb. red</t>
  </si>
  <si>
    <t xml:space="preserve">Brit. &amp; African S.N. 4 1/2 % deb. </t>
  </si>
  <si>
    <t>British India Steam Navigation L</t>
  </si>
  <si>
    <t>London Glasgow.</t>
  </si>
  <si>
    <t>Do 5 % cum. pref. stock</t>
  </si>
  <si>
    <t xml:space="preserve">Bucknall Steamship Lines pref. </t>
  </si>
  <si>
    <t>Bucknall Steamship Lines pref.</t>
  </si>
  <si>
    <t>Do 4 1/2 % 1st mort. debs.</t>
  </si>
  <si>
    <t xml:space="preserve">Clan Line Steamers </t>
  </si>
  <si>
    <t>refers to 19111276615 &amp; 19111276614</t>
  </si>
  <si>
    <t xml:space="preserve">Do 4 1/2 % deb. stock </t>
  </si>
  <si>
    <t xml:space="preserve">Colombia Navigation 6 % Guar. Dbs. </t>
  </si>
  <si>
    <t xml:space="preserve">Cunard Steamship Limited </t>
  </si>
  <si>
    <t>includes contingent or appreciation account; refers to 19111276617 &amp; 19111276618</t>
  </si>
  <si>
    <t>LiverpoolLondon.</t>
  </si>
  <si>
    <t>Do 4 1/2 % mort. deb. stock. red.</t>
  </si>
  <si>
    <t>Elder Dempster &amp; Co. L. 5 1/2 % cm. pf.</t>
  </si>
  <si>
    <t>Elder Line Limited 4 1/2 % deb.</t>
  </si>
  <si>
    <t xml:space="preserve">Ellerman Lines </t>
  </si>
  <si>
    <t xml:space="preserve">France (Wm) Fenwick &amp; Co. pref </t>
  </si>
  <si>
    <t>refers to 19111276624 &amp; 19111276625</t>
  </si>
  <si>
    <t>France (Wm) Fenwick &amp; Co. pref</t>
  </si>
  <si>
    <t xml:space="preserve">Do 4 1/2 % red. deb </t>
  </si>
  <si>
    <t xml:space="preserve">Furness Withy and Co. ordinary </t>
  </si>
  <si>
    <t>includes contingent or appreciation account; refers to 19111276626 &amp; 19111276627</t>
  </si>
  <si>
    <t>Lond.Newcastle.</t>
  </si>
  <si>
    <t>Furness Withy and Co. ordinary</t>
  </si>
  <si>
    <t xml:space="preserve">Do 5 % pref </t>
  </si>
  <si>
    <t>General Steam Navigation</t>
  </si>
  <si>
    <t>refers to 19111276628 &amp; 19111276629 &amp; 19111276630</t>
  </si>
  <si>
    <t xml:space="preserve">Do 6 % pref </t>
  </si>
  <si>
    <t>Houlder Line 5 1/2 % cum. pref.</t>
  </si>
  <si>
    <t>includes contingent or appreciation account; refers to 19111276631 &amp; 19111276632</t>
  </si>
  <si>
    <t>Imp. Direct W. I. Mail Serv. 4 1/2 % db. rd</t>
  </si>
  <si>
    <t xml:space="preserve">India General Navigation </t>
  </si>
  <si>
    <t>refers to 19111276634 &amp; 19111276635</t>
  </si>
  <si>
    <t xml:space="preserve">Do 5 % cum. pref </t>
  </si>
  <si>
    <t>Internl. Mercantile Marine com. stk.</t>
  </si>
  <si>
    <t>N.YorkLiverpool.</t>
  </si>
  <si>
    <t>Do 6 % cum. pref. stock certs.</t>
  </si>
  <si>
    <t>Do 4 1/2 % mort. &amp; coll. trst. gold bds.</t>
  </si>
  <si>
    <t xml:space="preserve">Irrawaddy Flotilla </t>
  </si>
  <si>
    <t xml:space="preserve">Isle of Man Steam Packet </t>
  </si>
  <si>
    <t>Khedivial Mail Steamshp 5 1/2 % cm. pf.</t>
  </si>
  <si>
    <t>28740 including depreciation of insurance funds</t>
  </si>
  <si>
    <t>King Line</t>
  </si>
  <si>
    <t>Includes Depreciation and Insurance Funds</t>
  </si>
  <si>
    <t>Lancashire Shipping</t>
  </si>
  <si>
    <t>Leyland (Fredk.) &amp; Co. 5 % cum. pref.</t>
  </si>
  <si>
    <t>Dr; refers to 19111276645 &amp; 19111276644</t>
  </si>
  <si>
    <t xml:space="preserve">Do 4 % debs </t>
  </si>
  <si>
    <t>Manchester Liners 4 1/2 % debs</t>
  </si>
  <si>
    <t>Lon. Manchester.</t>
  </si>
  <si>
    <t xml:space="preserve">Mercantile Steamship Limited </t>
  </si>
  <si>
    <t>refers to 19111276649 &amp; 19111276648 &amp; 19111276647</t>
  </si>
  <si>
    <t>Do 5 % non-cum. pref</t>
  </si>
  <si>
    <t xml:space="preserve">Do do </t>
  </si>
  <si>
    <t xml:space="preserve">Nelson Steam Nav. 5 % debs. rd. </t>
  </si>
  <si>
    <t>New Zealand Shipping Limited</t>
  </si>
  <si>
    <t>interim; 5/</t>
  </si>
  <si>
    <t>0/7/6</t>
  </si>
  <si>
    <t>refers to 19111276651 &amp; 19111276652</t>
  </si>
  <si>
    <t xml:space="preserve">Nitrate Producers'' Steamship ord. </t>
  </si>
  <si>
    <t>including depreciation of insurance funds</t>
  </si>
  <si>
    <t>Oceanic Steam Nav. 4 1/2 % 1mt. db. rd.</t>
  </si>
  <si>
    <t>Orient Steam Navigation prf. shares</t>
  </si>
  <si>
    <t>including depreciation of insurance funds; refers to 19111276655 &amp; 19111276656</t>
  </si>
  <si>
    <t xml:space="preserve">Do 4 1/2 % 1st mort. debs. red. </t>
  </si>
  <si>
    <t>P. &amp; O. Steam Navigation 5 % pref.</t>
  </si>
  <si>
    <t>May;Dec</t>
  </si>
  <si>
    <t>includes suspense account; refers to 19111276657 &amp; 19111276658 &amp; 19111276660 &amp; 19111276659</t>
  </si>
  <si>
    <t xml:space="preserve">P. &amp; O. Steam Navigation 5 % pref. </t>
  </si>
  <si>
    <t>Do 3 1/2 % 2nd deb.</t>
  </si>
  <si>
    <t>Prince Line shares</t>
  </si>
  <si>
    <t>nil; interim</t>
  </si>
  <si>
    <t>including depreciation of insurance funds; refers to 19111276662 &amp; 19111276664 &amp; 19111276663</t>
  </si>
  <si>
    <t>Do 5 % non-cum. pref.</t>
  </si>
  <si>
    <t xml:space="preserve">Do 4 1/2 % 1st Deb. Stk. Red. </t>
  </si>
  <si>
    <t xml:space="preserve">Do 5 % deb. stock red. </t>
  </si>
  <si>
    <t xml:space="preserve">Shaw Savill &amp; Albion L.A pref. </t>
  </si>
  <si>
    <t>Union-Castle Mail Steamship L.</t>
  </si>
  <si>
    <t>including depreciation of insurance funds; refers to 19111276667 &amp; 19111276669 &amp; 19111276668</t>
  </si>
  <si>
    <t>Union S.S. of N.Zealand. - Lon. Reg.</t>
  </si>
  <si>
    <t>including depreciation of insurance funds; refers to 19111276670 &amp; 19111276671</t>
  </si>
  <si>
    <t>Alliance (Ceylon) Tea</t>
  </si>
  <si>
    <t xml:space="preserve">Amalgamated Tea Estates ord. </t>
  </si>
  <si>
    <t>Amalgamated Tea Estates ord.</t>
  </si>
  <si>
    <t>(to Nov1909)</t>
  </si>
  <si>
    <t>Anglo-Ceylon &amp; General Estates</t>
  </si>
  <si>
    <t xml:space="preserve">Anglo-Dutch Plantations of Java </t>
  </si>
  <si>
    <t xml:space="preserve">Anglo-Java Rubber &amp; Produce </t>
  </si>
  <si>
    <t xml:space="preserve">Anglo-Malay Rubber </t>
  </si>
  <si>
    <t xml:space="preserve">Assam Co. </t>
  </si>
  <si>
    <t xml:space="preserve">Assam Frontier Tea </t>
  </si>
  <si>
    <t>refers to 19111276681 &amp; 19111276680</t>
  </si>
  <si>
    <t xml:space="preserve">Do 6 % pref. participating </t>
  </si>
  <si>
    <t xml:space="preserve">Attaree Khat Tea </t>
  </si>
  <si>
    <t>Beaufort (Borneo) Rubber Co.</t>
  </si>
  <si>
    <t>%=excluding bonus; Under guaranteed from British North Borneo Co. till 1913 payable Apr &amp; Oct</t>
  </si>
  <si>
    <t>Bengal United Tea Co.</t>
  </si>
  <si>
    <t>refers to 19111276685 &amp; 19111276684</t>
  </si>
  <si>
    <t>Besoeki Plantations</t>
  </si>
  <si>
    <t>Brahmapootra Tea</t>
  </si>
  <si>
    <t xml:space="preserve">British Indian Tea </t>
  </si>
  <si>
    <t xml:space="preserve">Bukit Rajah Rubber Co </t>
  </si>
  <si>
    <t xml:space="preserve">Cachar and Dooars Tea Limited </t>
  </si>
  <si>
    <t xml:space="preserve">Carey United Rubber Estates </t>
  </si>
  <si>
    <t>Ceylon (Para) Rubber Co.</t>
  </si>
  <si>
    <t xml:space="preserve"> ..</t>
  </si>
  <si>
    <t>Ceylon Tea Plantations ordinary</t>
  </si>
  <si>
    <t>refers to 19111276802 &amp; 19111276801</t>
  </si>
  <si>
    <t>Ceylon Tea Plantations 7 % pref.</t>
  </si>
  <si>
    <t>Chargola Tea Association ordinary</t>
  </si>
  <si>
    <t>includes Depreciation and Insurance Funds; refers to 19111276803 &amp; 19111276804</t>
  </si>
  <si>
    <t>Chargola Tea Association 7 % pref.</t>
  </si>
  <si>
    <t xml:space="preserve">Chersonese (F. M. S.) Estates </t>
  </si>
  <si>
    <t>Chubwa Tea ordinary</t>
  </si>
  <si>
    <t xml:space="preserve">Do 7 % pref. </t>
  </si>
  <si>
    <t>refers to 19111276807 &amp; 19111276806</t>
  </si>
  <si>
    <t>Consol. Tea and Lands Limited</t>
  </si>
  <si>
    <t>Aug1898</t>
  </si>
  <si>
    <t>Aug1899</t>
  </si>
  <si>
    <t>refers to 19111276810 &amp; 19111276809 &amp; 19111276808 &amp; 19111276811</t>
  </si>
  <si>
    <t xml:space="preserve">Consol. Tea and Lands Limited </t>
  </si>
  <si>
    <t xml:space="preserve">Do 7 % 2nd cum. pref. </t>
  </si>
  <si>
    <t>Do 4 1/2 % deb. red</t>
  </si>
  <si>
    <t xml:space="preserve">Darjeeling Co. </t>
  </si>
  <si>
    <t>Darjeeling Consolidated Tea</t>
  </si>
  <si>
    <t>0/4/2</t>
  </si>
  <si>
    <t>May1897</t>
  </si>
  <si>
    <t>refers to 19111276813 &amp; 19111276814</t>
  </si>
  <si>
    <t xml:space="preserve">Deviturai Rubber and Tea Estates </t>
  </si>
  <si>
    <t>(9 month)</t>
  </si>
  <si>
    <t>Dimbula Valley (Ceylon) Tea Lim.</t>
  </si>
  <si>
    <t>refers to 19111276816 &amp; 19111276817</t>
  </si>
  <si>
    <t xml:space="preserve">Dimbula Valley (Ceylon) Tea Lim. </t>
  </si>
  <si>
    <t xml:space="preserve">Dooars Tea ordinary </t>
  </si>
  <si>
    <t>refers to 19111276818 &amp; 19111276819</t>
  </si>
  <si>
    <t>Dooars Tea ordinary</t>
  </si>
  <si>
    <t>Doom Dooma Tea</t>
  </si>
  <si>
    <t xml:space="preserve">Dumont Coffee ord. </t>
  </si>
  <si>
    <t xml:space="preserve">Do 7 1/2 % cum. pref. </t>
  </si>
  <si>
    <t>East India and Ceylon Tea ord.</t>
  </si>
  <si>
    <t>refers to 19111276824 &amp; 19111276823</t>
  </si>
  <si>
    <t>East Indian Tea and Produce</t>
  </si>
  <si>
    <t>Eastern Assam Tea</t>
  </si>
  <si>
    <t>Eastern Produce and Estates</t>
  </si>
  <si>
    <t>refers to 19111276827 &amp; 19111276828</t>
  </si>
  <si>
    <t xml:space="preserve">Eastern Produce and Estates </t>
  </si>
  <si>
    <t xml:space="preserve">Do 5 % pref. </t>
  </si>
  <si>
    <t xml:space="preserve">Empire of India and Ceylon Tea </t>
  </si>
  <si>
    <t>refers to 19111276829 &amp; 19111276830</t>
  </si>
  <si>
    <t>General Ceylon Rubber &amp; Tea Est.</t>
  </si>
  <si>
    <t>Grand Cent. (Ceylon) Rubber Ests.</t>
  </si>
  <si>
    <t xml:space="preserve">Highlands &amp; Lowlands Para Rubber </t>
  </si>
  <si>
    <t>Imperial Tea</t>
  </si>
  <si>
    <t>refers to 19111276835 &amp; 19111276834</t>
  </si>
  <si>
    <t>Inch Kenneth Rubber Estates</t>
  </si>
  <si>
    <t>in 1908-1909</t>
  </si>
  <si>
    <t>in 1909-1910</t>
  </si>
  <si>
    <t>in 1910-1911</t>
  </si>
  <si>
    <t xml:space="preserve">Java United Plantations Limited. </t>
  </si>
  <si>
    <t xml:space="preserve">Jetinga Valley Tea </t>
  </si>
  <si>
    <t xml:space="preserve">Jhanzie Tea Association </t>
  </si>
  <si>
    <t>Jokai (Assam) Tea ord.</t>
  </si>
  <si>
    <t>refers to 19111276840 &amp; 19111276841</t>
  </si>
  <si>
    <t>Jorehaut Tea</t>
  </si>
  <si>
    <t xml:space="preserve">Jugra Land and Rubber Estates </t>
  </si>
  <si>
    <t xml:space="preserve">Kasintoe Rubber Estates </t>
  </si>
  <si>
    <t>Kepitigalla Rubber Estates</t>
  </si>
  <si>
    <t>Kimanis Rubber Gtd. Shares ?</t>
  </si>
  <si>
    <t>%=excluding bonus; Under guarantee from British North Borneo Co for a term of years Guar. Till 1915 payable May and Nov</t>
  </si>
  <si>
    <t xml:space="preserve">Kuala Lumpur Rubber </t>
  </si>
  <si>
    <t>%=excluding bonus; interim</t>
  </si>
  <si>
    <t>Labu (F. M. S.) Rubber Co.</t>
  </si>
  <si>
    <t xml:space="preserve">Lanadron Rubber Estates </t>
  </si>
  <si>
    <t>Lanka Plantations</t>
  </si>
  <si>
    <t>Lebong Tea</t>
  </si>
  <si>
    <t>Calculated at 7%</t>
  </si>
  <si>
    <t>Linggi Plantations</t>
  </si>
  <si>
    <t>Lok Kawi Rubber Guar. ?</t>
  </si>
  <si>
    <t>London Asiatic Rubber &amp; Produce</t>
  </si>
  <si>
    <t>Lungla (Sylhet) Tea Limited ord.</t>
  </si>
  <si>
    <t>refers to 19111276856 &amp; 19111276855</t>
  </si>
  <si>
    <t>Mabira Forest (Uganda) Rubber Co.</t>
  </si>
  <si>
    <t>Majuli Tea (New)</t>
  </si>
  <si>
    <t xml:space="preserve">Makum (Assam) Tea </t>
  </si>
  <si>
    <t>Malacca Rubber Plantations</t>
  </si>
  <si>
    <t>refers to 19111276860 &amp; 19111276862 &amp; 19111276861</t>
  </si>
  <si>
    <t xml:space="preserve">Do 7 1/2 % ptg. cum. pref. </t>
  </si>
  <si>
    <t>Do 6 % 1st mort. deb. stock red.</t>
  </si>
  <si>
    <t xml:space="preserve">Malayalam Rubber and Produce </t>
  </si>
  <si>
    <t>Membakut Rubber Guar. Shares ?</t>
  </si>
  <si>
    <t xml:space="preserve">Moabund Tea ordinary </t>
  </si>
  <si>
    <t>Nedeem Tea Co.</t>
  </si>
  <si>
    <t>refers to 19111276866 &amp; 19111276867</t>
  </si>
  <si>
    <t>New Dimbula Tea</t>
  </si>
  <si>
    <t>Nirmala (Java) Plans. and Lands</t>
  </si>
  <si>
    <t>North Borneo State Rubber ?</t>
  </si>
  <si>
    <t>Nuwara Eliya Tea Estates</t>
  </si>
  <si>
    <t>Ouvah Ceylon Estates</t>
  </si>
  <si>
    <t>P.P.K. (Ceylon) Rubber Estates</t>
  </si>
  <si>
    <t>Para (Marajo) Islands Rubber</t>
  </si>
  <si>
    <t xml:space="preserve">Perak Rubber Plantations </t>
  </si>
  <si>
    <t>Rubber Estates of Johore</t>
  </si>
  <si>
    <t>Seaport (Selangor) Rubber</t>
  </si>
  <si>
    <t>Scottish Trust and Loan of Ceylon</t>
  </si>
  <si>
    <t xml:space="preserve">Selangor Rubber </t>
  </si>
  <si>
    <t xml:space="preserve">Shelford Rubber Estate </t>
  </si>
  <si>
    <t xml:space="preserve">Sialang Rubber Estates </t>
  </si>
  <si>
    <t xml:space="preserve">Single Tea Co. Lim. ordinary </t>
  </si>
  <si>
    <t>refers to 19111276882 &amp; 19111276883</t>
  </si>
  <si>
    <t>Single Tea Co. Lim. ordinary</t>
  </si>
  <si>
    <t>Do 6 1/2 % non. cum. pref.</t>
  </si>
  <si>
    <t>Standard Tea of Ceylon</t>
  </si>
  <si>
    <t>refers to 19111276884 &amp; 19111276885</t>
  </si>
  <si>
    <t>Straits Stlmts. (Bertam) Rubber</t>
  </si>
  <si>
    <t xml:space="preserve">Sumatra Para Rubber Plantations </t>
  </si>
  <si>
    <t>Sungei Kapar Rubber</t>
  </si>
  <si>
    <t xml:space="preserve">Tandjong Rubber Co. </t>
  </si>
  <si>
    <t xml:space="preserve">Tangoel Rubber Estates </t>
  </si>
  <si>
    <t xml:space="preserve">Telogoredjo United Plantations </t>
  </si>
  <si>
    <t xml:space="preserve">United Serdang Rubber Plantns. </t>
  </si>
  <si>
    <t>United Sumatra Rubber Estates</t>
  </si>
  <si>
    <t>Val d''Or Rubber Estates</t>
  </si>
  <si>
    <t xml:space="preserve">Vallambrosa Rubber </t>
  </si>
  <si>
    <t xml:space="preserve">Yatiyantota Tea </t>
  </si>
  <si>
    <t>Amer. Telep. &amp; Telegr. Cap. Stock</t>
  </si>
  <si>
    <t>LondonN. York.</t>
  </si>
  <si>
    <t>Do Collat. Trust 4 % Bonds</t>
  </si>
  <si>
    <t>Do 4 % Conv. Bonds 1936</t>
  </si>
  <si>
    <t xml:space="preserve">Anglo-American Telegraph Lim. </t>
  </si>
  <si>
    <t>includes renewal funds; refers to 19111277006 &amp; 19111277004 &amp; 19111277005</t>
  </si>
  <si>
    <t>LondonLiverp.&amp;c.</t>
  </si>
  <si>
    <t>Do 6 % preferred ord. non-cum.</t>
  </si>
  <si>
    <t xml:space="preserve">Do deferred </t>
  </si>
  <si>
    <t xml:space="preserve">Chili Telephone Limited </t>
  </si>
  <si>
    <t>Commercial Cable 4 % deb. stk. red.</t>
  </si>
  <si>
    <t>1 st Jan;Apr;Jul;Oct at Barings</t>
  </si>
  <si>
    <t>Cuba Submarine Telegraph Lim.</t>
  </si>
  <si>
    <t>refers to 19111277009 &amp; 19111277010</t>
  </si>
  <si>
    <t>Do 10 % preference</t>
  </si>
  <si>
    <t xml:space="preserve">Direct Spanish Telegraph L. ord. </t>
  </si>
  <si>
    <t>Direct U. S. Cable Limited</t>
  </si>
  <si>
    <t xml:space="preserve">Eastern &amp; S. African 4 % deb. 1913 </t>
  </si>
  <si>
    <t xml:space="preserve">Eastern Ext. Australasia and China </t>
  </si>
  <si>
    <t>Pd</t>
  </si>
  <si>
    <t>includes ins. and deb. Funds; refers to 19111277014 &amp; 19111277015</t>
  </si>
  <si>
    <t>Eastern Telegraph Limited</t>
  </si>
  <si>
    <t>Pd Qtrly</t>
  </si>
  <si>
    <t>includes ins. and deb. Funds; refers to 19111277018 &amp; 19111277016 &amp; 19111277017</t>
  </si>
  <si>
    <t xml:space="preserve">Do 3 1/2 % pref </t>
  </si>
  <si>
    <t>Jan;May;Jul;Oct</t>
  </si>
  <si>
    <t xml:space="preserve">Great Northern Telegraph </t>
  </si>
  <si>
    <t>Indo-European Telegraph Lim.</t>
  </si>
  <si>
    <t xml:space="preserve">Marconi''s Wireless Telegraph </t>
  </si>
  <si>
    <t>Monte Video Telephone</t>
  </si>
  <si>
    <t>refers to 19111277023 &amp; 19111277022</t>
  </si>
  <si>
    <t>Nat. Teleph. Lim. 3 1/2 % deb. stk. red.</t>
  </si>
  <si>
    <t>refers to 19111277026 &amp; 19111277030 &amp; 19111277028 &amp; 19111277029 &amp; 19111277024 &amp; 19111277025 &amp; 19111277027</t>
  </si>
  <si>
    <t>London Manchstr.</t>
  </si>
  <si>
    <t xml:space="preserve">Do preferred stock </t>
  </si>
  <si>
    <t xml:space="preserve">Do deferred stock </t>
  </si>
  <si>
    <t xml:space="preserve">Do 6 % 2nd pref. </t>
  </si>
  <si>
    <t>Do 5 % non. cum. 3rd pref.</t>
  </si>
  <si>
    <t>New York Telephone 4 1/2 % 1st Mt. Bd.</t>
  </si>
  <si>
    <t xml:space="preserve">Oriental Telephone &amp; Elect Lim </t>
  </si>
  <si>
    <t>refers to 19111277032 &amp; 19111277034 &amp; 19111277033</t>
  </si>
  <si>
    <t>Reuter''s Telegram Lim.</t>
  </si>
  <si>
    <t>Telephne Co. of Egypt 4 1/2 % deb. stk. rd.</t>
  </si>
  <si>
    <t xml:space="preserve">United River Plate Telephone Lim. </t>
  </si>
  <si>
    <t>refers to 19111277037 &amp; 19111277039 &amp; 19111277038</t>
  </si>
  <si>
    <t>United River Plate Telephone Lim.</t>
  </si>
  <si>
    <t>W. I. &amp; Panama Telegraph Lim.</t>
  </si>
  <si>
    <t>0/0/6</t>
  </si>
  <si>
    <t>6 d</t>
  </si>
  <si>
    <t>refers to 19111277043 &amp; 19111277040 &amp; 19111277042 &amp; 19111277041</t>
  </si>
  <si>
    <t xml:space="preserve">Do 6 % 1st pref. (cumulative) </t>
  </si>
  <si>
    <t>Do 6 % 2nd pref. (cumulative)</t>
  </si>
  <si>
    <t xml:space="preserve">Do 5 % debs. </t>
  </si>
  <si>
    <t>Western Telegraph Lim.</t>
  </si>
  <si>
    <t>Quarterly</t>
  </si>
  <si>
    <t>refers to 19111277044 &amp; 19111277045</t>
  </si>
  <si>
    <t xml:space="preserve">Anglo-Argent Trams 5 1/2 % cm. 1st pf. </t>
  </si>
  <si>
    <t>includes renewal funds; refers to 19111277049 &amp; 19111277048 &amp; 19111277050 &amp; 19111277047 &amp; 19111277046</t>
  </si>
  <si>
    <t>Anglo-Argent Trams 5 1/2 % cm. 1st pf.</t>
  </si>
  <si>
    <t xml:space="preserve">Do 5 1/2 % cum. 2nd pref. </t>
  </si>
  <si>
    <t xml:space="preserve">Auckland Elec. Trams 5 % deb. red. </t>
  </si>
  <si>
    <t>includes ins. and deb. Funds</t>
  </si>
  <si>
    <t>Bath Electric Trams. 5 % cum. pref</t>
  </si>
  <si>
    <t>includes ins. and deb. Funds; refers to 19111277053 &amp; 19111277052</t>
  </si>
  <si>
    <t>Bombay Elec. Sup. &amp; Trams 6 % cm. pf.</t>
  </si>
  <si>
    <t xml:space="preserve">Brisbane Elect. Tramways Invest </t>
  </si>
  <si>
    <t>refers to 19111277055 &amp; 19111277057 &amp; 19111277056</t>
  </si>
  <si>
    <t xml:space="preserve">Bristol Tramways and Carriage. </t>
  </si>
  <si>
    <t>Brit. Columbia Elec. Rail. def. ord.</t>
  </si>
  <si>
    <t>refers to 19111277059 &amp; 19111277062 &amp; 19111277064 &amp; 19111277063 &amp; 19111277061 &amp; 19111277060</t>
  </si>
  <si>
    <t>Do pref. ord.</t>
  </si>
  <si>
    <t>Do 4 1/2 % debs</t>
  </si>
  <si>
    <t>Do 4 1/2 % Vancouver Power debs.</t>
  </si>
  <si>
    <t>Do 4 1/4 % perp. cons. deb. stock</t>
  </si>
  <si>
    <t>British Electric Traction</t>
  </si>
  <si>
    <t>refers to 19111277068 &amp; 19111277065 &amp; 19111277067 &amp; 19111277066</t>
  </si>
  <si>
    <t>to Sep1908</t>
  </si>
  <si>
    <t>Do 5 % perp. deb. stock</t>
  </si>
  <si>
    <t xml:space="preserve">Do 4 1/2 % 2nd deb. red. </t>
  </si>
  <si>
    <t xml:space="preserve">Calcutta Tramways Lim. </t>
  </si>
  <si>
    <t>includes ins. and deb. Funds; refers to 19111277069 &amp; 19111277071 &amp; 19111277070</t>
  </si>
  <si>
    <t xml:space="preserve">Cape Electric Tramways </t>
  </si>
  <si>
    <t xml:space="preserve">Carthag. &amp; Herr. Steam Trams L. </t>
  </si>
  <si>
    <t xml:space="preserve">City of Birm. Trams 5 % cum. pref. </t>
  </si>
  <si>
    <t>refers to 19111277075 &amp; 19111277074</t>
  </si>
  <si>
    <t>City of Birm. Trams 5 % cum. pref.</t>
  </si>
  <si>
    <t xml:space="preserve">Do 4 % debs. red. </t>
  </si>
  <si>
    <t>City Buenos Ayres Tram. (1904) L.</t>
  </si>
  <si>
    <t xml:space="preserve">Dublin United Tramways </t>
  </si>
  <si>
    <t>refers to 19111277077 &amp; 19111277078 &amp; 19111277079</t>
  </si>
  <si>
    <t>General Motor Cab pref. ord. (f)</t>
  </si>
  <si>
    <t>refers to 19111277080 &amp; 19111277081</t>
  </si>
  <si>
    <t>General Motor Cab pref. ord.</t>
  </si>
  <si>
    <t xml:space="preserve">Do 5 % 1st mort. deb. red. </t>
  </si>
  <si>
    <t>includes ins. and deb. Funds; refers to 19111277084 &amp; 19111277082 &amp; 19111277083</t>
  </si>
  <si>
    <t xml:space="preserve">London General Omnibus Lim </t>
  </si>
  <si>
    <t>refers to 19111277086 &amp; 19111277085 &amp; 19111277089 &amp; 19111277088 &amp; 19111277087</t>
  </si>
  <si>
    <t>London General Omnibus Lim.</t>
  </si>
  <si>
    <t xml:space="preserve">Do 5 % "B" red. deb. stock </t>
  </si>
  <si>
    <t>Do 5 % "C" red. deb. Stock</t>
  </si>
  <si>
    <t>London United Trams 5 % cm. prf.</t>
  </si>
  <si>
    <t>refers to 19111277090 &amp; 19111277091</t>
  </si>
  <si>
    <t>Metropolitan Electric Tramways ord.</t>
  </si>
  <si>
    <t>refers to 19111277092 &amp; 19111277093 &amp; 19111277095 &amp; 19111277094</t>
  </si>
  <si>
    <t>Metropolitan Electric Tramways def.</t>
  </si>
  <si>
    <t xml:space="preserve">Mexico Tramways Common Stock </t>
  </si>
  <si>
    <t>Mexico Tramways common stock</t>
  </si>
  <si>
    <t>Do Gen. Cons. 5 % 1st mt. gld. bds.</t>
  </si>
  <si>
    <t xml:space="preserve">Para Electric Rlys. &amp; Lighting ord. </t>
  </si>
  <si>
    <t>refers to 19111277203 &amp; 19111277205 &amp; 19111277204</t>
  </si>
  <si>
    <t>Para Electric Rlys. &amp; Lighting ord.</t>
  </si>
  <si>
    <t xml:space="preserve">Do 5 % 1st deb. stock red </t>
  </si>
  <si>
    <t>Potteries Electric Traction ordinary</t>
  </si>
  <si>
    <t>refers to 19111277208 &amp; 19111277207 &amp; 19111277206</t>
  </si>
  <si>
    <t>Potteries Electric Traction 5 % pref.</t>
  </si>
  <si>
    <t>Provincial Tramways Limited</t>
  </si>
  <si>
    <t>Including Insurance or Depreciation Funds.</t>
  </si>
  <si>
    <t>Rangoon Elect. Tram. &amp; Supply 6 % cum. pref.</t>
  </si>
  <si>
    <t>refers to 19111277211 &amp; 19111277210</t>
  </si>
  <si>
    <t>Rangoon Elect. Tram. &amp; Supply 4 1/2 % deb. stk. red</t>
  </si>
  <si>
    <t xml:space="preserve">Rio de Jan. Tram. Lt. &amp; Pwr. Shrs. </t>
  </si>
  <si>
    <t>Rio de Jan. Tram. Lt. &amp; Pwr. Shrs.</t>
  </si>
  <si>
    <t>Do 1st mt. 30 yr. 5 % gd. bds. 1935</t>
  </si>
  <si>
    <t xml:space="preserve">Do 5 % 50-year mort. bonds red </t>
  </si>
  <si>
    <t>Sao Paulo Tramway Lt. Pwr. Shs.</t>
  </si>
  <si>
    <t>$; refers to 19111277215 &amp; 19111277216</t>
  </si>
  <si>
    <t xml:space="preserve">Do 5 % debs. red. </t>
  </si>
  <si>
    <t>Toronto London.</t>
  </si>
  <si>
    <t>United Electric Trams of Montevideo ordinary</t>
  </si>
  <si>
    <t>refers to 19111277219 &amp; 19111277218 &amp; 19111277217</t>
  </si>
  <si>
    <t>United Electric Trams of Montevideo 6 % cum. pref.</t>
  </si>
  <si>
    <t>United Electric Trams of Montevideo 5 % 1st deb. stk. red.</t>
  </si>
  <si>
    <t>African City Properties Lim.</t>
  </si>
  <si>
    <t>refers to 19111277221 &amp; 19111277220 &amp; 19111277222</t>
  </si>
  <si>
    <t xml:space="preserve">Do 5 % deb </t>
  </si>
  <si>
    <t xml:space="preserve">Alliance Investment 4 1/2 % pref </t>
  </si>
  <si>
    <t>Including Insurance or Depreciation Funds.; refers to 19111277223 &amp; 19111277225 &amp; 19111277224</t>
  </si>
  <si>
    <t>Alliance Investment 4 1/2 % pref.</t>
  </si>
  <si>
    <t>Do deferred stock</t>
  </si>
  <si>
    <t>Alliance Investment 4 1/2 % pref</t>
  </si>
  <si>
    <t>Alliance Trust Limited ord. stock</t>
  </si>
  <si>
    <t>refers to 19111277227 &amp; 19111277226</t>
  </si>
  <si>
    <t xml:space="preserve">Do 4 1/4 % preference </t>
  </si>
  <si>
    <t>American Invest. Trust L. 5 % pref.</t>
  </si>
  <si>
    <t>refers to 19111277230 &amp; 19111277228 &amp; 19111277229</t>
  </si>
  <si>
    <t>Anglo-Amer. Deb. Corp. Lim. (f)</t>
  </si>
  <si>
    <t>Also 15 % in Preference Brock.</t>
  </si>
  <si>
    <t>refers to 19111277233 &amp; 19111277232 &amp; 19111277231</t>
  </si>
  <si>
    <t>Anglo-Amer. Deb. Corp. Lim.</t>
  </si>
  <si>
    <t xml:space="preserve">Do 4 1/4 % cum. pref </t>
  </si>
  <si>
    <t xml:space="preserve">Army &amp; Navy Invest. 5 % cum. pref </t>
  </si>
  <si>
    <t>refers to 19111277235 &amp; 19111277236 &amp; 19111277234</t>
  </si>
  <si>
    <t>Army &amp; Navy Invest. 5 % cum. pref</t>
  </si>
  <si>
    <t>Bankers'' Invest. Trust 4 1/2 % cum. pref.</t>
  </si>
  <si>
    <t>refers to 19111277237 &amp; 19111277239 &amp; 19111277238</t>
  </si>
  <si>
    <t>Brewery &amp; Com. Invest. def. ord.</t>
  </si>
  <si>
    <t>British Empire Trust Pref. Ord.</t>
  </si>
  <si>
    <t>British Investment Trust 4 % min 5 % max. cm. pf.</t>
  </si>
  <si>
    <t>refers to 19111277242 &amp; 19111277244 &amp; 19111277243</t>
  </si>
  <si>
    <t>Edin.London.</t>
  </si>
  <si>
    <t>British Investment Trust deferred</t>
  </si>
  <si>
    <t>British Investment Trust 4 % deb. stock</t>
  </si>
  <si>
    <t>British Steamship Invest. Trust L 6 % cum. pref.</t>
  </si>
  <si>
    <t>Including Insurance or Depreciation Funds.; refers to 19111277246 &amp; 19111277245 &amp; 19111277247</t>
  </si>
  <si>
    <t>British Steamship Invest. Trust L deferred</t>
  </si>
  <si>
    <t>Do 4 1/2 % perp. deb. stock.</t>
  </si>
  <si>
    <t>Cent. Bahia Rail. Trust "A" Certs.</t>
  </si>
  <si>
    <t>refers to 19111277248 &amp; 19111277249</t>
  </si>
  <si>
    <t>Do "B" Certs.</t>
  </si>
  <si>
    <t>Charter Trust and Agency ord.</t>
  </si>
  <si>
    <t xml:space="preserve">Do 5 % cum. pref. stock </t>
  </si>
  <si>
    <t>Cold Storage Trust 7 % cum. pref</t>
  </si>
  <si>
    <t>Colonial Secs. Trust Lim. pref. (f)</t>
  </si>
  <si>
    <t>refers to 19111277253 &amp; 19111277254</t>
  </si>
  <si>
    <t>Colonial Secs. Trust Lim. pref.</t>
  </si>
  <si>
    <t>Consolidated Trust L 4 % 1st pref.</t>
  </si>
  <si>
    <t>refers to 19111277257 &amp; 19111277255 &amp; 19111277256 &amp; 19111277258</t>
  </si>
  <si>
    <t>Consolidated Trust L 5 % 2nd do</t>
  </si>
  <si>
    <t>Do 4 1/4 % perpetual deb.</t>
  </si>
  <si>
    <t>Debenture Securities Invest. ordinary</t>
  </si>
  <si>
    <t>Debenture Securities Invest. 4 % cum. pref.</t>
  </si>
  <si>
    <t xml:space="preserve">Edinburgh Invest. Trust 4 1/2 % pref. </t>
  </si>
  <si>
    <t>refers to 19111277262 &amp; 19111277261 &amp; 19111277263</t>
  </si>
  <si>
    <t>Edinburgh Invest. Trust 4 1/2 % pref.</t>
  </si>
  <si>
    <t>Foreign American and Gen. Invest pref.</t>
  </si>
  <si>
    <t>refers to 19111277266 &amp; 19111277264 &amp; 19111277265</t>
  </si>
  <si>
    <t>Foreign American and Gen. Invest. def.</t>
  </si>
  <si>
    <t xml:space="preserve">Foreign and Col. Invest. 5 % pref. </t>
  </si>
  <si>
    <t>refers to 19111277267 &amp; 19111277268</t>
  </si>
  <si>
    <t>Foreign and Col. Invest. 5 % pref.</t>
  </si>
  <si>
    <t xml:space="preserve">General &amp; Com. Invst. Trust L. pf. </t>
  </si>
  <si>
    <t>refers to 19111277270 &amp; 19111277269 &amp; 19111277271</t>
  </si>
  <si>
    <t>General &amp; Com. Invst. Trust L. pf.</t>
  </si>
  <si>
    <t xml:space="preserve">General Investors &amp; Trustees ord. </t>
  </si>
  <si>
    <t>refers to 19111277274 &amp; 19111277273 &amp; 19111277272</t>
  </si>
  <si>
    <t>General Investors &amp; Trustees ord.</t>
  </si>
  <si>
    <t>Do 4 1/2 % cum. pref. stock</t>
  </si>
  <si>
    <t>General Investors &amp; Trustees Ord.</t>
  </si>
  <si>
    <t xml:space="preserve">Do 4 % deb. stock red </t>
  </si>
  <si>
    <t>Globe Telegraph and Trust</t>
  </si>
  <si>
    <t>Pd. Qrly.</t>
  </si>
  <si>
    <t>refers to 19111277276 &amp; 19111277275</t>
  </si>
  <si>
    <t xml:space="preserve">Globe Telegraph and Trust </t>
  </si>
  <si>
    <t>Paid Mar;Jun;Sep;Dec</t>
  </si>
  <si>
    <t>Government &amp; General Investment L. preferred</t>
  </si>
  <si>
    <t>refers to 19111277277 &amp; 19111277278</t>
  </si>
  <si>
    <t>Government &amp; General Investment L. deferred</t>
  </si>
  <si>
    <t>Govts. Stock and other Sec. Invest. Lim. 5 % pref.</t>
  </si>
  <si>
    <t>refers to 19111277282 &amp; 19111277280 &amp; 19111277279 &amp; 19111277281</t>
  </si>
  <si>
    <t>Govts. Stock and other Sec. Invest. Lim. deferred</t>
  </si>
  <si>
    <t>Do 4 1/2 % second deb. stock red.</t>
  </si>
  <si>
    <t>Guardian Invest. Trust Lim. pref.</t>
  </si>
  <si>
    <t>refers to 19111277285 &amp; 19111277284 &amp; 19111277283</t>
  </si>
  <si>
    <t>Indian and General Invest 5 % cum. pref. (f)</t>
  </si>
  <si>
    <t>refers to 19111277286 &amp; 19111277287 &amp; 19111277288</t>
  </si>
  <si>
    <t>Indian and General Invest deferred (f)</t>
  </si>
  <si>
    <t>Indian and General Invest deferred</t>
  </si>
  <si>
    <t>Industrial and General Limited</t>
  </si>
  <si>
    <t>refers to 19111277290 &amp; 19111277291 &amp; 19111277289 &amp; 19111277292</t>
  </si>
  <si>
    <t>International Invest. Trust L. pre</t>
  </si>
  <si>
    <t>refers to 19111277402 &amp; 19111277401 &amp; 19111277403</t>
  </si>
  <si>
    <t>Investment Trust Corp. pref.</t>
  </si>
  <si>
    <t>refers to 19111277404 &amp; 19111277407 &amp; 19111277406 &amp; 19111277405</t>
  </si>
  <si>
    <t>Do 1907 and 1910 issues</t>
  </si>
  <si>
    <t>Lon. &amp; N.Y. Invest. Corp. Lim.</t>
  </si>
  <si>
    <t>refers to 19111277408 &amp; 19111277409 &amp; 19111277410</t>
  </si>
  <si>
    <t>Do 5 % 1st cum. pref</t>
  </si>
  <si>
    <t>Do 5 1/2 % non-cum. 2nd pref.</t>
  </si>
  <si>
    <t>London General Invest. cum. prf. (f)</t>
  </si>
  <si>
    <t>refers to 19111277411 &amp; 19111277412</t>
  </si>
  <si>
    <t>London General Invest. cum. prf.</t>
  </si>
  <si>
    <t xml:space="preserve">Lon. Scot. Amer. Trust Lim. pref. </t>
  </si>
  <si>
    <t>refers to 19111277414 &amp; 19111277415 &amp; 19111277413</t>
  </si>
  <si>
    <t>Lond.Edinburgh&amp;c.</t>
  </si>
  <si>
    <t>Lon. Scot. Amer. Trust Lim. pref.</t>
  </si>
  <si>
    <t>London Trust Lim. 6 % cum. pref.</t>
  </si>
  <si>
    <t>refers to 19111277418 &amp; 19111277419 &amp; 19111277416 &amp; 19111277417</t>
  </si>
  <si>
    <t>Do 3 1/2 % deb. red</t>
  </si>
  <si>
    <t>Mer. Invst. &amp; Gen. Tst. 5 % nn.-cm. pf.</t>
  </si>
  <si>
    <t>refers to 19111277423 &amp; 19111277422 &amp; 19111277421 &amp; 19111277420</t>
  </si>
  <si>
    <t>Do do ordinary</t>
  </si>
  <si>
    <t>Do 4 1/4 % 2nd deb. stock</t>
  </si>
  <si>
    <t xml:space="preserve">Merchants Lim. 4 % cum. pref </t>
  </si>
  <si>
    <t>Including Dividend Fund; refers to 19111277424 &amp; 19111277426 &amp; 19111277425</t>
  </si>
  <si>
    <t>Merchants Lim. 4 % cum. pref</t>
  </si>
  <si>
    <t xml:space="preserve">Do ordinary </t>
  </si>
  <si>
    <t xml:space="preserve">Do 4 % perp. deb. stock </t>
  </si>
  <si>
    <t xml:space="preserve">Metropolitan Trust </t>
  </si>
  <si>
    <t>refers to 19111277428 &amp; 19111277427</t>
  </si>
  <si>
    <t>Mex. Cent. Rly. Sec. 4 % "A" db. stk.</t>
  </si>
  <si>
    <t xml:space="preserve">Do 4 % "B" do </t>
  </si>
  <si>
    <t xml:space="preserve">Do 4 % "A" debentures </t>
  </si>
  <si>
    <t xml:space="preserve">Municipal Trust 5 % cum. pref </t>
  </si>
  <si>
    <t>refers to 19111277435 &amp; 19111277436 &amp; 19111277434 &amp; 19111277433 &amp; 19111277437</t>
  </si>
  <si>
    <t xml:space="preserve">Do 4 1/2 % debentures </t>
  </si>
  <si>
    <t xml:space="preserve">Do 4 1/2 % debentures "B" </t>
  </si>
  <si>
    <t>Do 4 1/2 % "C" deb. stock</t>
  </si>
  <si>
    <t>New Investment ordinary</t>
  </si>
  <si>
    <t>New Oil Properties</t>
  </si>
  <si>
    <t>North of Eng. Trustees &amp;c. (f)</t>
  </si>
  <si>
    <t>refers to 19111277440 &amp; 19111277441</t>
  </si>
  <si>
    <t>Manchstr.Lond.</t>
  </si>
  <si>
    <t>North of Eng. Trustees &amp;c.</t>
  </si>
  <si>
    <t>Do 3 1/2 % deb. stock perp.</t>
  </si>
  <si>
    <t>Omnium Investment pref.</t>
  </si>
  <si>
    <t>Including Depreciation Fund; refers to 19111277442 &amp; 19111277444 &amp; 19111277443</t>
  </si>
  <si>
    <t xml:space="preserve">Railway Deb. &amp; General Trust L. </t>
  </si>
  <si>
    <t>refers to 19111277447 &amp; 19111277446 &amp; 19111277445</t>
  </si>
  <si>
    <t xml:space="preserve">Railway Investment L. 4 % pref. </t>
  </si>
  <si>
    <t>0/45/6</t>
  </si>
  <si>
    <t>45/6</t>
  </si>
  <si>
    <t>0/39/3</t>
  </si>
  <si>
    <t>39/3</t>
  </si>
  <si>
    <t>0/40/9</t>
  </si>
  <si>
    <t>40/9</t>
  </si>
  <si>
    <t>refers to 19111277449 &amp; 19111277448</t>
  </si>
  <si>
    <t>GlasgowEdin.London.</t>
  </si>
  <si>
    <t>0/7/11</t>
  </si>
  <si>
    <t>0/8/9</t>
  </si>
  <si>
    <t>0/13/3</t>
  </si>
  <si>
    <t>Railway Share Trust L. "A" shrs</t>
  </si>
  <si>
    <t>refers to 19111277450 &amp; 19111277451</t>
  </si>
  <si>
    <t>Do 7 1/2 % "B" pref. stock</t>
  </si>
  <si>
    <t xml:space="preserve">Rhodesia Railways Trust </t>
  </si>
  <si>
    <t>R. Plate Gn. Inv. Trust 4 1/2 % Cm. Prf.</t>
  </si>
  <si>
    <t>refers to 19111277454 &amp; 19111277453</t>
  </si>
  <si>
    <t xml:space="preserve">Do 4 % debenture stock irred </t>
  </si>
  <si>
    <t>Rubber Plantations Invest. Trust</t>
  </si>
  <si>
    <t>(1st) Scottish Amer. Trust Co. Lim.</t>
  </si>
  <si>
    <t>DundeeAb''rdeen.</t>
  </si>
  <si>
    <t xml:space="preserve">(1st) Scottish Amer. Trust Co. Lim. </t>
  </si>
  <si>
    <t>2nd do do.</t>
  </si>
  <si>
    <t>3rd do do.</t>
  </si>
  <si>
    <t>Scottish Invest. Trust L. pref.</t>
  </si>
  <si>
    <t>refers to 19111277462 &amp; 19111277461 &amp; 19111277460</t>
  </si>
  <si>
    <t xml:space="preserve">2nd Scottish Invest. Trust L. pref. </t>
  </si>
  <si>
    <t>refers to 19111277463 &amp; 19111277464 &amp; 19111277465</t>
  </si>
  <si>
    <t>2nd Scottish Invest. Trust L. pref.</t>
  </si>
  <si>
    <t>Do 4 % perpetual deb.</t>
  </si>
  <si>
    <t xml:space="preserve">Scottish Tea and Rubber Trust </t>
  </si>
  <si>
    <t>South African &amp; Gen. Invest. &amp; Trust</t>
  </si>
  <si>
    <t>South African Gold Trust L.</t>
  </si>
  <si>
    <t>refers to 19111277470 &amp; 19111277468 &amp; 19111277469</t>
  </si>
  <si>
    <t>Do 5 1/2 % 1st debs. red.</t>
  </si>
  <si>
    <t>Stock Conv &amp; Invest. Trust stock</t>
  </si>
  <si>
    <t>refers to 19111277474 &amp; 19111277477 &amp; 19111277473 &amp; 19111277476 &amp; 19111277472 &amp; 19111277478 &amp; 19111277471 &amp; 19111277475</t>
  </si>
  <si>
    <t>Do L. &amp; N. W. 3 1/2 % 1st chge stk. (1)</t>
  </si>
  <si>
    <t>Do do 4 % 2nd charge stock (1)</t>
  </si>
  <si>
    <t>Do deferred charge stock (1)</t>
  </si>
  <si>
    <t>Do N.E. 3 % pref. stock (2)</t>
  </si>
  <si>
    <t>Do do deferred charge stock (2)</t>
  </si>
  <si>
    <t>U.S. and S. Amer. Inv. Trust L. prf.</t>
  </si>
  <si>
    <t>refers to 19111277479 &amp; 19111277481 &amp; 19111277480</t>
  </si>
  <si>
    <t>U. S. Trust Corp. Lim. 5 % cm. prf. (f)</t>
  </si>
  <si>
    <t>refers to 19111277482 &amp; 19111277483</t>
  </si>
  <si>
    <t>U. S. Trust Corp. Lim. 5 % cm. prf.</t>
  </si>
  <si>
    <t>Alexandria Water</t>
  </si>
  <si>
    <t xml:space="preserve">Antwerp Waterworks Limited </t>
  </si>
  <si>
    <t xml:space="preserve">Bristol Waterworks </t>
  </si>
  <si>
    <t>refers to 19111277487 &amp; 19111277486</t>
  </si>
  <si>
    <t xml:space="preserve">Do ordinary shares 1872 </t>
  </si>
  <si>
    <t>City of St. Petersburg N. Waterw L</t>
  </si>
  <si>
    <t>Colne Valley Water "A" 10 % ord. stk.</t>
  </si>
  <si>
    <t xml:space="preserve">Cons. Waterworks of Rosario </t>
  </si>
  <si>
    <t>(bonus)</t>
  </si>
  <si>
    <t>Including Depreciation Fund; refers to 19111277492 &amp; 19111277490 &amp; 19111277491</t>
  </si>
  <si>
    <t xml:space="preserve">Do 6 % preference </t>
  </si>
  <si>
    <t xml:space="preserve">Do 4 % redeemable debenture </t>
  </si>
  <si>
    <t xml:space="preserve">E. Surrey W. Co. ord. "B " max. 7 % </t>
  </si>
  <si>
    <t>Including Renewal Fund.</t>
  </si>
  <si>
    <t>Kimberley Waterworks Limited</t>
  </si>
  <si>
    <t xml:space="preserve">Montevideo Water Limited </t>
  </si>
  <si>
    <t>Including Insurance and Depreciation Funds; refers to 19111277602 &amp; 19111277604 &amp; 19111277603</t>
  </si>
  <si>
    <t xml:space="preserve">Do 5 % 1st debentures </t>
  </si>
  <si>
    <t xml:space="preserve">Do 5 % 2nd debentures </t>
  </si>
  <si>
    <t xml:space="preserve">Newcastle and Gateshead Water </t>
  </si>
  <si>
    <t>Including Depreciation Fund; refers to 19111277605 &amp; 19111277606 &amp; 19111277607</t>
  </si>
  <si>
    <t xml:space="preserve">Do Act 1876 </t>
  </si>
  <si>
    <t xml:space="preserve">S. Staffordshire Water A (10 % max.) </t>
  </si>
  <si>
    <t>Including Depreciation Fund; refers to 19111277610 &amp; 19111277608 &amp; 19111277611 &amp; 19111277609</t>
  </si>
  <si>
    <t>S. Staffordshire Water A (10 % max.)</t>
  </si>
  <si>
    <t xml:space="preserve">Do maximum 7 % B </t>
  </si>
  <si>
    <t>Including Depreciation Funds; refers to 19111277610 &amp; 19111277608 &amp; 19111277611 &amp; 19111277609</t>
  </si>
  <si>
    <t xml:space="preserve">Do 5 % preference A B C D E F </t>
  </si>
  <si>
    <t xml:space="preserve">Do 4 % debenture stock </t>
  </si>
  <si>
    <t>S. Essex W''wks. ord. 1861 10 % max.</t>
  </si>
  <si>
    <t>Including Renewal Fund; refers to 19111277612 &amp; 19111277613</t>
  </si>
  <si>
    <t xml:space="preserve">Do ord. 1882 7 % max. </t>
  </si>
  <si>
    <t xml:space="preserve">Sunderland and S. Shields Water </t>
  </si>
  <si>
    <t xml:space="preserve">Sutton District Water </t>
  </si>
  <si>
    <t>Tarapaca Water Limited</t>
  </si>
  <si>
    <t>Aerated Bread Co. Limited</t>
  </si>
  <si>
    <t>African Association Limited (f)</t>
  </si>
  <si>
    <t>Including Depreciation Fund</t>
  </si>
  <si>
    <t xml:space="preserve">Alby United Carbide Factories L. </t>
  </si>
  <si>
    <t xml:space="preserve">Alhambra Co. Limited </t>
  </si>
  <si>
    <t>Alldays and Onions Limited</t>
  </si>
  <si>
    <t>refers to 19111277621 &amp; 19111277622</t>
  </si>
  <si>
    <t>Apr;Dec</t>
  </si>
  <si>
    <t>Amalgamated Press L. 5 % cm. prf</t>
  </si>
  <si>
    <t>Amer. Thread Co. 5 % cm. pf. or stg. sh.</t>
  </si>
  <si>
    <t>Do 4 % gold or ster. bonds 1919</t>
  </si>
  <si>
    <t xml:space="preserve">Anglo-Continental Supply Co. Lim. </t>
  </si>
  <si>
    <t>Angus and Co. (G.) L. ordinary</t>
  </si>
  <si>
    <t>refers to 19111277627 &amp; 19111277629 &amp; 19111277628</t>
  </si>
  <si>
    <t>NewcastleLiverp.</t>
  </si>
  <si>
    <t xml:space="preserve">Do 4 % debentures </t>
  </si>
  <si>
    <t xml:space="preserve">Anglo-Russian Cotton Factories L. </t>
  </si>
  <si>
    <t xml:space="preserve">Apollinaris and Johannis Limited </t>
  </si>
  <si>
    <t>refers to 19111277631 &amp; 19111277633 &amp; 19111277632</t>
  </si>
  <si>
    <t xml:space="preserve">Do 5 % cum. preference </t>
  </si>
  <si>
    <t>Do 4 % irred. debenture stock</t>
  </si>
  <si>
    <t xml:space="preserve">Armitage (Sir Elkanah) &amp; Sons L. </t>
  </si>
  <si>
    <t>Artillery Mansions 4 % 1st mrt. db. rd.</t>
  </si>
  <si>
    <t>Artizans Lab. &amp; Gen. Dwellings L.</t>
  </si>
  <si>
    <t>Including Insurance and Depreciation Funds; refers to 19111277638 &amp; 19111277636 &amp; 19111277637</t>
  </si>
  <si>
    <t>Do 4 1/2 % non-cum. pref. 1879</t>
  </si>
  <si>
    <t>Do 4 1/2 % non-cum. pref. 1884</t>
  </si>
  <si>
    <t>Ash (Claudius) Sons &amp; Co. 5 1/2 % cm. pf.</t>
  </si>
  <si>
    <t>Ashley Gardens Properties L 5 1/4 % cm. pf.</t>
  </si>
  <si>
    <t>refers to 19111277641 &amp; 19111277640</t>
  </si>
  <si>
    <t>Ashley Gardens Properties L. 4 1/4 % deb</t>
  </si>
  <si>
    <t>Ashton Brothers and Company L.</t>
  </si>
  <si>
    <t>refers to 19111277642 &amp; 19111277644 &amp; 19111277643</t>
  </si>
  <si>
    <t xml:space="preserve">Do 5 % cumulative preference </t>
  </si>
  <si>
    <t xml:space="preserve">Asprey and Co. L. 5 1/2 % cum. pref </t>
  </si>
  <si>
    <t>Assam Railways &amp; Trading Co. L. 8 % cm. "A" stock</t>
  </si>
  <si>
    <t>Including Depreciation Fund; refers to 19111277648 &amp; 19111277646 &amp; 19111277647 &amp; 19111277650 &amp; 19111277649</t>
  </si>
  <si>
    <t>Do "B" stock</t>
  </si>
  <si>
    <t>Do 8 % pre-pref. "A"</t>
  </si>
  <si>
    <t xml:space="preserve">Do new 6 % preference </t>
  </si>
  <si>
    <t xml:space="preserve">Do 4 1/2 % debenture stock red. </t>
  </si>
  <si>
    <t>Associated Newspapers L 5 % cm. prf.</t>
  </si>
  <si>
    <t>Assoc. Portland Cement Mfs. (1900) L.</t>
  </si>
  <si>
    <t>Including Insurance and Depreciation Funds; refers to 19111277652 &amp; 19111277654 &amp; 19111277653 &amp; 19111277655</t>
  </si>
  <si>
    <t>Do 5 1/2 % cum. preference</t>
  </si>
  <si>
    <t xml:space="preserve">Do 4 1/4 % debenture stock </t>
  </si>
  <si>
    <t>Do 5 % 2nd deb. stk. red.</t>
  </si>
  <si>
    <t>Australian Pastoral Co. L. ord. stk.</t>
  </si>
  <si>
    <t xml:space="preserve">Aux Classes Laborieuses Ltd. ord. </t>
  </si>
  <si>
    <t>refers to 19111277657 &amp; 19111277658</t>
  </si>
  <si>
    <t>Aux Classes Laborieuses Ltd. ord.</t>
  </si>
  <si>
    <t xml:space="preserve">Aylesbury Dairy Co. Limited </t>
  </si>
  <si>
    <t>Baker (Albert) and Co. (1898) Lim</t>
  </si>
  <si>
    <t>Baker C. &amp; Co. L. pref. 8 %</t>
  </si>
  <si>
    <t>refers to 19111277662 &amp; 19111277661</t>
  </si>
  <si>
    <t>Do "B" 8 % cum. preference</t>
  </si>
  <si>
    <t>Baltic Merc. &amp; Shipp''g Ex. 3 3/4 % irr. db</t>
  </si>
  <si>
    <t xml:space="preserve">Do 4 1/2 % "B" debenture red </t>
  </si>
  <si>
    <t>Barker (John &amp; Co.) Limited (f)</t>
  </si>
  <si>
    <t>refers to 19111277665 &amp; 19111277667 &amp; 19111277668 &amp; 19111277666</t>
  </si>
  <si>
    <t>Barker (John &amp; Co.) Limited</t>
  </si>
  <si>
    <t xml:space="preserve">Barlow and Jones Limited </t>
  </si>
  <si>
    <t>refers to 19111277669 &amp; 19111277671 &amp; 19111277670</t>
  </si>
  <si>
    <t>Barry Ostlere and Shepherd Lim</t>
  </si>
  <si>
    <t>refers to 19111277674 &amp; 19111277672 &amp; 19111277673</t>
  </si>
  <si>
    <t>Bath Stone Firms Limited</t>
  </si>
  <si>
    <t>Bath Bristol.</t>
  </si>
  <si>
    <t xml:space="preserve">Belgravia Dairy Limited </t>
  </si>
  <si>
    <t>Bell''s United Asbestos Limited</t>
  </si>
  <si>
    <t>Bell R. and Co. Limited</t>
  </si>
  <si>
    <t>Belsize Motors Limited</t>
  </si>
  <si>
    <t>Benger''s Food Limited</t>
  </si>
  <si>
    <t>refers to 19111277680 &amp; 19111277681</t>
  </si>
  <si>
    <t>Benson (J. W.) 5 % cum. pref</t>
  </si>
  <si>
    <t>refers to 19111277682 &amp; 19111277683</t>
  </si>
  <si>
    <t>Bergvik Lim. 6 % pref</t>
  </si>
  <si>
    <t>refers to 19111277684 &amp; 19111277686 &amp; 19111277685</t>
  </si>
  <si>
    <t>Birmingham Rly. Car. &amp; Waggon L.</t>
  </si>
  <si>
    <t>refers to 19111277688 &amp; 19111277687</t>
  </si>
  <si>
    <t>Birmingham Small Arms Lim.</t>
  </si>
  <si>
    <t>Blackpool Tower Lim</t>
  </si>
  <si>
    <t xml:space="preserve">Bleachers'' Assoc. L. ord </t>
  </si>
  <si>
    <t>Including Insurance and Depreciation Funds; refers to 19111277693 &amp; 19111277692 &amp; 19111277694</t>
  </si>
  <si>
    <t>ManchesterLiverpool&amp;c.</t>
  </si>
  <si>
    <t>Bleachers'' Assoc. L. ord</t>
  </si>
  <si>
    <t>Do 4 1/2 % 1st mort. deb. stock</t>
  </si>
  <si>
    <t xml:space="preserve">Bodega Limited </t>
  </si>
  <si>
    <t>refers to 19111277802 &amp; 19111277803 &amp; 19111277801</t>
  </si>
  <si>
    <t xml:space="preserve">Borax Cons. 6 % non cum. prf. ord. </t>
  </si>
  <si>
    <t>refers to 19111277804 &amp; 19111277807 &amp; 19111277806 &amp; 19111277808 &amp; 19111277805</t>
  </si>
  <si>
    <t>Borax Cons. 6 % non cum. prf. ord.</t>
  </si>
  <si>
    <t>Do def. ord</t>
  </si>
  <si>
    <t xml:space="preserve">Do 5 % 2nd deb. stock </t>
  </si>
  <si>
    <t xml:space="preserve">Bovril Lim. 7 % cum. ordinary </t>
  </si>
  <si>
    <t>refers to 19111277809 &amp; 19111277812 &amp; 19111277811 &amp; 19111277810</t>
  </si>
  <si>
    <t>Bovril Lim. 7 % cum. ordinary</t>
  </si>
  <si>
    <t xml:space="preserve">Do 5 1/2 % cum. pref </t>
  </si>
  <si>
    <t>Braby Frederick &amp; Co. Limited</t>
  </si>
  <si>
    <t>0/2/6</t>
  </si>
  <si>
    <t>interim; 2/6</t>
  </si>
  <si>
    <t>0/15/6</t>
  </si>
  <si>
    <t>refers to 19111277814 &amp; 19111277813</t>
  </si>
  <si>
    <t xml:space="preserve">Do 7 % preference shares </t>
  </si>
  <si>
    <t>Bradbury Greatorex &amp; Co. Lim</t>
  </si>
  <si>
    <t>refers to 19111277816 &amp; 19111277815</t>
  </si>
  <si>
    <t xml:space="preserve">Bradford Coal Mer. and Con. pref. </t>
  </si>
  <si>
    <t>Brad. &amp; London.</t>
  </si>
  <si>
    <t xml:space="preserve">Bradford Dyers'' Association </t>
  </si>
  <si>
    <t>refers to 19111277820 &amp; 19111277819 &amp; 19111277818</t>
  </si>
  <si>
    <t>Bristol &amp; S. Wales Rly. Wagon L</t>
  </si>
  <si>
    <t>BristolCardiff.</t>
  </si>
  <si>
    <t>British Aluminium Co. ordinary</t>
  </si>
  <si>
    <t xml:space="preserve">Do 6 % non cum. pref </t>
  </si>
  <si>
    <t xml:space="preserve">Do 5 % prior lien debs. red </t>
  </si>
  <si>
    <t xml:space="preserve">Do debenture stock red </t>
  </si>
  <si>
    <t xml:space="preserve">British Automatic Co. Limited </t>
  </si>
  <si>
    <t xml:space="preserve">British Cotton and Wool Dyers </t>
  </si>
  <si>
    <t>Including Insurance and Depreciation Funds.; refers to 19111277827 &amp; 19111277828</t>
  </si>
  <si>
    <t xml:space="preserve">British Insulated &amp; Helsby Cables </t>
  </si>
  <si>
    <t>refers to 19111277829 &amp; 19111277831 &amp; 19111277830</t>
  </si>
  <si>
    <t>LondonManchester&amp;c.</t>
  </si>
  <si>
    <t xml:space="preserve">Do 4 1/2 % red. deb. stock </t>
  </si>
  <si>
    <t xml:space="preserve">Do 5 % mt. deb. stock red </t>
  </si>
  <si>
    <t xml:space="preserve">British Moss Litter </t>
  </si>
  <si>
    <t>refers to 19111277833 &amp; 19111277834</t>
  </si>
  <si>
    <t>British Oil and Cake Mills ordinary</t>
  </si>
  <si>
    <t>refers to 19111277836 &amp; 19111277837 &amp; 19111277835</t>
  </si>
  <si>
    <t>British Oil and Cake Mills 5 1/2 % pref.</t>
  </si>
  <si>
    <t xml:space="preserve">Do 4 1/4 % deb. stock </t>
  </si>
  <si>
    <t xml:space="preserve">British Wagon Limited </t>
  </si>
  <si>
    <t>British Westinghouse Elec. and Man. Co. 10 % pref.</t>
  </si>
  <si>
    <t>refers to 19111277839 &amp; 19111277840</t>
  </si>
  <si>
    <t>British Westinghouse Elec. and Man. Co. 4 % deb. stock</t>
  </si>
  <si>
    <t xml:space="preserve">Brooke Bond &amp; Co. Lim. </t>
  </si>
  <si>
    <t xml:space="preserve">Brookfield Linen Limited </t>
  </si>
  <si>
    <t>Brunner Mond and Co. Lim.</t>
  </si>
  <si>
    <t>refers to 19111277844 &amp; 19111277843</t>
  </si>
  <si>
    <t>Bryant &amp; May L. 14 % cum. pref.</t>
  </si>
  <si>
    <t>refers to 19111277846 &amp; 19111277845 &amp; 19111277847</t>
  </si>
  <si>
    <t xml:space="preserve">Bryant &amp; May L. 14 % cum pref. </t>
  </si>
  <si>
    <t>Do 4 % deb. red</t>
  </si>
  <si>
    <t>Bucknall (H) &amp; Sons Limited</t>
  </si>
  <si>
    <t>refers to 19111277848 &amp; 19111277849</t>
  </si>
  <si>
    <t>Bull (Henry) and Co.</t>
  </si>
  <si>
    <t>refers to 19111277850 &amp; 19111277851</t>
  </si>
  <si>
    <t xml:space="preserve">Burke (Ed. &amp; John) Limited </t>
  </si>
  <si>
    <t>refers to 19111277852 &amp; 19111277853 &amp; 19111277854</t>
  </si>
  <si>
    <t>Dublin&amp;c.</t>
  </si>
  <si>
    <t>Burke (Ed. &amp; John) Lim.</t>
  </si>
  <si>
    <t xml:space="preserve">Do 6 % debs. </t>
  </si>
  <si>
    <t xml:space="preserve">Burlington Hotels </t>
  </si>
  <si>
    <t>refers to 19111277857 &amp; 19111277856 &amp; 19111277855</t>
  </si>
  <si>
    <t>Bush (W.J.) &amp; Co. 5 % cum. pref.</t>
  </si>
  <si>
    <t>refers to 19111277859 &amp; 19111277858</t>
  </si>
  <si>
    <t xml:space="preserve">Buxton Lime Firms </t>
  </si>
  <si>
    <t>refers to 19111277861 &amp; 19111277860</t>
  </si>
  <si>
    <t>Sheffield&amp;c.</t>
  </si>
  <si>
    <t xml:space="preserve">Do 5 % deb. 1912 </t>
  </si>
  <si>
    <t>Calico Printers'' Association</t>
  </si>
  <si>
    <t>Including Insurance and Depreciation Funds.; refers to 19111277862 &amp; 19111277864 &amp; 19111277863</t>
  </si>
  <si>
    <t>Manchester and London.</t>
  </si>
  <si>
    <t xml:space="preserve">Callard Stewart and Watt ord. </t>
  </si>
  <si>
    <t>refers to 19111277865 &amp; 19111277866</t>
  </si>
  <si>
    <t>Callard Stewart and Watt ord.</t>
  </si>
  <si>
    <t>Do 5 1/2 % pref.</t>
  </si>
  <si>
    <t xml:space="preserve">Callender''s Cable and Construction </t>
  </si>
  <si>
    <t>refers to 19111277867 &amp; 19111277869 &amp; 19111277868</t>
  </si>
  <si>
    <t>Campbell (R.) &amp; Sons</t>
  </si>
  <si>
    <t xml:space="preserve">Canada Cement Co. Lim. ordinary </t>
  </si>
  <si>
    <t xml:space="preserve">Do 7 % cum. pref. </t>
  </si>
  <si>
    <t xml:space="preserve">Canadian Car &amp; Foundry com. stk. </t>
  </si>
  <si>
    <t>refers to 19111277873 &amp; 19111277874</t>
  </si>
  <si>
    <t xml:space="preserve">Do 7 % cum. pref </t>
  </si>
  <si>
    <t xml:space="preserve">Canadian Westrn. Lumber 5 % deb. stk </t>
  </si>
  <si>
    <t xml:space="preserve">Cannock and Co. Limited </t>
  </si>
  <si>
    <t>Carlton Hotel ordinary</t>
  </si>
  <si>
    <t>refers to 19111277879 &amp; 19111277877 &amp; 19111277880 &amp; 19111277878</t>
  </si>
  <si>
    <t>31Jan;31Jul</t>
  </si>
  <si>
    <t xml:space="preserve">Cassell &amp; Co. Limited. </t>
  </si>
  <si>
    <t>Cassel Cyanide</t>
  </si>
  <si>
    <t xml:space="preserve">Castner-Kellner Alkali Limited </t>
  </si>
  <si>
    <t>Including Depreciation Fund; refers to 19111277884 &amp; 19111277883</t>
  </si>
  <si>
    <t>Causton (Sir J. &amp; Sons) 5 % cum. pref.</t>
  </si>
  <si>
    <t xml:space="preserve">Central Mill Company Limited </t>
  </si>
  <si>
    <t>Manchester &amp; Old.</t>
  </si>
  <si>
    <t xml:space="preserve">Chadburn''s (Ship) Telegraph </t>
  </si>
  <si>
    <t>Liverpool.Lond.</t>
  </si>
  <si>
    <t xml:space="preserve">Chaplin (W..H.) &amp; Co. L. 5 % cm. pf </t>
  </si>
  <si>
    <t xml:space="preserve">Chinese Engineering and Mining </t>
  </si>
  <si>
    <t>Chinese Engineering and Mining</t>
  </si>
  <si>
    <t>City and West End Properties cum. pref</t>
  </si>
  <si>
    <t>refers to 19111277892 &amp; 19111277891</t>
  </si>
  <si>
    <t>City and West End Properties 4 % deb. red.</t>
  </si>
  <si>
    <t>City of London Real Property L.</t>
  </si>
  <si>
    <t>refers to 19111277893 &amp; 19111277895 &amp; 19111277896 &amp; 19111277894</t>
  </si>
  <si>
    <t xml:space="preserve">City of London Real Property L </t>
  </si>
  <si>
    <t xml:space="preserve">Do 3 3/4 % debenture stock </t>
  </si>
  <si>
    <t>Do 3 % debentures redeemable</t>
  </si>
  <si>
    <t>City of Santos Improvements ord.</t>
  </si>
  <si>
    <t>refers to 19111278001 &amp; 19111278003 &amp; 19111278002</t>
  </si>
  <si>
    <t>Do 6 % cumulative preference</t>
  </si>
  <si>
    <t>Do 5 % First Charge debs. red</t>
  </si>
  <si>
    <t>City Offices Limited</t>
  </si>
  <si>
    <t>0/4/6</t>
  </si>
  <si>
    <t>refers to 19111278004 &amp; 19111278005</t>
  </si>
  <si>
    <t>Do 3 1/2 % debenture stock</t>
  </si>
  <si>
    <t>Do unsecured debentures</t>
  </si>
  <si>
    <t>Clay H. &amp; Bock &amp; Co. 8 % cum. pref.</t>
  </si>
  <si>
    <t>Dr; refers to 19111278007 &amp; 19111278008</t>
  </si>
  <si>
    <t>Do 6 % debentures</t>
  </si>
  <si>
    <t>Coats J. and P. ordinary</t>
  </si>
  <si>
    <t>refers to 19111278011 &amp; 19111278009 &amp; 19111278010</t>
  </si>
  <si>
    <t>Do 20 % non. cum. pref. ordinary</t>
  </si>
  <si>
    <t>Colonial Consignment &amp; Distributing L. preference</t>
  </si>
  <si>
    <t>refers to 19111278012 &amp; 19111278013</t>
  </si>
  <si>
    <t>Colonial Consignment &amp; Distributing L. 4 1/2 % deb.</t>
  </si>
  <si>
    <t xml:space="preserve">Columb. Riv. Lumber 5 % db. stk. red. </t>
  </si>
  <si>
    <t>Cons. Lon. Proprts. 5 1/4 % cum. pref.</t>
  </si>
  <si>
    <t>refers to 19111278015 &amp; 19111278016</t>
  </si>
  <si>
    <t>Consolidated Signal Co. ord.</t>
  </si>
  <si>
    <t>Cook (Edward) &amp; Co. 5 % cum. pref.</t>
  </si>
  <si>
    <t>refers to 19111278020 &amp; 19111278019</t>
  </si>
  <si>
    <t>Do 4 % 1st mt. deb. stock red.</t>
  </si>
  <si>
    <t>Cory (Horace) and Co</t>
  </si>
  <si>
    <t>Courtauld (Samuel) &amp; Co. 5 1/2 % cm. pf.</t>
  </si>
  <si>
    <t>refers to 19111278022 &amp; 19111278023</t>
  </si>
  <si>
    <t>Crocker Sons and Co.</t>
  </si>
  <si>
    <t>refers to 19111278025 &amp; 19111278024 &amp; 19111278026</t>
  </si>
  <si>
    <t>Crompton Spinning Limited</t>
  </si>
  <si>
    <t xml:space="preserve">Crosfield J. and Sons 5 % pre-pref. </t>
  </si>
  <si>
    <t>refers to 19111278028 &amp; 19111278030 &amp; 19111278029</t>
  </si>
  <si>
    <t>Liverpool&amp;c.</t>
  </si>
  <si>
    <t>Crosfield J. and Sons 5 % pre-pref.</t>
  </si>
  <si>
    <t>Do 4 1/4 % 1st mt. deb. irred</t>
  </si>
  <si>
    <t>Do 4 1/2 % deb. "A"</t>
  </si>
  <si>
    <t>Crosses and Winkworth Limited</t>
  </si>
  <si>
    <t>Crossley J. &amp; Sons Limited</t>
  </si>
  <si>
    <t>refers to 19111278032 &amp; 19111278033</t>
  </si>
  <si>
    <t>Crossley Bros. ordinary</t>
  </si>
  <si>
    <t>refers to 19111278034 &amp; 19111278035</t>
  </si>
  <si>
    <t>M''chesterLond.</t>
  </si>
  <si>
    <t>Crystal Palace 3 % 1st (1895) deb.</t>
  </si>
  <si>
    <t>Curtis''s and Harvey 4 1/4 % deb.</t>
  </si>
  <si>
    <t>Dalgety and Co. Limited</t>
  </si>
  <si>
    <t>refers to 19111278040 &amp; 19111278038 &amp; 19111278041 &amp; 19111278039</t>
  </si>
  <si>
    <t>Darracq (A.) and Co. (1905)</t>
  </si>
  <si>
    <t>refers to 19111278043 &amp; 19111278042</t>
  </si>
  <si>
    <t>Do 7 % Partg. to 10 % Pref.</t>
  </si>
  <si>
    <t>Day and Martin</t>
  </si>
  <si>
    <t>Debenhams 5 % cum. pref.</t>
  </si>
  <si>
    <t>De Keyser''s Royal Hotel</t>
  </si>
  <si>
    <t>Including Sinking Fund.; refers to 19111278047 &amp; 19111278046 &amp; 19111278048</t>
  </si>
  <si>
    <t>Devas Routledge &amp; Co. Limited</t>
  </si>
  <si>
    <t xml:space="preserve">Dewhurst (Geo. &amp; R.) 4 1/2 % cum. pref </t>
  </si>
  <si>
    <t>Dick Kerr and Co. Limited</t>
  </si>
  <si>
    <t>refers to 19111278053 &amp; 19111278052 &amp; 19111278051</t>
  </si>
  <si>
    <t>Dick (R. &amp; J.) Lim. 5 1/2 % cum. pref.</t>
  </si>
  <si>
    <t>Dickins and Jones 5 % cum. pref.</t>
  </si>
  <si>
    <t>Including Sinking Fund.</t>
  </si>
  <si>
    <t xml:space="preserve">Dickinson (John) and Co. 5 % pref. </t>
  </si>
  <si>
    <t>refers to 19111278056 &amp; 19111278057</t>
  </si>
  <si>
    <t>Do 5 % cum. 2nd pref. stock</t>
  </si>
  <si>
    <t>Doeuillet</t>
  </si>
  <si>
    <t xml:space="preserve">Dominion Sawmills &amp; c. 6 % deb. rd </t>
  </si>
  <si>
    <t>Doulton and Co. 5 % cum. pref.</t>
  </si>
  <si>
    <t>Dr; refers to 19111278061 &amp; 19111278060</t>
  </si>
  <si>
    <t>Dublin Artizans'' Dwellings</t>
  </si>
  <si>
    <t>Dublin (South) City Market</t>
  </si>
  <si>
    <t>Dunlop Pneu. Tyre Co. 8 % cum. Ord.</t>
  </si>
  <si>
    <t>refers to 19111278064 &amp; 19111278066 &amp; 19111278065</t>
  </si>
  <si>
    <t>LondonDublin.</t>
  </si>
  <si>
    <t>Dunlop Pneu. Tyre Co. 8 % cum. ord.</t>
  </si>
  <si>
    <t>Do def.</t>
  </si>
  <si>
    <t>E. C. Powder</t>
  </si>
  <si>
    <t>Including Insurance.</t>
  </si>
  <si>
    <t>E. Ind. Dis. &amp; Sugar Fac. 7 % cm. pf.</t>
  </si>
  <si>
    <t>Eastman Kodak com. shares</t>
  </si>
  <si>
    <t>paid qrtly</t>
  </si>
  <si>
    <t>refers to 19111278069 &amp; 19111278070</t>
  </si>
  <si>
    <t>Eastman''s Limited</t>
  </si>
  <si>
    <t>refers to 19111278072 &amp; 19111278071</t>
  </si>
  <si>
    <t>Edison and Swan United Electric Light "A"</t>
  </si>
  <si>
    <t>refers to 19111278074 &amp; 19111278075 &amp; 19111278073</t>
  </si>
  <si>
    <t>Egyptian Markets</t>
  </si>
  <si>
    <t>Egyptian Salt and Soda</t>
  </si>
  <si>
    <t>£ E</t>
  </si>
  <si>
    <t>Electric Construction Limited</t>
  </si>
  <si>
    <t>(for  year)</t>
  </si>
  <si>
    <t>refers to 19111278078 &amp; 19111278079</t>
  </si>
  <si>
    <t>Eley Brothers Limited</t>
  </si>
  <si>
    <t>Elysee Palace Hotel</t>
  </si>
  <si>
    <t>Enfield Cycle</t>
  </si>
  <si>
    <t>refers to 19111278085 &amp; 19111278083 &amp; 19111278084</t>
  </si>
  <si>
    <t>ManchesterLondon&amp;c.</t>
  </si>
  <si>
    <t>Do 5 % cum. Pref.</t>
  </si>
  <si>
    <t>English Velvet and Cord Dyers</t>
  </si>
  <si>
    <t>refers to 19111278087 &amp; 19111278086</t>
  </si>
  <si>
    <t>Evans (Ben) &amp; Co. Limited (f)</t>
  </si>
  <si>
    <t>Evans (D. H.) &amp; Co. Limited (f)</t>
  </si>
  <si>
    <t>refers to 19111278090 &amp; 19111278089</t>
  </si>
  <si>
    <t>Evans (D. H.) &amp; Co. Limited</t>
  </si>
  <si>
    <t>Do Founders'' Shares</t>
  </si>
  <si>
    <t>0/1/11</t>
  </si>
  <si>
    <t>0/0/8</t>
  </si>
  <si>
    <t>interim; 8 d</t>
  </si>
  <si>
    <t>Farmer and Co. 6 % cum. Pref.</t>
  </si>
  <si>
    <t>Faudels 5 % cum. pref.</t>
  </si>
  <si>
    <t>Field (J. C. &amp; J.) Limited</t>
  </si>
  <si>
    <t>Fine Cotton Spinners and Doubler''s Association ordinary</t>
  </si>
  <si>
    <t>refers to 19111278202 &amp; 19111278201 &amp; 19111278204 &amp; 19111278203</t>
  </si>
  <si>
    <t>Manch.Lond&amp;c.</t>
  </si>
  <si>
    <t>Fine Cotton Spinners and Doublers'' Association 5 % pref.</t>
  </si>
  <si>
    <t>Do 4 % red. debs.</t>
  </si>
  <si>
    <t>Do 4 % extens. deb. red.</t>
  </si>
  <si>
    <t>Fordham W. B. &amp; Sons Limited</t>
  </si>
  <si>
    <t>Fore Street Warehouse Co. Lim.</t>
  </si>
  <si>
    <t>0/2/9</t>
  </si>
  <si>
    <t>interim;2/9</t>
  </si>
  <si>
    <t>0/5/6</t>
  </si>
  <si>
    <t>Foster Porter and Co. Limited</t>
  </si>
  <si>
    <t>8/</t>
  </si>
  <si>
    <t>Fowler D. and J. 5 1/2 % cum. pref.</t>
  </si>
  <si>
    <t>refers to 19111278208 &amp; 19111278209</t>
  </si>
  <si>
    <t>Fox Samuel and Co. Limited</t>
  </si>
  <si>
    <t>Frederick Hotels 5 1/2 % pref.</t>
  </si>
  <si>
    <t>refers to 19111278211 &amp; 19111278212</t>
  </si>
  <si>
    <t>General Electric 5 % cum. pref.</t>
  </si>
  <si>
    <t>refers to 19111278213 &amp; 19111278214</t>
  </si>
  <si>
    <t xml:space="preserve">Do 4 % deb. stock </t>
  </si>
  <si>
    <t>General Hydraulic Power Limited</t>
  </si>
  <si>
    <t>Gilbey (W. and A.) 4 % deb.</t>
  </si>
  <si>
    <t>Glasgow Cotton Spinning</t>
  </si>
  <si>
    <t>nil;interim</t>
  </si>
  <si>
    <t>Glasgow Royal Exchange</t>
  </si>
  <si>
    <t>Glenboig Union Fire-Clay Limited</t>
  </si>
  <si>
    <t>Gloucester Rly. Car. &amp;c. Co. Lim.</t>
  </si>
  <si>
    <t>Goldsbrough Mort. &amp; Co. red. deb. stock A</t>
  </si>
  <si>
    <t>Goldsbrough Mort. &amp; Co. red. deb. stock B</t>
  </si>
  <si>
    <t>Goldsmiths'' &amp; Silversmiths'' Co. ord.</t>
  </si>
  <si>
    <t>refers to 19111278223 &amp; 19111278224</t>
  </si>
  <si>
    <t>Gordon Hotels Limited</t>
  </si>
  <si>
    <t>refers to 19111278229 &amp; 19111278227 &amp; 19111278228 &amp; 19111278225 &amp; 19111278226</t>
  </si>
  <si>
    <t>Do 3 3/4 % deb. stock</t>
  </si>
  <si>
    <t>Gorringe (Frederick) Limited</t>
  </si>
  <si>
    <t>refers to 19111278230 &amp; 19111278231</t>
  </si>
  <si>
    <t>Do 5 % partic. cum. pref.</t>
  </si>
  <si>
    <t>Goulding W. &amp; H. M. Limited</t>
  </si>
  <si>
    <t>refers to 19111278233 &amp; 19111278232</t>
  </si>
  <si>
    <t>CorkDublin.</t>
  </si>
  <si>
    <t>Gramophone Co. Limited</t>
  </si>
  <si>
    <t>for 1906-1907</t>
  </si>
  <si>
    <t>refers to 19111278235 &amp; 19111278234</t>
  </si>
  <si>
    <t>Greenwich Inlaid Linoleum Lim.</t>
  </si>
  <si>
    <t>refers to 19111278238 &amp; 19111278236 &amp; 19111278237</t>
  </si>
  <si>
    <t>Greenwood &amp; Batley ordinary</t>
  </si>
  <si>
    <t>Harrison Barber &amp; Co. Limited</t>
  </si>
  <si>
    <t>Harrisons &amp; Crosfield 5 1/2 % cum. prf.</t>
  </si>
  <si>
    <t>Harrod''s Stores Limited (f)</t>
  </si>
  <si>
    <t>refers to 19111278242 &amp; 19111278243</t>
  </si>
  <si>
    <t>Harrod''s Stores Limited</t>
  </si>
  <si>
    <t>Harrod''s Stores founder''s shares</t>
  </si>
  <si>
    <t>Havana Cigar and Tobacco Factories pref.</t>
  </si>
  <si>
    <t>Havana Cigar and Tobacco Factories 5 1/2 % deb</t>
  </si>
  <si>
    <t>Henley''s (W. T.) Tlgrph Works Limited ord.</t>
  </si>
  <si>
    <t>refers to 19111278249 &amp; 19111278248 &amp; 19111278247</t>
  </si>
  <si>
    <t>Henley''s (W. T.) Tlgrph Works Limited 4 1/2 % pref.</t>
  </si>
  <si>
    <t>Do 4 1/2 % deb. stock red. after 1915</t>
  </si>
  <si>
    <t>Henry (A. &amp; S.) &amp; Co. Limited</t>
  </si>
  <si>
    <t>refers to 19111278251 &amp; 19111278250 &amp; 19111278252</t>
  </si>
  <si>
    <t>Do 5 % cum. preference</t>
  </si>
  <si>
    <t>Do 4 1/4 % debentures</t>
  </si>
  <si>
    <t>Hill R. and J.</t>
  </si>
  <si>
    <t>refers to 19111278253 &amp; 19111278254</t>
  </si>
  <si>
    <t>Holborn and Frascati Limited</t>
  </si>
  <si>
    <t>refers to 19111278257 &amp; 19111278256 &amp; 19111278255</t>
  </si>
  <si>
    <t>Holbrook''s</t>
  </si>
  <si>
    <t>Holden (Isaac) and Sons</t>
  </si>
  <si>
    <t>Including Depreciation Fund; refers to 19111278261 &amp; 19111278259 &amp; 19111278260</t>
  </si>
  <si>
    <t>BradfordLeeds&amp;c.</t>
  </si>
  <si>
    <t>Hollins (Wm.) and Co. ord.</t>
  </si>
  <si>
    <t xml:space="preserve">Holzapfels 6 % cum. pref. </t>
  </si>
  <si>
    <t>Home &amp; Colonial Stores 15 % cm. ord.</t>
  </si>
  <si>
    <t>refers to 19111278265 &amp; 19111278266 &amp; 19111278267</t>
  </si>
  <si>
    <t>Do 15 % cum. pref.</t>
  </si>
  <si>
    <t>Hope Brothers ordinary</t>
  </si>
  <si>
    <t>refers to 19111278268 &amp; 19111278269</t>
  </si>
  <si>
    <t>Hotchkiss Ordnance</t>
  </si>
  <si>
    <t>refers to 19111278271 &amp; 19111278270</t>
  </si>
  <si>
    <t>Do 5 % non-cum. preference</t>
  </si>
  <si>
    <t>Hotel Cecil L. 5 1/2 % cum. pref.</t>
  </si>
  <si>
    <t>refers to 19111278272 &amp; 19111278273</t>
  </si>
  <si>
    <t>Houlder Brothers and Co. Limited 5 1/2 % pref.</t>
  </si>
  <si>
    <t>refers to 19111278274 &amp; 19111278275</t>
  </si>
  <si>
    <t>Houlder Brothers and Co. Limited 4 1/2 % deb.</t>
  </si>
  <si>
    <t>Hovis-Bread Flour</t>
  </si>
  <si>
    <t>refers to 19111278276 &amp; 19111278277</t>
  </si>
  <si>
    <t>Howell (John &amp; Co.) Limited</t>
  </si>
  <si>
    <t>Humber Limited</t>
  </si>
  <si>
    <t>refers to 19111278279 &amp; 19111278280</t>
  </si>
  <si>
    <t>Hunter (J.) Morris &amp; Elkan 7 % cm. pf.</t>
  </si>
  <si>
    <t>Idris and Co. 6 % "A" pref.</t>
  </si>
  <si>
    <t>refers to 19111278283 &amp; 19111278282</t>
  </si>
  <si>
    <t>Do 4 % red. debenture</t>
  </si>
  <si>
    <t>Ilford Limited</t>
  </si>
  <si>
    <t>refers to 19111278285 &amp; 19111278284</t>
  </si>
  <si>
    <t>Illustrated London News &amp; "Sketch" ordinary</t>
  </si>
  <si>
    <t>paid</t>
  </si>
  <si>
    <t>%=excluding bonus; interim;Yield calculated at 5%</t>
  </si>
  <si>
    <t>refers to 19111278286 &amp; 19111278288 &amp; 19111278287</t>
  </si>
  <si>
    <t>Illustrated London News &amp; "Sketch" 5 1/2 % pref.</t>
  </si>
  <si>
    <t>Illustrated London News &amp; "Sketch" 4 % deb.</t>
  </si>
  <si>
    <t>Imp. Tob. Co. of Canada 6 % cm. pf.</t>
  </si>
  <si>
    <t>Imp. Tob. Co. (Gt. Bn. &amp; I. 5 1/2 % cm. pf.</t>
  </si>
  <si>
    <t>refers to 19111278290 &amp; 19111278292 &amp; 19111278291</t>
  </si>
  <si>
    <t>LondonLiverpoolBristol.</t>
  </si>
  <si>
    <t>Do preferred ordinary 6 % non. cm.</t>
  </si>
  <si>
    <t>Do 4 1/4 % debenture stock</t>
  </si>
  <si>
    <t>Improved Industrial Dwellings L.</t>
  </si>
  <si>
    <t>Also 10% in Deferred shares.</t>
  </si>
  <si>
    <t>refers to 19111278293 &amp; 19111278294</t>
  </si>
  <si>
    <t>Do deferred shares</t>
  </si>
  <si>
    <t>Improved Wood Pavement Lim.</t>
  </si>
  <si>
    <t xml:space="preserve">India Rubber Gutta Percha and Telegraph Works ordinary </t>
  </si>
  <si>
    <t>International Tea Co''s Stores pref.</t>
  </si>
  <si>
    <t>Irish Times  5 1/2 % pref.</t>
  </si>
  <si>
    <t>Jay''s Limited</t>
  </si>
  <si>
    <t>refers to 19111278404 &amp; 19111278405</t>
  </si>
  <si>
    <t>Do 5 1/2 % cum. pref. (issued at £6)</t>
  </si>
  <si>
    <t>Johnson Matthey &amp; Co. 5 % cm. pf.</t>
  </si>
  <si>
    <t>Jones &amp; Higgins Limited</t>
  </si>
  <si>
    <t>refers to 19111278408 &amp; 19111278409</t>
  </si>
  <si>
    <t>Do 4 1/2 % 1st mortgage</t>
  </si>
  <si>
    <t>Jones (Peter) 5 1/2 % cum. pref.</t>
  </si>
  <si>
    <t>Kellner-Partington Limited</t>
  </si>
  <si>
    <t>Do 4 % Mt deb. red.</t>
  </si>
  <si>
    <t>Kelly''s Directories 5 % cum. pref.</t>
  </si>
  <si>
    <t>refers to 19111278416 &amp; 19111278415</t>
  </si>
  <si>
    <t>Do 4 % deb. stock redeemable</t>
  </si>
  <si>
    <t>Kent (G.B.) &amp; Sons 5 1/2 % cum. pref.</t>
  </si>
  <si>
    <t xml:space="preserve">Knight (John) Limited ordinary </t>
  </si>
  <si>
    <t>Kynoch</t>
  </si>
  <si>
    <t>refers to 19111278419 &amp; 19111278420</t>
  </si>
  <si>
    <t>Lond.Bghm.&amp;c.</t>
  </si>
  <si>
    <t>La Guaira Harbour Crp. irred. deb.</t>
  </si>
  <si>
    <t>Do 2nd mort. (non-cum.) red.</t>
  </si>
  <si>
    <t>Lady''s Pictorial &amp;c. 5 % cum. pref.</t>
  </si>
  <si>
    <t>Lake Superior Paper 6 % 1st mt. bds</t>
  </si>
  <si>
    <t xml:space="preserve">Lamson Paragon Supply </t>
  </si>
  <si>
    <t xml:space="preserve">Lancashire &amp; Yorkshire Wagon </t>
  </si>
  <si>
    <t>Lawes'' Chemical Manure Limited</t>
  </si>
  <si>
    <t>Lever Bros. Limited 5 % 1st cm. pf.</t>
  </si>
  <si>
    <t>Includes Insurance Fund; refers to 19111278428 &amp; 19111278429 &amp; 19111278430</t>
  </si>
  <si>
    <t xml:space="preserve">Do 5 % cum. "A" preference </t>
  </si>
  <si>
    <t>Do 6 % cum. "B" preference</t>
  </si>
  <si>
    <t>Do 6 % cum. "C" pref.</t>
  </si>
  <si>
    <t xml:space="preserve">Leyland and Birmingham Rubber </t>
  </si>
  <si>
    <t>Manchtr.Bghm.</t>
  </si>
  <si>
    <t>Liberty and Co. Lim. 6 % cum. pref.</t>
  </si>
  <si>
    <t>Liebig''s Extract of Meat Limited</t>
  </si>
  <si>
    <t>Includes Insurance Fund; refers to 19111278434 &amp; 19111278435</t>
  </si>
  <si>
    <t>Linen Thread Co.</t>
  </si>
  <si>
    <t>refers to 19111278436 &amp; 19111278439 &amp; 19111278437 &amp; 19111278438</t>
  </si>
  <si>
    <t>Do pref. ordinary</t>
  </si>
  <si>
    <t>Do 4 % deb. Stock red.</t>
  </si>
  <si>
    <t>Linoleum Manufacturing Limited</t>
  </si>
  <si>
    <t>Includes Insurance Fund</t>
  </si>
  <si>
    <t>Linotype and Machinery 4 1/2 % rd. db. stk. "A"</t>
  </si>
  <si>
    <t>Linotype and Machinery 4 1/2 % rd. db. stk. "B"</t>
  </si>
  <si>
    <t>Lipton</t>
  </si>
  <si>
    <t>Includes Prem. on Shares Account; refers to 19111278444 &amp; 19111278443 &amp; 19111278445</t>
  </si>
  <si>
    <t xml:space="preserve">Lister and Co. Limited </t>
  </si>
  <si>
    <t>refers to 19111278446 &amp; 19111278447</t>
  </si>
  <si>
    <t>Brad.LeedsLdn.</t>
  </si>
  <si>
    <t>Liverpool Warehousing Limited</t>
  </si>
  <si>
    <t>May1896</t>
  </si>
  <si>
    <t>May1899</t>
  </si>
  <si>
    <t>Nov1899</t>
  </si>
  <si>
    <t>Includes Insurance Fund; refers to 19111278448 &amp; 19111278450 &amp; 19111278449</t>
  </si>
  <si>
    <t>Lloyd''s Packing Warehouses</t>
  </si>
  <si>
    <t>Do perp. 3 3/4 % debenture</t>
  </si>
  <si>
    <t xml:space="preserve">Lloyd (Edward) Lim. 5 1/2 % cm. pref </t>
  </si>
  <si>
    <t>Lockhart''s 5 1/2 % cum. preference</t>
  </si>
  <si>
    <t>Lon. Cent. Markets Cold Storage</t>
  </si>
  <si>
    <t>Lon. Commercial Sale Rooms Lim.</t>
  </si>
  <si>
    <t>Lon. Gloucester &amp; N. Hants Dairy</t>
  </si>
  <si>
    <t>London Parcels Delivery</t>
  </si>
  <si>
    <t>London Pavilion Limited</t>
  </si>
  <si>
    <t>Lon. Prod. Clearing-House L. (f)</t>
  </si>
  <si>
    <t>Lovell and Christmas Limited</t>
  </si>
  <si>
    <t>refers to 19111278462 &amp; 19111278464 &amp; 19111278463</t>
  </si>
  <si>
    <t>Loveys (John) &amp; Co.</t>
  </si>
  <si>
    <t>refers to 19111278465 &amp; 19111278466</t>
  </si>
  <si>
    <t xml:space="preserve">Lyons (J.) &amp; Co. </t>
  </si>
  <si>
    <t>Also bonus 1 Pref. Ord. Share  every 10 Ord.</t>
  </si>
  <si>
    <t>for Jun1910</t>
  </si>
  <si>
    <t>Jul911</t>
  </si>
  <si>
    <t>refers to 19111278471 &amp; 19111278470 &amp; 19111278467 &amp; 19111278468 &amp; 19111278469</t>
  </si>
  <si>
    <t>Do 6 % pref. ordinary</t>
  </si>
  <si>
    <t>Lyons (J.) &amp; Co.</t>
  </si>
  <si>
    <t>Do 4 1/2 deb. stock</t>
  </si>
  <si>
    <t xml:space="preserve">M''Laren (Wm.) Sons &amp; Co. </t>
  </si>
  <si>
    <t>refers to 19111278473 &amp; 19111278472</t>
  </si>
  <si>
    <t>Glassgow&amp;c.</t>
  </si>
  <si>
    <t xml:space="preserve">McIntyre Hogg Marsh &amp; Co. ord. </t>
  </si>
  <si>
    <t>refers to 19111278474 &amp; 19111278475</t>
  </si>
  <si>
    <t xml:space="preserve">Do 5 1/2 % cum. participating pref. </t>
  </si>
  <si>
    <t xml:space="preserve">Magadi Soda Company Limited </t>
  </si>
  <si>
    <t>Manaos Harbour 5 % 1st deb. reg. (f)</t>
  </si>
  <si>
    <t>refers to 19111278477 &amp; 19111278478</t>
  </si>
  <si>
    <t>Manaos Harbour 5 % 1st deb. reg.</t>
  </si>
  <si>
    <t>Do 5 % 2nd debs. reg.</t>
  </si>
  <si>
    <t xml:space="preserve">Manaos Improvements 7 % cum. prf. </t>
  </si>
  <si>
    <t>refers to 19111278479 &amp; 19111278480</t>
  </si>
  <si>
    <t>Manaos Improvements 7 % cum. prf.</t>
  </si>
  <si>
    <t>Manchester Coml. Bldgs. Limited</t>
  </si>
  <si>
    <t>Do No. 2</t>
  </si>
  <si>
    <t>Do No. 3</t>
  </si>
  <si>
    <t xml:space="preserve">Manchester Royal Exchange Lim. </t>
  </si>
  <si>
    <t xml:space="preserve">Manbre Saccharine 5 % cum. pref. </t>
  </si>
  <si>
    <t>Manganese Bronze and Brass ordinary</t>
  </si>
  <si>
    <t>refers to 19111278487 &amp; 19111278486</t>
  </si>
  <si>
    <t>Manganese Bronze and Brass 6 % pref.</t>
  </si>
  <si>
    <t>Mansell Hunt Catty and Co.</t>
  </si>
  <si>
    <t xml:space="preserve">Mappin and Webb (1908) ordinary </t>
  </si>
  <si>
    <t>refers to 19111278489 &amp; 19111278490</t>
  </si>
  <si>
    <t>Mappin and Webb (1908) ordinary</t>
  </si>
  <si>
    <t>Maple and Co. ord. or "C" shares</t>
  </si>
  <si>
    <t>refers to 19111278492 &amp; 19111278491</t>
  </si>
  <si>
    <t>Do 6 % cum. pref. or "A" shares</t>
  </si>
  <si>
    <t>Marshall and Snelgrove 4 1/4 % deb.</t>
  </si>
  <si>
    <t>Martin Earle &amp; Co. 5 1/2 % cum. pref</t>
  </si>
  <si>
    <t>Martinez Gassiot and Co.</t>
  </si>
  <si>
    <t>refers to 19111278601 &amp; 19111278602</t>
  </si>
  <si>
    <t>Maypole Dairy 20 % cum. pref. ord.</t>
  </si>
  <si>
    <t>refers to 19111278603 &amp; 19111278605 &amp; 19111278604</t>
  </si>
  <si>
    <t>Do deferred ordinary</t>
  </si>
  <si>
    <t>Mazawattee Tea Limited</t>
  </si>
  <si>
    <t>0/6/8 (in p/s/d format); 6/8</t>
  </si>
  <si>
    <t>refers to 19111278608 &amp; 19111278606 &amp; 19111278607</t>
  </si>
  <si>
    <t>Mecca (Ye Mecca)</t>
  </si>
  <si>
    <t>Mellin''s Food cum. pref.</t>
  </si>
  <si>
    <t>Meters ordinary</t>
  </si>
  <si>
    <t>refers to 19111278612 &amp; 19111278611 &amp; 19111278613</t>
  </si>
  <si>
    <t>Do 5 1/2 cum. pref.</t>
  </si>
  <si>
    <t>Metropolitan Amal. Car. &amp; Wagon</t>
  </si>
  <si>
    <t>refers to 19111278616 &amp; 19111278614 &amp; 19111278615</t>
  </si>
  <si>
    <t>Do 5 % A pref.</t>
  </si>
  <si>
    <t>Do 6 % B pref.</t>
  </si>
  <si>
    <t>Met. As. for Im. Dwel. Ind. Clas.</t>
  </si>
  <si>
    <t>Met. Dist. &amp; Lon. Elec. Rlys. Jnt. Power House 4 % Rent Chge. Stk.</t>
  </si>
  <si>
    <t>Metropol. Industrial Dwellings ordinary</t>
  </si>
  <si>
    <t>refers to 19111278619 &amp; 19111278620</t>
  </si>
  <si>
    <t>Metropol. Industrial Dwellings 4 % cum. pref.</t>
  </si>
  <si>
    <t>Met. Prop. Limited 5 % cum. pref.</t>
  </si>
  <si>
    <t>refers to 19111278621 &amp; 19111278622</t>
  </si>
  <si>
    <t>Midland Rail Carriage &amp;c. L.</t>
  </si>
  <si>
    <t>Millars'' Karri and Jarrah (1902)</t>
  </si>
  <si>
    <t>Inc. Deprcn. or Ins. Fund.; refers to 19111278624 &amp; 19111278626 &amp; 19111278625</t>
  </si>
  <si>
    <t>Milners Safe Limited</t>
  </si>
  <si>
    <t>Mint (The) Birmingham Limited</t>
  </si>
  <si>
    <t>Moir John &amp; Son Limited Pref.</t>
  </si>
  <si>
    <t>Molassine. Co 7 % cum. pref.</t>
  </si>
  <si>
    <t>Mond Nickel Co. ordinary</t>
  </si>
  <si>
    <t>refers to 19111278631 &amp; 19111278632</t>
  </si>
  <si>
    <t>Moorfield Spinning Limited</t>
  </si>
  <si>
    <t>Morgan Crucible 6 % cum. 1st pref.</t>
  </si>
  <si>
    <t>Morris B. and Sons Limited</t>
  </si>
  <si>
    <t>Moss'' Empires</t>
  </si>
  <si>
    <t>Inc. Deprcn. or Ins. Fund. Inc. Prem; refers to 19111278636 &amp; 19111278637 &amp; 19111278638</t>
  </si>
  <si>
    <t>Eedin.London&amp;c.</t>
  </si>
  <si>
    <t>Murray (D. and W.) 5 1/2 % pref.</t>
  </si>
  <si>
    <t>National Elec. Construction</t>
  </si>
  <si>
    <t>National Safe Deposit Limited</t>
  </si>
  <si>
    <t>Inc. Leasehold Sink. Fund.</t>
  </si>
  <si>
    <t>Nelson Brothers Limited</t>
  </si>
  <si>
    <t>Nelson James &amp; Sons</t>
  </si>
  <si>
    <t>refers to 19111278643 &amp; 19111278644 &amp; 19111278645</t>
  </si>
  <si>
    <t>Do 2nd pref.</t>
  </si>
  <si>
    <t>Neuchatel Asphalte Limited</t>
  </si>
  <si>
    <t>refers to 19111278647 &amp; 19111278646</t>
  </si>
  <si>
    <t>New Darvel Bay (Borneo) Tob Pltns</t>
  </si>
  <si>
    <t>interim; 6 d</t>
  </si>
  <si>
    <t>New Lon. Borneo Tobacco Lim. (f)</t>
  </si>
  <si>
    <t>New Trinidad Lake Asphalte debs.</t>
  </si>
  <si>
    <t>Newnes (Geo.) 5 % cum. pref.</t>
  </si>
  <si>
    <t>Nicholson''s</t>
  </si>
  <si>
    <t>refers to 19111278652 &amp; 19111278653</t>
  </si>
  <si>
    <t>Niger Co.</t>
  </si>
  <si>
    <t>%=excluding bonus; bonus</t>
  </si>
  <si>
    <t>%=excluding bonus;</t>
  </si>
  <si>
    <t>&amp; 1/6 bon''s</t>
  </si>
  <si>
    <t>Nobel Dynamite Trust Limited</t>
  </si>
  <si>
    <t>refers to 19111278656 &amp; 19111278655</t>
  </si>
  <si>
    <t>North Central Wagon</t>
  </si>
  <si>
    <t>North Moor Spinning Limited</t>
  </si>
  <si>
    <t>Oakey (John) &amp; Son Limited</t>
  </si>
  <si>
    <t>refers to 19111278660 &amp; 19111278659</t>
  </si>
  <si>
    <t>Ocean Falls Co. 6 % 1st mort. Bonds</t>
  </si>
  <si>
    <t>Ogilvie Flour Mills L. com. stock</t>
  </si>
  <si>
    <t>Oldham Twist Limited</t>
  </si>
  <si>
    <t>Owen (William) 5 1/2 % cum. pref.</t>
  </si>
  <si>
    <t>refers to 19111278664 &amp; 19111278665</t>
  </si>
  <si>
    <t>Pacific Phosphate Co. Lim. ord.</t>
  </si>
  <si>
    <t>Also Bonus of 33 1/2 % for 1909</t>
  </si>
  <si>
    <t>refers to 19111278666 &amp; 19111278667 &amp; 19111278668</t>
  </si>
  <si>
    <t>Palace Hotel 5 1/2 % cum. pref.</t>
  </si>
  <si>
    <t>Palace Theatre Limited</t>
  </si>
  <si>
    <t>0/9/0 (in p/s/d format); 9/</t>
  </si>
  <si>
    <t>Paquin Limited</t>
  </si>
  <si>
    <t>refers to 19111278672 &amp; 19111278671</t>
  </si>
  <si>
    <t>Patent Vict. Stone (£ 2 cap. retnd. 07)</t>
  </si>
  <si>
    <t>Paterson Laing and Bruce pref.</t>
  </si>
  <si>
    <t>refers to 19111278674 &amp; 19111278675</t>
  </si>
  <si>
    <t>Pawsons and Leafs Limited</t>
  </si>
  <si>
    <t>Pearks Limited 6 % pref.</t>
  </si>
  <si>
    <t>Pears (A. and F.) Limited</t>
  </si>
  <si>
    <t>refers to 19111278680 &amp; 19111278678 &amp; 19111278679</t>
  </si>
  <si>
    <t>Pearson (C. Arthur) 5 1/2 % pref.</t>
  </si>
  <si>
    <t>Pearson (S.) and Son 5 % debs. red.</t>
  </si>
  <si>
    <t>Peebles A. M. and Sons Limited</t>
  </si>
  <si>
    <t>refers to 19111278684 &amp; 19111278683</t>
  </si>
  <si>
    <t>(calculated at 5 %)</t>
  </si>
  <si>
    <t>Peek Bros. &amp; Winch 5 1/2 % pref.</t>
  </si>
  <si>
    <t>refers to 19111278685 &amp; 19111278686</t>
  </si>
  <si>
    <t>Peek Frean and Co. Lim. 5 % pref.</t>
  </si>
  <si>
    <t>refers to 19111278687 &amp; 19111278688</t>
  </si>
  <si>
    <t>Perry and Co. Limited</t>
  </si>
  <si>
    <t>refers to 19111278689 &amp; 19111278690 &amp; 19111278691</t>
  </si>
  <si>
    <t>Do 5 % pref. "A"</t>
  </si>
  <si>
    <t>Do 5 % pref. "B"</t>
  </si>
  <si>
    <t>Pillsbury-Washburn Flour Mills L. ordinary</t>
  </si>
  <si>
    <t>Pillsbury-Washburn Flour Mills L. 8 % pref.</t>
  </si>
  <si>
    <t>Do 6 % debs. (U. S. alien laws)</t>
  </si>
  <si>
    <t>Pim Brothers Limited</t>
  </si>
  <si>
    <t>Inc. Deprcn. or Ins. Fund.</t>
  </si>
  <si>
    <t>Plummer Roddis L. ordinary</t>
  </si>
  <si>
    <t>refers to 19111278802 &amp; 19111278801</t>
  </si>
  <si>
    <t>Plummer Roddis L. 5 % pref.</t>
  </si>
  <si>
    <t xml:space="preserve">Premier Cycle </t>
  </si>
  <si>
    <t>0/4/0 (in p/s/d format); 4/</t>
  </si>
  <si>
    <t>refers to 19111278803 &amp; 19111278804</t>
  </si>
  <si>
    <t>London Bmghm.</t>
  </si>
  <si>
    <t>Price Bros. &amp; Co. 5 % 1st mt. bds. rd.</t>
  </si>
  <si>
    <t xml:space="preserve">Price''s Patent Candle Limited </t>
  </si>
  <si>
    <t>20/</t>
  </si>
  <si>
    <t>0/15/0</t>
  </si>
  <si>
    <t>interim;15/</t>
  </si>
  <si>
    <t>Privileged Co. to Protect Prodn. &amp; Trade in Currants 5 % stg. bds. rd.</t>
  </si>
  <si>
    <t>Pryce Jones Limited 6 % pref</t>
  </si>
  <si>
    <t>refers to 19111278808 &amp; 19111278809</t>
  </si>
  <si>
    <t>Do 5 % per. deb. stock</t>
  </si>
  <si>
    <t>Queen''s Club Gardens Est. perp. db.</t>
  </si>
  <si>
    <t xml:space="preserve">Ramsbottom Paper Mill </t>
  </si>
  <si>
    <t>Including Depreciation or Insurance Fund; refers to 19111278812 &amp; 19111278811</t>
  </si>
  <si>
    <t xml:space="preserve">Read Bros. </t>
  </si>
  <si>
    <t>refers to 19111278814 &amp; 19111278813</t>
  </si>
  <si>
    <t>Redfern Lim. 6 % cum. pref.</t>
  </si>
  <si>
    <t>Reid (Robert) &amp; Co. 5 1/2 % cum. pref.</t>
  </si>
  <si>
    <t>refers to 19111278816 &amp; 19111278817</t>
  </si>
  <si>
    <t xml:space="preserve">Do 4 3/4 % deb. red. </t>
  </si>
  <si>
    <t>Ridgways 5 % cum. pref.</t>
  </si>
  <si>
    <t xml:space="preserve">Rio de Janeiro City Imp. Limited </t>
  </si>
  <si>
    <t>refers to 19111278821 &amp; 19111278819 &amp; 19111278820</t>
  </si>
  <si>
    <t>Do 5 % debentures 1878-80 red.</t>
  </si>
  <si>
    <t>Do 5 % do 1882-08 red.</t>
  </si>
  <si>
    <t xml:space="preserve">Rio de Janeiro Flour Mills &amp;c. L. </t>
  </si>
  <si>
    <t xml:space="preserve">River Plate Fresh Meat Limited. </t>
  </si>
  <si>
    <t>Including Insurance Fund; refers to 19111278823 &amp; 19111278824</t>
  </si>
  <si>
    <t xml:space="preserve">Do 10 % preference </t>
  </si>
  <si>
    <t>Roberts (T. R.) Limited ordinary</t>
  </si>
  <si>
    <t>Robinson and Cleaver pref.</t>
  </si>
  <si>
    <t>refers to 19111278828 &amp; 19111278827</t>
  </si>
  <si>
    <t>BelfastDublin.</t>
  </si>
  <si>
    <t>Rotherham (Jeremiah) and Co.</t>
  </si>
  <si>
    <t>refers to 19111278829 &amp; 19111278831 &amp; 19111278830</t>
  </si>
  <si>
    <t xml:space="preserve">Rover Co. </t>
  </si>
  <si>
    <t xml:space="preserve">Royton Spinning Limited </t>
  </si>
  <si>
    <t>Rudge-Whitworth Limited</t>
  </si>
  <si>
    <t>Including Property Reserve Fund</t>
  </si>
  <si>
    <t xml:space="preserve">Rylands and Sons Limited </t>
  </si>
  <si>
    <t>Including Depreciation or Insurance Fund.;refers to 19111278835 &amp; 19111278836</t>
  </si>
  <si>
    <t>Do 5 % on £5 ord. div. on £15</t>
  </si>
  <si>
    <t>Salmon &amp; Gluckstein 10 %cum pref.</t>
  </si>
  <si>
    <t>Salt Union Limited ordinary</t>
  </si>
  <si>
    <t>Mar1897</t>
  </si>
  <si>
    <t>refers to 19111278839 &amp; 19111278838 &amp; 19111278840</t>
  </si>
  <si>
    <t>LondonLiverpl. Manchester&amp;c.</t>
  </si>
  <si>
    <t>Including Insurance and Depreciation Fund; refers to 19111278839 &amp; 19111278838 &amp; 19111278840</t>
  </si>
  <si>
    <t xml:space="preserve">Samnuggur Jute </t>
  </si>
  <si>
    <t xml:space="preserve">Sanitas Limited </t>
  </si>
  <si>
    <t xml:space="preserve">Sansinena Frozen Meat </t>
  </si>
  <si>
    <t>Do 5 % 1st mort. debs</t>
  </si>
  <si>
    <t>Savoy Hotel Limited ordinary</t>
  </si>
  <si>
    <t>refers to 19111278845 &amp; 19111278846 &amp; 19111278847 &amp; 19111278848 &amp; 19111278849 &amp; 19111278850 &amp; 19111278851</t>
  </si>
  <si>
    <t xml:space="preserve">Do 5 % Strand deb. stock </t>
  </si>
  <si>
    <t xml:space="preserve">Do 5 1/2 % deb. red. </t>
  </si>
  <si>
    <t xml:space="preserve">Savoy Hotel &amp;c. Syndicate debs. </t>
  </si>
  <si>
    <t>Schweppes 7 % cum. ordinary</t>
  </si>
  <si>
    <t>refers to 19111278853 &amp; 19111278855 &amp; 19111278854 &amp; 19111278852</t>
  </si>
  <si>
    <t xml:space="preserve">Do 4 % perp. deb </t>
  </si>
  <si>
    <t xml:space="preserve">Scottish Wagon </t>
  </si>
  <si>
    <t>refers to 19111278856 &amp; 19111278857</t>
  </si>
  <si>
    <t>Selfridge &amp; Co. 5 % 1st mort. deb. red.</t>
  </si>
  <si>
    <t xml:space="preserve">Shaw Spinning Limited </t>
  </si>
  <si>
    <t>Shorts Limited pref. ordinary</t>
  </si>
  <si>
    <t>refers to 19111278861 &amp; 19111278860</t>
  </si>
  <si>
    <t xml:space="preserve">Do def. ordinary </t>
  </si>
  <si>
    <t xml:space="preserve">Slaters </t>
  </si>
  <si>
    <t>refers to 19111278864 &amp; 19111278863 &amp; 19111278862</t>
  </si>
  <si>
    <t xml:space="preserve">Do 4 1/2 % deb. red </t>
  </si>
  <si>
    <t>Slazengers Limited ordinary</t>
  </si>
  <si>
    <t xml:space="preserve">Smedley''s Hyd. (Matlock) Lim. </t>
  </si>
  <si>
    <t>Smithfield and Argentine Meat L.</t>
  </si>
  <si>
    <t>Spencer Turner &amp; Boldero Lim.</t>
  </si>
  <si>
    <t>refers to 19111278869 &amp; 19111278870</t>
  </si>
  <si>
    <t>Spicer Bros. 5 % cum. pref.</t>
  </si>
  <si>
    <t>Spiers and Pond Limited</t>
  </si>
  <si>
    <t>refers to 19111278873 &amp; 19111278876 &amp; 19111278877 &amp; 19111278874 &amp; 19111278872 &amp; 19111278875</t>
  </si>
  <si>
    <t>Do 5 % 1st mortgage debs.</t>
  </si>
  <si>
    <t>Do "A" mortgage deb. stock</t>
  </si>
  <si>
    <t>Do "B" do do do</t>
  </si>
  <si>
    <t xml:space="preserve">Do "C" Freehold mortgage </t>
  </si>
  <si>
    <t xml:space="preserve">Spillers and Bakers </t>
  </si>
  <si>
    <t>Including Insurance Fund; refers to 19111278878 &amp; 19111278879</t>
  </si>
  <si>
    <t>CardiffBristolLondon.</t>
  </si>
  <si>
    <t>Spillers and Bakers</t>
  </si>
  <si>
    <t>Including Insurance Fund.; refers to 19111278878 &amp; 19111278879</t>
  </si>
  <si>
    <t xml:space="preserve">Spratt''s Patent (America) Limited </t>
  </si>
  <si>
    <t>Spratt''s Patent Limited</t>
  </si>
  <si>
    <t>refers to 19111278881 &amp; 19111278883 &amp; 19111278882</t>
  </si>
  <si>
    <t xml:space="preserve">Spratt''s Patent Limited </t>
  </si>
  <si>
    <t>Standard Newspapers 5 1/2 % cm. pf.</t>
  </si>
  <si>
    <t>Star Paper Mill Limited</t>
  </si>
  <si>
    <t>Steel Brothers &amp; Co. 6 % cum. pref.</t>
  </si>
  <si>
    <t>Steiner (F.) &amp; Co. 5 % cum. pref.</t>
  </si>
  <si>
    <t xml:space="preserve">Stepney Spare Motor Wheel </t>
  </si>
  <si>
    <t>Strand Hotel 7 % non cm. prtg. pf. ord.</t>
  </si>
  <si>
    <t>refers to 19111278891 &amp; 19111278890</t>
  </si>
  <si>
    <t xml:space="preserve">Strand Hotel 7 % non cm. prtg. pf. ord. </t>
  </si>
  <si>
    <t>Do 4 1/2 % 1st mort. deb. stock red.</t>
  </si>
  <si>
    <t xml:space="preserve">Sun Mill Limited </t>
  </si>
  <si>
    <t xml:space="preserve">Swan and Edgar </t>
  </si>
  <si>
    <t>Tarry (E. W.) and Co. ordinary</t>
  </si>
  <si>
    <t>refers to 19111278894 &amp; 19111278895</t>
  </si>
  <si>
    <t>Tate (Henry) &amp; Sons 4 1/2 % deb. stk.</t>
  </si>
  <si>
    <t>Teetgen &amp; Co. Lim. 5 1/2 % cum. pref.</t>
  </si>
  <si>
    <t>Telegraph Con. &amp; Main. Limited</t>
  </si>
  <si>
    <t>refers to 19111279003 &amp; 19111279004</t>
  </si>
  <si>
    <t>Do 4 % bonds 1919</t>
  </si>
  <si>
    <t>Theatre Royal Drury Lane</t>
  </si>
  <si>
    <t xml:space="preserve">Tilling (Thos.) 5 1/2 % pref. </t>
  </si>
  <si>
    <t>refers to 19111279007 &amp; 19111279006</t>
  </si>
  <si>
    <t>Titaghur Jute</t>
  </si>
  <si>
    <t>Tower Tea ordinary</t>
  </si>
  <si>
    <t>refers to 19111279009 &amp; 19111279010</t>
  </si>
  <si>
    <t xml:space="preserve">Travers (Jos.) &amp; Sons Limited ord. </t>
  </si>
  <si>
    <t>refers to 19111279011 &amp; 19111279013 &amp; 19111279012</t>
  </si>
  <si>
    <t>Triumph Cycle</t>
  </si>
  <si>
    <t>Trollope (George) &amp; Sons &amp; Colls and Sons 5 1/2 % cum. pref.</t>
  </si>
  <si>
    <t>Tuck (Raphael) &amp; Sons</t>
  </si>
  <si>
    <t>refers to 19111279016 &amp; 19111279017</t>
  </si>
  <si>
    <t>Underground Electric Railways of London ordinary</t>
  </si>
  <si>
    <t>Underground Electric Railways of London 4 1/2 % bonds.</t>
  </si>
  <si>
    <t>Underground Electric Railways of London 6 % income bds.</t>
  </si>
  <si>
    <t>Do 4 % 1st Power House debs.</t>
  </si>
  <si>
    <t>Union Cold Storage Co. 6 % cum. pref.</t>
  </si>
  <si>
    <t>Inc. Depreciation.; refers to 19111279023 &amp; 19111279022</t>
  </si>
  <si>
    <t>United Alkali Limited</t>
  </si>
  <si>
    <t>refers to 19111279026 &amp; 19111279025 &amp; 19111279024</t>
  </si>
  <si>
    <t>L''poolBristol&amp;c.</t>
  </si>
  <si>
    <t>Do 5 % mort. debs.</t>
  </si>
  <si>
    <t>United Carlo Gatti Stevnsn &amp; Slaters</t>
  </si>
  <si>
    <t>United Electric Car</t>
  </si>
  <si>
    <t>Inc. Depreciation.</t>
  </si>
  <si>
    <t>United Kingdom Tea cum. pref.</t>
  </si>
  <si>
    <t>United Lankat Plantations Lim.</t>
  </si>
  <si>
    <t>interim;Also bonus div. of 16 2/3 % in fy. Pd. Shs. Of the Lancat Rubber Co.</t>
  </si>
  <si>
    <t>United Lim. Vorwohle Rock Asph.</t>
  </si>
  <si>
    <t>United Spinning Limited</t>
  </si>
  <si>
    <t>9 d</t>
  </si>
  <si>
    <t>United Tobacco Cos. 6 % cum. pref.</t>
  </si>
  <si>
    <t>Val de Travers Asphalte Paving</t>
  </si>
  <si>
    <t>Van den Berghs Limited</t>
  </si>
  <si>
    <t>refers to 19111279035 &amp; 19111279037 &amp; 19111279036</t>
  </si>
  <si>
    <t>Victoria Jute</t>
  </si>
  <si>
    <t>Vyse Sons and Co. Limited</t>
  </si>
  <si>
    <t>refers to 19111279041 &amp; 19111279040 &amp; 19111279039</t>
  </si>
  <si>
    <t xml:space="preserve">Walkers Parker and Co. "A" ord. </t>
  </si>
  <si>
    <t>refers to 19111279042 &amp; 19111279043</t>
  </si>
  <si>
    <t>Walkers Parker and Co. "A" ord.</t>
  </si>
  <si>
    <t>Wall Paper Manuftrs 5 % cum. prf.</t>
  </si>
  <si>
    <t>Wallis (Thos.) &amp; Co. Limited</t>
  </si>
  <si>
    <t>refers to 19111279045 &amp; 19111279046</t>
  </si>
  <si>
    <t>Waring and Gillow 7 % cum. ord.</t>
  </si>
  <si>
    <t>refers to 19111279047 &amp; 19111279048 &amp; 19111279049</t>
  </si>
  <si>
    <t xml:space="preserve">Do 4 1/2 % deb. irred. </t>
  </si>
  <si>
    <t>Waterlow &amp; Sons non-cum. def. ord.</t>
  </si>
  <si>
    <t>refers to 19111279052 &amp; 19111279051 &amp; 19111279050</t>
  </si>
  <si>
    <t>Do do pref. ordinary</t>
  </si>
  <si>
    <t>%=excluding bonus;Mar;Jun;Sep</t>
  </si>
  <si>
    <t>Do 3 1/2 cum. pref.</t>
  </si>
  <si>
    <t>Waterlow Brothers and Layton</t>
  </si>
  <si>
    <t>Watson (Joseph) &amp; Sons 10 % pf. ord.</t>
  </si>
  <si>
    <t>refers to 19111279055 &amp; 19111279056</t>
  </si>
  <si>
    <t>Waygood (R.) and Co. Limited</t>
  </si>
  <si>
    <t>refers to 19111279058 &amp; 19111279057</t>
  </si>
  <si>
    <t>Webb (J. H.) and Co. Limited</t>
  </si>
  <si>
    <t>Weldon''s ordinary</t>
  </si>
  <si>
    <t>refers to 19111279061 &amp; 19111279060</t>
  </si>
  <si>
    <t>Welford and Sons Limited</t>
  </si>
  <si>
    <t>refers to 19111279063 &amp; 19111279062</t>
  </si>
  <si>
    <t>Do 4 1/2 % regd. debs. red.</t>
  </si>
  <si>
    <t>Welford''s Surrey Dairies</t>
  </si>
  <si>
    <t>Werneth Spinning Limited</t>
  </si>
  <si>
    <t>Manchester&amp;Old.</t>
  </si>
  <si>
    <t>West End Clothiers 6 % cum. pref.</t>
  </si>
  <si>
    <t>%=Excluding bonus;( to Jan1908)</t>
  </si>
  <si>
    <t>refers to 19111279066 &amp; 19111279067</t>
  </si>
  <si>
    <t>West London Dairy Limited</t>
  </si>
  <si>
    <t>Westwood Spinning Limited</t>
  </si>
  <si>
    <t>White (A. J.)</t>
  </si>
  <si>
    <t>refers to 19111279070 &amp; 19111279071</t>
  </si>
  <si>
    <t>White (J. G.) and Co. 6 % cum. pref.</t>
  </si>
  <si>
    <t>White (R.) &amp; Sons 5 % cum. pref.</t>
  </si>
  <si>
    <t>4 years div. paid to Nov. 301908 in 3 pf. Ord shs. Of 10s for each pref. share</t>
  </si>
  <si>
    <t>%=excluding bonus;to Nov1909</t>
  </si>
  <si>
    <t>refers to 19111279073 &amp; 19111279074</t>
  </si>
  <si>
    <t>White Tomkins and Courage</t>
  </si>
  <si>
    <t>refers to 19111279076 &amp; 19111279075</t>
  </si>
  <si>
    <t>Whiteaway Laidlaw &amp; Co. 6 % cm. pf</t>
  </si>
  <si>
    <t>Whiteley (William) Limited ord.</t>
  </si>
  <si>
    <t>refers to 19111279080 &amp; 19111279078 &amp; 19111279079</t>
  </si>
  <si>
    <t>Do 4 % 1st mort. irred. deb. stock</t>
  </si>
  <si>
    <t>Wickens Pease and Co. Limited</t>
  </si>
  <si>
    <t xml:space="preserve">Wilkie and Soames Lim. 6 % pref. </t>
  </si>
  <si>
    <t>Williamson (H.)</t>
  </si>
  <si>
    <t>refers to 19111279084 &amp; 19111279083</t>
  </si>
  <si>
    <t>Williamsons ordinary</t>
  </si>
  <si>
    <t>refers to 19111279085 &amp; 19111279086</t>
  </si>
  <si>
    <t xml:space="preserve">Winterbottom Book Cloth cum. prf. </t>
  </si>
  <si>
    <t>Woolcombers 7 % cum. pref.</t>
  </si>
  <si>
    <t>Inc. Depreciation.; refers to 19111279088 &amp; 19111279089</t>
  </si>
  <si>
    <t>BradfordLondon&amp;c.</t>
  </si>
  <si>
    <t xml:space="preserve">Do 4 1/2 % deb. stock red. </t>
  </si>
  <si>
    <t>Wright (John) and Eagle Range</t>
  </si>
  <si>
    <t>refers to 19111279091 &amp; 19111279090</t>
  </si>
  <si>
    <t>Yorkshire Rly. Wagon L. "A"</t>
  </si>
  <si>
    <t>York St. Flax Spinning Limited</t>
  </si>
  <si>
    <t>refers to 19111279093 &amp; 19111279095 &amp; 19111279094</t>
  </si>
  <si>
    <t>Abbontiakoon Mines</t>
  </si>
  <si>
    <t>Abosso</t>
  </si>
  <si>
    <t>African Farms</t>
  </si>
  <si>
    <t>Amalgamated Copper</t>
  </si>
  <si>
    <t>Anaconda Copper</t>
  </si>
  <si>
    <t>N.YorkLondon&amp;c.</t>
  </si>
  <si>
    <t>Apex ?</t>
  </si>
  <si>
    <t>Arizona Copper ordinary</t>
  </si>
  <si>
    <t>Ashanti Goldfields</t>
  </si>
  <si>
    <t>Associated of W. Australia</t>
  </si>
  <si>
    <t>Associated Northern Blocks</t>
  </si>
  <si>
    <t>Aurora West United</t>
  </si>
  <si>
    <t>Balaghat Gold Mining</t>
  </si>
  <si>
    <t>Do 10 % non-cum. pref.</t>
  </si>
  <si>
    <t>Bantjes Cons. (New) ?</t>
  </si>
  <si>
    <t>Barranca (Mexico)</t>
  </si>
  <si>
    <t>Bechuanaland Exploration</t>
  </si>
  <si>
    <t>Brakpan</t>
  </si>
  <si>
    <t>Brilliant and St. George United</t>
  </si>
  <si>
    <t>Lond.Brisbane.</t>
  </si>
  <si>
    <t>Briseis Tin</t>
  </si>
  <si>
    <t>British Broken Hill Proprietary</t>
  </si>
  <si>
    <t>Broken Hill-North</t>
  </si>
  <si>
    <t>Lon.Melbourne.</t>
  </si>
  <si>
    <t>Broken Hill Proprietary ?</t>
  </si>
  <si>
    <t>Nov191</t>
  </si>
  <si>
    <t>Broken Hill-South</t>
  </si>
  <si>
    <t>Broomassie</t>
  </si>
  <si>
    <t>Burma Ruby (f)</t>
  </si>
  <si>
    <t>Cam and Motor</t>
  </si>
  <si>
    <t>Camp Bird</t>
  </si>
  <si>
    <t>Cape Copper</t>
  </si>
  <si>
    <t>Do 6 % minimum cum. pref.</t>
  </si>
  <si>
    <t>Central Chili Copper</t>
  </si>
  <si>
    <t>in 1900</t>
  </si>
  <si>
    <t>Central Mining and Investment</t>
  </si>
  <si>
    <t>Champion Nigeria Tin Fields</t>
  </si>
  <si>
    <t>Champion Reef Gold</t>
  </si>
  <si>
    <t>0/2/6 (in p/s/d format); 2/6</t>
  </si>
  <si>
    <t>0/0/3</t>
  </si>
  <si>
    <t>3 d</t>
  </si>
  <si>
    <t>0/0/4</t>
  </si>
  <si>
    <t>4 d</t>
  </si>
  <si>
    <t>Cinderella Consolidated ?</t>
  </si>
  <si>
    <t>City and Suburban ?</t>
  </si>
  <si>
    <t>Lon. &amp; S. Africa.</t>
  </si>
  <si>
    <t>City Deep</t>
  </si>
  <si>
    <t xml:space="preserve">Consolidated Gold Fields of S. A. </t>
  </si>
  <si>
    <t>Lon.Edin.&amp;c.</t>
  </si>
  <si>
    <t>Consolidated Gold Fields of S. A.</t>
  </si>
  <si>
    <t>Do 6 % cum. 1st pref.</t>
  </si>
  <si>
    <t>Do 5 1/2 % first debs</t>
  </si>
  <si>
    <t>Consolidated Gold Fields of N. Z.</t>
  </si>
  <si>
    <t>Consolidated Langlaagte</t>
  </si>
  <si>
    <t>Consolidated Main Reef</t>
  </si>
  <si>
    <t>Consolidated Mains Selection</t>
  </si>
  <si>
    <t>for 1902-1903</t>
  </si>
  <si>
    <t>for 1903-1904</t>
  </si>
  <si>
    <t>for 1904-1905</t>
  </si>
  <si>
    <t>Crown Mines</t>
  </si>
  <si>
    <t>0/6/6</t>
  </si>
  <si>
    <t>De Beers Cons. 40 cum. pf. ?</t>
  </si>
  <si>
    <t>De Beers Cons. 40 cum. pf.</t>
  </si>
  <si>
    <t>Do 4 1/2 % S. Afric. Expl. dbs. red.</t>
  </si>
  <si>
    <t>De Lamar</t>
  </si>
  <si>
    <t>Dolcoath Mine</t>
  </si>
  <si>
    <t>Ducktown Sulph. Copper &amp; Iron</t>
  </si>
  <si>
    <t>Durban-Roodepoort ?</t>
  </si>
  <si>
    <t>Durban-Roodepoort Deep ?</t>
  </si>
  <si>
    <t>East Rand Extension ?</t>
  </si>
  <si>
    <t>East Rand Mining Estate</t>
  </si>
  <si>
    <t>East Rand Proprietary ?</t>
  </si>
  <si>
    <t>Lon.Johannssbg.</t>
  </si>
  <si>
    <t>El Oro</t>
  </si>
  <si>
    <t>Eldorado Banket</t>
  </si>
  <si>
    <t>Enterprise Gold Mng. &amp; Estates</t>
  </si>
  <si>
    <t>Esperanza</t>
  </si>
  <si>
    <t>Falcon Mines</t>
  </si>
  <si>
    <t>Fanti Consolidated</t>
  </si>
  <si>
    <t>Fanti Mines</t>
  </si>
  <si>
    <t>Ferreira ?</t>
  </si>
  <si>
    <t>30/</t>
  </si>
  <si>
    <t>Ferreira Deep ?</t>
  </si>
  <si>
    <t>French Rand</t>
  </si>
  <si>
    <t>Geduld ?</t>
  </si>
  <si>
    <t>Geldenhuis Deep ?</t>
  </si>
  <si>
    <t>General Mining and Finance</t>
  </si>
  <si>
    <t>Giant Mines of Rhodesia</t>
  </si>
  <si>
    <t>Ginsberg</t>
  </si>
  <si>
    <t>Glencairn Main Reef ?</t>
  </si>
  <si>
    <t>Glynn''s Lydenburg</t>
  </si>
  <si>
    <t xml:space="preserve">Goerz (A.) and Co. </t>
  </si>
  <si>
    <t>Gold Coast Amalgamated</t>
  </si>
  <si>
    <t>Golden Horseshoe</t>
  </si>
  <si>
    <t>Great Boulder (Proprietary)</t>
  </si>
  <si>
    <t>Great Boulder Perseverance</t>
  </si>
  <si>
    <t>Great Cobar</t>
  </si>
  <si>
    <t>15/</t>
  </si>
  <si>
    <t>Great Fingall Consols.</t>
  </si>
  <si>
    <t>H. E. Proprietary</t>
  </si>
  <si>
    <t>Henderson''s Transvaal</t>
  </si>
  <si>
    <t>Ivanhoe Gold Corporation</t>
  </si>
  <si>
    <t>0/7/0</t>
  </si>
  <si>
    <t>7/</t>
  </si>
  <si>
    <t>Jubilee ?</t>
  </si>
  <si>
    <t>Jumpers ?</t>
  </si>
  <si>
    <t>Jupiter</t>
  </si>
  <si>
    <t>Kalgurli</t>
  </si>
  <si>
    <t>Kinta Tin</t>
  </si>
  <si>
    <t>Knight''s (Witwatersrand) ?</t>
  </si>
  <si>
    <t>Knight Central</t>
  </si>
  <si>
    <t>Knight''s Deep ?</t>
  </si>
  <si>
    <t>Kleinfontein New ?</t>
  </si>
  <si>
    <t>Kyshtim Corporation</t>
  </si>
  <si>
    <t>Lake View Consols</t>
  </si>
  <si>
    <t>Lancaster West ?</t>
  </si>
  <si>
    <t>Langlaagte Estate &amp; Gold ?</t>
  </si>
  <si>
    <t>Lon.Johan''sbrg.</t>
  </si>
  <si>
    <t>Le Roi No. 2</t>
  </si>
  <si>
    <t>Lena Goldfields</t>
  </si>
  <si>
    <t>Libiola Copper Mining</t>
  </si>
  <si>
    <t>Linares Lead</t>
  </si>
  <si>
    <t>Lond. &amp; Rhodesian Mng.&amp; Land</t>
  </si>
  <si>
    <t>Lonely Reef</t>
  </si>
  <si>
    <t>Luipaards Vlei</t>
  </si>
  <si>
    <t>Main Reef West ?</t>
  </si>
  <si>
    <t>Mason &amp; Barry</t>
  </si>
  <si>
    <t>May Consolidated ?</t>
  </si>
  <si>
    <t>Mexico Mines of El Oro</t>
  </si>
  <si>
    <t>Meyer and Charlton ?</t>
  </si>
  <si>
    <t>Modderfontein (New) ?</t>
  </si>
  <si>
    <t>0/9/0</t>
  </si>
  <si>
    <t>9/</t>
  </si>
  <si>
    <t>Modder Deep ?</t>
  </si>
  <si>
    <t>Mountain Copper 6 % deb. stock</t>
  </si>
  <si>
    <t>Mount Boppy</t>
  </si>
  <si>
    <t>Mount Elliott</t>
  </si>
  <si>
    <t>Apr191</t>
  </si>
  <si>
    <t>Mount Lyell Mining and Rlwy.</t>
  </si>
  <si>
    <t>0/1/9</t>
  </si>
  <si>
    <t>Mount Morgan</t>
  </si>
  <si>
    <t>Melbourne.</t>
  </si>
  <si>
    <t>Mysore Gold Mining</t>
  </si>
  <si>
    <t>Namaqua Copper (L)</t>
  </si>
  <si>
    <t>New Goch ?</t>
  </si>
  <si>
    <t>New Heriot ? ?</t>
  </si>
  <si>
    <t>New Jagersfontein Mining and Exploration Ord. ?</t>
  </si>
  <si>
    <t>Lon.Kimberley.</t>
  </si>
  <si>
    <t>New Primrose ?</t>
  </si>
  <si>
    <t>Lon. Johan''sbrg.</t>
  </si>
  <si>
    <t>New Rietfontein ?</t>
  </si>
  <si>
    <t>New Steyn Estate ?</t>
  </si>
  <si>
    <t>New Vaal River (f)</t>
  </si>
  <si>
    <t>Nigel ?</t>
  </si>
  <si>
    <t>Nourse Mines ?</t>
  </si>
  <si>
    <t>Nundydroog</t>
  </si>
  <si>
    <t>0/1/4</t>
  </si>
  <si>
    <t>0/1/8</t>
  </si>
  <si>
    <t>0/1/2</t>
  </si>
  <si>
    <t>Ooregum of India</t>
  </si>
  <si>
    <t>Do 10 % Min. Preference</t>
  </si>
  <si>
    <t>Ouro Preto of Brazil</t>
  </si>
  <si>
    <t>Pahang Consolidated</t>
  </si>
  <si>
    <t>Do pref.</t>
  </si>
  <si>
    <t>Premier (Transvaal) Diamond prf.</t>
  </si>
  <si>
    <t>Prestea Block "A"</t>
  </si>
  <si>
    <t>Princess ?</t>
  </si>
  <si>
    <t>Randfontein Central</t>
  </si>
  <si>
    <t>Randfontein Estates Gold ?</t>
  </si>
  <si>
    <t>Rand Mines ?</t>
  </si>
  <si>
    <t>Rhodesia Exploration</t>
  </si>
  <si>
    <t>Rio Tinto ordinary</t>
  </si>
  <si>
    <t>0/22/6</t>
  </si>
  <si>
    <t>Roberts - Victor Diamond</t>
  </si>
  <si>
    <t>Robinson ?</t>
  </si>
  <si>
    <t>Robinson Deep ?</t>
  </si>
  <si>
    <t>Roodepoort United Main Reef ?</t>
  </si>
  <si>
    <t>LondonJohannesburg.</t>
  </si>
  <si>
    <t>Rose Deep ?</t>
  </si>
  <si>
    <t>St John Del Rey</t>
  </si>
  <si>
    <t>8 d</t>
  </si>
  <si>
    <t>Salisbury ?</t>
  </si>
  <si>
    <t>Scottish Australian</t>
  </si>
  <si>
    <t>Lond.Glasgow&amp;c.</t>
  </si>
  <si>
    <t>Siberian Proprietary</t>
  </si>
  <si>
    <t>Simmer and Jack Proprietary</t>
  </si>
  <si>
    <t>Simmer and Jack E. ?</t>
  </si>
  <si>
    <t>Simmer Deep</t>
  </si>
  <si>
    <t>Sons of Gwalia</t>
  </si>
  <si>
    <t>South Crofty</t>
  </si>
  <si>
    <t>South Kalgurli</t>
  </si>
  <si>
    <t>South West Africa</t>
  </si>
  <si>
    <t>Spassky Copper</t>
  </si>
  <si>
    <t>Springs Mines</t>
  </si>
  <si>
    <t>Sulphide Corporation</t>
  </si>
  <si>
    <t>0/2/3</t>
  </si>
  <si>
    <t>Do 10 % pref.</t>
  </si>
  <si>
    <t>Tanganyika Concessions</t>
  </si>
  <si>
    <t>Taquah Mining and Exploration</t>
  </si>
  <si>
    <t>Tharsis Sulphur and Copper</t>
  </si>
  <si>
    <t>Glas. Edin. Lon.</t>
  </si>
  <si>
    <t>Tin Areas of Nigeria</t>
  </si>
  <si>
    <t>Tomboy</t>
  </si>
  <si>
    <t>Treasury</t>
  </si>
  <si>
    <t>Tronoh Mines</t>
  </si>
  <si>
    <t>United Exploration</t>
  </si>
  <si>
    <t>Van Dyk Proprietary ?</t>
  </si>
  <si>
    <t>Van Ryn</t>
  </si>
  <si>
    <t>London Johannesburg.</t>
  </si>
  <si>
    <t>Van Ryn Deep (New)</t>
  </si>
  <si>
    <t>Village Deep ?</t>
  </si>
  <si>
    <t>Village Main Reef</t>
  </si>
  <si>
    <t>Vogelstruis Estates</t>
  </si>
  <si>
    <t>Waihi Gold</t>
  </si>
  <si>
    <t>Waihi Grand Junction</t>
  </si>
  <si>
    <t>West Rand Consolidated</t>
  </si>
  <si>
    <t>Willoughby Consolidated</t>
  </si>
  <si>
    <t>Witwatersrand Deep ?</t>
  </si>
  <si>
    <t>Wolhuter ?</t>
  </si>
  <si>
    <t>Worcester ?</t>
  </si>
  <si>
    <t>Zaaiplaats Tin</t>
  </si>
  <si>
    <t xml:space="preserve">Zambesia Exploration Co. Lim. </t>
  </si>
  <si>
    <t>b</t>
  </si>
  <si>
    <t>half</t>
  </si>
  <si>
    <t>a+b</t>
  </si>
  <si>
    <t>full and half</t>
  </si>
  <si>
    <t>f</t>
  </si>
  <si>
    <t>no</t>
  </si>
  <si>
    <t>in 11-12 commercial and industrial reports</t>
  </si>
  <si>
    <t>in</t>
  </si>
  <si>
    <t>No</t>
  </si>
  <si>
    <t>CoName</t>
  </si>
  <si>
    <t>Industry</t>
  </si>
  <si>
    <t>AGM Date</t>
  </si>
  <si>
    <t>Year end date</t>
  </si>
  <si>
    <t>Auditor name</t>
  </si>
  <si>
    <t>Auditing date</t>
  </si>
  <si>
    <t>Sales</t>
  </si>
  <si>
    <t>Closure of books</t>
  </si>
  <si>
    <t>BVE</t>
  </si>
  <si>
    <t>Price Waterhouse &amp; Co</t>
  </si>
  <si>
    <t>Full year</t>
  </si>
  <si>
    <t>Date of signing the letter</t>
  </si>
  <si>
    <t>First day of closed books</t>
  </si>
  <si>
    <t>Last day of closed books</t>
  </si>
  <si>
    <t>Net profit</t>
  </si>
  <si>
    <t>Total Assets</t>
  </si>
  <si>
    <t>J.E.W Rider &amp; Percival D. Griffiths</t>
  </si>
  <si>
    <t>Number of shares outstanding</t>
  </si>
  <si>
    <t>Country basis of operations</t>
  </si>
  <si>
    <t>Town of head office</t>
  </si>
  <si>
    <t>America</t>
  </si>
  <si>
    <t>aaaaa</t>
  </si>
  <si>
    <t>failing</t>
  </si>
  <si>
    <t>recon!</t>
  </si>
  <si>
    <t>1/2 dec 11</t>
  </si>
  <si>
    <t>1/2 jul 12</t>
  </si>
  <si>
    <t>electric and light</t>
  </si>
  <si>
    <t>na</t>
  </si>
  <si>
    <t>??</t>
  </si>
  <si>
    <t>re check 1199</t>
  </si>
  <si>
    <t>nitrate</t>
  </si>
  <si>
    <t>other</t>
  </si>
  <si>
    <t>enfield</t>
  </si>
  <si>
    <t>relook</t>
  </si>
  <si>
    <t>1185??</t>
  </si>
  <si>
    <t>1 no</t>
  </si>
  <si>
    <t xml:space="preserve">underground electirc rail is in here </t>
  </si>
  <si>
    <t>LIQ</t>
  </si>
  <si>
    <t>white</t>
  </si>
  <si>
    <t>shipping</t>
  </si>
  <si>
    <t>recon</t>
  </si>
  <si>
    <t>tea</t>
  </si>
  <si>
    <t>1910/1911</t>
  </si>
  <si>
    <t>1911/1912</t>
  </si>
  <si>
    <t>Barry Railway Company</t>
  </si>
  <si>
    <t>america</t>
  </si>
  <si>
    <t>india</t>
  </si>
  <si>
    <t>britain</t>
  </si>
  <si>
    <t>G. Rae Fraser, F.C.A., (James Fraser &amp; sons) &amp; Wentworth H. Price, F.C.A., (Wentworth Price and Gadsby)</t>
  </si>
  <si>
    <t>Barry</t>
  </si>
  <si>
    <t xml:space="preserve">Deloitte, Plender, Griffiths &amp; Co </t>
  </si>
  <si>
    <t>Chile/Bolivia</t>
  </si>
  <si>
    <t>Argentina</t>
  </si>
  <si>
    <t>India</t>
  </si>
  <si>
    <t>W. A. Browne &amp; Co</t>
  </si>
  <si>
    <t xml:space="preserve">Cooper Brothers &amp; Co., Gerard Ven de Linde &amp; Son. </t>
  </si>
  <si>
    <t>Gerard Ven de Linde &amp; Son., W. B. Peat &amp; Co</t>
  </si>
  <si>
    <t>Ernest Cooper, H. Mc Clintock Harris</t>
  </si>
  <si>
    <t>Charles Fox, F.C.A</t>
  </si>
  <si>
    <t>*</t>
  </si>
  <si>
    <t>**</t>
  </si>
  <si>
    <t>Turquand, Youngs &amp; Co</t>
  </si>
  <si>
    <t xml:space="preserve">Welton, Jones &amp; Co., Deloitte, Plender, Griffiths &amp; Co </t>
  </si>
  <si>
    <t xml:space="preserve">Deloitte, Plender, Griffiths &amp; Co., Cash, Stone &amp; Co </t>
  </si>
  <si>
    <t>Gerard Ven de Linde &amp; Son., W. A. Browne &amp; Co</t>
  </si>
  <si>
    <t>Glasgow</t>
  </si>
  <si>
    <t xml:space="preserve">Peter Rintoul, Fred. John Young </t>
  </si>
  <si>
    <t>James Fraser, Charles Fox</t>
  </si>
  <si>
    <t>Canada</t>
  </si>
  <si>
    <t>Montreal</t>
  </si>
  <si>
    <t>Charles J. G. Paterson, Herbert W. Haldane</t>
  </si>
  <si>
    <t>Wm. H. Pannell, Wm. B. Peat</t>
  </si>
  <si>
    <t>Deloitte, Plender, Griffiths &amp; Co., Jane, Jackson, Jefferys, Wells &amp; Co</t>
  </si>
  <si>
    <t>Uruguay</t>
  </si>
  <si>
    <t>Turquand, Youngs &amp; Co., James L. Oliver, F.C.A</t>
  </si>
  <si>
    <t>Turquand, Youngs &amp; Co.</t>
  </si>
  <si>
    <t>Deloitte, Plender, Griffiths &amp; Co.</t>
  </si>
  <si>
    <t>Cuba</t>
  </si>
  <si>
    <t>Dublin</t>
  </si>
  <si>
    <t>Marcus Goodbody</t>
  </si>
  <si>
    <t>Marcus Goodbody, Edwin N. Edwards</t>
  </si>
  <si>
    <t>Meredith &amp; Co</t>
  </si>
  <si>
    <t>Egypt</t>
  </si>
  <si>
    <t>Robert F. Miller, John L. Mc Ilraith</t>
  </si>
  <si>
    <t>George J. Walker, A. B. Birkmyre  Scott. C.As</t>
  </si>
  <si>
    <t>John M. Macleod, R. C. Mackenzie. C.As</t>
  </si>
  <si>
    <t>W.M. Ramsay, Chas. Percy &amp; verified by (UK): H. Cecil Newton &amp; Arthur F. Whinney</t>
  </si>
  <si>
    <t>W. Ashworth, W. Kevan</t>
  </si>
  <si>
    <t>Manchester</t>
  </si>
  <si>
    <t>J. Gurney Fowler, Wm. B. Peat</t>
  </si>
  <si>
    <t>Aberdeen</t>
  </si>
  <si>
    <t xml:space="preserve">A. W. Robertson Durham, Geo. M'Bain, C.As  </t>
  </si>
  <si>
    <t>C.M. Knatchbull Hugessen, W. B. Peat &amp; Co</t>
  </si>
  <si>
    <t>Great Northern Railway - UK</t>
  </si>
  <si>
    <t>Julian Hill, J.W. Close</t>
  </si>
  <si>
    <t>H. Leoport Pin, Marcus Goodbody</t>
  </si>
  <si>
    <t>Stanley Harrington, E. White</t>
  </si>
  <si>
    <t>Brazil</t>
  </si>
  <si>
    <t>Edward Hume, Edward A. Broome</t>
  </si>
  <si>
    <t>Paddington / London</t>
  </si>
  <si>
    <t>Alex Moore, J. Robert F. Cameron. C.As</t>
  </si>
  <si>
    <t>Inverness</t>
  </si>
  <si>
    <t>W. P. Burkinshaw, Fred, John Young</t>
  </si>
  <si>
    <t>Mexico</t>
  </si>
  <si>
    <t>J. H. Duncan &amp; Co</t>
  </si>
  <si>
    <t>Cuncan, Belcher &amp; Co</t>
  </si>
  <si>
    <t>J. B. Harmood Banner, John K. Halliday</t>
  </si>
  <si>
    <t>Edwin Waterhouse, Henry Wade Deacon</t>
  </si>
  <si>
    <t>H. W. Notman</t>
  </si>
  <si>
    <t>H. W. Notman, Derek Keppel</t>
  </si>
  <si>
    <t>James Ford,  F.C.A., William Cash, F.C.A.</t>
  </si>
  <si>
    <t xml:space="preserve"> W. B. Peat</t>
  </si>
  <si>
    <t>Arthur F. Whinney, Basil H, Stride</t>
  </si>
  <si>
    <t>Philippines</t>
  </si>
  <si>
    <t>J. F. Clarke, F.C.A., W. H. Walker,F.C.A.</t>
  </si>
  <si>
    <t>Wm. B. Peat, N. E. Waterhouse</t>
  </si>
  <si>
    <t>Wm. Holmes, Thomas Geoghegan</t>
  </si>
  <si>
    <t>Derby</t>
  </si>
  <si>
    <t>G. Walter Knox, G. B. Kidd</t>
  </si>
  <si>
    <t>Cooper Brothers &amp; Co</t>
  </si>
  <si>
    <t>Thomas Wise, F.C.A., F. Lindsay Fisher, F.C.A.</t>
  </si>
  <si>
    <t>Cardiff</t>
  </si>
  <si>
    <t>C. E. Dovey, F.C.A., R. H. March, F.C.A.</t>
  </si>
  <si>
    <t>G. A. Fitz-Adam Ormiston, J. S. Harmood Banner</t>
  </si>
  <si>
    <t>McAuliffe, Davis &amp; Hope</t>
  </si>
  <si>
    <t>Bristol</t>
  </si>
  <si>
    <t>Fred. A. Jenkins, F.C.A., Frank N. Tribe, F.C.A.</t>
  </si>
  <si>
    <t>Woodthorpe, Bevan &amp; Co.</t>
  </si>
  <si>
    <t>C. L. Nichols, F.C.A.</t>
  </si>
  <si>
    <t>UK</t>
  </si>
  <si>
    <t>A. Dodds Fairbairn, C.A., M. A. Ord Mackenzie</t>
  </si>
  <si>
    <t>Welton, Jones &amp; Co</t>
  </si>
  <si>
    <t>J. Gurney Fowler, N. E. Waterhouse</t>
  </si>
  <si>
    <t>Marwick, Mitchell, Peat &amp; Co</t>
  </si>
  <si>
    <t>H. C. Sims, Martin L. Saunders, Artur L. Gunn</t>
  </si>
  <si>
    <t>W. B. Peat &amp; Co</t>
  </si>
  <si>
    <t>J. Gurney Fowler, Gerard Ven de Linde</t>
  </si>
  <si>
    <t>Liverpool</t>
  </si>
  <si>
    <t>International</t>
  </si>
  <si>
    <t>Stead, Taylor &amp; Stead</t>
  </si>
  <si>
    <t xml:space="preserve"> Jane, Jackson, Jefferys, Wells &amp; Co</t>
  </si>
  <si>
    <t>Edinburgh</t>
  </si>
  <si>
    <t>C. F. Kemp, Sons &amp; Co</t>
  </si>
  <si>
    <t>Thomas A. Welton, F.C.A, Andrew Davidson, C.A</t>
  </si>
  <si>
    <t>Aberdeen &amp; London</t>
  </si>
  <si>
    <t>Norwich</t>
  </si>
  <si>
    <t>A. Mottram, H. P. Gould, F.C.A</t>
  </si>
  <si>
    <t>Chatteris, Nichols &amp; Co., Spain Bros &amp; Co</t>
  </si>
  <si>
    <t>Harmood Banner &amp; Son</t>
  </si>
  <si>
    <t>Britain &amp; America</t>
  </si>
  <si>
    <t>J. Hamilton Buchanan, C.A</t>
  </si>
  <si>
    <t>J. F. Clark, J. S. Harmood Banner, W. Ashworth</t>
  </si>
  <si>
    <t>Iron coal and steel</t>
  </si>
  <si>
    <t>Monkhouse, Goddard, &amp; Co</t>
  </si>
  <si>
    <t>Newcastle</t>
  </si>
  <si>
    <t>Alfred Tongue &amp; Co</t>
  </si>
  <si>
    <t>Sheffield</t>
  </si>
  <si>
    <t>Middlesbrough</t>
  </si>
  <si>
    <t>W. B. Peat</t>
  </si>
  <si>
    <t>John H. Armstrong, John Benson</t>
  </si>
  <si>
    <t>no photos</t>
  </si>
  <si>
    <t>Birmingham</t>
  </si>
  <si>
    <t>Carter &amp; Co</t>
  </si>
  <si>
    <t>Accrington</t>
  </si>
  <si>
    <t>John Adamson, Son &amp; Co</t>
  </si>
  <si>
    <t>Kerr, Andersons &amp; Macleod, C.A</t>
  </si>
  <si>
    <t>Blease &amp; Sons</t>
  </si>
  <si>
    <t>Warrington</t>
  </si>
  <si>
    <t>Darlington</t>
  </si>
  <si>
    <t>Monkhouse, Goddard, &amp; Co, Price Waterhouse &amp; Co</t>
  </si>
  <si>
    <t>Graham &amp; Co</t>
  </si>
  <si>
    <t>Alfred Tongue &amp; Co, W. B. Peat &amp; Co</t>
  </si>
  <si>
    <t>J. R. Bridgford &amp; Sons</t>
  </si>
  <si>
    <t>Wigan</t>
  </si>
  <si>
    <t>Workington</t>
  </si>
  <si>
    <t>Turquand, Youngs &amp; Co, Price Waterhouse &amp; Co</t>
  </si>
  <si>
    <t>G. Sneath, N.E. Waterhouse</t>
  </si>
  <si>
    <t>Associated News/Amalgamated Press</t>
  </si>
  <si>
    <t>Crewdson, Youatt &amp; Howard</t>
  </si>
  <si>
    <t>Other</t>
  </si>
  <si>
    <t>Jones, Crewdson &amp; Youatt, P. J. Kevan</t>
  </si>
  <si>
    <t>Jackson, Pixley, Browning, Husey &amp; Co</t>
  </si>
  <si>
    <t>Jones, Crewdson &amp; Youatt</t>
  </si>
  <si>
    <t>William Martello Gray</t>
  </si>
  <si>
    <t>Bradford</t>
  </si>
  <si>
    <t>Chalmers, Wade &amp; Co</t>
  </si>
  <si>
    <t>Joshua Wortley &amp; Sons</t>
  </si>
  <si>
    <t>Rotherham</t>
  </si>
  <si>
    <t>Edmund D. White &amp; Sons</t>
  </si>
  <si>
    <t>Ashworth, Mosley &amp; Co</t>
  </si>
  <si>
    <t>Annan, Dexter &amp; Co</t>
  </si>
  <si>
    <t>China</t>
  </si>
  <si>
    <t>Gerard Van de Linde &amp; Son</t>
  </si>
  <si>
    <t>Josolyne, Miles &amp; Co</t>
  </si>
  <si>
    <t>David Smith, Garnett &amp; Co</t>
  </si>
  <si>
    <t>Edwin Guthrie &amp; Co</t>
  </si>
  <si>
    <t>Wm. Plender (Deloitte, Plender, Griffiths &amp; Co.)</t>
  </si>
  <si>
    <t>R. P. Miller &amp; Co</t>
  </si>
  <si>
    <t>Leeds</t>
  </si>
  <si>
    <t xml:space="preserve">Beevers &amp; Angie </t>
  </si>
  <si>
    <t>Port Sunlight</t>
  </si>
  <si>
    <t>J. &amp; J. Sawyer &amp; Co</t>
  </si>
  <si>
    <t>Alfred Tongue &amp; Co, Kindston, Goff &amp; Findlay, C.As</t>
  </si>
  <si>
    <t>W. G. Rayner &amp; Co</t>
  </si>
  <si>
    <t>Parkinson, Mather &amp; Co</t>
  </si>
  <si>
    <t>Gibson &amp; Ashford</t>
  </si>
  <si>
    <t>Ford, Rhodes &amp; Ford</t>
  </si>
  <si>
    <t>Gillepsie Brothers &amp; Co</t>
  </si>
  <si>
    <t>Edwin Waterhouse, F.C.A</t>
  </si>
  <si>
    <t>Burma &amp; India</t>
  </si>
  <si>
    <t>Stead, Taylor &amp; Stead, Edmound D. White &amp; Sons, Finney, Son &amp; Sadler, Monkhouse, Goddard &amp; Co</t>
  </si>
  <si>
    <t>European</t>
  </si>
  <si>
    <t>Westcott, Maskall &amp; Co</t>
  </si>
  <si>
    <t>Brewery</t>
  </si>
  <si>
    <t>Burton</t>
  </si>
  <si>
    <t>Broads Paterson &amp; Co</t>
  </si>
  <si>
    <t>Smallfield, Rawlins &amp; Co</t>
  </si>
  <si>
    <t>Moores, Carson &amp; Watson, C.A.</t>
  </si>
  <si>
    <t>Mason &amp; Son</t>
  </si>
  <si>
    <t>Africa</t>
  </si>
  <si>
    <t>Chatteris Nichols &amp; Co</t>
  </si>
  <si>
    <t>Canal</t>
  </si>
  <si>
    <t>George Hicks, F.T. Woolley</t>
  </si>
  <si>
    <t>Thomas A. Welton, F.C.A, E. Manley Smith</t>
  </si>
  <si>
    <t>Electric &amp; Light</t>
  </si>
  <si>
    <t>O. R. Johnson &amp; Son</t>
  </si>
  <si>
    <t>Pannell &amp; Co</t>
  </si>
  <si>
    <t>Thomas Harrison</t>
  </si>
  <si>
    <t>Henry Grace, F.C.A., Frank N. Tribe, F.C.A</t>
  </si>
  <si>
    <t>Arch T. Eastman, C.F. Crookenden, F.C.A</t>
  </si>
  <si>
    <t>J. Reeson, H. J. Luff</t>
  </si>
  <si>
    <t>J. Gurney Fox, T. Bromhead Bassett</t>
  </si>
  <si>
    <t>T. Fell Abraham, Burton W. Eills</t>
  </si>
  <si>
    <t>John H. Armstrong</t>
  </si>
  <si>
    <t>George A. Touche &amp; Co</t>
  </si>
  <si>
    <t>A. E. Bateman</t>
  </si>
  <si>
    <t>Shipping</t>
  </si>
  <si>
    <t>W. T. Walton &amp; Son (incorporated accountants)</t>
  </si>
  <si>
    <t>Hartepool</t>
  </si>
  <si>
    <t>W. F. Courthope, F.A. White</t>
  </si>
  <si>
    <t>Richard Pennefather, C. L. Nichols, F.C.A</t>
  </si>
  <si>
    <t xml:space="preserve">Tea </t>
  </si>
  <si>
    <t>Alexander Sloan &amp; Co, Jackson, Pixley, Browning, Husey &amp; Co</t>
  </si>
  <si>
    <t>John Gane, F.C.A., Ernest Cooper, F.C.A</t>
  </si>
  <si>
    <t>Telegraph</t>
  </si>
  <si>
    <t>Deloitte, Plender, Griffiths &amp; Co. Welton, Jones &amp; Co</t>
  </si>
  <si>
    <t xml:space="preserve">Deloitte, Plender, Griffiths &amp; Co. </t>
  </si>
  <si>
    <t xml:space="preserve">Panama &amp; India </t>
  </si>
  <si>
    <t>Tramways</t>
  </si>
  <si>
    <t>James &amp; Edwards</t>
  </si>
  <si>
    <t>Whinney, Smith &amp; Whinney</t>
  </si>
  <si>
    <t>Solomon Hare &amp; Co</t>
  </si>
  <si>
    <t xml:space="preserve">Fred W. Smith &amp; Co, Deloitte, Plender, Griffiths &amp; Co. </t>
  </si>
  <si>
    <t>R. Gardner, A. V. Davoren</t>
  </si>
  <si>
    <t>Portugal</t>
  </si>
  <si>
    <t>Waterworks</t>
  </si>
  <si>
    <t>Fred. A. Jenkins, F.C.A., Wilfrid Grace, F.C.A.</t>
  </si>
  <si>
    <t>Thomas Harrison, John H. Armstrong</t>
  </si>
  <si>
    <t>Charles Holland James, Edward Gybbon Potter, G. &amp; W. Beech</t>
  </si>
  <si>
    <t>A. B. Birkmyre Scott, R. C. Mackenzie, C.As</t>
  </si>
  <si>
    <t>Wm. B. Peat, Edward Jones</t>
  </si>
  <si>
    <t>York</t>
  </si>
  <si>
    <t>Edwin Waterhouse, Robert Andrews</t>
  </si>
  <si>
    <t>William Cash, F.C.A., William Plender, F.C.A.</t>
  </si>
  <si>
    <t>y</t>
  </si>
  <si>
    <t>n</t>
  </si>
  <si>
    <t>25-03-12??</t>
  </si>
  <si>
    <t>Marcus Goodbody &amp; C Frederick Allen</t>
  </si>
  <si>
    <t>W. Ashworth</t>
  </si>
  <si>
    <t>Dorman Long</t>
  </si>
  <si>
    <t>C. H. Waters,  F.A.A. &amp; C. P. Crookenden, F.C.A</t>
  </si>
  <si>
    <t>International Tea</t>
  </si>
  <si>
    <t>William Goff, R. C. Mackenzie, C.As</t>
  </si>
  <si>
    <t xml:space="preserve">R. L. Impey, Lakin-Smith &amp; Goode </t>
  </si>
  <si>
    <t>Kean &amp; Co</t>
  </si>
  <si>
    <t>23-03-11??</t>
  </si>
  <si>
    <t>Welton, Jones &amp; Co.</t>
  </si>
  <si>
    <t>Finance- Other</t>
  </si>
  <si>
    <t>Peru</t>
  </si>
  <si>
    <t>Lindsay, Jamieson &amp; Haldane, C.A.</t>
  </si>
  <si>
    <t>Christopher Hopkinson &amp; Francis C. Morgan</t>
  </si>
  <si>
    <t>Bank</t>
  </si>
  <si>
    <t>B. M. Litchfield</t>
  </si>
  <si>
    <t>Wellington</t>
  </si>
  <si>
    <t>Richard Brown, R. C. Mackenzie. C.As</t>
  </si>
  <si>
    <t>M. Mowat, W. A. Browne</t>
  </si>
  <si>
    <t>Alex Moore Jr.,  Robt. C. Millar, C.As</t>
  </si>
  <si>
    <t>John M. Macleod, A. W. Robertson Durham, C.As</t>
  </si>
  <si>
    <t>Jeremiah Buckley (Kean &amp; Co.), C.A.</t>
  </si>
  <si>
    <t>W. Hutton Potts, J. W. C. Bonnar</t>
  </si>
  <si>
    <t>Hongkong</t>
  </si>
  <si>
    <t>Gerard Ven de Linde &amp; Son</t>
  </si>
  <si>
    <t>Brazil &amp; Uk</t>
  </si>
  <si>
    <t>Ernest Cooper, Edgar Figgess</t>
  </si>
  <si>
    <t>Edward H. Fletcher, Sydney R. Worley</t>
  </si>
  <si>
    <t>G. E. Sendell, Fred, John Young</t>
  </si>
  <si>
    <t>Deloitte, Plender, Griffiths &amp; Co, W. B. Peat, Wm. Cash</t>
  </si>
  <si>
    <t>G. Stanley Wood, W. A. Cumming, W. H. Young</t>
  </si>
  <si>
    <t>Broads, Paterson &amp; Co</t>
  </si>
  <si>
    <t>G. J. Macfarlane, W. J. O'brien</t>
  </si>
  <si>
    <t>Pietermaritzburg</t>
  </si>
  <si>
    <t>Charles Fox, F.C.A, R. Barry O'Brien, John F. Smithwick</t>
  </si>
  <si>
    <t>Cairo</t>
  </si>
  <si>
    <t>F. H. Russell, S. C. Wyatt</t>
  </si>
  <si>
    <t>Cooper Brothers &amp; Co, W. A. Browne &amp; Co.</t>
  </si>
  <si>
    <t>J. M. Henderson, F.C.A., WM. Home Cook, C. A.</t>
  </si>
  <si>
    <t>Robert Baikie, John Dougall</t>
  </si>
  <si>
    <t>Pretoria</t>
  </si>
  <si>
    <t>South Africa</t>
  </si>
  <si>
    <t>Edwin Waterhouse, William Barclay Peat</t>
  </si>
  <si>
    <t>Thomas Bowden, Wm. B. Peat</t>
  </si>
  <si>
    <t>Belfast</t>
  </si>
  <si>
    <t>Arthur J. Hill, Vellacott &amp; Co.</t>
  </si>
  <si>
    <t>Turquand, Youngs &amp; Co, Stead, Taylor &amp; Stead, Price, Watehouse &amp; Co</t>
  </si>
  <si>
    <t>Ernest Cooper, R. Gardner</t>
  </si>
  <si>
    <t>Kevans &amp; Son, Frank Fitzgerald</t>
  </si>
  <si>
    <t>John M. Howden, J. Matone Graham</t>
  </si>
  <si>
    <t>Hadfield, Riddell &amp; Co.</t>
  </si>
  <si>
    <t>Joshua Wortley &amp; Sons, John Watson &amp; Sons</t>
  </si>
  <si>
    <t>WM. Peat &amp; Co., A. Turquand Young</t>
  </si>
  <si>
    <t>Herbert W. Haldane, C. D. Gairdner. C.A's</t>
  </si>
  <si>
    <t>Wm. B. Peat, C. W. M. Kemp, Arthur M. Whinney</t>
  </si>
  <si>
    <t>Walter N. Fisher</t>
  </si>
  <si>
    <t>31-06-1911</t>
  </si>
  <si>
    <t>Price Waterhouse &amp; Co, C. F. Kemp, Sons &amp; Co</t>
  </si>
  <si>
    <t>Thomas A. Welton</t>
  </si>
  <si>
    <t>Cooper Brothers &amp; Co.</t>
  </si>
  <si>
    <t>Thomas Maskall &amp; James Harris</t>
  </si>
  <si>
    <t>James Watt, W.S, F.F.A., H.I., Usher, C.A.</t>
  </si>
  <si>
    <t>W. M. Ashworth, W. M. Kevan</t>
  </si>
  <si>
    <t>J. Gurney Fowler, Robert W. Dibdin, N. E. Waterhouse</t>
  </si>
  <si>
    <t>H. Woodburn Kirby, F.C.A.</t>
  </si>
  <si>
    <t>William G. Jefferys, F.C.A.</t>
  </si>
  <si>
    <t>Rail</t>
  </si>
  <si>
    <t>Glasgow District Subway (cable Rail)</t>
  </si>
  <si>
    <t>Canadian Car &amp; Foundry (Railcars)</t>
  </si>
  <si>
    <t>Metropolitan Amalgamated (Railcars)</t>
  </si>
  <si>
    <t>Pekin Syndicate (coal mines, Railway)</t>
  </si>
  <si>
    <t>London / London</t>
  </si>
  <si>
    <t>Edwin Waterhouse</t>
  </si>
  <si>
    <t>Intangibles/ Goodwill</t>
  </si>
  <si>
    <t>Income tax</t>
  </si>
  <si>
    <t>Gross Profit</t>
  </si>
  <si>
    <t>Interest</t>
  </si>
  <si>
    <t>Total Liabilities</t>
  </si>
  <si>
    <t>Reporting Currency GBP</t>
  </si>
  <si>
    <t>Other Currency</t>
  </si>
  <si>
    <t>Cash</t>
  </si>
  <si>
    <t>EBIT (tax/int)</t>
  </si>
  <si>
    <t>City of Chicago Brewing &amp; Malting (English Company)</t>
  </si>
  <si>
    <t>Dollars</t>
  </si>
  <si>
    <t>Indian Rupee</t>
  </si>
  <si>
    <t>Total Debt</t>
  </si>
  <si>
    <t>Bank Debt</t>
  </si>
  <si>
    <t>Non-Current Assets</t>
  </si>
  <si>
    <t>Current Assets</t>
  </si>
  <si>
    <t>Amount verification</t>
  </si>
  <si>
    <t>Other Debt</t>
  </si>
  <si>
    <t>Dividends paymment for the year</t>
  </si>
  <si>
    <t>Depreciation</t>
  </si>
  <si>
    <t>Non-current Liabilities</t>
  </si>
  <si>
    <t>Current Liabilities</t>
  </si>
  <si>
    <t>J. B. Swayne</t>
  </si>
  <si>
    <t>W. Ashworth, T.H Rymer</t>
  </si>
  <si>
    <t>Wm. Holmes</t>
  </si>
  <si>
    <t>Welton, Jones &amp; Co, Price, Waterhouse &amp; Co.</t>
  </si>
  <si>
    <t>Deloitte, Plender, Griffiths &amp; Co. J. &amp; J. Sawyer &amp; Co</t>
  </si>
  <si>
    <t>Welton Jones &amp; Co., Deloitte, Plender, Griffiths &amp; Co.,Welton, Jones &amp; Co</t>
  </si>
  <si>
    <t>Turquand, Youngs &amp; Co.,</t>
  </si>
  <si>
    <t>Deloitte, Plender, Griffiths &amp; Co., Jane, Jackson, Jefferys, Freeman</t>
  </si>
  <si>
    <t>J. D. A. Norris, Andrew Davidson</t>
  </si>
  <si>
    <t>03/011914</t>
  </si>
  <si>
    <t>Price, Waterhouse &amp; Co.</t>
  </si>
  <si>
    <t>Wm. Holmes, George Cree</t>
  </si>
  <si>
    <t>Edwin Waterhouse, J. T. Firbank</t>
  </si>
  <si>
    <t>C. T. Moore, F.C.A., A. Dodds Fairbairn, C.A., M. A. Ord Mackenzie</t>
  </si>
  <si>
    <t>A. Dodds Fairbairn, C.A., M. A. Ord Mackenzie, Edward H. Fletcher, F.C.A.</t>
  </si>
  <si>
    <t>Marwick, Mitchell, Rorie, Collier &amp; Co.</t>
  </si>
  <si>
    <t>C. E. Vernon Rutter, Martin L. Saunders, H.C. Sims</t>
  </si>
  <si>
    <t>09/02/1911</t>
  </si>
  <si>
    <t xml:space="preserve"> H. P. Gould, F.C.A</t>
  </si>
  <si>
    <t>W. B. Peat &amp; Co., Herman Lescher Stephens &amp; Co.</t>
  </si>
  <si>
    <t>W. B. Peat &amp; Co.</t>
  </si>
  <si>
    <t>29/02/1911</t>
  </si>
  <si>
    <t>29/02/1913</t>
  </si>
  <si>
    <t>25/05/194</t>
  </si>
  <si>
    <t>Lancaster</t>
  </si>
  <si>
    <t>George A. Touche &amp; Co., Harris Allan &amp; Co.</t>
  </si>
  <si>
    <t>30/02/1914</t>
  </si>
  <si>
    <t>M. Mowat</t>
  </si>
  <si>
    <t>31/11/1913</t>
  </si>
  <si>
    <t>John M. Bowden, C.A. WM. Home cook, C.A.</t>
  </si>
  <si>
    <t>Harmood Banner &amp; Son, M'Clelland, KER &amp; Co</t>
  </si>
  <si>
    <t>J. S. Harmood Banner, Geo. Nicholson</t>
  </si>
  <si>
    <t>J. S. Harmood Banner, Wm. H. Alexander, C.A.</t>
  </si>
  <si>
    <t>Thomas A. Welton, F.C.A,  Cressy Edmondson</t>
  </si>
  <si>
    <t>J. H. Duncan, Belcher &amp; Co</t>
  </si>
  <si>
    <t>Thomas Maskall &amp; Gibson Harris</t>
  </si>
  <si>
    <t>Christopher Hopkinson &amp; Francis S. H. Judd</t>
  </si>
  <si>
    <t>T. H. W. Pelham</t>
  </si>
  <si>
    <t>R. Giffen</t>
  </si>
  <si>
    <t>T. Bromhead Bassett</t>
  </si>
  <si>
    <t>T. Bromhead Bassett, C. F. Dendy Marshall</t>
  </si>
  <si>
    <t>J. H. Bailey, Evan A. Jack</t>
  </si>
  <si>
    <t>Deloitte, Plender, Griffiths &amp; Co., James &amp; Edwards</t>
  </si>
  <si>
    <t xml:space="preserve">Fred W. Smith, Riches &amp; Co, Deloitte, Plender, Griffiths &amp; Co. </t>
  </si>
  <si>
    <t>31/06/1910</t>
  </si>
  <si>
    <t>l</t>
  </si>
  <si>
    <t>Dividends</t>
  </si>
  <si>
    <t>Mixed</t>
  </si>
  <si>
    <t>ID</t>
  </si>
  <si>
    <t>RL001</t>
  </si>
  <si>
    <t>RL002</t>
  </si>
  <si>
    <t>RL003</t>
  </si>
  <si>
    <t>RL004</t>
  </si>
  <si>
    <t>RL005</t>
  </si>
  <si>
    <t>RL006</t>
  </si>
  <si>
    <t>RL007</t>
  </si>
  <si>
    <t>RL008</t>
  </si>
  <si>
    <t>RL009</t>
  </si>
  <si>
    <t>RL010</t>
  </si>
  <si>
    <t>RL011</t>
  </si>
  <si>
    <t>RL012</t>
  </si>
  <si>
    <t>RL013</t>
  </si>
  <si>
    <t>RL014</t>
  </si>
  <si>
    <t>RL015</t>
  </si>
  <si>
    <t>RL016</t>
  </si>
  <si>
    <t>RL017</t>
  </si>
  <si>
    <t>RL018</t>
  </si>
  <si>
    <t>RL019</t>
  </si>
  <si>
    <t>RL020</t>
  </si>
  <si>
    <t>RL021</t>
  </si>
  <si>
    <t>RL022</t>
  </si>
  <si>
    <t>RL023</t>
  </si>
  <si>
    <t>RL024</t>
  </si>
  <si>
    <t>RL025</t>
  </si>
  <si>
    <t>RL026</t>
  </si>
  <si>
    <t>RL027</t>
  </si>
  <si>
    <t>RL028</t>
  </si>
  <si>
    <t>RL029</t>
  </si>
  <si>
    <t>RL030</t>
  </si>
  <si>
    <t>RL031</t>
  </si>
  <si>
    <t>RL032</t>
  </si>
  <si>
    <t>RL033</t>
  </si>
  <si>
    <t>RL034</t>
  </si>
  <si>
    <t>RL035</t>
  </si>
  <si>
    <t>RL036</t>
  </si>
  <si>
    <t>RL037</t>
  </si>
  <si>
    <t>RL038</t>
  </si>
  <si>
    <t>RL039</t>
  </si>
  <si>
    <t>RL040</t>
  </si>
  <si>
    <t>RL041</t>
  </si>
  <si>
    <t>RL042</t>
  </si>
  <si>
    <t>RL043</t>
  </si>
  <si>
    <t>RL044</t>
  </si>
  <si>
    <t>RL045</t>
  </si>
  <si>
    <t>RL046</t>
  </si>
  <si>
    <t>RL047</t>
  </si>
  <si>
    <t>RL048</t>
  </si>
  <si>
    <t>RL049</t>
  </si>
  <si>
    <t>RL050</t>
  </si>
  <si>
    <t>RL051</t>
  </si>
  <si>
    <t>RL052</t>
  </si>
  <si>
    <t>RL053</t>
  </si>
  <si>
    <t>RL054</t>
  </si>
  <si>
    <t>RL055</t>
  </si>
  <si>
    <t>RL056</t>
  </si>
  <si>
    <t>RL057</t>
  </si>
  <si>
    <t>RL058</t>
  </si>
  <si>
    <t>RL059</t>
  </si>
  <si>
    <t>RL060</t>
  </si>
  <si>
    <t>RL061</t>
  </si>
  <si>
    <t>RL062</t>
  </si>
  <si>
    <t>RL063</t>
  </si>
  <si>
    <t>RL064</t>
  </si>
  <si>
    <t>RL065</t>
  </si>
  <si>
    <t>RL066</t>
  </si>
  <si>
    <t>RL067</t>
  </si>
  <si>
    <t>RL068</t>
  </si>
  <si>
    <t>RL069</t>
  </si>
  <si>
    <t>RL070</t>
  </si>
  <si>
    <t>RL071</t>
  </si>
  <si>
    <t>RL072</t>
  </si>
  <si>
    <t>RL073</t>
  </si>
  <si>
    <t>RL074</t>
  </si>
  <si>
    <t>OT001</t>
  </si>
  <si>
    <t>BA001</t>
  </si>
  <si>
    <t>BA002</t>
  </si>
  <si>
    <t>BA003</t>
  </si>
  <si>
    <t>BA004</t>
  </si>
  <si>
    <t>BA005</t>
  </si>
  <si>
    <t>BA006</t>
  </si>
  <si>
    <t>BA007</t>
  </si>
  <si>
    <t>BA008</t>
  </si>
  <si>
    <t>BA009</t>
  </si>
  <si>
    <t>BA010</t>
  </si>
  <si>
    <t>BA011</t>
  </si>
  <si>
    <t>BA012</t>
  </si>
  <si>
    <t>BA013</t>
  </si>
  <si>
    <t>BA014</t>
  </si>
  <si>
    <t>BA015</t>
  </si>
  <si>
    <t>BA016</t>
  </si>
  <si>
    <t>BA017</t>
  </si>
  <si>
    <t>BA018</t>
  </si>
  <si>
    <t>BA019</t>
  </si>
  <si>
    <t>BA020</t>
  </si>
  <si>
    <t>BA021</t>
  </si>
  <si>
    <t>BA022</t>
  </si>
  <si>
    <t>BA023</t>
  </si>
  <si>
    <t>BA024</t>
  </si>
  <si>
    <t>BA025</t>
  </si>
  <si>
    <t>BA026</t>
  </si>
  <si>
    <t>BA027</t>
  </si>
  <si>
    <t>BA028</t>
  </si>
  <si>
    <t>BA029</t>
  </si>
  <si>
    <t>BA030</t>
  </si>
  <si>
    <t>BA031</t>
  </si>
  <si>
    <t>BA032</t>
  </si>
  <si>
    <t>BA033</t>
  </si>
  <si>
    <t>BA034</t>
  </si>
  <si>
    <t>BA035</t>
  </si>
  <si>
    <t>BA036</t>
  </si>
  <si>
    <t>BA037</t>
  </si>
  <si>
    <t>BA038</t>
  </si>
  <si>
    <t>BA039</t>
  </si>
  <si>
    <t>BA040</t>
  </si>
  <si>
    <t>BA041</t>
  </si>
  <si>
    <t>BA042</t>
  </si>
  <si>
    <t>BA043</t>
  </si>
  <si>
    <t>BA044</t>
  </si>
  <si>
    <t>BA045</t>
  </si>
  <si>
    <t>BA046</t>
  </si>
  <si>
    <t>BA047</t>
  </si>
  <si>
    <t>BA048</t>
  </si>
  <si>
    <t>BA049</t>
  </si>
  <si>
    <t>BA050</t>
  </si>
  <si>
    <t>BA051</t>
  </si>
  <si>
    <t>BA052</t>
  </si>
  <si>
    <t>BA053</t>
  </si>
  <si>
    <t>BR001</t>
  </si>
  <si>
    <t>BR002</t>
  </si>
  <si>
    <t>BR003</t>
  </si>
  <si>
    <t>BR004</t>
  </si>
  <si>
    <t>BR005</t>
  </si>
  <si>
    <t>BR006</t>
  </si>
  <si>
    <t>BR007</t>
  </si>
  <si>
    <t>BR008</t>
  </si>
  <si>
    <t>BR009</t>
  </si>
  <si>
    <t>BR010</t>
  </si>
  <si>
    <t>BR011</t>
  </si>
  <si>
    <t>BR012</t>
  </si>
  <si>
    <t>BR013</t>
  </si>
  <si>
    <t>BR014</t>
  </si>
  <si>
    <t>BR015</t>
  </si>
  <si>
    <t>BR016</t>
  </si>
  <si>
    <t>BR017</t>
  </si>
  <si>
    <t>EL001</t>
  </si>
  <si>
    <t>CN001</t>
  </si>
  <si>
    <t>CN002</t>
  </si>
  <si>
    <t>CN003</t>
  </si>
  <si>
    <t>CN004</t>
  </si>
  <si>
    <t>EL002</t>
  </si>
  <si>
    <t>EL003</t>
  </si>
  <si>
    <t>EL004</t>
  </si>
  <si>
    <t>EL005</t>
  </si>
  <si>
    <t>EL006</t>
  </si>
  <si>
    <t>FO001</t>
  </si>
  <si>
    <t>FO002</t>
  </si>
  <si>
    <t>FO003</t>
  </si>
  <si>
    <t>FO004</t>
  </si>
  <si>
    <t>FO005</t>
  </si>
  <si>
    <t>FO006</t>
  </si>
  <si>
    <t>FO007</t>
  </si>
  <si>
    <t>FO008</t>
  </si>
  <si>
    <t>FO009</t>
  </si>
  <si>
    <t>FO010</t>
  </si>
  <si>
    <t>FO011</t>
  </si>
  <si>
    <t>GLC01</t>
  </si>
  <si>
    <t>GLC02</t>
  </si>
  <si>
    <t>GLC03</t>
  </si>
  <si>
    <t>GLC04</t>
  </si>
  <si>
    <t>GLC05</t>
  </si>
  <si>
    <t>GLC06</t>
  </si>
  <si>
    <t>GLC07</t>
  </si>
  <si>
    <t>GLC08</t>
  </si>
  <si>
    <t>GLC09</t>
  </si>
  <si>
    <t>GLC10</t>
  </si>
  <si>
    <t>GLC11</t>
  </si>
  <si>
    <t>IN001</t>
  </si>
  <si>
    <t>IN002</t>
  </si>
  <si>
    <t>IN003</t>
  </si>
  <si>
    <t>IN004</t>
  </si>
  <si>
    <t>IN005</t>
  </si>
  <si>
    <t>IN006</t>
  </si>
  <si>
    <t>IN007</t>
  </si>
  <si>
    <t>IN008</t>
  </si>
  <si>
    <t>IN009</t>
  </si>
  <si>
    <t>IN010</t>
  </si>
  <si>
    <t>IN011</t>
  </si>
  <si>
    <t>IN012</t>
  </si>
  <si>
    <t>IN013</t>
  </si>
  <si>
    <t>IN014</t>
  </si>
  <si>
    <t>IN015</t>
  </si>
  <si>
    <t>IN016</t>
  </si>
  <si>
    <t>IN017</t>
  </si>
  <si>
    <t>IN018</t>
  </si>
  <si>
    <t>IN019</t>
  </si>
  <si>
    <t>IN020</t>
  </si>
  <si>
    <t>IN021</t>
  </si>
  <si>
    <t>IC001</t>
  </si>
  <si>
    <t>IC002</t>
  </si>
  <si>
    <t>IC003</t>
  </si>
  <si>
    <t>IC004</t>
  </si>
  <si>
    <t>IC005</t>
  </si>
  <si>
    <t>IC006</t>
  </si>
  <si>
    <t>IC007</t>
  </si>
  <si>
    <t>IC008</t>
  </si>
  <si>
    <t>IC009</t>
  </si>
  <si>
    <t>IC010</t>
  </si>
  <si>
    <t>IC011</t>
  </si>
  <si>
    <t>IC012</t>
  </si>
  <si>
    <t>IC013</t>
  </si>
  <si>
    <t>IC014</t>
  </si>
  <si>
    <t>IC015</t>
  </si>
  <si>
    <t>IC016</t>
  </si>
  <si>
    <t>IC017</t>
  </si>
  <si>
    <t>IC018</t>
  </si>
  <si>
    <t>IC019</t>
  </si>
  <si>
    <t>IC020</t>
  </si>
  <si>
    <t>IC021</t>
  </si>
  <si>
    <t>IC022</t>
  </si>
  <si>
    <t>IC023</t>
  </si>
  <si>
    <t>IC024</t>
  </si>
  <si>
    <t>OT002</t>
  </si>
  <si>
    <t>OT003</t>
  </si>
  <si>
    <t>OT004</t>
  </si>
  <si>
    <t>OT005</t>
  </si>
  <si>
    <t>OT006</t>
  </si>
  <si>
    <t>OT007</t>
  </si>
  <si>
    <t>OT008</t>
  </si>
  <si>
    <t>OT009</t>
  </si>
  <si>
    <t>OT010</t>
  </si>
  <si>
    <t>OT011</t>
  </si>
  <si>
    <t>OT012</t>
  </si>
  <si>
    <t>OT013</t>
  </si>
  <si>
    <t>OT014</t>
  </si>
  <si>
    <t>OT015</t>
  </si>
  <si>
    <t>OT016</t>
  </si>
  <si>
    <t>OT017</t>
  </si>
  <si>
    <t>OT018</t>
  </si>
  <si>
    <t>OT019</t>
  </si>
  <si>
    <t>OT020</t>
  </si>
  <si>
    <t>OT021</t>
  </si>
  <si>
    <t>OT022</t>
  </si>
  <si>
    <t>OT023</t>
  </si>
  <si>
    <t>OT024</t>
  </si>
  <si>
    <t>OT025</t>
  </si>
  <si>
    <t>OT026</t>
  </si>
  <si>
    <t>OT027</t>
  </si>
  <si>
    <t>OT028</t>
  </si>
  <si>
    <t>OT029</t>
  </si>
  <si>
    <t>OT030</t>
  </si>
  <si>
    <t>OT031</t>
  </si>
  <si>
    <t>OT032</t>
  </si>
  <si>
    <t>OT033</t>
  </si>
  <si>
    <t>OT034</t>
  </si>
  <si>
    <t>OT035</t>
  </si>
  <si>
    <t>OT036</t>
  </si>
  <si>
    <t>OT037</t>
  </si>
  <si>
    <t>OT038</t>
  </si>
  <si>
    <t>OT039</t>
  </si>
  <si>
    <t>OT040</t>
  </si>
  <si>
    <t>OT041</t>
  </si>
  <si>
    <t>OT042</t>
  </si>
  <si>
    <t>OT043</t>
  </si>
  <si>
    <t>OT044</t>
  </si>
  <si>
    <t>OT045</t>
  </si>
  <si>
    <t>OT046</t>
  </si>
  <si>
    <t>OT047</t>
  </si>
  <si>
    <t>OT048</t>
  </si>
  <si>
    <t>OT049</t>
  </si>
  <si>
    <t>OT050</t>
  </si>
  <si>
    <t>OT051</t>
  </si>
  <si>
    <t>OT052</t>
  </si>
  <si>
    <t>OT053</t>
  </si>
  <si>
    <t>OT054</t>
  </si>
  <si>
    <t>SP001</t>
  </si>
  <si>
    <t>SP002</t>
  </si>
  <si>
    <t>SP003</t>
  </si>
  <si>
    <t>SP004</t>
  </si>
  <si>
    <t>SP005</t>
  </si>
  <si>
    <t>SP006</t>
  </si>
  <si>
    <t>SP007</t>
  </si>
  <si>
    <t>SP008</t>
  </si>
  <si>
    <t>T01</t>
  </si>
  <si>
    <t>TE001</t>
  </si>
  <si>
    <t>TE002</t>
  </si>
  <si>
    <t>TE003</t>
  </si>
  <si>
    <t>TE004</t>
  </si>
  <si>
    <t>TE005</t>
  </si>
  <si>
    <t>TE006</t>
  </si>
  <si>
    <t>TE007</t>
  </si>
  <si>
    <t>TE008</t>
  </si>
  <si>
    <t>TE009</t>
  </si>
  <si>
    <t>TR001</t>
  </si>
  <si>
    <t>TR002</t>
  </si>
  <si>
    <t>TR003</t>
  </si>
  <si>
    <t>TR004</t>
  </si>
  <si>
    <t>TR005</t>
  </si>
  <si>
    <t>TR006</t>
  </si>
  <si>
    <t>TR007</t>
  </si>
  <si>
    <t>TR008</t>
  </si>
  <si>
    <t>WW01</t>
  </si>
  <si>
    <t>WW02</t>
  </si>
  <si>
    <t>WW03</t>
  </si>
  <si>
    <t>31/09/1909</t>
  </si>
  <si>
    <t>31/09/1910</t>
  </si>
  <si>
    <t>31/09/1911</t>
  </si>
  <si>
    <t>31/09/1913</t>
  </si>
  <si>
    <t>31/09/1914</t>
  </si>
  <si>
    <t>31/09/1912</t>
  </si>
  <si>
    <t>31/09/1915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</si>
</sst>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2"/>
      <color rgb="FFFF0000"/>
      <name val="Times New Roman"/>
      <family val="1"/>
    </font>
    <font>
      <sz val="12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12"/>
      <color rgb="FF00B050"/>
      <name val="Times New Roman"/>
      <family val="1"/>
    </font>
    <font>
      <b/>
      <sz val="12"/>
      <name val="Times New Roman"/>
      <family val="1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0000"/>
      <name val="Times New Roman"/>
      <family val="1"/>
    </font>
    <font>
      <b/>
      <sz val="10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3">
    <xf numFmtId="0" fontId="0" fillId="0" borderId="0" xfId="0"/>
    <xf numFmtId="0" fontId="2" fillId="0" borderId="0" xfId="0" applyFont="1" applyAlignment="1">
      <alignment vertical="center"/>
    </xf>
    <xf numFmtId="11" fontId="0" fillId="0" borderId="0" xfId="0" applyNumberFormat="1"/>
    <xf numFmtId="0" fontId="0" fillId="2" borderId="0" xfId="0" applyFill="1"/>
    <xf numFmtId="17" fontId="0" fillId="0" borderId="0" xfId="0" applyNumberFormat="1"/>
    <xf numFmtId="16" fontId="0" fillId="0" borderId="0" xfId="0" applyNumberFormat="1"/>
    <xf numFmtId="15" fontId="0" fillId="0" borderId="0" xfId="0" applyNumberFormat="1"/>
    <xf numFmtId="0" fontId="3" fillId="0" borderId="2" xfId="1" applyBorder="1" applyAlignment="1">
      <alignment vertical="center"/>
    </xf>
    <xf numFmtId="0" fontId="0" fillId="0" borderId="2" xfId="0" applyBorder="1"/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0" fillId="0" borderId="1" xfId="0" applyBorder="1"/>
    <xf numFmtId="0" fontId="0" fillId="0" borderId="3" xfId="0" applyFill="1" applyBorder="1"/>
    <xf numFmtId="0" fontId="0" fillId="0" borderId="4" xfId="0" applyFill="1" applyBorder="1"/>
    <xf numFmtId="0" fontId="1" fillId="0" borderId="1" xfId="0" applyFont="1" applyFill="1" applyBorder="1" applyAlignment="1">
      <alignment vertical="center"/>
    </xf>
    <xf numFmtId="0" fontId="0" fillId="0" borderId="1" xfId="0" applyFill="1" applyBorder="1"/>
    <xf numFmtId="0" fontId="0" fillId="0" borderId="0" xfId="0" applyFill="1"/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4" fontId="1" fillId="0" borderId="7" xfId="0" applyNumberFormat="1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4" fontId="1" fillId="0" borderId="13" xfId="0" applyNumberFormat="1" applyFont="1" applyBorder="1" applyAlignment="1">
      <alignment horizontal="center" vertical="center" wrapText="1"/>
    </xf>
    <xf numFmtId="14" fontId="1" fillId="0" borderId="1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 wrapText="1"/>
    </xf>
    <xf numFmtId="14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1" fillId="0" borderId="1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4" fontId="1" fillId="0" borderId="0" xfId="0" applyNumberFormat="1" applyFont="1" applyAlignment="1">
      <alignment horizontal="center"/>
    </xf>
    <xf numFmtId="14" fontId="1" fillId="0" borderId="9" xfId="0" applyNumberFormat="1" applyFont="1" applyBorder="1" applyAlignment="1">
      <alignment horizontal="center" vertical="center" wrapText="1"/>
    </xf>
    <xf numFmtId="14" fontId="1" fillId="0" borderId="14" xfId="0" applyNumberFormat="1" applyFont="1" applyBorder="1" applyAlignment="1">
      <alignment horizontal="center" vertical="center" wrapText="1"/>
    </xf>
    <xf numFmtId="14" fontId="1" fillId="0" borderId="11" xfId="0" applyNumberFormat="1" applyFont="1" applyBorder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14" fontId="1" fillId="0" borderId="12" xfId="0" applyNumberFormat="1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14" fontId="1" fillId="0" borderId="7" xfId="0" applyNumberFormat="1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14" fontId="1" fillId="0" borderId="13" xfId="0" applyNumberFormat="1" applyFont="1" applyBorder="1" applyAlignment="1">
      <alignment horizontal="center" wrapText="1"/>
    </xf>
    <xf numFmtId="14" fontId="1" fillId="0" borderId="10" xfId="0" applyNumberFormat="1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14" fontId="1" fillId="0" borderId="0" xfId="0" applyNumberFormat="1" applyFont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14" fontId="1" fillId="0" borderId="12" xfId="0" applyNumberFormat="1" applyFont="1" applyBorder="1" applyAlignment="1">
      <alignment horizontal="center" wrapText="1"/>
    </xf>
    <xf numFmtId="0" fontId="1" fillId="3" borderId="7" xfId="0" applyFont="1" applyFill="1" applyBorder="1" applyAlignment="1">
      <alignment horizontal="center" vertical="center" wrapText="1"/>
    </xf>
    <xf numFmtId="14" fontId="1" fillId="3" borderId="7" xfId="0" applyNumberFormat="1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/>
    </xf>
    <xf numFmtId="0" fontId="1" fillId="3" borderId="13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14" fontId="1" fillId="3" borderId="10" xfId="0" applyNumberFormat="1" applyFont="1" applyFill="1" applyBorder="1" applyAlignment="1">
      <alignment horizontal="center" vertical="center" wrapText="1"/>
    </xf>
    <xf numFmtId="14" fontId="1" fillId="3" borderId="13" xfId="0" applyNumberFormat="1" applyFont="1" applyFill="1" applyBorder="1" applyAlignment="1">
      <alignment horizontal="center" vertical="center" wrapText="1"/>
    </xf>
    <xf numFmtId="14" fontId="1" fillId="3" borderId="0" xfId="0" applyNumberFormat="1" applyFont="1" applyFill="1" applyAlignment="1">
      <alignment horizontal="center"/>
    </xf>
    <xf numFmtId="14" fontId="1" fillId="3" borderId="7" xfId="0" applyNumberFormat="1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 wrapText="1"/>
    </xf>
    <xf numFmtId="0" fontId="1" fillId="3" borderId="10" xfId="0" applyFont="1" applyFill="1" applyBorder="1" applyAlignment="1">
      <alignment horizontal="center" wrapText="1"/>
    </xf>
    <xf numFmtId="14" fontId="1" fillId="3" borderId="13" xfId="0" applyNumberFormat="1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4" borderId="6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1" fillId="5" borderId="1" xfId="0" applyFont="1" applyFill="1" applyBorder="1" applyAlignment="1">
      <alignment vertical="center"/>
    </xf>
    <xf numFmtId="0" fontId="0" fillId="5" borderId="1" xfId="0" applyFill="1" applyBorder="1"/>
    <xf numFmtId="14" fontId="5" fillId="3" borderId="0" xfId="0" applyNumberFormat="1" applyFont="1" applyFill="1" applyAlignment="1">
      <alignment horizontal="center"/>
    </xf>
    <xf numFmtId="14" fontId="1" fillId="3" borderId="0" xfId="0" applyNumberFormat="1" applyFont="1" applyFill="1" applyAlignment="1">
      <alignment horizontal="center" wrapText="1"/>
    </xf>
    <xf numFmtId="49" fontId="1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center"/>
    </xf>
    <xf numFmtId="0" fontId="8" fillId="0" borderId="18" xfId="0" applyFont="1" applyBorder="1" applyAlignment="1">
      <alignment horizontal="center" vertical="center" wrapText="1"/>
    </xf>
    <xf numFmtId="14" fontId="8" fillId="0" borderId="0" xfId="0" applyNumberFormat="1" applyFont="1" applyBorder="1" applyAlignment="1">
      <alignment horizontal="center" vertical="center" wrapText="1"/>
    </xf>
    <xf numFmtId="14" fontId="8" fillId="0" borderId="2" xfId="0" applyNumberFormat="1" applyFont="1" applyBorder="1" applyAlignment="1">
      <alignment horizontal="center" vertical="center" wrapText="1"/>
    </xf>
    <xf numFmtId="14" fontId="8" fillId="0" borderId="7" xfId="0" applyNumberFormat="1" applyFont="1" applyBorder="1" applyAlignment="1">
      <alignment horizontal="center" vertical="center" wrapText="1"/>
    </xf>
    <xf numFmtId="14" fontId="8" fillId="0" borderId="0" xfId="0" applyNumberFormat="1" applyFont="1" applyAlignment="1">
      <alignment horizontal="center"/>
    </xf>
    <xf numFmtId="14" fontId="8" fillId="3" borderId="7" xfId="0" applyNumberFormat="1" applyFont="1" applyFill="1" applyBorder="1" applyAlignment="1">
      <alignment horizontal="center" vertical="center" wrapText="1"/>
    </xf>
    <xf numFmtId="14" fontId="8" fillId="3" borderId="0" xfId="0" applyNumberFormat="1" applyFont="1" applyFill="1" applyAlignment="1">
      <alignment horizontal="center"/>
    </xf>
    <xf numFmtId="14" fontId="8" fillId="3" borderId="7" xfId="0" applyNumberFormat="1" applyFont="1" applyFill="1" applyBorder="1" applyAlignment="1">
      <alignment horizontal="center" wrapText="1"/>
    </xf>
    <xf numFmtId="14" fontId="8" fillId="0" borderId="7" xfId="0" applyNumberFormat="1" applyFont="1" applyBorder="1" applyAlignment="1">
      <alignment horizontal="center" wrapText="1"/>
    </xf>
    <xf numFmtId="14" fontId="8" fillId="0" borderId="9" xfId="0" applyNumberFormat="1" applyFont="1" applyBorder="1" applyAlignment="1">
      <alignment horizontal="center" vertical="center" wrapText="1"/>
    </xf>
    <xf numFmtId="14" fontId="8" fillId="0" borderId="0" xfId="0" applyNumberFormat="1" applyFont="1" applyAlignment="1">
      <alignment horizontal="center" vertical="center" wrapText="1"/>
    </xf>
    <xf numFmtId="14" fontId="8" fillId="0" borderId="0" xfId="0" applyNumberFormat="1" applyFont="1" applyAlignment="1">
      <alignment horizontal="center" wrapText="1"/>
    </xf>
    <xf numFmtId="0" fontId="8" fillId="0" borderId="0" xfId="0" applyFont="1" applyAlignment="1">
      <alignment horizontal="center"/>
    </xf>
    <xf numFmtId="0" fontId="9" fillId="2" borderId="0" xfId="0" applyFont="1" applyFill="1" applyAlignment="1">
      <alignment horizontal="center"/>
    </xf>
    <xf numFmtId="0" fontId="1" fillId="5" borderId="1" xfId="0" applyNumberFormat="1" applyFont="1" applyFill="1" applyBorder="1" applyAlignment="1">
      <alignment horizontal="center" vertical="center" wrapText="1"/>
    </xf>
    <xf numFmtId="0" fontId="1" fillId="6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Alignment="1">
      <alignment horizontal="center"/>
    </xf>
    <xf numFmtId="0" fontId="4" fillId="2" borderId="0" xfId="0" applyNumberFormat="1" applyFont="1" applyFill="1" applyAlignment="1">
      <alignment horizontal="center"/>
    </xf>
    <xf numFmtId="0" fontId="1" fillId="0" borderId="20" xfId="0" applyFont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2" borderId="17" xfId="0" applyNumberFormat="1" applyFont="1" applyFill="1" applyBorder="1" applyAlignment="1">
      <alignment horizontal="center"/>
    </xf>
    <xf numFmtId="14" fontId="8" fillId="0" borderId="0" xfId="0" applyNumberFormat="1" applyFont="1" applyFill="1" applyAlignment="1">
      <alignment horizontal="center"/>
    </xf>
    <xf numFmtId="14" fontId="1" fillId="0" borderId="0" xfId="0" applyNumberFormat="1" applyFont="1" applyFill="1" applyAlignment="1">
      <alignment horizontal="center"/>
    </xf>
    <xf numFmtId="0" fontId="1" fillId="2" borderId="18" xfId="0" applyFont="1" applyFill="1" applyBorder="1" applyAlignment="1">
      <alignment horizontal="center" vertical="center" wrapText="1"/>
    </xf>
    <xf numFmtId="14" fontId="5" fillId="0" borderId="7" xfId="0" applyNumberFormat="1" applyFont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14" fontId="5" fillId="3" borderId="10" xfId="0" applyNumberFormat="1" applyFont="1" applyFill="1" applyBorder="1" applyAlignment="1">
      <alignment horizontal="center" vertical="center" wrapText="1"/>
    </xf>
    <xf numFmtId="14" fontId="5" fillId="3" borderId="7" xfId="0" applyNumberFormat="1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wrapText="1"/>
    </xf>
    <xf numFmtId="14" fontId="11" fillId="0" borderId="0" xfId="0" applyNumberFormat="1" applyFont="1" applyAlignment="1">
      <alignment horizontal="center"/>
    </xf>
    <xf numFmtId="14" fontId="11" fillId="0" borderId="0" xfId="0" applyNumberFormat="1" applyFont="1" applyAlignment="1">
      <alignment horizontal="center" vertical="center" wrapText="1"/>
    </xf>
    <xf numFmtId="14" fontId="5" fillId="0" borderId="0" xfId="0" applyNumberFormat="1" applyFont="1" applyAlignment="1">
      <alignment horizontal="center"/>
    </xf>
    <xf numFmtId="0" fontId="1" fillId="0" borderId="7" xfId="0" applyFont="1" applyFill="1" applyBorder="1" applyAlignment="1">
      <alignment horizontal="center" vertical="center" wrapText="1"/>
    </xf>
    <xf numFmtId="4" fontId="1" fillId="0" borderId="0" xfId="0" applyNumberFormat="1" applyFont="1" applyBorder="1" applyAlignment="1">
      <alignment horizontal="center" vertical="center" wrapText="1"/>
    </xf>
    <xf numFmtId="4" fontId="1" fillId="0" borderId="17" xfId="0" applyNumberFormat="1" applyFont="1" applyBorder="1" applyAlignment="1">
      <alignment horizontal="center"/>
    </xf>
    <xf numFmtId="4" fontId="1" fillId="0" borderId="5" xfId="0" applyNumberFormat="1" applyFont="1" applyBorder="1" applyAlignment="1">
      <alignment horizontal="center"/>
    </xf>
    <xf numFmtId="4" fontId="1" fillId="0" borderId="0" xfId="0" applyNumberFormat="1" applyFont="1" applyFill="1" applyBorder="1" applyAlignment="1">
      <alignment horizontal="center"/>
    </xf>
    <xf numFmtId="4" fontId="1" fillId="0" borderId="0" xfId="0" applyNumberFormat="1" applyFont="1" applyAlignment="1">
      <alignment horizontal="center"/>
    </xf>
    <xf numFmtId="4" fontId="1" fillId="0" borderId="2" xfId="0" applyNumberFormat="1" applyFont="1" applyBorder="1" applyAlignment="1">
      <alignment horizontal="center"/>
    </xf>
    <xf numFmtId="4" fontId="1" fillId="3" borderId="7" xfId="0" applyNumberFormat="1" applyFont="1" applyFill="1" applyBorder="1" applyAlignment="1">
      <alignment horizontal="center"/>
    </xf>
    <xf numFmtId="4" fontId="1" fillId="3" borderId="0" xfId="0" applyNumberFormat="1" applyFont="1" applyFill="1" applyAlignment="1">
      <alignment horizontal="center"/>
    </xf>
    <xf numFmtId="4" fontId="1" fillId="0" borderId="7" xfId="0" applyNumberFormat="1" applyFont="1" applyBorder="1" applyAlignment="1">
      <alignment horizontal="center"/>
    </xf>
    <xf numFmtId="4" fontId="5" fillId="0" borderId="7" xfId="0" applyNumberFormat="1" applyFont="1" applyBorder="1" applyAlignment="1">
      <alignment horizontal="center"/>
    </xf>
    <xf numFmtId="4" fontId="4" fillId="0" borderId="7" xfId="0" applyNumberFormat="1" applyFont="1" applyBorder="1" applyAlignment="1">
      <alignment horizontal="center"/>
    </xf>
    <xf numFmtId="4" fontId="5" fillId="3" borderId="7" xfId="0" applyNumberFormat="1" applyFont="1" applyFill="1" applyBorder="1" applyAlignment="1">
      <alignment horizontal="center"/>
    </xf>
    <xf numFmtId="4" fontId="1" fillId="0" borderId="9" xfId="0" applyNumberFormat="1" applyFont="1" applyBorder="1" applyAlignment="1">
      <alignment horizontal="center"/>
    </xf>
    <xf numFmtId="4" fontId="4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 vertical="center"/>
    </xf>
    <xf numFmtId="4" fontId="5" fillId="0" borderId="0" xfId="0" applyNumberFormat="1" applyFont="1" applyAlignment="1">
      <alignment horizontal="center"/>
    </xf>
    <xf numFmtId="4" fontId="1" fillId="2" borderId="0" xfId="0" applyNumberFormat="1" applyFont="1" applyFill="1" applyAlignment="1">
      <alignment horizontal="center"/>
    </xf>
    <xf numFmtId="4" fontId="1" fillId="5" borderId="0" xfId="0" applyNumberFormat="1" applyFont="1" applyFill="1" applyAlignment="1">
      <alignment horizontal="center"/>
    </xf>
    <xf numFmtId="4" fontId="1" fillId="0" borderId="17" xfId="0" applyNumberFormat="1" applyFont="1" applyFill="1" applyBorder="1" applyAlignment="1">
      <alignment horizontal="center"/>
    </xf>
    <xf numFmtId="4" fontId="1" fillId="0" borderId="0" xfId="0" applyNumberFormat="1" applyFont="1" applyFill="1" applyAlignment="1">
      <alignment horizontal="center"/>
    </xf>
    <xf numFmtId="4" fontId="10" fillId="0" borderId="0" xfId="0" applyNumberFormat="1" applyFont="1" applyAlignment="1">
      <alignment horizontal="center"/>
    </xf>
    <xf numFmtId="0" fontId="1" fillId="2" borderId="21" xfId="0" applyNumberFormat="1" applyFont="1" applyFill="1" applyBorder="1" applyAlignment="1">
      <alignment horizontal="center" vertical="center" wrapText="1"/>
    </xf>
    <xf numFmtId="4" fontId="1" fillId="0" borderId="22" xfId="0" applyNumberFormat="1" applyFont="1" applyBorder="1" applyAlignment="1">
      <alignment horizontal="center"/>
    </xf>
    <xf numFmtId="4" fontId="1" fillId="3" borderId="10" xfId="0" applyNumberFormat="1" applyFont="1" applyFill="1" applyBorder="1" applyAlignment="1">
      <alignment horizontal="center"/>
    </xf>
    <xf numFmtId="4" fontId="1" fillId="0" borderId="10" xfId="0" applyNumberFormat="1" applyFont="1" applyBorder="1" applyAlignment="1">
      <alignment horizontal="center"/>
    </xf>
    <xf numFmtId="4" fontId="1" fillId="0" borderId="11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 vertical="center" wrapText="1"/>
    </xf>
    <xf numFmtId="4" fontId="1" fillId="0" borderId="23" xfId="0" applyNumberFormat="1" applyFont="1" applyBorder="1" applyAlignment="1">
      <alignment horizontal="center"/>
    </xf>
    <xf numFmtId="4" fontId="1" fillId="0" borderId="24" xfId="0" applyNumberFormat="1" applyFont="1" applyBorder="1" applyAlignment="1">
      <alignment horizontal="center"/>
    </xf>
    <xf numFmtId="4" fontId="1" fillId="3" borderId="6" xfId="0" applyNumberFormat="1" applyFont="1" applyFill="1" applyBorder="1" applyAlignment="1">
      <alignment horizontal="center"/>
    </xf>
    <xf numFmtId="4" fontId="1" fillId="0" borderId="6" xfId="0" applyNumberFormat="1" applyFont="1" applyBorder="1" applyAlignment="1">
      <alignment horizontal="center"/>
    </xf>
    <xf numFmtId="4" fontId="1" fillId="0" borderId="8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4" fontId="5" fillId="0" borderId="4" xfId="0" applyNumberFormat="1" applyFont="1" applyBorder="1" applyAlignment="1">
      <alignment horizontal="center"/>
    </xf>
    <xf numFmtId="4" fontId="1" fillId="0" borderId="4" xfId="0" applyNumberFormat="1" applyFont="1" applyFill="1" applyBorder="1" applyAlignment="1">
      <alignment horizontal="center"/>
    </xf>
    <xf numFmtId="0" fontId="4" fillId="2" borderId="4" xfId="0" applyNumberFormat="1" applyFont="1" applyFill="1" applyBorder="1" applyAlignment="1">
      <alignment horizontal="center"/>
    </xf>
    <xf numFmtId="0" fontId="1" fillId="0" borderId="4" xfId="0" applyNumberFormat="1" applyFont="1" applyBorder="1" applyAlignment="1">
      <alignment horizontal="center"/>
    </xf>
    <xf numFmtId="4" fontId="1" fillId="0" borderId="16" xfId="0" applyNumberFormat="1" applyFont="1" applyBorder="1" applyAlignment="1">
      <alignment horizontal="center"/>
    </xf>
    <xf numFmtId="4" fontId="5" fillId="3" borderId="6" xfId="0" applyNumberFormat="1" applyFont="1" applyFill="1" applyBorder="1" applyAlignment="1">
      <alignment horizontal="center"/>
    </xf>
    <xf numFmtId="4" fontId="1" fillId="2" borderId="4" xfId="0" applyNumberFormat="1" applyFont="1" applyFill="1" applyBorder="1" applyAlignment="1">
      <alignment horizontal="center"/>
    </xf>
    <xf numFmtId="4" fontId="1" fillId="5" borderId="4" xfId="0" applyNumberFormat="1" applyFont="1" applyFill="1" applyBorder="1" applyAlignment="1">
      <alignment horizontal="center"/>
    </xf>
    <xf numFmtId="14" fontId="1" fillId="0" borderId="7" xfId="0" applyNumberFormat="1" applyFont="1" applyFill="1" applyBorder="1" applyAlignment="1">
      <alignment horizontal="center" vertical="center" wrapText="1"/>
    </xf>
    <xf numFmtId="4" fontId="1" fillId="0" borderId="7" xfId="0" applyNumberFormat="1" applyFont="1" applyFill="1" applyBorder="1" applyAlignment="1">
      <alignment horizontal="center"/>
    </xf>
    <xf numFmtId="4" fontId="1" fillId="0" borderId="10" xfId="0" applyNumberFormat="1" applyFont="1" applyFill="1" applyBorder="1" applyAlignment="1">
      <alignment horizontal="center"/>
    </xf>
    <xf numFmtId="4" fontId="1" fillId="0" borderId="6" xfId="0" applyNumberFormat="1" applyFont="1" applyFill="1" applyBorder="1" applyAlignment="1">
      <alignment horizontal="center"/>
    </xf>
    <xf numFmtId="0" fontId="1" fillId="0" borderId="13" xfId="0" applyFont="1" applyBorder="1" applyAlignment="1">
      <alignment horizontal="center" vertical="center" wrapText="1"/>
    </xf>
    <xf numFmtId="14" fontId="1" fillId="3" borderId="25" xfId="0" applyNumberFormat="1" applyFont="1" applyFill="1" applyBorder="1" applyAlignment="1">
      <alignment horizontal="center" vertical="center" wrapText="1"/>
    </xf>
    <xf numFmtId="14" fontId="1" fillId="3" borderId="10" xfId="0" applyNumberFormat="1" applyFont="1" applyFill="1" applyBorder="1" applyAlignment="1">
      <alignment horizontal="center" wrapText="1"/>
    </xf>
    <xf numFmtId="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4" fontId="1" fillId="5" borderId="7" xfId="0" applyNumberFormat="1" applyFont="1" applyFill="1" applyBorder="1" applyAlignment="1">
      <alignment horizontal="center"/>
    </xf>
    <xf numFmtId="4" fontId="1" fillId="2" borderId="0" xfId="0" applyNumberFormat="1" applyFont="1" applyFill="1" applyBorder="1" applyAlignment="1">
      <alignment horizontal="center"/>
    </xf>
    <xf numFmtId="4" fontId="1" fillId="5" borderId="17" xfId="0" applyNumberFormat="1" applyFont="1" applyFill="1" applyBorder="1" applyAlignment="1">
      <alignment horizontal="center"/>
    </xf>
    <xf numFmtId="4" fontId="1" fillId="5" borderId="0" xfId="0" applyNumberFormat="1" applyFont="1" applyFill="1" applyBorder="1" applyAlignment="1">
      <alignment horizontal="center"/>
    </xf>
    <xf numFmtId="4" fontId="5" fillId="0" borderId="6" xfId="0" applyNumberFormat="1" applyFont="1" applyBorder="1" applyAlignment="1">
      <alignment horizontal="center"/>
    </xf>
    <xf numFmtId="4" fontId="1" fillId="5" borderId="9" xfId="0" applyNumberFormat="1" applyFont="1" applyFill="1" applyBorder="1" applyAlignment="1">
      <alignment horizontal="center"/>
    </xf>
    <xf numFmtId="4" fontId="1" fillId="2" borderId="17" xfId="0" applyNumberFormat="1" applyFont="1" applyFill="1" applyBorder="1" applyAlignment="1">
      <alignment horizontal="center"/>
    </xf>
    <xf numFmtId="14" fontId="1" fillId="2" borderId="0" xfId="0" applyNumberFormat="1" applyFont="1" applyFill="1" applyAlignment="1">
      <alignment horizontal="center"/>
    </xf>
    <xf numFmtId="4" fontId="1" fillId="7" borderId="4" xfId="0" applyNumberFormat="1" applyFont="1" applyFill="1" applyBorder="1" applyAlignment="1">
      <alignment horizontal="center"/>
    </xf>
    <xf numFmtId="4" fontId="1" fillId="7" borderId="0" xfId="0" applyNumberFormat="1" applyFont="1" applyFill="1" applyAlignment="1">
      <alignment horizontal="center"/>
    </xf>
    <xf numFmtId="4" fontId="5" fillId="0" borderId="17" xfId="0" applyNumberFormat="1" applyFont="1" applyBorder="1" applyAlignment="1">
      <alignment horizontal="center"/>
    </xf>
    <xf numFmtId="4" fontId="5" fillId="0" borderId="0" xfId="0" applyNumberFormat="1" applyFont="1" applyFill="1" applyBorder="1" applyAlignment="1">
      <alignment horizontal="center"/>
    </xf>
    <xf numFmtId="4" fontId="5" fillId="2" borderId="17" xfId="0" applyNumberFormat="1" applyFont="1" applyFill="1" applyBorder="1" applyAlignment="1">
      <alignment horizontal="center"/>
    </xf>
    <xf numFmtId="4" fontId="5" fillId="2" borderId="0" xfId="0" applyNumberFormat="1" applyFont="1" applyFill="1" applyAlignment="1">
      <alignment horizontal="center"/>
    </xf>
    <xf numFmtId="4" fontId="5" fillId="2" borderId="0" xfId="0" applyNumberFormat="1" applyFont="1" applyFill="1" applyBorder="1" applyAlignment="1">
      <alignment horizontal="center"/>
    </xf>
    <xf numFmtId="4" fontId="4" fillId="5" borderId="0" xfId="0" applyNumberFormat="1" applyFont="1" applyFill="1" applyAlignment="1">
      <alignment horizontal="center"/>
    </xf>
    <xf numFmtId="4" fontId="5" fillId="5" borderId="0" xfId="0" applyNumberFormat="1" applyFont="1" applyFill="1" applyAlignment="1">
      <alignment horizontal="center"/>
    </xf>
    <xf numFmtId="4" fontId="5" fillId="5" borderId="4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 wrapText="1"/>
    </xf>
    <xf numFmtId="4" fontId="1" fillId="0" borderId="0" xfId="0" applyNumberFormat="1" applyFont="1" applyFill="1" applyBorder="1" applyAlignment="1"/>
    <xf numFmtId="0" fontId="1" fillId="8" borderId="18" xfId="0" applyFont="1" applyFill="1" applyBorder="1" applyAlignment="1">
      <alignment horizontal="center" vertical="center" wrapText="1"/>
    </xf>
    <xf numFmtId="0" fontId="1" fillId="8" borderId="0" xfId="0" applyFont="1" applyFill="1" applyBorder="1" applyAlignment="1">
      <alignment horizontal="center"/>
    </xf>
    <xf numFmtId="0" fontId="4" fillId="8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1" fillId="10" borderId="0" xfId="0" applyFont="1" applyFill="1" applyBorder="1" applyAlignment="1">
      <alignment horizontal="center"/>
    </xf>
    <xf numFmtId="4" fontId="1" fillId="2" borderId="0" xfId="0" applyNumberFormat="1" applyFont="1" applyFill="1" applyAlignment="1">
      <alignment horizontal="center"/>
    </xf>
    <xf numFmtId="4" fontId="5" fillId="0" borderId="0" xfId="0" applyNumberFormat="1" applyFont="1" applyFill="1" applyAlignment="1">
      <alignment horizontal="center"/>
    </xf>
    <xf numFmtId="0" fontId="1" fillId="11" borderId="0" xfId="0" applyFont="1" applyFill="1" applyAlignment="1">
      <alignment horizontal="center" wrapText="1"/>
    </xf>
    <xf numFmtId="14" fontId="1" fillId="0" borderId="7" xfId="0" applyNumberFormat="1" applyFont="1" applyFill="1" applyBorder="1" applyAlignment="1">
      <alignment horizontal="center" wrapText="1"/>
    </xf>
    <xf numFmtId="14" fontId="8" fillId="0" borderId="0" xfId="0" applyNumberFormat="1" applyFont="1" applyFill="1" applyAlignment="1">
      <alignment horizontal="center" wrapText="1"/>
    </xf>
    <xf numFmtId="14" fontId="1" fillId="0" borderId="0" xfId="0" applyNumberFormat="1" applyFont="1" applyFill="1" applyAlignment="1">
      <alignment horizontal="center" wrapText="1"/>
    </xf>
    <xf numFmtId="14" fontId="1" fillId="0" borderId="12" xfId="0" applyNumberFormat="1" applyFont="1" applyFill="1" applyBorder="1" applyAlignment="1">
      <alignment horizontal="center" wrapText="1"/>
    </xf>
    <xf numFmtId="0" fontId="1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14" fillId="2" borderId="0" xfId="0" applyFont="1" applyFill="1" applyAlignment="1">
      <alignment horizontal="center"/>
    </xf>
    <xf numFmtId="0" fontId="15" fillId="0" borderId="18" xfId="0" applyFont="1" applyBorder="1" applyAlignment="1">
      <alignment horizontal="center"/>
    </xf>
    <xf numFmtId="0" fontId="5" fillId="0" borderId="7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wrapText="1"/>
    </xf>
    <xf numFmtId="0" fontId="5" fillId="0" borderId="0" xfId="0" applyFont="1" applyFill="1" applyBorder="1" applyAlignment="1">
      <alignment horizontal="center"/>
    </xf>
    <xf numFmtId="4" fontId="1" fillId="2" borderId="0" xfId="0" applyNumberFormat="1" applyFont="1" applyFill="1" applyBorder="1" applyAlignment="1">
      <alignment horizontal="center"/>
    </xf>
    <xf numFmtId="0" fontId="1" fillId="12" borderId="0" xfId="0" applyFont="1" applyFill="1" applyAlignment="1">
      <alignment horizontal="center"/>
    </xf>
    <xf numFmtId="0" fontId="5" fillId="12" borderId="0" xfId="0" applyFont="1" applyFill="1" applyAlignment="1">
      <alignment horizontal="center"/>
    </xf>
    <xf numFmtId="0" fontId="1" fillId="12" borderId="0" xfId="0" applyFont="1" applyFill="1" applyBorder="1" applyAlignment="1">
      <alignment horizontal="center" vertical="center" wrapText="1"/>
    </xf>
    <xf numFmtId="14" fontId="8" fillId="12" borderId="0" xfId="0" applyNumberFormat="1" applyFont="1" applyFill="1" applyAlignment="1">
      <alignment horizontal="center"/>
    </xf>
    <xf numFmtId="14" fontId="1" fillId="12" borderId="0" xfId="0" applyNumberFormat="1" applyFont="1" applyFill="1" applyAlignment="1">
      <alignment horizontal="center"/>
    </xf>
    <xf numFmtId="0" fontId="1" fillId="12" borderId="0" xfId="0" applyFont="1" applyFill="1" applyBorder="1" applyAlignment="1">
      <alignment horizontal="center"/>
    </xf>
    <xf numFmtId="4" fontId="1" fillId="12" borderId="17" xfId="0" applyNumberFormat="1" applyFont="1" applyFill="1" applyBorder="1" applyAlignment="1">
      <alignment horizontal="center"/>
    </xf>
    <xf numFmtId="4" fontId="1" fillId="12" borderId="0" xfId="0" applyNumberFormat="1" applyFont="1" applyFill="1" applyAlignment="1">
      <alignment horizontal="center"/>
    </xf>
    <xf numFmtId="4" fontId="1" fillId="12" borderId="0" xfId="0" applyNumberFormat="1" applyFont="1" applyFill="1" applyBorder="1" applyAlignment="1">
      <alignment horizontal="center"/>
    </xf>
    <xf numFmtId="4" fontId="1" fillId="12" borderId="4" xfId="0" applyNumberFormat="1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 vertical="center" wrapText="1"/>
    </xf>
    <xf numFmtId="4" fontId="1" fillId="8" borderId="0" xfId="0" applyNumberFormat="1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2"/>
  <sheetViews>
    <sheetView zoomScale="110" zoomScaleNormal="110" workbookViewId="0">
      <pane ySplit="1" topLeftCell="A2" activePane="bottomLeft" state="frozen"/>
      <selection pane="bottomLeft" activeCell="B10" sqref="B10"/>
    </sheetView>
  </sheetViews>
  <sheetFormatPr defaultRowHeight="14.4" x14ac:dyDescent="0.3"/>
  <cols>
    <col min="1" max="1" width="6" customWidth="1"/>
    <col min="2" max="2" width="54.44140625" customWidth="1"/>
    <col min="3" max="3" width="22.21875" customWidth="1"/>
    <col min="4" max="4" width="9.109375" customWidth="1"/>
    <col min="5" max="5" width="12.6640625" bestFit="1" customWidth="1"/>
    <col min="6" max="6" width="10" bestFit="1" customWidth="1"/>
  </cols>
  <sheetData>
    <row r="1" spans="1:6" ht="15" thickBot="1" x14ac:dyDescent="0.35">
      <c r="C1" t="s">
        <v>3745</v>
      </c>
      <c r="E1" t="s">
        <v>3766</v>
      </c>
      <c r="F1" s="5" t="s">
        <v>3767</v>
      </c>
    </row>
    <row r="2" spans="1:6" ht="16.2" thickBot="1" x14ac:dyDescent="0.35">
      <c r="A2" s="9">
        <v>252</v>
      </c>
      <c r="B2" s="10" t="s">
        <v>8</v>
      </c>
      <c r="C2" s="11" t="s">
        <v>339</v>
      </c>
      <c r="D2" s="11"/>
      <c r="E2" s="11"/>
      <c r="F2" s="11" t="s">
        <v>3988</v>
      </c>
    </row>
    <row r="3" spans="1:6" ht="16.2" thickBot="1" x14ac:dyDescent="0.35">
      <c r="A3" s="9">
        <v>305</v>
      </c>
      <c r="B3" s="10" t="s">
        <v>23</v>
      </c>
      <c r="C3" s="11" t="s">
        <v>339</v>
      </c>
      <c r="D3" s="11"/>
      <c r="E3" s="11"/>
      <c r="F3" s="11" t="s">
        <v>3988</v>
      </c>
    </row>
    <row r="4" spans="1:6" ht="16.2" thickBot="1" x14ac:dyDescent="0.35">
      <c r="A4" s="9">
        <v>28</v>
      </c>
      <c r="B4" s="78" t="s">
        <v>24</v>
      </c>
      <c r="C4" s="79" t="s">
        <v>339</v>
      </c>
      <c r="D4" s="11"/>
      <c r="E4" s="11"/>
      <c r="F4" s="11"/>
    </row>
    <row r="5" spans="1:6" ht="16.2" thickBot="1" x14ac:dyDescent="0.35">
      <c r="A5" s="9">
        <v>123</v>
      </c>
      <c r="B5" s="10" t="s">
        <v>25</v>
      </c>
      <c r="C5" s="11" t="s">
        <v>339</v>
      </c>
      <c r="D5" s="11"/>
      <c r="E5" s="11"/>
      <c r="F5" s="11" t="s">
        <v>3988</v>
      </c>
    </row>
    <row r="6" spans="1:6" ht="16.2" thickBot="1" x14ac:dyDescent="0.35">
      <c r="A6" s="9">
        <v>225</v>
      </c>
      <c r="B6" s="10" t="s">
        <v>26</v>
      </c>
      <c r="C6" s="11" t="s">
        <v>339</v>
      </c>
      <c r="D6" s="11"/>
      <c r="E6" s="11"/>
      <c r="F6" s="11" t="s">
        <v>3988</v>
      </c>
    </row>
    <row r="7" spans="1:6" ht="16.2" thickBot="1" x14ac:dyDescent="0.35">
      <c r="A7" s="9">
        <v>131</v>
      </c>
      <c r="B7" s="10" t="s">
        <v>27</v>
      </c>
      <c r="C7" s="11" t="s">
        <v>339</v>
      </c>
      <c r="D7" s="11"/>
      <c r="E7" s="11"/>
      <c r="F7" s="11" t="s">
        <v>3988</v>
      </c>
    </row>
    <row r="8" spans="1:6" ht="16.2" thickBot="1" x14ac:dyDescent="0.35">
      <c r="A8" s="9">
        <v>237</v>
      </c>
      <c r="B8" s="10" t="s">
        <v>28</v>
      </c>
      <c r="C8" s="11" t="s">
        <v>339</v>
      </c>
      <c r="D8" s="11"/>
      <c r="E8" s="11"/>
      <c r="F8" s="11" t="s">
        <v>3988</v>
      </c>
    </row>
    <row r="9" spans="1:6" ht="16.2" thickBot="1" x14ac:dyDescent="0.35">
      <c r="A9" s="9">
        <v>44</v>
      </c>
      <c r="B9" s="10" t="s">
        <v>30</v>
      </c>
      <c r="C9" s="11" t="s">
        <v>339</v>
      </c>
      <c r="D9" s="11"/>
      <c r="E9" s="11"/>
      <c r="F9" s="11" t="s">
        <v>3988</v>
      </c>
    </row>
    <row r="10" spans="1:6" ht="16.2" thickBot="1" x14ac:dyDescent="0.35">
      <c r="A10" s="9">
        <v>252</v>
      </c>
      <c r="B10" s="10" t="s">
        <v>52</v>
      </c>
      <c r="C10" s="11" t="s">
        <v>339</v>
      </c>
      <c r="D10" s="11"/>
      <c r="E10" s="11"/>
      <c r="F10" s="11" t="s">
        <v>3988</v>
      </c>
    </row>
    <row r="11" spans="1:6" ht="16.2" thickBot="1" x14ac:dyDescent="0.35">
      <c r="A11" s="9">
        <v>40</v>
      </c>
      <c r="B11" s="10" t="s">
        <v>67</v>
      </c>
      <c r="C11" s="11" t="s">
        <v>339</v>
      </c>
      <c r="D11" s="11"/>
      <c r="E11" s="11"/>
      <c r="F11" s="11" t="s">
        <v>3988</v>
      </c>
    </row>
    <row r="12" spans="1:6" ht="16.2" thickBot="1" x14ac:dyDescent="0.35">
      <c r="A12" s="9">
        <v>267</v>
      </c>
      <c r="B12" s="10" t="s">
        <v>76</v>
      </c>
      <c r="C12" s="11" t="s">
        <v>339</v>
      </c>
      <c r="D12" s="11"/>
      <c r="E12" s="11"/>
      <c r="F12" s="11" t="s">
        <v>3989</v>
      </c>
    </row>
    <row r="13" spans="1:6" ht="16.2" thickBot="1" x14ac:dyDescent="0.35">
      <c r="A13" s="9">
        <v>305</v>
      </c>
      <c r="B13" s="10" t="s">
        <v>83</v>
      </c>
      <c r="C13" s="11" t="s">
        <v>339</v>
      </c>
      <c r="D13" s="11"/>
      <c r="E13" s="11"/>
      <c r="F13" s="11" t="s">
        <v>3988</v>
      </c>
    </row>
    <row r="14" spans="1:6" ht="16.2" thickBot="1" x14ac:dyDescent="0.35">
      <c r="A14" s="9">
        <v>305</v>
      </c>
      <c r="B14" s="10" t="s">
        <v>84</v>
      </c>
      <c r="C14" s="11" t="s">
        <v>339</v>
      </c>
      <c r="D14" s="11"/>
      <c r="E14" s="11"/>
      <c r="F14" s="11" t="s">
        <v>3988</v>
      </c>
    </row>
    <row r="15" spans="1:6" ht="16.2" thickBot="1" x14ac:dyDescent="0.35">
      <c r="A15" s="9">
        <v>252</v>
      </c>
      <c r="B15" s="10" t="s">
        <v>92</v>
      </c>
      <c r="C15" s="11" t="s">
        <v>339</v>
      </c>
      <c r="D15" s="11"/>
      <c r="E15" s="11"/>
      <c r="F15" s="11" t="s">
        <v>3988</v>
      </c>
    </row>
    <row r="16" spans="1:6" ht="16.2" thickBot="1" x14ac:dyDescent="0.35">
      <c r="A16" s="9">
        <v>294</v>
      </c>
      <c r="B16" s="78" t="s">
        <v>113</v>
      </c>
      <c r="C16" s="79" t="s">
        <v>339</v>
      </c>
      <c r="D16" s="11"/>
      <c r="E16" s="11"/>
      <c r="F16" s="11"/>
    </row>
    <row r="17" spans="1:6" ht="16.2" thickBot="1" x14ac:dyDescent="0.35">
      <c r="A17" s="9">
        <v>157</v>
      </c>
      <c r="B17" s="10" t="s">
        <v>146</v>
      </c>
      <c r="C17" s="11" t="s">
        <v>339</v>
      </c>
      <c r="D17" s="11"/>
      <c r="E17" s="11"/>
      <c r="F17" s="11" t="s">
        <v>3988</v>
      </c>
    </row>
    <row r="18" spans="1:6" ht="16.2" thickBot="1" x14ac:dyDescent="0.35">
      <c r="A18" s="9">
        <v>209</v>
      </c>
      <c r="B18" s="10" t="s">
        <v>149</v>
      </c>
      <c r="C18" s="11" t="s">
        <v>339</v>
      </c>
      <c r="D18" s="11"/>
      <c r="E18" s="11"/>
      <c r="F18" s="11" t="s">
        <v>3988</v>
      </c>
    </row>
    <row r="19" spans="1:6" ht="16.2" thickBot="1" x14ac:dyDescent="0.35">
      <c r="A19" s="9">
        <v>193</v>
      </c>
      <c r="B19" s="10" t="s">
        <v>166</v>
      </c>
      <c r="C19" s="11" t="s">
        <v>339</v>
      </c>
      <c r="D19" s="11"/>
      <c r="E19" s="11"/>
      <c r="F19" s="11" t="s">
        <v>3988</v>
      </c>
    </row>
    <row r="20" spans="1:6" ht="16.2" thickBot="1" x14ac:dyDescent="0.35">
      <c r="A20" s="9">
        <v>16</v>
      </c>
      <c r="B20" s="10" t="s">
        <v>181</v>
      </c>
      <c r="C20" s="11" t="s">
        <v>339</v>
      </c>
      <c r="D20" s="11"/>
      <c r="E20" s="11"/>
      <c r="F20" s="11" t="s">
        <v>3988</v>
      </c>
    </row>
    <row r="21" spans="1:6" ht="16.2" thickBot="1" x14ac:dyDescent="0.35">
      <c r="A21" s="9">
        <v>157</v>
      </c>
      <c r="B21" s="10" t="s">
        <v>182</v>
      </c>
      <c r="C21" s="11" t="s">
        <v>339</v>
      </c>
      <c r="D21" s="11"/>
      <c r="E21" s="11"/>
      <c r="F21" s="11" t="s">
        <v>3988</v>
      </c>
    </row>
    <row r="22" spans="1:6" ht="16.2" thickBot="1" x14ac:dyDescent="0.35">
      <c r="A22" s="9">
        <v>199</v>
      </c>
      <c r="B22" s="10" t="s">
        <v>185</v>
      </c>
      <c r="C22" s="11" t="s">
        <v>339</v>
      </c>
      <c r="D22" s="11"/>
      <c r="E22" s="11"/>
      <c r="F22" s="11" t="s">
        <v>3988</v>
      </c>
    </row>
    <row r="23" spans="1:6" ht="16.2" thickBot="1" x14ac:dyDescent="0.35">
      <c r="A23" s="9">
        <v>157</v>
      </c>
      <c r="B23" s="10" t="s">
        <v>187</v>
      </c>
      <c r="C23" s="11" t="s">
        <v>339</v>
      </c>
      <c r="D23" s="11"/>
      <c r="E23" s="11"/>
      <c r="F23" s="11" t="s">
        <v>3988</v>
      </c>
    </row>
    <row r="24" spans="1:6" ht="16.2" thickBot="1" x14ac:dyDescent="0.35">
      <c r="A24" s="9">
        <v>131</v>
      </c>
      <c r="B24" s="10" t="s">
        <v>188</v>
      </c>
      <c r="C24" s="11" t="s">
        <v>339</v>
      </c>
      <c r="D24" s="11"/>
      <c r="E24" s="11"/>
      <c r="F24" s="11" t="s">
        <v>3988</v>
      </c>
    </row>
    <row r="25" spans="1:6" ht="16.2" thickBot="1" x14ac:dyDescent="0.35">
      <c r="A25" s="9">
        <v>242</v>
      </c>
      <c r="B25" s="10" t="s">
        <v>190</v>
      </c>
      <c r="C25" s="11" t="s">
        <v>339</v>
      </c>
      <c r="D25" s="11"/>
      <c r="E25" s="11"/>
      <c r="F25" s="11" t="s">
        <v>3988</v>
      </c>
    </row>
    <row r="26" spans="1:6" ht="16.2" thickBot="1" x14ac:dyDescent="0.35">
      <c r="A26" s="9">
        <v>22</v>
      </c>
      <c r="B26" s="10" t="s">
        <v>193</v>
      </c>
      <c r="C26" s="11" t="s">
        <v>339</v>
      </c>
      <c r="D26" s="11"/>
      <c r="E26" s="11"/>
      <c r="F26" s="11" t="s">
        <v>3988</v>
      </c>
    </row>
    <row r="27" spans="1:6" ht="16.2" thickBot="1" x14ac:dyDescent="0.35">
      <c r="A27" s="9">
        <v>29</v>
      </c>
      <c r="B27" s="10" t="s">
        <v>194</v>
      </c>
      <c r="C27" s="11" t="s">
        <v>339</v>
      </c>
      <c r="D27" s="11"/>
      <c r="E27" s="11"/>
      <c r="F27" s="11" t="s">
        <v>3988</v>
      </c>
    </row>
    <row r="28" spans="1:6" ht="16.2" thickBot="1" x14ac:dyDescent="0.35">
      <c r="A28" s="9">
        <v>20</v>
      </c>
      <c r="B28" s="10" t="s">
        <v>196</v>
      </c>
      <c r="C28" s="11" t="s">
        <v>339</v>
      </c>
      <c r="D28" s="11"/>
      <c r="E28" s="11"/>
      <c r="F28" s="11" t="s">
        <v>3988</v>
      </c>
    </row>
    <row r="29" spans="1:6" ht="16.2" thickBot="1" x14ac:dyDescent="0.35">
      <c r="A29" s="9">
        <v>38</v>
      </c>
      <c r="B29" s="10" t="s">
        <v>201</v>
      </c>
      <c r="C29" s="11" t="s">
        <v>339</v>
      </c>
      <c r="D29" s="11"/>
      <c r="E29" s="11"/>
      <c r="F29" s="11" t="s">
        <v>3988</v>
      </c>
    </row>
    <row r="30" spans="1:6" ht="16.2" thickBot="1" x14ac:dyDescent="0.35">
      <c r="A30" s="9">
        <v>65</v>
      </c>
      <c r="B30" s="10" t="s">
        <v>202</v>
      </c>
      <c r="C30" s="11" t="s">
        <v>339</v>
      </c>
      <c r="D30" s="11"/>
      <c r="E30" s="11"/>
      <c r="F30" s="11" t="s">
        <v>3988</v>
      </c>
    </row>
    <row r="31" spans="1:6" ht="16.2" thickBot="1" x14ac:dyDescent="0.35">
      <c r="A31" s="9">
        <v>305</v>
      </c>
      <c r="B31" s="10" t="s">
        <v>208</v>
      </c>
      <c r="C31" s="11" t="s">
        <v>339</v>
      </c>
      <c r="D31" s="11"/>
      <c r="E31" s="11"/>
      <c r="F31" s="11" t="s">
        <v>3988</v>
      </c>
    </row>
    <row r="32" spans="1:6" ht="16.2" thickBot="1" x14ac:dyDescent="0.35">
      <c r="A32" s="9">
        <v>64</v>
      </c>
      <c r="B32" s="10" t="s">
        <v>214</v>
      </c>
      <c r="C32" s="11" t="s">
        <v>339</v>
      </c>
      <c r="D32" s="11"/>
      <c r="E32" s="11"/>
      <c r="F32" s="11" t="s">
        <v>3988</v>
      </c>
    </row>
    <row r="33" spans="1:6" ht="16.2" thickBot="1" x14ac:dyDescent="0.35">
      <c r="A33" s="9">
        <v>192</v>
      </c>
      <c r="B33" s="10" t="s">
        <v>225</v>
      </c>
      <c r="C33" s="11" t="s">
        <v>339</v>
      </c>
      <c r="D33" s="11"/>
      <c r="E33" s="11"/>
      <c r="F33" s="11" t="s">
        <v>3988</v>
      </c>
    </row>
    <row r="34" spans="1:6" ht="16.2" thickBot="1" x14ac:dyDescent="0.35">
      <c r="A34" s="9">
        <v>47</v>
      </c>
      <c r="B34" s="10" t="s">
        <v>226</v>
      </c>
      <c r="C34" s="11" t="s">
        <v>339</v>
      </c>
      <c r="D34" s="11"/>
      <c r="E34" s="11"/>
      <c r="F34" s="11" t="s">
        <v>3988</v>
      </c>
    </row>
    <row r="35" spans="1:6" ht="16.2" thickBot="1" x14ac:dyDescent="0.35">
      <c r="A35" s="9">
        <v>110</v>
      </c>
      <c r="B35" s="10" t="s">
        <v>227</v>
      </c>
      <c r="C35" s="11" t="s">
        <v>339</v>
      </c>
      <c r="D35" s="11"/>
      <c r="E35" s="11"/>
      <c r="F35" s="11" t="s">
        <v>3988</v>
      </c>
    </row>
    <row r="36" spans="1:6" ht="16.2" thickBot="1" x14ac:dyDescent="0.35">
      <c r="A36" s="9">
        <v>199</v>
      </c>
      <c r="B36" s="10" t="s">
        <v>228</v>
      </c>
      <c r="C36" s="11" t="s">
        <v>339</v>
      </c>
      <c r="D36" s="11"/>
      <c r="E36" s="11"/>
      <c r="F36" s="11" t="s">
        <v>3988</v>
      </c>
    </row>
    <row r="37" spans="1:6" ht="16.2" thickBot="1" x14ac:dyDescent="0.35">
      <c r="A37" s="9">
        <v>209</v>
      </c>
      <c r="B37" s="10" t="s">
        <v>229</v>
      </c>
      <c r="C37" s="11" t="s">
        <v>339</v>
      </c>
      <c r="D37" s="11"/>
      <c r="E37" s="11"/>
      <c r="F37" s="11" t="s">
        <v>3988</v>
      </c>
    </row>
    <row r="38" spans="1:6" ht="16.2" thickBot="1" x14ac:dyDescent="0.35">
      <c r="A38" s="9">
        <v>71</v>
      </c>
      <c r="B38" s="10" t="s">
        <v>230</v>
      </c>
      <c r="C38" s="11" t="s">
        <v>339</v>
      </c>
      <c r="D38" s="11"/>
      <c r="E38" s="11"/>
      <c r="F38" s="11" t="s">
        <v>3988</v>
      </c>
    </row>
    <row r="39" spans="1:6" ht="16.2" thickBot="1" x14ac:dyDescent="0.35">
      <c r="A39" s="9">
        <v>284</v>
      </c>
      <c r="B39" s="10" t="s">
        <v>231</v>
      </c>
      <c r="C39" s="11" t="s">
        <v>339</v>
      </c>
      <c r="D39" s="11"/>
      <c r="E39" s="11"/>
      <c r="F39" s="11" t="s">
        <v>3988</v>
      </c>
    </row>
    <row r="40" spans="1:6" ht="16.2" thickBot="1" x14ac:dyDescent="0.35">
      <c r="A40" s="9">
        <v>26</v>
      </c>
      <c r="B40" s="10" t="s">
        <v>233</v>
      </c>
      <c r="C40" s="11" t="s">
        <v>339</v>
      </c>
      <c r="D40" s="11"/>
      <c r="E40" s="11"/>
      <c r="F40" s="11" t="s">
        <v>3988</v>
      </c>
    </row>
    <row r="41" spans="1:6" ht="16.2" thickBot="1" x14ac:dyDescent="0.35">
      <c r="A41" s="9">
        <v>240</v>
      </c>
      <c r="B41" s="10" t="s">
        <v>245</v>
      </c>
      <c r="C41" s="11" t="s">
        <v>339</v>
      </c>
      <c r="D41" s="11"/>
      <c r="E41" s="11"/>
      <c r="F41" s="11" t="s">
        <v>3988</v>
      </c>
    </row>
    <row r="42" spans="1:6" ht="16.2" thickBot="1" x14ac:dyDescent="0.35">
      <c r="A42" s="9">
        <v>106</v>
      </c>
      <c r="B42" s="10" t="s">
        <v>248</v>
      </c>
      <c r="C42" s="11" t="s">
        <v>339</v>
      </c>
      <c r="D42" s="11"/>
      <c r="E42" s="11"/>
      <c r="F42" s="11" t="s">
        <v>3988</v>
      </c>
    </row>
    <row r="43" spans="1:6" ht="16.2" thickBot="1" x14ac:dyDescent="0.35">
      <c r="A43" s="9">
        <v>131</v>
      </c>
      <c r="B43" s="10" t="s">
        <v>251</v>
      </c>
      <c r="C43" s="11" t="s">
        <v>339</v>
      </c>
      <c r="D43" s="11"/>
      <c r="E43" s="11"/>
      <c r="F43" s="11" t="s">
        <v>3988</v>
      </c>
    </row>
    <row r="44" spans="1:6" ht="16.2" thickBot="1" x14ac:dyDescent="0.35">
      <c r="A44" s="9">
        <v>33</v>
      </c>
      <c r="B44" s="10" t="s">
        <v>254</v>
      </c>
      <c r="C44" s="11" t="s">
        <v>339</v>
      </c>
      <c r="D44" s="11"/>
      <c r="E44" s="11"/>
      <c r="F44" s="11" t="s">
        <v>3988</v>
      </c>
    </row>
    <row r="45" spans="1:6" ht="16.2" thickBot="1" x14ac:dyDescent="0.35">
      <c r="A45" s="9">
        <v>91</v>
      </c>
      <c r="B45" s="10" t="s">
        <v>266</v>
      </c>
      <c r="C45" s="11" t="s">
        <v>339</v>
      </c>
      <c r="D45" s="11"/>
      <c r="E45" s="11"/>
      <c r="F45" s="11" t="s">
        <v>3988</v>
      </c>
    </row>
    <row r="46" spans="1:6" ht="16.2" thickBot="1" x14ac:dyDescent="0.35">
      <c r="A46" s="9">
        <v>209</v>
      </c>
      <c r="B46" s="10" t="s">
        <v>274</v>
      </c>
      <c r="C46" s="11" t="s">
        <v>339</v>
      </c>
      <c r="D46" s="11"/>
      <c r="E46" s="11"/>
      <c r="F46" s="11" t="s">
        <v>3988</v>
      </c>
    </row>
    <row r="47" spans="1:6" ht="16.2" thickBot="1" x14ac:dyDescent="0.35">
      <c r="A47" s="9">
        <v>157</v>
      </c>
      <c r="B47" s="10" t="s">
        <v>275</v>
      </c>
      <c r="C47" s="11" t="s">
        <v>339</v>
      </c>
      <c r="D47" s="11"/>
      <c r="E47" s="11"/>
      <c r="F47" s="11" t="s">
        <v>3988</v>
      </c>
    </row>
    <row r="48" spans="1:6" ht="16.2" thickBot="1" x14ac:dyDescent="0.35">
      <c r="A48" s="9">
        <v>267</v>
      </c>
      <c r="B48" s="10" t="s">
        <v>285</v>
      </c>
      <c r="C48" s="11" t="s">
        <v>339</v>
      </c>
      <c r="D48" s="11"/>
      <c r="E48" s="11"/>
      <c r="F48" s="11" t="s">
        <v>3988</v>
      </c>
    </row>
    <row r="49" spans="1:8" ht="16.2" thickBot="1" x14ac:dyDescent="0.35">
      <c r="A49" s="9">
        <v>277</v>
      </c>
      <c r="B49" s="10" t="s">
        <v>287</v>
      </c>
      <c r="C49" s="11" t="s">
        <v>339</v>
      </c>
      <c r="D49" s="11"/>
      <c r="E49" s="11"/>
      <c r="F49" s="11" t="s">
        <v>3988</v>
      </c>
    </row>
    <row r="50" spans="1:8" ht="16.2" thickBot="1" x14ac:dyDescent="0.35">
      <c r="A50" s="9">
        <v>55</v>
      </c>
      <c r="B50" s="10" t="s">
        <v>296</v>
      </c>
      <c r="C50" s="11" t="s">
        <v>339</v>
      </c>
      <c r="D50" s="11"/>
      <c r="E50" s="11"/>
      <c r="F50" s="11" t="s">
        <v>3988</v>
      </c>
    </row>
    <row r="51" spans="1:8" ht="16.2" thickBot="1" x14ac:dyDescent="0.35">
      <c r="A51" s="9">
        <v>110</v>
      </c>
      <c r="B51" s="10" t="s">
        <v>307</v>
      </c>
      <c r="C51" s="11" t="s">
        <v>339</v>
      </c>
      <c r="D51" s="11"/>
      <c r="E51" s="11"/>
      <c r="F51" s="11" t="s">
        <v>3988</v>
      </c>
    </row>
    <row r="52" spans="1:8" ht="16.2" thickBot="1" x14ac:dyDescent="0.35">
      <c r="A52" s="9">
        <v>209</v>
      </c>
      <c r="B52" s="10" t="s">
        <v>309</v>
      </c>
      <c r="C52" s="11" t="s">
        <v>339</v>
      </c>
      <c r="D52" s="11"/>
      <c r="E52" s="11"/>
      <c r="F52" s="11" t="s">
        <v>3988</v>
      </c>
    </row>
    <row r="53" spans="1:8" ht="16.2" thickBot="1" x14ac:dyDescent="0.35">
      <c r="A53" s="9">
        <v>71</v>
      </c>
      <c r="B53" s="10" t="s">
        <v>310</v>
      </c>
      <c r="C53" s="11" t="s">
        <v>339</v>
      </c>
      <c r="D53" s="11"/>
      <c r="E53" s="11"/>
      <c r="F53" s="11" t="s">
        <v>3988</v>
      </c>
    </row>
    <row r="54" spans="1:8" ht="16.2" thickBot="1" x14ac:dyDescent="0.35">
      <c r="A54" s="9">
        <v>18</v>
      </c>
      <c r="B54" s="10" t="s">
        <v>312</v>
      </c>
      <c r="C54" s="11" t="s">
        <v>339</v>
      </c>
      <c r="D54" s="11"/>
      <c r="E54" s="11"/>
      <c r="F54" s="11" t="s">
        <v>3988</v>
      </c>
    </row>
    <row r="55" spans="1:8" ht="16.2" thickBot="1" x14ac:dyDescent="0.35">
      <c r="A55" s="9">
        <v>59</v>
      </c>
      <c r="B55" s="10" t="s">
        <v>315</v>
      </c>
      <c r="C55" s="11" t="s">
        <v>339</v>
      </c>
      <c r="D55" s="11"/>
      <c r="E55" s="11"/>
      <c r="F55" s="11" t="s">
        <v>3988</v>
      </c>
    </row>
    <row r="56" spans="1:8" ht="16.2" thickBot="1" x14ac:dyDescent="0.35">
      <c r="A56" s="9">
        <v>46</v>
      </c>
      <c r="B56" s="10" t="s">
        <v>334</v>
      </c>
      <c r="C56" s="11" t="s">
        <v>339</v>
      </c>
      <c r="D56" s="11"/>
      <c r="E56" s="11"/>
      <c r="F56" s="11" t="s">
        <v>3988</v>
      </c>
    </row>
    <row r="57" spans="1:8" ht="16.2" thickBot="1" x14ac:dyDescent="0.35">
      <c r="A57" s="9">
        <v>180</v>
      </c>
      <c r="B57" s="10" t="s">
        <v>6</v>
      </c>
      <c r="C57" s="11" t="s">
        <v>340</v>
      </c>
      <c r="D57" s="11"/>
      <c r="E57" s="11" t="s">
        <v>3746</v>
      </c>
      <c r="F57" s="11"/>
      <c r="H57">
        <v>1182</v>
      </c>
    </row>
    <row r="58" spans="1:8" ht="16.2" thickBot="1" x14ac:dyDescent="0.35">
      <c r="A58" s="9">
        <v>121</v>
      </c>
      <c r="B58" s="10" t="s">
        <v>31</v>
      </c>
      <c r="C58" s="11" t="s">
        <v>340</v>
      </c>
      <c r="D58" s="11"/>
      <c r="E58" s="11"/>
      <c r="F58" s="11">
        <v>1</v>
      </c>
    </row>
    <row r="59" spans="1:8" ht="16.2" thickBot="1" x14ac:dyDescent="0.35">
      <c r="A59" s="9">
        <v>125</v>
      </c>
      <c r="B59" s="10" t="s">
        <v>33</v>
      </c>
      <c r="C59" s="11" t="s">
        <v>340</v>
      </c>
      <c r="D59" s="11"/>
      <c r="E59" s="11"/>
      <c r="F59" s="11">
        <v>1</v>
      </c>
    </row>
    <row r="60" spans="1:8" ht="16.2" thickBot="1" x14ac:dyDescent="0.35">
      <c r="A60" s="9">
        <v>141</v>
      </c>
      <c r="B60" s="10" t="s">
        <v>66</v>
      </c>
      <c r="C60" s="11" t="s">
        <v>340</v>
      </c>
      <c r="D60" s="11"/>
      <c r="E60" s="11">
        <v>1</v>
      </c>
      <c r="F60" s="11"/>
    </row>
    <row r="61" spans="1:8" ht="16.2" thickBot="1" x14ac:dyDescent="0.35">
      <c r="A61" s="9">
        <v>252</v>
      </c>
      <c r="B61" s="10" t="s">
        <v>79</v>
      </c>
      <c r="C61" s="11" t="s">
        <v>340</v>
      </c>
      <c r="D61" s="11"/>
      <c r="E61" s="11"/>
      <c r="F61" s="11">
        <v>1</v>
      </c>
    </row>
    <row r="62" spans="1:8" ht="16.2" thickBot="1" x14ac:dyDescent="0.35">
      <c r="A62" s="9">
        <v>208</v>
      </c>
      <c r="B62" s="10" t="s">
        <v>80</v>
      </c>
      <c r="C62" s="11" t="s">
        <v>340</v>
      </c>
      <c r="D62" s="11"/>
      <c r="E62" s="11">
        <v>1</v>
      </c>
      <c r="F62" s="11"/>
    </row>
    <row r="63" spans="1:8" ht="16.2" thickBot="1" x14ac:dyDescent="0.35">
      <c r="A63" s="9">
        <v>209</v>
      </c>
      <c r="B63" s="10" t="s">
        <v>91</v>
      </c>
      <c r="C63" s="11" t="s">
        <v>340</v>
      </c>
      <c r="D63" s="11"/>
      <c r="E63" s="11">
        <v>1</v>
      </c>
      <c r="F63" s="11"/>
    </row>
    <row r="64" spans="1:8" ht="16.2" thickBot="1" x14ac:dyDescent="0.35">
      <c r="A64" s="9">
        <v>202</v>
      </c>
      <c r="B64" s="10" t="s">
        <v>99</v>
      </c>
      <c r="C64" s="11" t="s">
        <v>340</v>
      </c>
      <c r="D64" s="11"/>
      <c r="E64" s="11"/>
      <c r="F64" s="11">
        <v>1</v>
      </c>
    </row>
    <row r="65" spans="1:9" ht="16.2" thickBot="1" x14ac:dyDescent="0.35">
      <c r="A65" s="9">
        <v>49</v>
      </c>
      <c r="B65" s="10" t="s">
        <v>145</v>
      </c>
      <c r="C65" s="11" t="s">
        <v>340</v>
      </c>
      <c r="D65" s="11"/>
      <c r="E65" s="11"/>
      <c r="F65" s="11">
        <v>1</v>
      </c>
    </row>
    <row r="66" spans="1:9" ht="16.2" thickBot="1" x14ac:dyDescent="0.35">
      <c r="A66" s="9">
        <v>223</v>
      </c>
      <c r="B66" s="10" t="s">
        <v>155</v>
      </c>
      <c r="C66" s="11" t="s">
        <v>340</v>
      </c>
      <c r="D66" s="11"/>
      <c r="E66" s="11" t="s">
        <v>3747</v>
      </c>
      <c r="F66" s="11"/>
    </row>
    <row r="67" spans="1:9" ht="16.2" thickBot="1" x14ac:dyDescent="0.35">
      <c r="A67" s="9">
        <v>157</v>
      </c>
      <c r="B67" s="10" t="s">
        <v>205</v>
      </c>
      <c r="C67" s="11" t="s">
        <v>340</v>
      </c>
      <c r="D67" s="11"/>
      <c r="E67" s="11"/>
      <c r="F67" s="11">
        <v>1</v>
      </c>
    </row>
    <row r="68" spans="1:9" ht="16.2" thickBot="1" x14ac:dyDescent="0.35">
      <c r="A68" s="9">
        <v>305</v>
      </c>
      <c r="B68" s="10" t="s">
        <v>218</v>
      </c>
      <c r="C68" s="11" t="s">
        <v>340</v>
      </c>
      <c r="D68" s="11"/>
      <c r="E68" s="11">
        <v>1</v>
      </c>
      <c r="F68" s="11"/>
    </row>
    <row r="69" spans="1:9" ht="16.2" thickBot="1" x14ac:dyDescent="0.35">
      <c r="A69" s="9">
        <v>157</v>
      </c>
      <c r="B69" s="10" t="s">
        <v>260</v>
      </c>
      <c r="C69" s="11" t="s">
        <v>340</v>
      </c>
      <c r="D69" s="11"/>
      <c r="E69" s="11">
        <v>1</v>
      </c>
      <c r="F69" s="11"/>
    </row>
    <row r="70" spans="1:9" ht="16.2" thickBot="1" x14ac:dyDescent="0.35">
      <c r="A70" s="9">
        <v>177</v>
      </c>
      <c r="B70" s="10" t="s">
        <v>288</v>
      </c>
      <c r="C70" s="11" t="s">
        <v>340</v>
      </c>
      <c r="D70" s="11"/>
      <c r="E70" s="11"/>
      <c r="F70" s="11">
        <v>1</v>
      </c>
    </row>
    <row r="71" spans="1:9" ht="16.2" thickBot="1" x14ac:dyDescent="0.35">
      <c r="A71" s="9">
        <v>185</v>
      </c>
      <c r="B71" s="10" t="s">
        <v>295</v>
      </c>
      <c r="C71" s="11" t="s">
        <v>340</v>
      </c>
      <c r="D71" s="11"/>
      <c r="E71" s="11">
        <v>1</v>
      </c>
      <c r="F71" s="11"/>
    </row>
    <row r="72" spans="1:9" ht="16.2" thickBot="1" x14ac:dyDescent="0.35">
      <c r="A72" s="9">
        <v>54</v>
      </c>
      <c r="B72" s="10" t="s">
        <v>324</v>
      </c>
      <c r="C72" s="11" t="s">
        <v>340</v>
      </c>
      <c r="D72" s="11"/>
      <c r="E72" s="11"/>
      <c r="F72" s="11">
        <v>1</v>
      </c>
    </row>
    <row r="73" spans="1:9" ht="16.2" thickBot="1" x14ac:dyDescent="0.35">
      <c r="A73" s="9">
        <v>175</v>
      </c>
      <c r="B73" s="10" t="s">
        <v>329</v>
      </c>
      <c r="C73" s="11" t="s">
        <v>340</v>
      </c>
      <c r="D73" s="11"/>
      <c r="E73" s="11"/>
      <c r="F73" s="11">
        <v>1</v>
      </c>
    </row>
    <row r="74" spans="1:9" ht="16.2" thickBot="1" x14ac:dyDescent="0.35">
      <c r="A74" s="9">
        <v>305</v>
      </c>
      <c r="B74" s="10" t="s">
        <v>333</v>
      </c>
      <c r="C74" s="11" t="s">
        <v>340</v>
      </c>
      <c r="D74" s="11"/>
      <c r="E74" s="11"/>
      <c r="F74" s="11">
        <v>1</v>
      </c>
    </row>
    <row r="75" spans="1:9" ht="16.2" thickBot="1" x14ac:dyDescent="0.35">
      <c r="A75" s="9">
        <v>302</v>
      </c>
      <c r="B75" s="10" t="s">
        <v>336</v>
      </c>
      <c r="C75" s="11" t="s">
        <v>340</v>
      </c>
      <c r="D75" s="11"/>
      <c r="E75" s="11"/>
      <c r="F75" s="11">
        <v>1</v>
      </c>
    </row>
    <row r="76" spans="1:9" ht="16.2" thickBot="1" x14ac:dyDescent="0.35">
      <c r="A76" s="9">
        <v>262</v>
      </c>
      <c r="B76" s="10" t="s">
        <v>132</v>
      </c>
      <c r="C76" s="11" t="s">
        <v>342</v>
      </c>
      <c r="D76" s="11"/>
      <c r="E76" s="11" t="s">
        <v>3748</v>
      </c>
      <c r="F76" s="11"/>
      <c r="I76">
        <v>1183</v>
      </c>
    </row>
    <row r="77" spans="1:9" ht="16.2" thickBot="1" x14ac:dyDescent="0.35">
      <c r="A77" s="9">
        <v>236</v>
      </c>
      <c r="B77" s="10" t="s">
        <v>169</v>
      </c>
      <c r="C77" s="11" t="s">
        <v>342</v>
      </c>
      <c r="D77" s="11"/>
      <c r="E77" s="11" t="s">
        <v>3748</v>
      </c>
      <c r="F77" s="11" t="s">
        <v>3749</v>
      </c>
    </row>
    <row r="78" spans="1:9" ht="16.2" thickBot="1" x14ac:dyDescent="0.35">
      <c r="A78" s="9">
        <v>39</v>
      </c>
      <c r="B78" s="10" t="s">
        <v>203</v>
      </c>
      <c r="C78" s="11" t="s">
        <v>342</v>
      </c>
      <c r="D78" s="11"/>
      <c r="E78" s="11" t="s">
        <v>3748</v>
      </c>
      <c r="F78" s="11" t="s">
        <v>3749</v>
      </c>
    </row>
    <row r="79" spans="1:9" ht="16.2" thickBot="1" x14ac:dyDescent="0.35">
      <c r="A79" s="9">
        <v>233</v>
      </c>
      <c r="B79" s="10" t="s">
        <v>269</v>
      </c>
      <c r="C79" s="11" t="s">
        <v>342</v>
      </c>
      <c r="D79" s="11"/>
      <c r="E79" s="11" t="s">
        <v>3748</v>
      </c>
      <c r="F79" s="11" t="s">
        <v>3749</v>
      </c>
    </row>
    <row r="80" spans="1:9" ht="16.2" thickBot="1" x14ac:dyDescent="0.35">
      <c r="A80" s="9">
        <v>34</v>
      </c>
      <c r="B80" s="10" t="s">
        <v>300</v>
      </c>
      <c r="C80" s="11" t="s">
        <v>342</v>
      </c>
      <c r="D80" s="11"/>
      <c r="E80" s="11"/>
      <c r="F80" s="11"/>
    </row>
    <row r="81" spans="1:9" ht="16.2" thickBot="1" x14ac:dyDescent="0.35">
      <c r="A81" s="9">
        <v>185</v>
      </c>
      <c r="B81" s="10" t="s">
        <v>46</v>
      </c>
      <c r="C81" s="11" t="s">
        <v>3750</v>
      </c>
      <c r="D81" s="11"/>
      <c r="E81" s="11" t="s">
        <v>3751</v>
      </c>
      <c r="F81" s="11"/>
      <c r="I81">
        <v>1191</v>
      </c>
    </row>
    <row r="82" spans="1:9" ht="16.2" thickBot="1" x14ac:dyDescent="0.35">
      <c r="A82" s="9">
        <v>206</v>
      </c>
      <c r="B82" s="10" t="s">
        <v>74</v>
      </c>
      <c r="C82" s="11" t="s">
        <v>3750</v>
      </c>
      <c r="D82" s="11"/>
      <c r="E82" s="11"/>
      <c r="F82" s="11">
        <v>1</v>
      </c>
    </row>
    <row r="83" spans="1:9" ht="16.2" thickBot="1" x14ac:dyDescent="0.35">
      <c r="A83" s="9">
        <v>282</v>
      </c>
      <c r="B83" s="10" t="s">
        <v>81</v>
      </c>
      <c r="C83" s="11" t="s">
        <v>3750</v>
      </c>
      <c r="D83" s="11"/>
      <c r="E83" s="11">
        <v>1</v>
      </c>
      <c r="F83" s="11"/>
    </row>
    <row r="84" spans="1:9" ht="16.2" thickBot="1" x14ac:dyDescent="0.35">
      <c r="A84" s="9">
        <v>230</v>
      </c>
      <c r="B84" s="10" t="s">
        <v>216</v>
      </c>
      <c r="C84" s="11" t="s">
        <v>3750</v>
      </c>
      <c r="D84" s="11"/>
      <c r="E84" s="11">
        <v>1</v>
      </c>
      <c r="F84" s="11"/>
    </row>
    <row r="85" spans="1:9" ht="16.2" thickBot="1" x14ac:dyDescent="0.35">
      <c r="A85" s="9">
        <v>231</v>
      </c>
      <c r="B85" s="10" t="s">
        <v>238</v>
      </c>
      <c r="C85" s="11" t="s">
        <v>3750</v>
      </c>
      <c r="D85" s="11"/>
      <c r="E85" s="11">
        <v>1</v>
      </c>
      <c r="F85" s="11"/>
    </row>
    <row r="86" spans="1:9" ht="16.2" thickBot="1" x14ac:dyDescent="0.35">
      <c r="A86" s="9">
        <v>126</v>
      </c>
      <c r="B86" s="10" t="s">
        <v>320</v>
      </c>
      <c r="C86" s="11" t="s">
        <v>3750</v>
      </c>
      <c r="D86" s="11"/>
      <c r="E86" s="11">
        <v>1</v>
      </c>
      <c r="F86" s="11"/>
    </row>
    <row r="87" spans="1:9" ht="16.2" thickBot="1" x14ac:dyDescent="0.35">
      <c r="A87" s="9">
        <v>296</v>
      </c>
      <c r="B87" s="10" t="s">
        <v>328</v>
      </c>
      <c r="C87" s="11" t="s">
        <v>3750</v>
      </c>
      <c r="D87" s="11"/>
      <c r="E87" s="11">
        <v>1</v>
      </c>
      <c r="F87" s="11"/>
    </row>
    <row r="88" spans="1:9" ht="16.2" thickBot="1" x14ac:dyDescent="0.35">
      <c r="A88" s="9">
        <v>267</v>
      </c>
      <c r="B88" s="10" t="s">
        <v>5</v>
      </c>
      <c r="C88" s="11" t="s">
        <v>347</v>
      </c>
      <c r="D88" s="11"/>
      <c r="E88" s="11"/>
      <c r="F88" s="11" t="s">
        <v>3720</v>
      </c>
    </row>
    <row r="89" spans="1:9" ht="16.2" thickBot="1" x14ac:dyDescent="0.35">
      <c r="A89" s="9">
        <v>305</v>
      </c>
      <c r="B89" s="10" t="s">
        <v>7</v>
      </c>
      <c r="C89" s="11" t="s">
        <v>347</v>
      </c>
      <c r="D89" s="11"/>
      <c r="E89" s="11"/>
      <c r="F89" s="11" t="s">
        <v>3720</v>
      </c>
    </row>
    <row r="90" spans="1:9" ht="16.2" thickBot="1" x14ac:dyDescent="0.35">
      <c r="A90" s="9">
        <v>185</v>
      </c>
      <c r="B90" s="10" t="s">
        <v>29</v>
      </c>
      <c r="C90" s="11" t="s">
        <v>347</v>
      </c>
      <c r="D90" s="11"/>
      <c r="E90" s="11"/>
      <c r="F90" s="11" t="s">
        <v>3720</v>
      </c>
    </row>
    <row r="91" spans="1:9" ht="16.2" thickBot="1" x14ac:dyDescent="0.35">
      <c r="A91" s="9">
        <v>209</v>
      </c>
      <c r="B91" s="10" t="s">
        <v>51</v>
      </c>
      <c r="C91" s="11" t="s">
        <v>347</v>
      </c>
      <c r="D91" s="11"/>
      <c r="E91" s="11"/>
      <c r="F91" s="11" t="s">
        <v>3720</v>
      </c>
    </row>
    <row r="92" spans="1:9" ht="16.2" thickBot="1" x14ac:dyDescent="0.35">
      <c r="A92" s="9">
        <v>305</v>
      </c>
      <c r="B92" s="10" t="s">
        <v>75</v>
      </c>
      <c r="C92" s="11" t="s">
        <v>347</v>
      </c>
      <c r="D92" s="11"/>
      <c r="E92" s="11"/>
      <c r="F92" s="11" t="s">
        <v>3720</v>
      </c>
    </row>
    <row r="93" spans="1:9" ht="16.2" thickBot="1" x14ac:dyDescent="0.35">
      <c r="A93" s="9">
        <v>157</v>
      </c>
      <c r="B93" s="10" t="s">
        <v>97</v>
      </c>
      <c r="C93" s="11" t="s">
        <v>347</v>
      </c>
      <c r="D93" s="11"/>
      <c r="E93" s="11" t="s">
        <v>3988</v>
      </c>
      <c r="F93" s="11" t="s">
        <v>3988</v>
      </c>
    </row>
    <row r="94" spans="1:9" ht="16.2" thickBot="1" x14ac:dyDescent="0.35">
      <c r="A94" s="9">
        <v>140</v>
      </c>
      <c r="B94" s="10" t="s">
        <v>120</v>
      </c>
      <c r="C94" s="11" t="s">
        <v>347</v>
      </c>
      <c r="D94" s="11"/>
      <c r="E94" s="11"/>
      <c r="F94" s="11" t="s">
        <v>3720</v>
      </c>
    </row>
    <row r="95" spans="1:9" ht="16.2" thickBot="1" x14ac:dyDescent="0.35">
      <c r="A95" s="9">
        <v>209</v>
      </c>
      <c r="B95" s="10" t="s">
        <v>121</v>
      </c>
      <c r="C95" s="11" t="s">
        <v>347</v>
      </c>
      <c r="D95" s="11"/>
      <c r="E95" s="11"/>
      <c r="F95" s="11" t="s">
        <v>3720</v>
      </c>
    </row>
    <row r="96" spans="1:9" ht="16.2" thickBot="1" x14ac:dyDescent="0.35">
      <c r="A96" s="9">
        <v>98</v>
      </c>
      <c r="B96" s="10" t="s">
        <v>130</v>
      </c>
      <c r="C96" s="11" t="s">
        <v>347</v>
      </c>
      <c r="D96" s="11"/>
      <c r="E96" s="11"/>
      <c r="F96" s="11" t="s">
        <v>3720</v>
      </c>
    </row>
    <row r="97" spans="1:6" ht="16.2" thickBot="1" x14ac:dyDescent="0.35">
      <c r="A97" s="9">
        <v>305</v>
      </c>
      <c r="B97" s="10" t="s">
        <v>151</v>
      </c>
      <c r="C97" s="11" t="s">
        <v>347</v>
      </c>
      <c r="D97" s="11"/>
      <c r="E97" s="11" t="s">
        <v>3988</v>
      </c>
      <c r="F97" s="11" t="s">
        <v>3988</v>
      </c>
    </row>
    <row r="98" spans="1:6" ht="16.2" thickBot="1" x14ac:dyDescent="0.35">
      <c r="A98" s="9">
        <v>209</v>
      </c>
      <c r="B98" s="10" t="s">
        <v>156</v>
      </c>
      <c r="C98" s="11" t="s">
        <v>347</v>
      </c>
      <c r="D98" s="11"/>
      <c r="E98" s="11"/>
      <c r="F98" s="11" t="s">
        <v>3720</v>
      </c>
    </row>
    <row r="99" spans="1:6" ht="16.2" thickBot="1" x14ac:dyDescent="0.35">
      <c r="A99" s="9">
        <v>305</v>
      </c>
      <c r="B99" s="10" t="s">
        <v>157</v>
      </c>
      <c r="C99" s="11" t="s">
        <v>347</v>
      </c>
      <c r="D99" s="11"/>
      <c r="E99" s="11"/>
      <c r="F99" s="11" t="s">
        <v>3720</v>
      </c>
    </row>
    <row r="100" spans="1:6" ht="16.2" thickBot="1" x14ac:dyDescent="0.35">
      <c r="A100" s="9">
        <v>157</v>
      </c>
      <c r="B100" s="10" t="s">
        <v>160</v>
      </c>
      <c r="C100" s="11" t="s">
        <v>347</v>
      </c>
      <c r="D100" s="11"/>
      <c r="E100" s="11"/>
      <c r="F100" s="11" t="s">
        <v>3720</v>
      </c>
    </row>
    <row r="101" spans="1:6" ht="16.2" thickBot="1" x14ac:dyDescent="0.35">
      <c r="A101" s="9">
        <v>144</v>
      </c>
      <c r="B101" s="10" t="s">
        <v>210</v>
      </c>
      <c r="C101" s="11" t="s">
        <v>347</v>
      </c>
      <c r="D101" s="11"/>
      <c r="E101" s="11"/>
      <c r="F101" s="11" t="s">
        <v>3720</v>
      </c>
    </row>
    <row r="102" spans="1:6" ht="16.2" thickBot="1" x14ac:dyDescent="0.35">
      <c r="A102" s="9">
        <v>252</v>
      </c>
      <c r="B102" s="10" t="s">
        <v>211</v>
      </c>
      <c r="C102" s="11" t="s">
        <v>347</v>
      </c>
      <c r="D102" s="11"/>
      <c r="E102" s="11"/>
      <c r="F102" s="11" t="s">
        <v>3720</v>
      </c>
    </row>
    <row r="103" spans="1:6" ht="16.2" thickBot="1" x14ac:dyDescent="0.35">
      <c r="A103" s="9">
        <v>252</v>
      </c>
      <c r="B103" s="10" t="s">
        <v>223</v>
      </c>
      <c r="C103" s="11" t="s">
        <v>347</v>
      </c>
      <c r="D103" s="11"/>
      <c r="E103" s="11" t="s">
        <v>3988</v>
      </c>
      <c r="F103" s="11" t="s">
        <v>3988</v>
      </c>
    </row>
    <row r="104" spans="1:6" ht="16.2" thickBot="1" x14ac:dyDescent="0.35">
      <c r="A104" s="9">
        <v>86</v>
      </c>
      <c r="B104" s="10" t="s">
        <v>232</v>
      </c>
      <c r="C104" s="11" t="s">
        <v>347</v>
      </c>
      <c r="D104" s="11"/>
      <c r="E104" s="11"/>
      <c r="F104" s="11" t="s">
        <v>3720</v>
      </c>
    </row>
    <row r="105" spans="1:6" ht="16.2" thickBot="1" x14ac:dyDescent="0.35">
      <c r="A105" s="9">
        <v>157</v>
      </c>
      <c r="B105" s="10" t="s">
        <v>235</v>
      </c>
      <c r="C105" s="11" t="s">
        <v>347</v>
      </c>
      <c r="D105" s="11"/>
      <c r="E105" s="11" t="s">
        <v>3988</v>
      </c>
      <c r="F105" s="11" t="s">
        <v>3988</v>
      </c>
    </row>
    <row r="106" spans="1:6" ht="16.2" thickBot="1" x14ac:dyDescent="0.35">
      <c r="A106" s="9">
        <v>259</v>
      </c>
      <c r="B106" s="10" t="s">
        <v>257</v>
      </c>
      <c r="C106" s="11" t="s">
        <v>347</v>
      </c>
      <c r="D106" s="11"/>
      <c r="E106" s="11" t="s">
        <v>3988</v>
      </c>
      <c r="F106" s="11" t="s">
        <v>3988</v>
      </c>
    </row>
    <row r="107" spans="1:6" ht="16.2" thickBot="1" x14ac:dyDescent="0.35">
      <c r="A107" s="9">
        <v>25</v>
      </c>
      <c r="B107" s="10" t="s">
        <v>259</v>
      </c>
      <c r="C107" s="11" t="s">
        <v>347</v>
      </c>
      <c r="D107" s="11"/>
      <c r="E107" s="11" t="s">
        <v>3988</v>
      </c>
      <c r="F107" s="11" t="s">
        <v>3988</v>
      </c>
    </row>
    <row r="108" spans="1:6" ht="16.2" thickBot="1" x14ac:dyDescent="0.35">
      <c r="A108" s="9">
        <v>305</v>
      </c>
      <c r="B108" s="10" t="s">
        <v>267</v>
      </c>
      <c r="C108" s="11" t="s">
        <v>347</v>
      </c>
      <c r="D108" s="11"/>
      <c r="E108" s="11"/>
      <c r="F108" s="11" t="s">
        <v>3720</v>
      </c>
    </row>
    <row r="109" spans="1:6" ht="16.2" thickBot="1" x14ac:dyDescent="0.35">
      <c r="A109" s="9">
        <v>102</v>
      </c>
      <c r="B109" s="10" t="s">
        <v>268</v>
      </c>
      <c r="C109" s="11" t="s">
        <v>347</v>
      </c>
      <c r="D109" s="11"/>
      <c r="E109" s="11"/>
      <c r="F109" s="11" t="s">
        <v>3720</v>
      </c>
    </row>
    <row r="110" spans="1:6" ht="16.2" thickBot="1" x14ac:dyDescent="0.35">
      <c r="A110" s="9">
        <v>156</v>
      </c>
      <c r="B110" s="10" t="s">
        <v>270</v>
      </c>
      <c r="C110" s="11" t="s">
        <v>347</v>
      </c>
      <c r="D110" s="11"/>
      <c r="E110" s="11"/>
      <c r="F110" s="11" t="s">
        <v>3720</v>
      </c>
    </row>
    <row r="111" spans="1:6" ht="16.2" thickBot="1" x14ac:dyDescent="0.35">
      <c r="A111" s="9">
        <v>185</v>
      </c>
      <c r="B111" s="10" t="s">
        <v>281</v>
      </c>
      <c r="C111" s="11" t="s">
        <v>347</v>
      </c>
      <c r="D111" s="11"/>
      <c r="E111" s="11" t="s">
        <v>3988</v>
      </c>
      <c r="F111" s="11" t="s">
        <v>3988</v>
      </c>
    </row>
    <row r="112" spans="1:6" ht="16.2" thickBot="1" x14ac:dyDescent="0.35">
      <c r="A112" s="9">
        <v>245</v>
      </c>
      <c r="B112" s="10" t="s">
        <v>282</v>
      </c>
      <c r="C112" s="11" t="s">
        <v>347</v>
      </c>
      <c r="D112" s="11"/>
      <c r="E112" s="11" t="s">
        <v>3988</v>
      </c>
      <c r="F112" s="11" t="s">
        <v>3988</v>
      </c>
    </row>
    <row r="113" spans="1:9" ht="16.2" thickBot="1" x14ac:dyDescent="0.35">
      <c r="A113" s="9">
        <v>284</v>
      </c>
      <c r="B113" s="10" t="s">
        <v>283</v>
      </c>
      <c r="C113" s="11" t="s">
        <v>347</v>
      </c>
      <c r="D113" s="11"/>
      <c r="E113" s="11" t="s">
        <v>3988</v>
      </c>
      <c r="F113" s="11" t="s">
        <v>3988</v>
      </c>
    </row>
    <row r="114" spans="1:9" ht="16.2" thickBot="1" x14ac:dyDescent="0.35">
      <c r="A114" s="9">
        <v>190</v>
      </c>
      <c r="B114" s="10" t="s">
        <v>305</v>
      </c>
      <c r="C114" s="11" t="s">
        <v>347</v>
      </c>
      <c r="D114" s="11"/>
      <c r="E114" s="11" t="s">
        <v>3988</v>
      </c>
      <c r="F114" s="11" t="s">
        <v>3988</v>
      </c>
    </row>
    <row r="115" spans="1:9" ht="16.2" thickBot="1" x14ac:dyDescent="0.35">
      <c r="A115" s="9">
        <v>298</v>
      </c>
      <c r="B115" s="10" t="s">
        <v>306</v>
      </c>
      <c r="C115" s="11" t="s">
        <v>347</v>
      </c>
      <c r="D115" s="11"/>
      <c r="E115" s="11" t="s">
        <v>3988</v>
      </c>
      <c r="F115" s="11" t="s">
        <v>3988</v>
      </c>
    </row>
    <row r="116" spans="1:9" ht="16.2" thickBot="1" x14ac:dyDescent="0.35">
      <c r="A116" s="9">
        <v>205</v>
      </c>
      <c r="B116" s="10" t="s">
        <v>3</v>
      </c>
      <c r="C116" s="11" t="s">
        <v>344</v>
      </c>
      <c r="D116" s="11"/>
      <c r="E116" s="11"/>
      <c r="F116" s="11">
        <v>1</v>
      </c>
      <c r="G116" t="s">
        <v>3716</v>
      </c>
      <c r="I116">
        <v>1196</v>
      </c>
    </row>
    <row r="117" spans="1:9" ht="16.2" thickBot="1" x14ac:dyDescent="0.35">
      <c r="A117" s="9">
        <v>250</v>
      </c>
      <c r="B117" s="10" t="s">
        <v>43</v>
      </c>
      <c r="C117" s="11" t="s">
        <v>344</v>
      </c>
      <c r="D117" s="11"/>
      <c r="E117" s="11">
        <v>1</v>
      </c>
      <c r="F117" s="11"/>
      <c r="I117">
        <v>1197</v>
      </c>
    </row>
    <row r="118" spans="1:9" ht="16.2" thickBot="1" x14ac:dyDescent="0.35">
      <c r="A118" s="9">
        <v>152</v>
      </c>
      <c r="B118" s="10" t="s">
        <v>85</v>
      </c>
      <c r="C118" s="11" t="s">
        <v>344</v>
      </c>
      <c r="D118" s="11"/>
      <c r="E118" s="11"/>
      <c r="F118" s="11">
        <v>1</v>
      </c>
      <c r="G118" t="s">
        <v>3716</v>
      </c>
    </row>
    <row r="119" spans="1:9" ht="16.2" thickBot="1" x14ac:dyDescent="0.35">
      <c r="A119" s="9">
        <v>305</v>
      </c>
      <c r="B119" s="10" t="s">
        <v>89</v>
      </c>
      <c r="C119" s="11" t="s">
        <v>344</v>
      </c>
      <c r="D119" s="11"/>
      <c r="E119" s="11"/>
      <c r="F119" s="11">
        <v>1</v>
      </c>
    </row>
    <row r="120" spans="1:9" ht="16.2" thickBot="1" x14ac:dyDescent="0.35">
      <c r="A120" s="9">
        <v>304</v>
      </c>
      <c r="B120" s="10" t="s">
        <v>117</v>
      </c>
      <c r="C120" s="11" t="s">
        <v>344</v>
      </c>
      <c r="D120" s="11"/>
      <c r="E120" s="11"/>
      <c r="F120" s="11">
        <v>1</v>
      </c>
    </row>
    <row r="121" spans="1:9" ht="16.2" thickBot="1" x14ac:dyDescent="0.35">
      <c r="A121" s="9">
        <v>23</v>
      </c>
      <c r="B121" s="10" t="s">
        <v>125</v>
      </c>
      <c r="C121" s="11" t="s">
        <v>344</v>
      </c>
      <c r="D121" s="11"/>
      <c r="E121" s="11"/>
      <c r="F121" s="11">
        <v>1</v>
      </c>
      <c r="G121" t="s">
        <v>3716</v>
      </c>
    </row>
    <row r="122" spans="1:9" ht="16.2" thickBot="1" x14ac:dyDescent="0.35">
      <c r="A122" s="9">
        <v>76</v>
      </c>
      <c r="B122" s="10" t="s">
        <v>153</v>
      </c>
      <c r="C122" s="11" t="s">
        <v>344</v>
      </c>
      <c r="D122" s="11"/>
      <c r="E122" s="11"/>
      <c r="F122" s="11">
        <v>1</v>
      </c>
      <c r="G122" t="s">
        <v>3716</v>
      </c>
    </row>
    <row r="123" spans="1:9" ht="16.2" thickBot="1" x14ac:dyDescent="0.35">
      <c r="A123" s="9">
        <v>241</v>
      </c>
      <c r="B123" s="10" t="s">
        <v>180</v>
      </c>
      <c r="C123" s="11" t="s">
        <v>344</v>
      </c>
      <c r="D123" s="11"/>
      <c r="E123" s="11"/>
      <c r="F123" s="11">
        <v>1</v>
      </c>
    </row>
    <row r="124" spans="1:9" ht="16.2" thickBot="1" x14ac:dyDescent="0.35">
      <c r="A124" s="9">
        <v>154</v>
      </c>
      <c r="B124" s="10" t="s">
        <v>237</v>
      </c>
      <c r="C124" s="11" t="s">
        <v>344</v>
      </c>
      <c r="D124" s="11"/>
      <c r="E124" s="11"/>
      <c r="F124" s="11">
        <v>1</v>
      </c>
    </row>
    <row r="125" spans="1:9" ht="16.2" thickBot="1" x14ac:dyDescent="0.35">
      <c r="A125" s="9">
        <v>97</v>
      </c>
      <c r="B125" s="10" t="s">
        <v>265</v>
      </c>
      <c r="C125" s="11" t="s">
        <v>344</v>
      </c>
      <c r="D125" s="11"/>
      <c r="E125" s="11">
        <v>1</v>
      </c>
      <c r="F125" s="11"/>
    </row>
    <row r="126" spans="1:9" ht="16.2" thickBot="1" x14ac:dyDescent="0.35">
      <c r="A126" s="9">
        <v>52</v>
      </c>
      <c r="B126" s="10" t="s">
        <v>291</v>
      </c>
      <c r="C126" s="11" t="s">
        <v>344</v>
      </c>
      <c r="D126" s="11"/>
      <c r="E126" s="11"/>
      <c r="F126" s="11">
        <v>1</v>
      </c>
      <c r="G126" t="s">
        <v>3716</v>
      </c>
    </row>
    <row r="127" spans="1:9" ht="16.2" thickBot="1" x14ac:dyDescent="0.35">
      <c r="A127" s="9">
        <v>66</v>
      </c>
      <c r="B127" s="10" t="s">
        <v>4</v>
      </c>
      <c r="C127" s="11" t="s">
        <v>341</v>
      </c>
      <c r="D127" s="11"/>
      <c r="F127" s="11">
        <v>1</v>
      </c>
      <c r="I127">
        <v>1198</v>
      </c>
    </row>
    <row r="128" spans="1:9" ht="16.2" thickBot="1" x14ac:dyDescent="0.35">
      <c r="A128" s="9">
        <v>146</v>
      </c>
      <c r="B128" s="10" t="s">
        <v>22</v>
      </c>
      <c r="C128" s="11" t="s">
        <v>341</v>
      </c>
      <c r="D128" s="11"/>
      <c r="F128" s="11">
        <v>1</v>
      </c>
    </row>
    <row r="129" spans="1:6" ht="16.2" thickBot="1" x14ac:dyDescent="0.35">
      <c r="A129" s="9">
        <v>117</v>
      </c>
      <c r="B129" s="10" t="s">
        <v>86</v>
      </c>
      <c r="C129" s="11" t="s">
        <v>341</v>
      </c>
      <c r="D129" s="11"/>
      <c r="F129" s="11">
        <v>1</v>
      </c>
    </row>
    <row r="130" spans="1:6" ht="16.2" thickBot="1" x14ac:dyDescent="0.35">
      <c r="A130" s="9">
        <v>194</v>
      </c>
      <c r="B130" s="10" t="s">
        <v>105</v>
      </c>
      <c r="C130" s="11" t="s">
        <v>341</v>
      </c>
      <c r="D130" s="11"/>
      <c r="F130" s="11">
        <v>1</v>
      </c>
    </row>
    <row r="131" spans="1:6" ht="16.2" thickBot="1" x14ac:dyDescent="0.35">
      <c r="A131" s="9">
        <v>305</v>
      </c>
      <c r="B131" s="10" t="s">
        <v>112</v>
      </c>
      <c r="C131" s="11" t="s">
        <v>341</v>
      </c>
      <c r="D131" s="11"/>
      <c r="F131" s="11">
        <v>1</v>
      </c>
    </row>
    <row r="132" spans="1:6" ht="16.2" thickBot="1" x14ac:dyDescent="0.35">
      <c r="A132" s="9">
        <v>305</v>
      </c>
      <c r="B132" s="10" t="s">
        <v>116</v>
      </c>
      <c r="C132" s="11" t="s">
        <v>341</v>
      </c>
      <c r="D132" s="11"/>
      <c r="F132" s="11">
        <v>1</v>
      </c>
    </row>
    <row r="133" spans="1:6" ht="16.2" thickBot="1" x14ac:dyDescent="0.35">
      <c r="A133" s="9">
        <v>281</v>
      </c>
      <c r="B133" s="10" t="s">
        <v>126</v>
      </c>
      <c r="C133" s="11" t="s">
        <v>341</v>
      </c>
      <c r="D133" s="11"/>
      <c r="F133" s="11">
        <v>1</v>
      </c>
    </row>
    <row r="134" spans="1:6" ht="16.2" thickBot="1" x14ac:dyDescent="0.35">
      <c r="A134" s="9">
        <v>305</v>
      </c>
      <c r="B134" s="10" t="s">
        <v>127</v>
      </c>
      <c r="C134" s="11" t="s">
        <v>341</v>
      </c>
      <c r="D134" s="11"/>
      <c r="F134" s="11">
        <v>1</v>
      </c>
    </row>
    <row r="135" spans="1:6" ht="16.2" thickBot="1" x14ac:dyDescent="0.35">
      <c r="A135" s="9">
        <v>157</v>
      </c>
      <c r="B135" s="10" t="s">
        <v>143</v>
      </c>
      <c r="C135" s="11" t="s">
        <v>341</v>
      </c>
      <c r="D135" s="11"/>
      <c r="F135" s="11">
        <v>1</v>
      </c>
    </row>
    <row r="136" spans="1:6" ht="16.2" thickBot="1" x14ac:dyDescent="0.35">
      <c r="A136" s="9">
        <v>203</v>
      </c>
      <c r="B136" s="10" t="s">
        <v>168</v>
      </c>
      <c r="C136" s="11" t="s">
        <v>341</v>
      </c>
      <c r="D136" s="11"/>
      <c r="F136" s="11">
        <v>1</v>
      </c>
    </row>
    <row r="137" spans="1:6" ht="16.2" thickBot="1" x14ac:dyDescent="0.35">
      <c r="A137" s="9">
        <v>305</v>
      </c>
      <c r="B137" s="10" t="s">
        <v>171</v>
      </c>
      <c r="C137" s="11" t="s">
        <v>341</v>
      </c>
      <c r="D137" s="11"/>
      <c r="F137" s="11">
        <v>1</v>
      </c>
    </row>
    <row r="138" spans="1:6" ht="16.2" thickBot="1" x14ac:dyDescent="0.35">
      <c r="A138" s="9">
        <v>136</v>
      </c>
      <c r="B138" s="10" t="s">
        <v>179</v>
      </c>
      <c r="C138" s="11" t="s">
        <v>341</v>
      </c>
      <c r="D138" s="11"/>
      <c r="F138" s="11">
        <v>1</v>
      </c>
    </row>
    <row r="139" spans="1:6" ht="16.2" thickBot="1" x14ac:dyDescent="0.35">
      <c r="A139" s="9">
        <v>129</v>
      </c>
      <c r="B139" s="10" t="s">
        <v>183</v>
      </c>
      <c r="C139" s="11" t="s">
        <v>341</v>
      </c>
      <c r="D139" s="11"/>
      <c r="F139" s="11">
        <v>1</v>
      </c>
    </row>
    <row r="140" spans="1:6" ht="16.2" thickBot="1" x14ac:dyDescent="0.35">
      <c r="A140" s="9">
        <v>305</v>
      </c>
      <c r="B140" s="10" t="s">
        <v>186</v>
      </c>
      <c r="C140" s="11" t="s">
        <v>341</v>
      </c>
      <c r="D140" s="11"/>
      <c r="F140" s="11">
        <v>1</v>
      </c>
    </row>
    <row r="141" spans="1:6" ht="16.2" thickBot="1" x14ac:dyDescent="0.35">
      <c r="A141" s="9">
        <v>81</v>
      </c>
      <c r="B141" s="10" t="s">
        <v>242</v>
      </c>
      <c r="C141" s="11" t="s">
        <v>341</v>
      </c>
      <c r="D141" s="11"/>
      <c r="F141" s="11">
        <v>1</v>
      </c>
    </row>
    <row r="142" spans="1:6" ht="16.2" thickBot="1" x14ac:dyDescent="0.35">
      <c r="A142" s="9">
        <v>110</v>
      </c>
      <c r="B142" s="10" t="s">
        <v>250</v>
      </c>
      <c r="C142" s="11" t="s">
        <v>341</v>
      </c>
      <c r="D142" s="11"/>
      <c r="F142" s="11">
        <v>1</v>
      </c>
    </row>
    <row r="143" spans="1:6" ht="16.2" thickBot="1" x14ac:dyDescent="0.35">
      <c r="A143" s="9">
        <v>284</v>
      </c>
      <c r="B143" s="10" t="s">
        <v>252</v>
      </c>
      <c r="C143" s="11" t="s">
        <v>341</v>
      </c>
      <c r="D143" s="11"/>
      <c r="F143" s="11">
        <v>1</v>
      </c>
    </row>
    <row r="144" spans="1:6" ht="16.2" thickBot="1" x14ac:dyDescent="0.35">
      <c r="A144" s="9">
        <v>108</v>
      </c>
      <c r="B144" s="10" t="s">
        <v>261</v>
      </c>
      <c r="C144" s="11" t="s">
        <v>341</v>
      </c>
      <c r="D144" s="11"/>
      <c r="F144" s="11">
        <v>1</v>
      </c>
    </row>
    <row r="145" spans="1:8" ht="16.2" thickBot="1" x14ac:dyDescent="0.35">
      <c r="A145" s="9">
        <v>119</v>
      </c>
      <c r="B145" s="10" t="s">
        <v>276</v>
      </c>
      <c r="C145" s="11" t="s">
        <v>341</v>
      </c>
      <c r="D145" s="11"/>
      <c r="F145" s="11">
        <v>1</v>
      </c>
    </row>
    <row r="146" spans="1:8" ht="16.2" thickBot="1" x14ac:dyDescent="0.35">
      <c r="A146" s="9">
        <v>69</v>
      </c>
      <c r="B146" s="10" t="s">
        <v>284</v>
      </c>
      <c r="C146" s="11" t="s">
        <v>341</v>
      </c>
      <c r="D146" s="11"/>
      <c r="F146" s="11">
        <v>1</v>
      </c>
    </row>
    <row r="147" spans="1:8" ht="16.2" thickBot="1" x14ac:dyDescent="0.35">
      <c r="A147" s="9">
        <v>155</v>
      </c>
      <c r="B147" s="10" t="s">
        <v>303</v>
      </c>
      <c r="C147" s="11" t="s">
        <v>341</v>
      </c>
      <c r="D147" s="11"/>
      <c r="F147" s="11">
        <v>1</v>
      </c>
    </row>
    <row r="148" spans="1:8" ht="16.2" thickBot="1" x14ac:dyDescent="0.35">
      <c r="A148" s="9">
        <v>87</v>
      </c>
      <c r="B148" s="10" t="s">
        <v>16</v>
      </c>
      <c r="C148" s="11" t="s">
        <v>348</v>
      </c>
      <c r="D148" s="11"/>
      <c r="E148" s="11">
        <v>1</v>
      </c>
      <c r="F148" s="11"/>
      <c r="H148">
        <v>1199</v>
      </c>
    </row>
    <row r="149" spans="1:8" ht="16.2" thickBot="1" x14ac:dyDescent="0.35">
      <c r="A149" s="9">
        <v>107</v>
      </c>
      <c r="B149" s="10" t="s">
        <v>37</v>
      </c>
      <c r="C149" s="11" t="s">
        <v>348</v>
      </c>
      <c r="D149" s="11"/>
      <c r="E149" s="11"/>
      <c r="F149" s="11">
        <v>1</v>
      </c>
      <c r="H149">
        <v>1120</v>
      </c>
    </row>
    <row r="150" spans="1:8" ht="16.2" thickBot="1" x14ac:dyDescent="0.35">
      <c r="A150" s="9">
        <v>139</v>
      </c>
      <c r="B150" s="10" t="s">
        <v>63</v>
      </c>
      <c r="C150" s="11" t="s">
        <v>348</v>
      </c>
      <c r="D150" s="11"/>
      <c r="E150" s="11">
        <v>1</v>
      </c>
      <c r="F150" s="11"/>
    </row>
    <row r="151" spans="1:8" ht="16.2" thickBot="1" x14ac:dyDescent="0.35">
      <c r="A151" s="9">
        <v>305</v>
      </c>
      <c r="B151" s="10" t="s">
        <v>69</v>
      </c>
      <c r="C151" s="11" t="s">
        <v>348</v>
      </c>
      <c r="D151" s="11"/>
      <c r="E151" s="11"/>
      <c r="F151" s="11">
        <v>1</v>
      </c>
    </row>
    <row r="152" spans="1:8" ht="16.2" thickBot="1" x14ac:dyDescent="0.35">
      <c r="A152" s="9">
        <v>252</v>
      </c>
      <c r="B152" s="10" t="s">
        <v>87</v>
      </c>
      <c r="C152" s="11" t="s">
        <v>348</v>
      </c>
      <c r="D152" s="11"/>
      <c r="E152" s="11"/>
      <c r="F152" s="11">
        <v>1</v>
      </c>
    </row>
    <row r="153" spans="1:8" ht="16.2" thickBot="1" x14ac:dyDescent="0.35">
      <c r="A153" s="9">
        <v>249</v>
      </c>
      <c r="B153" s="10" t="s">
        <v>100</v>
      </c>
      <c r="C153" s="11" t="s">
        <v>348</v>
      </c>
      <c r="D153" s="11"/>
      <c r="E153" s="11"/>
      <c r="F153" s="11">
        <v>1</v>
      </c>
      <c r="G153" s="12" t="s">
        <v>3884</v>
      </c>
    </row>
    <row r="154" spans="1:8" ht="16.2" thickBot="1" x14ac:dyDescent="0.35">
      <c r="A154" s="9">
        <v>157</v>
      </c>
      <c r="B154" s="10" t="s">
        <v>103</v>
      </c>
      <c r="C154" s="11" t="s">
        <v>348</v>
      </c>
      <c r="D154" s="11"/>
      <c r="E154" s="11"/>
      <c r="F154" s="11">
        <v>1</v>
      </c>
      <c r="G154" s="12"/>
      <c r="H154" s="12"/>
    </row>
    <row r="155" spans="1:8" ht="16.2" thickBot="1" x14ac:dyDescent="0.35">
      <c r="A155" s="9">
        <v>260</v>
      </c>
      <c r="B155" s="10" t="s">
        <v>118</v>
      </c>
      <c r="C155" s="11" t="s">
        <v>348</v>
      </c>
      <c r="D155" s="11"/>
      <c r="E155" s="11"/>
      <c r="F155" s="11" t="s">
        <v>3752</v>
      </c>
      <c r="G155" s="12"/>
    </row>
    <row r="156" spans="1:8" ht="16.2" thickBot="1" x14ac:dyDescent="0.35">
      <c r="A156" s="9">
        <v>127</v>
      </c>
      <c r="B156" s="10" t="s">
        <v>144</v>
      </c>
      <c r="C156" s="11" t="s">
        <v>348</v>
      </c>
      <c r="D156" s="11"/>
      <c r="E156" s="11"/>
      <c r="F156" s="11">
        <v>1</v>
      </c>
      <c r="G156" s="13"/>
    </row>
    <row r="157" spans="1:8" ht="16.2" thickBot="1" x14ac:dyDescent="0.35">
      <c r="A157" s="9">
        <v>305</v>
      </c>
      <c r="B157" s="10" t="s">
        <v>150</v>
      </c>
      <c r="C157" s="11" t="s">
        <v>348</v>
      </c>
      <c r="D157" s="11"/>
      <c r="E157" s="11"/>
      <c r="F157" s="11">
        <v>1</v>
      </c>
      <c r="G157" s="13"/>
    </row>
    <row r="158" spans="1:8" ht="16.2" thickBot="1" x14ac:dyDescent="0.35">
      <c r="A158" s="9">
        <v>101</v>
      </c>
      <c r="B158" s="10" t="s">
        <v>163</v>
      </c>
      <c r="C158" s="11" t="s">
        <v>348</v>
      </c>
      <c r="D158" s="11"/>
      <c r="E158" s="11"/>
      <c r="F158" s="11">
        <v>1</v>
      </c>
      <c r="G158" s="13"/>
      <c r="H158" s="13"/>
    </row>
    <row r="159" spans="1:8" ht="16.2" thickBot="1" x14ac:dyDescent="0.35">
      <c r="A159" s="9">
        <v>190</v>
      </c>
      <c r="B159" s="10" t="s">
        <v>243</v>
      </c>
      <c r="C159" s="11" t="s">
        <v>348</v>
      </c>
      <c r="D159" s="11"/>
      <c r="E159" s="11">
        <v>1</v>
      </c>
      <c r="F159" s="11"/>
    </row>
    <row r="160" spans="1:8" ht="16.2" thickBot="1" x14ac:dyDescent="0.35">
      <c r="A160" s="9">
        <v>305</v>
      </c>
      <c r="B160" s="10" t="s">
        <v>255</v>
      </c>
      <c r="C160" s="11" t="s">
        <v>348</v>
      </c>
      <c r="D160" s="11"/>
      <c r="E160" s="11"/>
      <c r="F160" s="11">
        <v>1</v>
      </c>
      <c r="G160" s="12"/>
      <c r="H160" s="12"/>
    </row>
    <row r="161" spans="1:8" ht="16.2" thickBot="1" x14ac:dyDescent="0.35">
      <c r="A161" s="9">
        <v>265</v>
      </c>
      <c r="B161" s="10" t="s">
        <v>256</v>
      </c>
      <c r="C161" s="11" t="s">
        <v>348</v>
      </c>
      <c r="D161" s="11"/>
      <c r="E161" s="11"/>
      <c r="F161" s="11">
        <v>1</v>
      </c>
      <c r="G161" s="13"/>
      <c r="H161" s="13"/>
    </row>
    <row r="162" spans="1:8" ht="16.2" thickBot="1" x14ac:dyDescent="0.35">
      <c r="A162" s="9">
        <v>300</v>
      </c>
      <c r="B162" s="10" t="s">
        <v>264</v>
      </c>
      <c r="C162" s="11" t="s">
        <v>348</v>
      </c>
      <c r="D162" s="11"/>
      <c r="E162" s="11"/>
      <c r="F162" s="11">
        <v>1</v>
      </c>
      <c r="G162" s="13"/>
      <c r="H162" s="13"/>
    </row>
    <row r="163" spans="1:8" ht="16.2" thickBot="1" x14ac:dyDescent="0.35">
      <c r="A163" s="9">
        <v>305</v>
      </c>
      <c r="B163" s="10" t="s">
        <v>271</v>
      </c>
      <c r="C163" s="11" t="s">
        <v>348</v>
      </c>
      <c r="D163" s="11"/>
      <c r="E163" s="11"/>
      <c r="F163" s="11">
        <v>1</v>
      </c>
      <c r="G163" s="13"/>
      <c r="H163" s="13"/>
    </row>
    <row r="164" spans="1:8" ht="16.2" thickBot="1" x14ac:dyDescent="0.35">
      <c r="A164" s="9">
        <v>284</v>
      </c>
      <c r="B164" s="10" t="s">
        <v>297</v>
      </c>
      <c r="C164" s="11" t="s">
        <v>348</v>
      </c>
      <c r="D164" s="11"/>
      <c r="E164" s="11"/>
      <c r="F164" s="11">
        <v>1</v>
      </c>
      <c r="G164" s="12"/>
      <c r="H164" s="12"/>
    </row>
    <row r="165" spans="1:8" ht="16.2" thickBot="1" x14ac:dyDescent="0.35">
      <c r="A165" s="9">
        <v>198</v>
      </c>
      <c r="B165" s="10" t="s">
        <v>299</v>
      </c>
      <c r="C165" s="11" t="s">
        <v>348</v>
      </c>
      <c r="D165" s="11"/>
      <c r="E165" s="11"/>
      <c r="F165" s="11">
        <v>1</v>
      </c>
      <c r="G165" s="12"/>
    </row>
    <row r="166" spans="1:8" ht="16.2" thickBot="1" x14ac:dyDescent="0.35">
      <c r="A166" s="9">
        <v>275</v>
      </c>
      <c r="B166" s="10" t="s">
        <v>301</v>
      </c>
      <c r="C166" s="11" t="s">
        <v>348</v>
      </c>
      <c r="D166" s="11"/>
      <c r="E166" s="11"/>
      <c r="F166" s="11">
        <v>1</v>
      </c>
      <c r="G166" s="12"/>
    </row>
    <row r="167" spans="1:8" ht="16.2" thickBot="1" x14ac:dyDescent="0.35">
      <c r="A167" s="9">
        <v>293</v>
      </c>
      <c r="B167" s="10" t="s">
        <v>304</v>
      </c>
      <c r="C167" s="11" t="s">
        <v>348</v>
      </c>
      <c r="D167" s="11"/>
      <c r="E167" s="11"/>
      <c r="F167" s="11">
        <v>1</v>
      </c>
      <c r="G167" s="12"/>
    </row>
    <row r="168" spans="1:8" ht="16.2" thickBot="1" x14ac:dyDescent="0.35">
      <c r="A168" s="9">
        <v>184</v>
      </c>
      <c r="B168" s="10" t="s">
        <v>314</v>
      </c>
      <c r="C168" s="11" t="s">
        <v>348</v>
      </c>
      <c r="D168" s="11"/>
      <c r="E168" s="11"/>
      <c r="F168" s="11">
        <v>1</v>
      </c>
      <c r="G168" s="12"/>
    </row>
    <row r="169" spans="1:8" ht="16.2" thickBot="1" x14ac:dyDescent="0.35">
      <c r="A169" s="9">
        <v>68</v>
      </c>
      <c r="B169" s="10" t="s">
        <v>319</v>
      </c>
      <c r="C169" s="11" t="s">
        <v>348</v>
      </c>
      <c r="D169" s="11"/>
      <c r="E169" s="11"/>
      <c r="F169" s="11">
        <v>1</v>
      </c>
      <c r="G169" s="12"/>
      <c r="H169" s="12"/>
    </row>
    <row r="170" spans="1:8" ht="16.2" thickBot="1" x14ac:dyDescent="0.35">
      <c r="A170" s="9">
        <v>183</v>
      </c>
      <c r="B170" s="10" t="s">
        <v>331</v>
      </c>
      <c r="C170" s="11" t="s">
        <v>348</v>
      </c>
      <c r="D170" s="11"/>
      <c r="E170" s="11">
        <v>1</v>
      </c>
      <c r="F170" s="11"/>
      <c r="G170" s="12"/>
      <c r="H170" s="12"/>
    </row>
    <row r="171" spans="1:8" ht="16.2" thickBot="1" x14ac:dyDescent="0.35">
      <c r="A171" s="9">
        <v>157</v>
      </c>
      <c r="B171" s="10" t="s">
        <v>332</v>
      </c>
      <c r="C171" s="11" t="s">
        <v>348</v>
      </c>
      <c r="D171" s="11"/>
      <c r="E171" s="11" t="s">
        <v>3753</v>
      </c>
      <c r="F171" s="11"/>
      <c r="G171" s="12"/>
    </row>
    <row r="172" spans="1:8" ht="16.2" thickBot="1" x14ac:dyDescent="0.35">
      <c r="A172" s="9">
        <v>150</v>
      </c>
      <c r="B172" s="10" t="s">
        <v>335</v>
      </c>
      <c r="C172" s="11" t="s">
        <v>348</v>
      </c>
      <c r="D172" s="11"/>
      <c r="E172" s="11"/>
      <c r="F172" s="11">
        <v>1</v>
      </c>
      <c r="G172" s="12"/>
      <c r="H172" s="12"/>
    </row>
    <row r="173" spans="1:8" ht="16.2" thickBot="1" x14ac:dyDescent="0.35">
      <c r="A173" s="9">
        <v>284</v>
      </c>
      <c r="B173" s="10" t="s">
        <v>165</v>
      </c>
      <c r="C173" s="11" t="s">
        <v>3754</v>
      </c>
      <c r="D173" s="11"/>
      <c r="E173" s="11"/>
      <c r="F173" s="11">
        <v>1</v>
      </c>
      <c r="G173" s="13"/>
    </row>
    <row r="174" spans="1:8" ht="16.2" thickBot="1" x14ac:dyDescent="0.35">
      <c r="A174" s="9">
        <v>305</v>
      </c>
      <c r="B174" s="10" t="s">
        <v>0</v>
      </c>
      <c r="C174" s="11" t="s">
        <v>3755</v>
      </c>
      <c r="D174" s="11"/>
      <c r="E174" s="11"/>
      <c r="F174" s="11"/>
      <c r="G174" s="12"/>
      <c r="H174" s="12"/>
    </row>
    <row r="175" spans="1:8" ht="16.2" thickBot="1" x14ac:dyDescent="0.35">
      <c r="A175" s="9">
        <v>138</v>
      </c>
      <c r="B175" s="10" t="s">
        <v>12</v>
      </c>
      <c r="C175" s="11" t="s">
        <v>3755</v>
      </c>
      <c r="D175" s="11"/>
      <c r="E175" s="11"/>
      <c r="F175" s="11">
        <v>1</v>
      </c>
    </row>
    <row r="176" spans="1:8" ht="16.2" thickBot="1" x14ac:dyDescent="0.35">
      <c r="A176" s="9">
        <v>120</v>
      </c>
      <c r="B176" s="10" t="s">
        <v>17</v>
      </c>
      <c r="C176" s="11" t="s">
        <v>3755</v>
      </c>
      <c r="D176" s="11"/>
      <c r="E176" s="11">
        <v>1</v>
      </c>
      <c r="F176" s="11"/>
      <c r="G176" s="12"/>
      <c r="H176" s="12"/>
    </row>
    <row r="177" spans="1:8" ht="16.2" thickBot="1" x14ac:dyDescent="0.35">
      <c r="A177" s="9">
        <v>128</v>
      </c>
      <c r="B177" s="10" t="s">
        <v>20</v>
      </c>
      <c r="C177" s="11" t="s">
        <v>3755</v>
      </c>
      <c r="D177" s="11"/>
      <c r="E177" s="11">
        <v>1</v>
      </c>
      <c r="F177" s="11"/>
      <c r="G177" s="13"/>
    </row>
    <row r="178" spans="1:8" ht="16.2" thickBot="1" x14ac:dyDescent="0.35">
      <c r="A178" s="9">
        <v>90</v>
      </c>
      <c r="B178" s="10" t="s">
        <v>21</v>
      </c>
      <c r="C178" s="11" t="s">
        <v>3755</v>
      </c>
      <c r="D178" s="11"/>
      <c r="E178" s="11"/>
      <c r="F178" s="11">
        <v>1</v>
      </c>
      <c r="G178" s="13"/>
    </row>
    <row r="179" spans="1:8" ht="16.2" thickBot="1" x14ac:dyDescent="0.35">
      <c r="A179" s="9">
        <v>79</v>
      </c>
      <c r="B179" s="10" t="s">
        <v>36</v>
      </c>
      <c r="C179" s="11" t="s">
        <v>3755</v>
      </c>
      <c r="D179" s="11"/>
      <c r="E179" s="11"/>
      <c r="F179" s="11">
        <v>1</v>
      </c>
      <c r="G179" s="12"/>
      <c r="H179" s="12"/>
    </row>
    <row r="180" spans="1:8" ht="16.2" thickBot="1" x14ac:dyDescent="0.35">
      <c r="A180" s="9">
        <v>157</v>
      </c>
      <c r="B180" s="10" t="s">
        <v>40</v>
      </c>
      <c r="C180" s="11" t="s">
        <v>3755</v>
      </c>
      <c r="D180" s="11"/>
      <c r="E180" s="11">
        <v>1</v>
      </c>
      <c r="F180" s="11"/>
      <c r="G180" s="13"/>
    </row>
    <row r="181" spans="1:8" ht="16.2" thickBot="1" x14ac:dyDescent="0.35">
      <c r="A181" s="9">
        <v>96</v>
      </c>
      <c r="B181" s="10" t="s">
        <v>41</v>
      </c>
      <c r="C181" s="11" t="s">
        <v>3755</v>
      </c>
      <c r="D181" s="11"/>
      <c r="E181" s="11">
        <v>1</v>
      </c>
      <c r="F181" s="11"/>
      <c r="G181" s="13"/>
    </row>
    <row r="182" spans="1:8" ht="16.2" thickBot="1" x14ac:dyDescent="0.35">
      <c r="A182" s="9">
        <v>245</v>
      </c>
      <c r="B182" s="10" t="s">
        <v>47</v>
      </c>
      <c r="C182" s="11" t="s">
        <v>3755</v>
      </c>
      <c r="D182" s="11"/>
      <c r="E182" s="11"/>
      <c r="F182" s="11">
        <v>1</v>
      </c>
    </row>
    <row r="183" spans="1:8" ht="16.2" thickBot="1" x14ac:dyDescent="0.35">
      <c r="A183" s="9">
        <v>305</v>
      </c>
      <c r="B183" s="10" t="s">
        <v>50</v>
      </c>
      <c r="C183" s="11" t="s">
        <v>3755</v>
      </c>
      <c r="D183" s="11"/>
      <c r="E183" s="11">
        <v>1</v>
      </c>
      <c r="F183" s="11"/>
      <c r="G183" s="12"/>
      <c r="H183" s="12"/>
    </row>
    <row r="184" spans="1:8" ht="16.2" thickBot="1" x14ac:dyDescent="0.35">
      <c r="A184" s="9">
        <v>267</v>
      </c>
      <c r="B184" s="10" t="s">
        <v>53</v>
      </c>
      <c r="C184" s="11" t="s">
        <v>3755</v>
      </c>
      <c r="D184" s="11"/>
      <c r="E184" s="11">
        <v>1</v>
      </c>
      <c r="F184" s="11"/>
      <c r="G184" s="12"/>
      <c r="H184" s="12"/>
    </row>
    <row r="185" spans="1:8" ht="16.2" thickBot="1" x14ac:dyDescent="0.35">
      <c r="A185" s="9">
        <v>305</v>
      </c>
      <c r="B185" s="10" t="s">
        <v>54</v>
      </c>
      <c r="C185" s="11" t="s">
        <v>3755</v>
      </c>
      <c r="D185" s="11"/>
      <c r="E185" s="11">
        <v>1</v>
      </c>
      <c r="F185" s="11"/>
      <c r="G185" s="12"/>
      <c r="H185" s="12"/>
    </row>
    <row r="186" spans="1:8" ht="16.2" thickBot="1" x14ac:dyDescent="0.35">
      <c r="A186" s="9">
        <v>122</v>
      </c>
      <c r="B186" s="10" t="s">
        <v>55</v>
      </c>
      <c r="C186" s="11" t="s">
        <v>3755</v>
      </c>
      <c r="D186" s="11"/>
      <c r="E186" s="11"/>
      <c r="F186" s="11">
        <v>1</v>
      </c>
      <c r="G186" s="13"/>
      <c r="H186" s="13"/>
    </row>
    <row r="187" spans="1:8" ht="16.2" thickBot="1" x14ac:dyDescent="0.35">
      <c r="A187" s="9">
        <v>70</v>
      </c>
      <c r="B187" s="10" t="s">
        <v>61</v>
      </c>
      <c r="C187" s="11" t="s">
        <v>3755</v>
      </c>
      <c r="D187" s="11"/>
      <c r="E187" s="11"/>
      <c r="F187" s="11">
        <v>1</v>
      </c>
      <c r="G187" s="12"/>
      <c r="H187" s="12"/>
    </row>
    <row r="188" spans="1:8" ht="16.2" thickBot="1" x14ac:dyDescent="0.35">
      <c r="A188" s="9">
        <v>182</v>
      </c>
      <c r="B188" s="10" t="s">
        <v>64</v>
      </c>
      <c r="C188" s="11" t="s">
        <v>3755</v>
      </c>
      <c r="D188" s="11"/>
      <c r="E188" s="11"/>
      <c r="F188" s="11">
        <v>1</v>
      </c>
      <c r="G188" s="13"/>
      <c r="H188" s="13"/>
    </row>
    <row r="189" spans="1:8" ht="16.2" thickBot="1" x14ac:dyDescent="0.35">
      <c r="A189" s="9">
        <v>305</v>
      </c>
      <c r="B189" s="10" t="s">
        <v>77</v>
      </c>
      <c r="C189" s="11" t="s">
        <v>3755</v>
      </c>
      <c r="D189" s="11"/>
      <c r="E189" s="11"/>
      <c r="F189" s="11">
        <v>1</v>
      </c>
      <c r="G189" s="13"/>
      <c r="H189" s="13"/>
    </row>
    <row r="190" spans="1:8" ht="16.2" thickBot="1" x14ac:dyDescent="0.35">
      <c r="A190" s="9">
        <v>284</v>
      </c>
      <c r="B190" s="10" t="s">
        <v>82</v>
      </c>
      <c r="C190" s="11" t="s">
        <v>3755</v>
      </c>
      <c r="D190" s="11"/>
      <c r="E190" s="11"/>
      <c r="F190" s="11">
        <v>1</v>
      </c>
      <c r="G190" s="13"/>
      <c r="H190" s="13"/>
    </row>
    <row r="191" spans="1:8" ht="16.2" thickBot="1" x14ac:dyDescent="0.35">
      <c r="A191" s="9">
        <v>81</v>
      </c>
      <c r="B191" s="10" t="s">
        <v>95</v>
      </c>
      <c r="C191" s="11" t="s">
        <v>3755</v>
      </c>
      <c r="D191" s="11"/>
      <c r="E191" s="11"/>
      <c r="F191" s="11">
        <v>1</v>
      </c>
      <c r="G191" s="12"/>
      <c r="H191" s="12"/>
    </row>
    <row r="192" spans="1:8" ht="16.2" thickBot="1" x14ac:dyDescent="0.35">
      <c r="A192" s="9">
        <v>305</v>
      </c>
      <c r="B192" s="10" t="s">
        <v>96</v>
      </c>
      <c r="C192" s="11" t="s">
        <v>3755</v>
      </c>
      <c r="D192" s="11"/>
      <c r="E192" s="11"/>
      <c r="F192" s="11">
        <v>1</v>
      </c>
      <c r="G192" s="12"/>
      <c r="H192" s="13"/>
    </row>
    <row r="193" spans="1:9" ht="16.2" thickBot="1" x14ac:dyDescent="0.35">
      <c r="A193" s="9">
        <v>149</v>
      </c>
      <c r="B193" s="10" t="s">
        <v>104</v>
      </c>
      <c r="C193" s="11" t="s">
        <v>3755</v>
      </c>
      <c r="D193" s="11"/>
      <c r="E193" s="11"/>
      <c r="F193" s="11">
        <v>1</v>
      </c>
      <c r="G193" s="12"/>
      <c r="H193" s="13"/>
    </row>
    <row r="194" spans="1:9" ht="16.2" thickBot="1" x14ac:dyDescent="0.35">
      <c r="A194" s="9">
        <v>280</v>
      </c>
      <c r="B194" s="10" t="s">
        <v>108</v>
      </c>
      <c r="C194" s="11" t="s">
        <v>3755</v>
      </c>
      <c r="D194" s="11"/>
      <c r="E194" s="11">
        <v>1</v>
      </c>
      <c r="F194" s="11"/>
      <c r="G194" s="12" t="s">
        <v>3756</v>
      </c>
    </row>
    <row r="195" spans="1:9" ht="16.2" thickBot="1" x14ac:dyDescent="0.35">
      <c r="A195" s="9">
        <v>244</v>
      </c>
      <c r="B195" s="10" t="s">
        <v>109</v>
      </c>
      <c r="C195" s="11" t="s">
        <v>3755</v>
      </c>
      <c r="D195" s="11"/>
      <c r="E195" s="11">
        <v>1</v>
      </c>
      <c r="F195" s="11"/>
      <c r="G195" s="12"/>
      <c r="H195" s="12"/>
    </row>
    <row r="196" spans="1:9" ht="16.2" thickBot="1" x14ac:dyDescent="0.35">
      <c r="A196" s="9">
        <v>157</v>
      </c>
      <c r="B196" s="10" t="s">
        <v>114</v>
      </c>
      <c r="C196" s="11" t="s">
        <v>3755</v>
      </c>
      <c r="D196" s="11"/>
      <c r="E196" s="11">
        <v>1</v>
      </c>
      <c r="F196" s="11"/>
      <c r="G196" s="13"/>
      <c r="H196" s="13"/>
    </row>
    <row r="197" spans="1:9" ht="16.2" thickBot="1" x14ac:dyDescent="0.35">
      <c r="A197" s="9">
        <v>81</v>
      </c>
      <c r="B197" s="10" t="s">
        <v>119</v>
      </c>
      <c r="C197" s="11" t="s">
        <v>3755</v>
      </c>
      <c r="D197" s="11"/>
      <c r="E197" s="11"/>
      <c r="F197" s="11">
        <v>1</v>
      </c>
      <c r="G197" s="13"/>
      <c r="H197" s="13"/>
    </row>
    <row r="198" spans="1:9" ht="16.2" thickBot="1" x14ac:dyDescent="0.35">
      <c r="A198" s="9">
        <v>178</v>
      </c>
      <c r="B198" s="10" t="s">
        <v>131</v>
      </c>
      <c r="C198" s="11" t="s">
        <v>3755</v>
      </c>
      <c r="D198" s="11"/>
      <c r="E198" s="11"/>
      <c r="F198" s="11">
        <v>1</v>
      </c>
      <c r="G198" s="13"/>
    </row>
    <row r="199" spans="1:9" ht="16.2" thickBot="1" x14ac:dyDescent="0.35">
      <c r="A199" s="9">
        <v>274</v>
      </c>
      <c r="B199" s="10" t="s">
        <v>148</v>
      </c>
      <c r="C199" s="11" t="s">
        <v>3755</v>
      </c>
      <c r="D199" s="11"/>
      <c r="E199" s="11">
        <v>1</v>
      </c>
      <c r="F199" s="11"/>
      <c r="G199" s="12"/>
      <c r="H199" s="12"/>
    </row>
    <row r="200" spans="1:9" ht="16.2" thickBot="1" x14ac:dyDescent="0.35">
      <c r="A200" s="9">
        <v>27</v>
      </c>
      <c r="B200" s="10" t="s">
        <v>154</v>
      </c>
      <c r="C200" s="11" t="s">
        <v>3755</v>
      </c>
      <c r="D200" s="11"/>
      <c r="E200" s="11"/>
      <c r="F200" s="11">
        <v>1</v>
      </c>
      <c r="G200" s="13"/>
    </row>
    <row r="201" spans="1:9" ht="16.2" thickBot="1" x14ac:dyDescent="0.35">
      <c r="A201" s="9">
        <v>284</v>
      </c>
      <c r="B201" s="10" t="s">
        <v>158</v>
      </c>
      <c r="C201" s="11" t="s">
        <v>3755</v>
      </c>
      <c r="D201" s="11"/>
      <c r="E201" s="11" t="s">
        <v>3757</v>
      </c>
      <c r="F201" s="11"/>
      <c r="G201" s="12"/>
      <c r="H201" s="12"/>
      <c r="I201">
        <v>1223</v>
      </c>
    </row>
    <row r="202" spans="1:9" ht="16.2" thickBot="1" x14ac:dyDescent="0.35">
      <c r="A202" s="9">
        <v>34</v>
      </c>
      <c r="B202" s="10" t="s">
        <v>161</v>
      </c>
      <c r="C202" s="11" t="s">
        <v>3755</v>
      </c>
      <c r="D202" s="11"/>
      <c r="E202" s="11" t="s">
        <v>3758</v>
      </c>
      <c r="F202" s="11"/>
      <c r="G202" s="13"/>
      <c r="H202" s="13"/>
    </row>
    <row r="203" spans="1:9" ht="16.2" thickBot="1" x14ac:dyDescent="0.35">
      <c r="A203" s="9">
        <v>251</v>
      </c>
      <c r="B203" s="10" t="s">
        <v>162</v>
      </c>
      <c r="C203" s="11" t="s">
        <v>3755</v>
      </c>
      <c r="D203" s="11"/>
      <c r="E203" s="11"/>
      <c r="F203" s="11">
        <v>1</v>
      </c>
      <c r="G203" s="13"/>
      <c r="H203" s="13"/>
    </row>
    <row r="204" spans="1:9" ht="16.2" thickBot="1" x14ac:dyDescent="0.35">
      <c r="A204" s="9">
        <v>265</v>
      </c>
      <c r="B204" s="10" t="s">
        <v>164</v>
      </c>
      <c r="C204" s="11" t="s">
        <v>3755</v>
      </c>
      <c r="D204" s="11"/>
      <c r="E204" s="11"/>
      <c r="F204" s="11">
        <v>1</v>
      </c>
      <c r="G204" s="13"/>
      <c r="H204" s="13"/>
    </row>
    <row r="205" spans="1:9" ht="16.2" thickBot="1" x14ac:dyDescent="0.35">
      <c r="A205" s="9">
        <v>305</v>
      </c>
      <c r="B205" s="10" t="s">
        <v>170</v>
      </c>
      <c r="C205" s="11" t="s">
        <v>3755</v>
      </c>
      <c r="D205" s="11"/>
      <c r="E205" s="11"/>
      <c r="F205" s="11">
        <v>1</v>
      </c>
      <c r="G205" s="13"/>
      <c r="H205" s="13"/>
    </row>
    <row r="206" spans="1:9" ht="16.2" thickBot="1" x14ac:dyDescent="0.35">
      <c r="A206" s="9">
        <v>67</v>
      </c>
      <c r="B206" s="10" t="s">
        <v>173</v>
      </c>
      <c r="C206" s="11" t="s">
        <v>3755</v>
      </c>
      <c r="D206" s="11"/>
      <c r="E206" s="11">
        <v>1</v>
      </c>
      <c r="F206" s="11"/>
      <c r="G206" s="13"/>
      <c r="H206" s="13"/>
    </row>
    <row r="207" spans="1:9" ht="16.2" thickBot="1" x14ac:dyDescent="0.35">
      <c r="A207" s="9">
        <v>284</v>
      </c>
      <c r="B207" s="10" t="s">
        <v>174</v>
      </c>
      <c r="C207" s="11" t="s">
        <v>3755</v>
      </c>
      <c r="D207" s="11"/>
      <c r="E207" s="11">
        <v>1</v>
      </c>
      <c r="F207" s="11"/>
      <c r="G207" s="12"/>
    </row>
    <row r="208" spans="1:9" ht="16.2" thickBot="1" x14ac:dyDescent="0.35">
      <c r="A208" s="9">
        <v>146</v>
      </c>
      <c r="B208" s="10" t="s">
        <v>175</v>
      </c>
      <c r="C208" s="11" t="s">
        <v>3755</v>
      </c>
      <c r="D208" s="11"/>
      <c r="E208" s="11"/>
      <c r="F208" s="11">
        <v>1</v>
      </c>
      <c r="G208" s="12"/>
      <c r="H208" s="12"/>
    </row>
    <row r="209" spans="1:8" ht="16.2" thickBot="1" x14ac:dyDescent="0.35">
      <c r="A209" s="9">
        <v>144</v>
      </c>
      <c r="B209" s="10" t="s">
        <v>176</v>
      </c>
      <c r="C209" s="11" t="s">
        <v>3755</v>
      </c>
      <c r="D209" s="11"/>
      <c r="E209" s="11"/>
      <c r="F209" s="11">
        <v>1</v>
      </c>
      <c r="G209" s="13"/>
      <c r="H209" s="13"/>
    </row>
    <row r="210" spans="1:8" ht="16.2" thickBot="1" x14ac:dyDescent="0.35">
      <c r="A210" s="9">
        <v>206</v>
      </c>
      <c r="B210" s="10" t="s">
        <v>178</v>
      </c>
      <c r="C210" s="11" t="s">
        <v>3755</v>
      </c>
      <c r="D210" s="11"/>
      <c r="E210" s="11"/>
      <c r="F210" s="11">
        <v>1</v>
      </c>
      <c r="G210" s="13"/>
      <c r="H210" s="13"/>
    </row>
    <row r="211" spans="1:8" ht="16.2" thickBot="1" x14ac:dyDescent="0.35">
      <c r="A211" s="9">
        <v>238</v>
      </c>
      <c r="B211" s="14" t="s">
        <v>200</v>
      </c>
      <c r="C211" s="15" t="s">
        <v>3755</v>
      </c>
      <c r="D211" s="15"/>
      <c r="E211" s="15"/>
      <c r="F211" s="15" t="s">
        <v>3759</v>
      </c>
      <c r="G211" s="16"/>
      <c r="H211" s="16"/>
    </row>
    <row r="212" spans="1:8" ht="16.2" thickBot="1" x14ac:dyDescent="0.35">
      <c r="A212" s="9">
        <v>179</v>
      </c>
      <c r="B212" s="10" t="s">
        <v>206</v>
      </c>
      <c r="C212" s="11" t="s">
        <v>3755</v>
      </c>
      <c r="D212" s="11"/>
      <c r="E212" s="11">
        <v>1</v>
      </c>
      <c r="F212" s="11"/>
      <c r="G212" s="12"/>
      <c r="H212" s="12"/>
    </row>
    <row r="213" spans="1:8" ht="16.2" thickBot="1" x14ac:dyDescent="0.35">
      <c r="A213" s="9">
        <v>305</v>
      </c>
      <c r="B213" s="10" t="s">
        <v>209</v>
      </c>
      <c r="C213" s="11" t="s">
        <v>3755</v>
      </c>
      <c r="D213" s="11"/>
      <c r="E213" s="11">
        <v>1</v>
      </c>
      <c r="F213" s="11"/>
      <c r="G213" s="13"/>
      <c r="H213" s="13"/>
    </row>
    <row r="214" spans="1:8" ht="16.2" thickBot="1" x14ac:dyDescent="0.35">
      <c r="A214" s="9">
        <v>224</v>
      </c>
      <c r="B214" s="10" t="s">
        <v>213</v>
      </c>
      <c r="C214" s="11" t="s">
        <v>3755</v>
      </c>
      <c r="D214" s="11"/>
      <c r="E214" s="11"/>
      <c r="F214" s="11">
        <v>1</v>
      </c>
    </row>
    <row r="215" spans="1:8" ht="16.2" thickBot="1" x14ac:dyDescent="0.35">
      <c r="A215" s="9">
        <v>229</v>
      </c>
      <c r="B215" s="10" t="s">
        <v>222</v>
      </c>
      <c r="C215" s="11" t="s">
        <v>3755</v>
      </c>
      <c r="D215" s="11"/>
      <c r="E215" s="11">
        <v>1</v>
      </c>
      <c r="F215" s="11"/>
      <c r="G215" s="12"/>
    </row>
    <row r="216" spans="1:8" ht="16.2" thickBot="1" x14ac:dyDescent="0.35">
      <c r="A216" s="9">
        <v>299</v>
      </c>
      <c r="B216" s="10" t="s">
        <v>224</v>
      </c>
      <c r="C216" s="11" t="s">
        <v>3755</v>
      </c>
      <c r="D216" s="11"/>
      <c r="E216" s="11">
        <v>1</v>
      </c>
      <c r="F216" s="11"/>
      <c r="G216" s="12"/>
      <c r="H216" s="12"/>
    </row>
    <row r="217" spans="1:8" ht="16.2" thickBot="1" x14ac:dyDescent="0.35">
      <c r="A217" s="9">
        <v>105</v>
      </c>
      <c r="B217" s="10" t="s">
        <v>241</v>
      </c>
      <c r="C217" s="11" t="s">
        <v>3755</v>
      </c>
      <c r="D217" s="11"/>
      <c r="E217" s="11"/>
      <c r="F217" s="11">
        <v>1</v>
      </c>
      <c r="G217" s="12"/>
      <c r="H217" s="12"/>
    </row>
    <row r="218" spans="1:8" ht="16.2" thickBot="1" x14ac:dyDescent="0.35">
      <c r="A218" s="9">
        <v>305</v>
      </c>
      <c r="B218" s="10" t="s">
        <v>262</v>
      </c>
      <c r="C218" s="11" t="s">
        <v>3755</v>
      </c>
      <c r="D218" s="11"/>
      <c r="E218" s="11"/>
      <c r="F218" s="11">
        <v>1</v>
      </c>
      <c r="G218" s="13"/>
      <c r="H218" s="13"/>
    </row>
    <row r="219" spans="1:8" ht="16.2" thickBot="1" x14ac:dyDescent="0.35">
      <c r="A219" s="9">
        <v>272</v>
      </c>
      <c r="B219" s="10" t="s">
        <v>273</v>
      </c>
      <c r="C219" s="11" t="s">
        <v>3755</v>
      </c>
      <c r="D219" s="11"/>
      <c r="E219" s="11">
        <v>1</v>
      </c>
      <c r="F219" s="11"/>
      <c r="G219" s="13"/>
      <c r="H219" s="13"/>
    </row>
    <row r="220" spans="1:8" ht="16.2" thickBot="1" x14ac:dyDescent="0.35">
      <c r="A220" s="9">
        <v>209</v>
      </c>
      <c r="B220" s="10" t="s">
        <v>278</v>
      </c>
      <c r="C220" s="11" t="s">
        <v>3755</v>
      </c>
      <c r="D220" s="11"/>
      <c r="E220" s="11"/>
      <c r="F220" s="11">
        <v>1</v>
      </c>
    </row>
    <row r="221" spans="1:8" ht="16.2" thickBot="1" x14ac:dyDescent="0.35">
      <c r="A221" s="9">
        <v>227</v>
      </c>
      <c r="B221" s="10" t="s">
        <v>279</v>
      </c>
      <c r="C221" s="11" t="s">
        <v>3755</v>
      </c>
      <c r="D221" s="11"/>
      <c r="E221" s="11">
        <v>1</v>
      </c>
      <c r="F221" s="11"/>
    </row>
    <row r="222" spans="1:8" ht="16.2" thickBot="1" x14ac:dyDescent="0.35">
      <c r="A222" s="9">
        <v>305</v>
      </c>
      <c r="B222" s="10" t="s">
        <v>294</v>
      </c>
      <c r="C222" s="11" t="s">
        <v>3755</v>
      </c>
      <c r="D222" s="11"/>
      <c r="E222" s="11"/>
      <c r="F222" s="11">
        <v>1</v>
      </c>
      <c r="G222" s="12"/>
      <c r="H222" s="12"/>
    </row>
    <row r="223" spans="1:8" ht="16.2" thickBot="1" x14ac:dyDescent="0.35">
      <c r="A223" s="9">
        <v>283</v>
      </c>
      <c r="B223" s="10" t="s">
        <v>298</v>
      </c>
      <c r="C223" s="11" t="s">
        <v>3755</v>
      </c>
      <c r="D223" s="11"/>
      <c r="E223" s="11">
        <v>1</v>
      </c>
      <c r="F223" s="11"/>
      <c r="G223" s="13"/>
      <c r="H223" s="13"/>
    </row>
    <row r="224" spans="1:8" ht="16.2" thickBot="1" x14ac:dyDescent="0.35">
      <c r="A224" s="9">
        <v>61</v>
      </c>
      <c r="B224" s="10" t="s">
        <v>313</v>
      </c>
      <c r="C224" s="11" t="s">
        <v>3755</v>
      </c>
      <c r="D224" s="11"/>
      <c r="E224" s="11">
        <v>1</v>
      </c>
      <c r="F224" s="11"/>
      <c r="H224" t="s">
        <v>3760</v>
      </c>
    </row>
    <row r="225" spans="1:9" ht="16.2" thickBot="1" x14ac:dyDescent="0.35">
      <c r="A225" s="9">
        <v>197</v>
      </c>
      <c r="B225" s="10" t="s">
        <v>318</v>
      </c>
      <c r="C225" s="11" t="s">
        <v>3755</v>
      </c>
      <c r="D225" s="11"/>
      <c r="E225" s="11">
        <v>1</v>
      </c>
      <c r="F225" s="11"/>
      <c r="G225" s="12"/>
      <c r="H225" s="12"/>
    </row>
    <row r="226" spans="1:9" ht="16.2" thickBot="1" x14ac:dyDescent="0.35">
      <c r="A226" s="9">
        <v>109</v>
      </c>
      <c r="B226" s="10" t="s">
        <v>321</v>
      </c>
      <c r="C226" s="11" t="s">
        <v>3755</v>
      </c>
      <c r="D226" s="11"/>
      <c r="E226" s="11"/>
      <c r="F226" s="11">
        <v>1</v>
      </c>
      <c r="G226" s="13"/>
      <c r="H226" s="13"/>
    </row>
    <row r="227" spans="1:9" ht="16.2" thickBot="1" x14ac:dyDescent="0.35">
      <c r="A227" s="9">
        <v>303</v>
      </c>
      <c r="B227" s="10" t="s">
        <v>322</v>
      </c>
      <c r="C227" s="11" t="s">
        <v>3755</v>
      </c>
      <c r="D227" s="11"/>
      <c r="E227" s="11" t="s">
        <v>3761</v>
      </c>
      <c r="F227" s="11"/>
      <c r="G227" s="13"/>
      <c r="H227" s="13"/>
    </row>
    <row r="228" spans="1:9" ht="16.2" thickBot="1" x14ac:dyDescent="0.35">
      <c r="A228" s="9">
        <v>234</v>
      </c>
      <c r="B228" s="10" t="s">
        <v>323</v>
      </c>
      <c r="C228" s="11" t="s">
        <v>3755</v>
      </c>
      <c r="D228" s="11"/>
      <c r="E228" s="11"/>
      <c r="F228" s="11">
        <v>1</v>
      </c>
      <c r="G228" s="12"/>
      <c r="H228" s="12" t="s">
        <v>3762</v>
      </c>
    </row>
    <row r="229" spans="1:9" ht="16.2" thickBot="1" x14ac:dyDescent="0.35">
      <c r="A229" s="9">
        <v>92</v>
      </c>
      <c r="B229" s="10" t="s">
        <v>1</v>
      </c>
      <c r="C229" s="11" t="s">
        <v>338</v>
      </c>
      <c r="D229" s="11"/>
      <c r="E229" s="11" t="s">
        <v>379</v>
      </c>
      <c r="F229" s="11" t="s">
        <v>379</v>
      </c>
      <c r="G229" s="12" t="s">
        <v>3769</v>
      </c>
      <c r="H229" s="12"/>
      <c r="I229" s="12"/>
    </row>
    <row r="230" spans="1:9" ht="16.2" thickBot="1" x14ac:dyDescent="0.35">
      <c r="A230" s="9">
        <v>130</v>
      </c>
      <c r="B230" s="10" t="s">
        <v>2</v>
      </c>
      <c r="C230" s="11" t="s">
        <v>338</v>
      </c>
      <c r="D230" s="11"/>
      <c r="E230" s="11"/>
      <c r="F230" s="11" t="s">
        <v>379</v>
      </c>
      <c r="G230" s="12" t="s">
        <v>3771</v>
      </c>
      <c r="H230" t="s">
        <v>3716</v>
      </c>
    </row>
    <row r="231" spans="1:9" ht="16.2" thickBot="1" x14ac:dyDescent="0.35">
      <c r="A231" s="9">
        <v>62</v>
      </c>
      <c r="B231" s="10" t="s">
        <v>11</v>
      </c>
      <c r="C231" s="11" t="s">
        <v>338</v>
      </c>
      <c r="D231" s="11"/>
      <c r="E231" s="11" t="s">
        <v>379</v>
      </c>
      <c r="F231" s="11" t="s">
        <v>379</v>
      </c>
      <c r="G231" s="12" t="s">
        <v>3719</v>
      </c>
    </row>
    <row r="232" spans="1:9" ht="16.2" thickBot="1" x14ac:dyDescent="0.35">
      <c r="A232" s="9">
        <v>85</v>
      </c>
      <c r="B232" s="10" t="s">
        <v>13</v>
      </c>
      <c r="C232" s="11" t="s">
        <v>338</v>
      </c>
      <c r="D232" s="11"/>
      <c r="E232" s="11" t="s">
        <v>379</v>
      </c>
      <c r="F232" s="11" t="s">
        <v>379</v>
      </c>
      <c r="G232" s="12" t="s">
        <v>3719</v>
      </c>
    </row>
    <row r="233" spans="1:9" ht="16.2" thickBot="1" x14ac:dyDescent="0.35">
      <c r="A233" s="9">
        <v>123</v>
      </c>
      <c r="B233" s="10" t="s">
        <v>15</v>
      </c>
      <c r="C233" s="11" t="s">
        <v>338</v>
      </c>
      <c r="D233" s="11"/>
      <c r="E233" s="11" t="s">
        <v>379</v>
      </c>
      <c r="F233" s="11" t="s">
        <v>379</v>
      </c>
      <c r="G233" t="s">
        <v>3719</v>
      </c>
    </row>
    <row r="234" spans="1:9" ht="16.2" thickBot="1" x14ac:dyDescent="0.35">
      <c r="A234" s="9">
        <v>209</v>
      </c>
      <c r="B234" s="10" t="s">
        <v>18</v>
      </c>
      <c r="C234" s="11" t="s">
        <v>338</v>
      </c>
      <c r="D234" s="11"/>
      <c r="E234" s="11" t="s">
        <v>379</v>
      </c>
      <c r="F234" s="11" t="s">
        <v>379</v>
      </c>
      <c r="G234" t="s">
        <v>3770</v>
      </c>
      <c r="H234" t="s">
        <v>3716</v>
      </c>
    </row>
    <row r="235" spans="1:9" ht="16.2" thickBot="1" x14ac:dyDescent="0.35">
      <c r="A235" s="9">
        <v>294</v>
      </c>
      <c r="B235" s="10" t="s">
        <v>19</v>
      </c>
      <c r="C235" s="11" t="s">
        <v>338</v>
      </c>
      <c r="D235" s="11"/>
      <c r="E235" s="11"/>
      <c r="F235" s="11" t="s">
        <v>3720</v>
      </c>
    </row>
    <row r="236" spans="1:9" ht="16.2" thickBot="1" x14ac:dyDescent="0.35">
      <c r="A236" s="9">
        <v>95</v>
      </c>
      <c r="B236" s="10" t="s">
        <v>32</v>
      </c>
      <c r="C236" s="11" t="s">
        <v>338</v>
      </c>
      <c r="D236" s="11"/>
      <c r="E236" s="11"/>
      <c r="F236" s="11" t="s">
        <v>379</v>
      </c>
      <c r="G236" t="s">
        <v>3715</v>
      </c>
      <c r="H236" t="s">
        <v>3716</v>
      </c>
    </row>
    <row r="237" spans="1:9" ht="16.2" thickBot="1" x14ac:dyDescent="0.35">
      <c r="A237" s="9">
        <v>57</v>
      </c>
      <c r="B237" s="10" t="s">
        <v>34</v>
      </c>
      <c r="C237" s="11" t="s">
        <v>338</v>
      </c>
      <c r="D237" s="11"/>
      <c r="E237" s="11" t="s">
        <v>379</v>
      </c>
      <c r="F237" s="11" t="s">
        <v>379</v>
      </c>
      <c r="G237" t="s">
        <v>3722</v>
      </c>
      <c r="H237" t="s">
        <v>3716</v>
      </c>
    </row>
    <row r="238" spans="1:9" ht="16.2" thickBot="1" x14ac:dyDescent="0.35">
      <c r="A238" s="9">
        <v>110</v>
      </c>
      <c r="B238" s="10" t="s">
        <v>35</v>
      </c>
      <c r="C238" s="11" t="s">
        <v>338</v>
      </c>
      <c r="D238" s="11"/>
      <c r="E238" s="11" t="s">
        <v>379</v>
      </c>
      <c r="F238" s="11" t="s">
        <v>379</v>
      </c>
      <c r="G238" t="s">
        <v>3722</v>
      </c>
      <c r="H238" t="s">
        <v>3716</v>
      </c>
    </row>
    <row r="239" spans="1:9" ht="16.2" thickBot="1" x14ac:dyDescent="0.35">
      <c r="A239" s="9">
        <v>157</v>
      </c>
      <c r="B239" s="10" t="s">
        <v>38</v>
      </c>
      <c r="C239" s="11" t="s">
        <v>338</v>
      </c>
      <c r="D239" s="11"/>
      <c r="E239" s="11" t="s">
        <v>379</v>
      </c>
      <c r="F239" s="11" t="s">
        <v>379</v>
      </c>
      <c r="G239" t="s">
        <v>3722</v>
      </c>
      <c r="H239" t="s">
        <v>3716</v>
      </c>
    </row>
    <row r="240" spans="1:9" ht="16.2" thickBot="1" x14ac:dyDescent="0.35">
      <c r="A240" s="9">
        <v>247</v>
      </c>
      <c r="B240" s="10" t="s">
        <v>42</v>
      </c>
      <c r="C240" s="11" t="s">
        <v>338</v>
      </c>
      <c r="D240" s="11"/>
      <c r="E240" s="11"/>
      <c r="F240" s="11" t="s">
        <v>379</v>
      </c>
      <c r="G240" t="s">
        <v>3715</v>
      </c>
      <c r="H240" t="s">
        <v>3716</v>
      </c>
    </row>
    <row r="241" spans="1:8" ht="16.2" thickBot="1" x14ac:dyDescent="0.35">
      <c r="A241" s="9">
        <v>31</v>
      </c>
      <c r="B241" s="10" t="s">
        <v>56</v>
      </c>
      <c r="C241" s="11" t="s">
        <v>338</v>
      </c>
      <c r="D241" s="11"/>
      <c r="E241" s="11" t="s">
        <v>379</v>
      </c>
      <c r="F241" s="11" t="s">
        <v>379</v>
      </c>
      <c r="G241" t="s">
        <v>3719</v>
      </c>
    </row>
    <row r="242" spans="1:8" ht="16.2" thickBot="1" x14ac:dyDescent="0.35">
      <c r="A242" s="9">
        <v>13</v>
      </c>
      <c r="B242" s="10" t="s">
        <v>57</v>
      </c>
      <c r="C242" s="11" t="s">
        <v>338</v>
      </c>
      <c r="D242" s="11"/>
      <c r="E242" s="11" t="s">
        <v>379</v>
      </c>
      <c r="F242" s="11" t="s">
        <v>379</v>
      </c>
      <c r="G242" t="s">
        <v>3719</v>
      </c>
    </row>
    <row r="243" spans="1:8" ht="16.2" thickBot="1" x14ac:dyDescent="0.35">
      <c r="A243" s="9">
        <v>24</v>
      </c>
      <c r="B243" s="10" t="s">
        <v>58</v>
      </c>
      <c r="C243" s="11" t="s">
        <v>338</v>
      </c>
      <c r="D243" s="11"/>
      <c r="E243" s="11" t="s">
        <v>379</v>
      </c>
      <c r="F243" s="11" t="s">
        <v>379</v>
      </c>
      <c r="G243" t="s">
        <v>3719</v>
      </c>
    </row>
    <row r="244" spans="1:8" ht="16.2" thickBot="1" x14ac:dyDescent="0.35">
      <c r="A244" s="9">
        <v>110</v>
      </c>
      <c r="B244" s="10" t="s">
        <v>59</v>
      </c>
      <c r="C244" s="11" t="s">
        <v>338</v>
      </c>
      <c r="D244" s="11"/>
      <c r="E244" s="11" t="s">
        <v>379</v>
      </c>
      <c r="F244" s="11" t="s">
        <v>379</v>
      </c>
      <c r="G244" t="s">
        <v>3722</v>
      </c>
    </row>
    <row r="245" spans="1:8" ht="16.2" thickBot="1" x14ac:dyDescent="0.35">
      <c r="A245" s="9">
        <v>9</v>
      </c>
      <c r="B245" s="10" t="s">
        <v>60</v>
      </c>
      <c r="C245" s="11" t="s">
        <v>338</v>
      </c>
      <c r="D245" s="11"/>
      <c r="E245" s="11"/>
      <c r="F245" s="11" t="s">
        <v>379</v>
      </c>
      <c r="G245" t="s">
        <v>3715</v>
      </c>
      <c r="H245" t="s">
        <v>3716</v>
      </c>
    </row>
    <row r="246" spans="1:8" ht="16.2" thickBot="1" x14ac:dyDescent="0.35">
      <c r="A246" s="9">
        <v>103</v>
      </c>
      <c r="B246" s="10" t="s">
        <v>62</v>
      </c>
      <c r="C246" s="11" t="s">
        <v>338</v>
      </c>
      <c r="D246" s="11"/>
      <c r="E246" s="11"/>
      <c r="F246" s="11" t="s">
        <v>379</v>
      </c>
      <c r="G246" t="s">
        <v>3715</v>
      </c>
      <c r="H246" t="s">
        <v>3716</v>
      </c>
    </row>
    <row r="247" spans="1:8" ht="16.2" thickBot="1" x14ac:dyDescent="0.35">
      <c r="A247" s="9">
        <v>5</v>
      </c>
      <c r="B247" s="10" t="s">
        <v>65</v>
      </c>
      <c r="C247" s="11" t="s">
        <v>338</v>
      </c>
      <c r="D247" s="11"/>
      <c r="E247" s="11" t="s">
        <v>379</v>
      </c>
      <c r="F247" s="11" t="s">
        <v>379</v>
      </c>
      <c r="G247" t="s">
        <v>3722</v>
      </c>
    </row>
    <row r="248" spans="1:8" ht="16.2" thickBot="1" x14ac:dyDescent="0.35">
      <c r="A248" s="9">
        <v>84</v>
      </c>
      <c r="B248" s="10" t="s">
        <v>68</v>
      </c>
      <c r="C248" s="11" t="s">
        <v>338</v>
      </c>
      <c r="D248" s="11"/>
      <c r="E248" s="11"/>
      <c r="F248" s="11" t="s">
        <v>379</v>
      </c>
      <c r="G248" t="s">
        <v>3715</v>
      </c>
      <c r="H248" t="s">
        <v>3716</v>
      </c>
    </row>
    <row r="249" spans="1:8" ht="16.2" thickBot="1" x14ac:dyDescent="0.35">
      <c r="A249" s="9">
        <v>15</v>
      </c>
      <c r="B249" s="10" t="s">
        <v>71</v>
      </c>
      <c r="C249" s="11" t="s">
        <v>338</v>
      </c>
      <c r="D249" s="11"/>
      <c r="E249" s="11" t="s">
        <v>379</v>
      </c>
      <c r="F249" s="11" t="s">
        <v>379</v>
      </c>
      <c r="G249" t="s">
        <v>3719</v>
      </c>
    </row>
    <row r="250" spans="1:8" ht="16.2" thickBot="1" x14ac:dyDescent="0.35">
      <c r="A250" s="9">
        <v>100</v>
      </c>
      <c r="B250" s="10" t="s">
        <v>72</v>
      </c>
      <c r="C250" s="11" t="s">
        <v>338</v>
      </c>
      <c r="D250" s="11"/>
      <c r="E250" s="11"/>
      <c r="F250" s="11" t="s">
        <v>379</v>
      </c>
      <c r="G250" t="s">
        <v>3715</v>
      </c>
      <c r="H250" t="s">
        <v>3716</v>
      </c>
    </row>
    <row r="251" spans="1:8" ht="16.2" thickBot="1" x14ac:dyDescent="0.35">
      <c r="A251" s="9">
        <v>56</v>
      </c>
      <c r="B251" s="10" t="s">
        <v>73</v>
      </c>
      <c r="C251" s="11" t="s">
        <v>338</v>
      </c>
      <c r="D251" s="11"/>
      <c r="E251" s="11"/>
      <c r="F251" s="11" t="s">
        <v>3720</v>
      </c>
    </row>
    <row r="252" spans="1:8" ht="16.2" thickBot="1" x14ac:dyDescent="0.35">
      <c r="A252" s="9">
        <v>135</v>
      </c>
      <c r="B252" s="10" t="s">
        <v>78</v>
      </c>
      <c r="C252" s="11" t="s">
        <v>338</v>
      </c>
      <c r="D252" s="11"/>
      <c r="E252" s="11"/>
      <c r="F252" s="11" t="s">
        <v>379</v>
      </c>
      <c r="G252" t="s">
        <v>3715</v>
      </c>
      <c r="H252" t="s">
        <v>3716</v>
      </c>
    </row>
    <row r="253" spans="1:8" ht="16.2" thickBot="1" x14ac:dyDescent="0.35">
      <c r="A253" s="9">
        <v>276</v>
      </c>
      <c r="B253" s="10" t="s">
        <v>90</v>
      </c>
      <c r="C253" s="11" t="s">
        <v>338</v>
      </c>
      <c r="D253" s="11"/>
      <c r="E253" s="11" t="s">
        <v>379</v>
      </c>
      <c r="F253" s="11" t="s">
        <v>379</v>
      </c>
      <c r="G253" t="s">
        <v>3719</v>
      </c>
    </row>
    <row r="254" spans="1:8" ht="16.2" thickBot="1" x14ac:dyDescent="0.35">
      <c r="A254" s="9">
        <v>143</v>
      </c>
      <c r="B254" s="10" t="s">
        <v>93</v>
      </c>
      <c r="C254" s="11" t="s">
        <v>338</v>
      </c>
      <c r="D254" s="11"/>
      <c r="E254" s="11" t="s">
        <v>379</v>
      </c>
      <c r="F254" s="11" t="s">
        <v>379</v>
      </c>
      <c r="G254" t="s">
        <v>3719</v>
      </c>
    </row>
    <row r="255" spans="1:8" ht="16.2" thickBot="1" x14ac:dyDescent="0.35">
      <c r="A255" s="9">
        <v>222</v>
      </c>
      <c r="B255" s="10" t="s">
        <v>101</v>
      </c>
      <c r="C255" s="11" t="s">
        <v>338</v>
      </c>
      <c r="D255" s="11"/>
      <c r="E255" s="11"/>
      <c r="F255" s="11" t="s">
        <v>379</v>
      </c>
      <c r="G255" t="s">
        <v>3715</v>
      </c>
      <c r="H255" t="s">
        <v>3716</v>
      </c>
    </row>
    <row r="256" spans="1:8" ht="16.2" thickBot="1" x14ac:dyDescent="0.35">
      <c r="A256" s="9">
        <v>278</v>
      </c>
      <c r="B256" s="10" t="s">
        <v>110</v>
      </c>
      <c r="C256" s="11" t="s">
        <v>338</v>
      </c>
      <c r="D256" s="11"/>
      <c r="E256" s="11" t="s">
        <v>379</v>
      </c>
      <c r="F256" s="11" t="s">
        <v>379</v>
      </c>
      <c r="G256" t="s">
        <v>3719</v>
      </c>
    </row>
    <row r="257" spans="1:8" ht="16.2" thickBot="1" x14ac:dyDescent="0.35">
      <c r="A257" s="9">
        <v>80</v>
      </c>
      <c r="B257" t="s">
        <v>115</v>
      </c>
      <c r="C257" s="11" t="s">
        <v>338</v>
      </c>
      <c r="D257" s="11"/>
      <c r="E257" s="11" t="s">
        <v>379</v>
      </c>
      <c r="F257" s="11" t="s">
        <v>379</v>
      </c>
      <c r="G257" t="s">
        <v>3719</v>
      </c>
    </row>
    <row r="258" spans="1:8" ht="16.2" thickBot="1" x14ac:dyDescent="0.35">
      <c r="A258" s="9">
        <v>209</v>
      </c>
      <c r="B258" s="10" t="s">
        <v>122</v>
      </c>
      <c r="C258" s="11" t="s">
        <v>347</v>
      </c>
      <c r="D258" s="11"/>
      <c r="E258" s="11"/>
      <c r="F258" s="11" t="s">
        <v>3720</v>
      </c>
    </row>
    <row r="259" spans="1:8" ht="16.2" thickBot="1" x14ac:dyDescent="0.35">
      <c r="A259" s="9">
        <v>63</v>
      </c>
      <c r="B259" s="10" t="s">
        <v>123</v>
      </c>
      <c r="C259" s="11" t="s">
        <v>338</v>
      </c>
      <c r="D259" s="11"/>
      <c r="E259" s="11"/>
      <c r="F259" s="11" t="s">
        <v>379</v>
      </c>
      <c r="G259" t="s">
        <v>3715</v>
      </c>
      <c r="H259" t="s">
        <v>3716</v>
      </c>
    </row>
    <row r="260" spans="1:8" ht="16.2" thickBot="1" x14ac:dyDescent="0.35">
      <c r="A260" s="9">
        <v>30</v>
      </c>
      <c r="B260" s="10" t="s">
        <v>128</v>
      </c>
      <c r="C260" s="11" t="s">
        <v>338</v>
      </c>
      <c r="D260" s="11"/>
      <c r="E260" s="11"/>
      <c r="F260" s="11" t="s">
        <v>379</v>
      </c>
      <c r="G260" t="s">
        <v>3715</v>
      </c>
      <c r="H260" t="s">
        <v>3716</v>
      </c>
    </row>
    <row r="261" spans="1:8" ht="16.2" thickBot="1" x14ac:dyDescent="0.35">
      <c r="A261" s="9">
        <v>264</v>
      </c>
      <c r="B261" s="10" t="s">
        <v>129</v>
      </c>
      <c r="C261" s="11" t="s">
        <v>338</v>
      </c>
      <c r="D261" s="11"/>
      <c r="E261" s="11"/>
      <c r="F261" s="11" t="s">
        <v>379</v>
      </c>
      <c r="G261" t="s">
        <v>3715</v>
      </c>
      <c r="H261" t="s">
        <v>3716</v>
      </c>
    </row>
    <row r="262" spans="1:8" ht="16.2" thickBot="1" x14ac:dyDescent="0.35">
      <c r="A262" s="9">
        <v>8</v>
      </c>
      <c r="B262" s="10" t="s">
        <v>133</v>
      </c>
      <c r="C262" s="11" t="s">
        <v>338</v>
      </c>
      <c r="D262" s="11"/>
      <c r="E262" s="11" t="s">
        <v>379</v>
      </c>
      <c r="F262" s="11" t="s">
        <v>379</v>
      </c>
      <c r="G262" t="s">
        <v>3722</v>
      </c>
      <c r="H262" t="s">
        <v>3716</v>
      </c>
    </row>
    <row r="263" spans="1:8" ht="16.2" thickBot="1" x14ac:dyDescent="0.35">
      <c r="A263" s="9">
        <v>12</v>
      </c>
      <c r="B263" s="10" t="s">
        <v>134</v>
      </c>
      <c r="C263" s="11" t="s">
        <v>338</v>
      </c>
      <c r="D263" s="11"/>
      <c r="E263" s="11"/>
      <c r="F263" s="11" t="s">
        <v>379</v>
      </c>
      <c r="G263" t="s">
        <v>3715</v>
      </c>
      <c r="H263" t="s">
        <v>3716</v>
      </c>
    </row>
    <row r="264" spans="1:8" ht="16.2" thickBot="1" x14ac:dyDescent="0.35">
      <c r="A264" s="9">
        <v>11</v>
      </c>
      <c r="B264" s="10" t="s">
        <v>135</v>
      </c>
      <c r="C264" s="11" t="s">
        <v>338</v>
      </c>
      <c r="D264" s="11"/>
      <c r="E264" s="11"/>
      <c r="F264" s="11" t="s">
        <v>379</v>
      </c>
      <c r="G264" t="s">
        <v>3715</v>
      </c>
      <c r="H264" t="s">
        <v>3716</v>
      </c>
    </row>
    <row r="265" spans="1:8" ht="16.2" thickBot="1" x14ac:dyDescent="0.35">
      <c r="A265" s="9">
        <v>75</v>
      </c>
      <c r="B265" s="10" t="s">
        <v>136</v>
      </c>
      <c r="C265" s="11" t="s">
        <v>338</v>
      </c>
      <c r="D265" s="11"/>
      <c r="E265" s="11"/>
      <c r="F265" s="11" t="s">
        <v>379</v>
      </c>
      <c r="G265" t="s">
        <v>3715</v>
      </c>
      <c r="H265" t="s">
        <v>3716</v>
      </c>
    </row>
    <row r="266" spans="1:8" ht="16.2" thickBot="1" x14ac:dyDescent="0.35">
      <c r="A266" s="9">
        <v>204</v>
      </c>
      <c r="B266" s="10" t="s">
        <v>137</v>
      </c>
      <c r="C266" s="11" t="s">
        <v>338</v>
      </c>
      <c r="D266" s="11"/>
      <c r="E266" s="11"/>
      <c r="F266" s="11" t="s">
        <v>379</v>
      </c>
      <c r="G266" t="s">
        <v>3715</v>
      </c>
      <c r="H266" t="s">
        <v>3716</v>
      </c>
    </row>
    <row r="267" spans="1:8" ht="16.2" thickBot="1" x14ac:dyDescent="0.35">
      <c r="A267" s="9">
        <v>10</v>
      </c>
      <c r="B267" s="10" t="s">
        <v>138</v>
      </c>
      <c r="C267" s="11" t="s">
        <v>338</v>
      </c>
      <c r="D267" s="11"/>
      <c r="E267" s="11"/>
      <c r="F267" s="11" t="s">
        <v>379</v>
      </c>
      <c r="G267" t="s">
        <v>3717</v>
      </c>
      <c r="H267" t="s">
        <v>3718</v>
      </c>
    </row>
    <row r="268" spans="1:8" ht="16.2" thickBot="1" x14ac:dyDescent="0.35">
      <c r="A268" s="9">
        <v>53</v>
      </c>
      <c r="B268" s="10" t="s">
        <v>139</v>
      </c>
      <c r="C268" s="11" t="s">
        <v>338</v>
      </c>
      <c r="D268" s="11"/>
      <c r="E268" s="11"/>
      <c r="F268" s="11" t="s">
        <v>379</v>
      </c>
      <c r="G268" t="s">
        <v>3715</v>
      </c>
      <c r="H268" t="s">
        <v>3716</v>
      </c>
    </row>
    <row r="269" spans="1:8" ht="16.2" thickBot="1" x14ac:dyDescent="0.35">
      <c r="A269" s="9">
        <v>37</v>
      </c>
      <c r="B269" s="10" t="s">
        <v>140</v>
      </c>
      <c r="C269" s="11" t="s">
        <v>338</v>
      </c>
      <c r="D269" s="11"/>
      <c r="E269" s="11"/>
      <c r="F269" s="11" t="s">
        <v>379</v>
      </c>
      <c r="G269" t="s">
        <v>3715</v>
      </c>
      <c r="H269" t="s">
        <v>3716</v>
      </c>
    </row>
    <row r="270" spans="1:8" ht="16.2" thickBot="1" x14ac:dyDescent="0.35">
      <c r="A270" s="9">
        <v>157</v>
      </c>
      <c r="B270" s="10" t="s">
        <v>141</v>
      </c>
      <c r="C270" s="11" t="s">
        <v>338</v>
      </c>
      <c r="D270" s="11"/>
      <c r="E270" s="11" t="s">
        <v>379</v>
      </c>
      <c r="F270" s="11" t="s">
        <v>379</v>
      </c>
      <c r="G270" t="s">
        <v>3719</v>
      </c>
    </row>
    <row r="271" spans="1:8" ht="16.2" thickBot="1" x14ac:dyDescent="0.35">
      <c r="A271" s="9">
        <v>3</v>
      </c>
      <c r="B271" s="10" t="s">
        <v>142</v>
      </c>
      <c r="C271" s="11" t="s">
        <v>338</v>
      </c>
      <c r="D271" s="11"/>
      <c r="E271" s="11"/>
      <c r="F271" s="11" t="s">
        <v>379</v>
      </c>
      <c r="G271" t="s">
        <v>3715</v>
      </c>
      <c r="H271" t="s">
        <v>3716</v>
      </c>
    </row>
    <row r="272" spans="1:8" ht="16.2" thickBot="1" x14ac:dyDescent="0.35">
      <c r="A272" s="9">
        <v>78</v>
      </c>
      <c r="B272" s="10" t="s">
        <v>147</v>
      </c>
      <c r="C272" s="11" t="s">
        <v>338</v>
      </c>
      <c r="D272" s="11"/>
      <c r="E272" s="11"/>
      <c r="F272" s="11" t="s">
        <v>379</v>
      </c>
      <c r="G272" t="s">
        <v>3715</v>
      </c>
      <c r="H272" t="s">
        <v>3716</v>
      </c>
    </row>
    <row r="273" spans="1:8" ht="16.2" thickBot="1" x14ac:dyDescent="0.35">
      <c r="A273" s="9">
        <v>77</v>
      </c>
      <c r="B273" s="10" t="s">
        <v>152</v>
      </c>
      <c r="C273" s="11" t="s">
        <v>338</v>
      </c>
      <c r="D273" s="11"/>
      <c r="E273" s="11"/>
      <c r="F273" s="11" t="s">
        <v>379</v>
      </c>
      <c r="G273" t="s">
        <v>3715</v>
      </c>
      <c r="H273" t="s">
        <v>3716</v>
      </c>
    </row>
    <row r="274" spans="1:8" ht="16.2" thickBot="1" x14ac:dyDescent="0.35">
      <c r="A274" s="9">
        <v>89</v>
      </c>
      <c r="B274" s="10" t="s">
        <v>159</v>
      </c>
      <c r="C274" s="11" t="s">
        <v>338</v>
      </c>
      <c r="D274" s="11"/>
      <c r="E274" s="11" t="s">
        <v>379</v>
      </c>
      <c r="F274" s="11" t="s">
        <v>379</v>
      </c>
      <c r="G274" t="s">
        <v>3719</v>
      </c>
    </row>
    <row r="275" spans="1:8" ht="16.2" thickBot="1" x14ac:dyDescent="0.35">
      <c r="A275" s="9">
        <v>6</v>
      </c>
      <c r="B275" s="10" t="s">
        <v>167</v>
      </c>
      <c r="C275" s="11" t="s">
        <v>338</v>
      </c>
      <c r="D275" s="11"/>
      <c r="E275" s="11"/>
      <c r="F275" s="11" t="s">
        <v>379</v>
      </c>
      <c r="G275" t="s">
        <v>3715</v>
      </c>
      <c r="H275" t="s">
        <v>3716</v>
      </c>
    </row>
    <row r="276" spans="1:8" ht="16.2" thickBot="1" x14ac:dyDescent="0.35">
      <c r="A276" s="9">
        <v>41</v>
      </c>
      <c r="B276" s="10" t="s">
        <v>172</v>
      </c>
      <c r="C276" s="11" t="s">
        <v>338</v>
      </c>
      <c r="D276" s="11"/>
      <c r="E276" s="11" t="s">
        <v>3720</v>
      </c>
      <c r="F276" s="11" t="s">
        <v>379</v>
      </c>
      <c r="G276" t="s">
        <v>3719</v>
      </c>
    </row>
    <row r="277" spans="1:8" ht="16.2" thickBot="1" x14ac:dyDescent="0.35">
      <c r="A277" s="9">
        <v>2</v>
      </c>
      <c r="B277" s="10" t="s">
        <v>184</v>
      </c>
      <c r="C277" s="11" t="s">
        <v>338</v>
      </c>
      <c r="D277" s="11"/>
      <c r="E277" s="11"/>
      <c r="F277" s="11" t="s">
        <v>379</v>
      </c>
      <c r="G277" t="s">
        <v>3715</v>
      </c>
      <c r="H277" t="s">
        <v>3716</v>
      </c>
    </row>
    <row r="278" spans="1:8" ht="16.2" thickBot="1" x14ac:dyDescent="0.35">
      <c r="A278" s="9">
        <v>14</v>
      </c>
      <c r="B278" s="10" t="s">
        <v>189</v>
      </c>
      <c r="C278" s="11" t="s">
        <v>338</v>
      </c>
      <c r="D278" s="11"/>
      <c r="E278" s="11"/>
      <c r="F278" s="11" t="s">
        <v>379</v>
      </c>
      <c r="G278" t="s">
        <v>3715</v>
      </c>
      <c r="H278" t="s">
        <v>3716</v>
      </c>
    </row>
    <row r="279" spans="1:8" ht="16.2" thickBot="1" x14ac:dyDescent="0.35">
      <c r="A279" s="9">
        <v>19</v>
      </c>
      <c r="B279" s="10" t="s">
        <v>191</v>
      </c>
      <c r="C279" s="11" t="s">
        <v>338</v>
      </c>
      <c r="D279" s="11"/>
      <c r="E279" s="11"/>
      <c r="F279" s="11" t="s">
        <v>379</v>
      </c>
      <c r="G279" t="s">
        <v>3715</v>
      </c>
      <c r="H279" t="s">
        <v>3716</v>
      </c>
    </row>
    <row r="280" spans="1:8" ht="16.2" thickBot="1" x14ac:dyDescent="0.35">
      <c r="A280" s="9">
        <v>21</v>
      </c>
      <c r="B280" s="10" t="s">
        <v>192</v>
      </c>
      <c r="C280" s="11" t="s">
        <v>338</v>
      </c>
      <c r="D280" s="11"/>
      <c r="E280" s="11"/>
      <c r="F280" s="11" t="s">
        <v>379</v>
      </c>
      <c r="G280" t="s">
        <v>3715</v>
      </c>
      <c r="H280" t="s">
        <v>3716</v>
      </c>
    </row>
    <row r="281" spans="1:8" ht="16.2" thickBot="1" x14ac:dyDescent="0.35">
      <c r="A281" s="9">
        <v>94</v>
      </c>
      <c r="B281" s="10" t="s">
        <v>197</v>
      </c>
      <c r="C281" s="11" t="s">
        <v>338</v>
      </c>
      <c r="D281" s="11"/>
      <c r="E281" s="11"/>
      <c r="F281" s="11" t="s">
        <v>379</v>
      </c>
      <c r="G281" t="s">
        <v>3715</v>
      </c>
      <c r="H281" t="s">
        <v>3716</v>
      </c>
    </row>
    <row r="282" spans="1:8" ht="16.2" thickBot="1" x14ac:dyDescent="0.35">
      <c r="A282" s="9">
        <v>71</v>
      </c>
      <c r="B282" s="10" t="s">
        <v>199</v>
      </c>
      <c r="C282" s="11" t="s">
        <v>338</v>
      </c>
      <c r="D282" s="11"/>
      <c r="E282" s="11" t="s">
        <v>379</v>
      </c>
      <c r="F282" s="11" t="s">
        <v>379</v>
      </c>
      <c r="G282" t="s">
        <v>3722</v>
      </c>
      <c r="H282" t="s">
        <v>3716</v>
      </c>
    </row>
    <row r="283" spans="1:8" ht="16.2" thickBot="1" x14ac:dyDescent="0.35">
      <c r="A283" s="9">
        <v>137</v>
      </c>
      <c r="B283" s="10" t="s">
        <v>204</v>
      </c>
      <c r="C283" s="11" t="s">
        <v>338</v>
      </c>
      <c r="D283" s="11"/>
      <c r="E283" s="11" t="s">
        <v>379</v>
      </c>
      <c r="F283" s="11" t="s">
        <v>379</v>
      </c>
      <c r="G283" t="s">
        <v>3719</v>
      </c>
    </row>
    <row r="284" spans="1:8" ht="16.2" thickBot="1" x14ac:dyDescent="0.35">
      <c r="A284" s="9">
        <v>153</v>
      </c>
      <c r="B284" s="10" t="s">
        <v>212</v>
      </c>
      <c r="C284" s="11" t="s">
        <v>338</v>
      </c>
      <c r="D284" s="11"/>
      <c r="E284" s="11"/>
      <c r="F284" s="11" t="s">
        <v>379</v>
      </c>
      <c r="G284" t="s">
        <v>3715</v>
      </c>
      <c r="H284" t="s">
        <v>3716</v>
      </c>
    </row>
    <row r="285" spans="1:8" ht="16.2" thickBot="1" x14ac:dyDescent="0.35">
      <c r="A285" s="9">
        <v>36</v>
      </c>
      <c r="B285" s="10" t="s">
        <v>215</v>
      </c>
      <c r="C285" s="11" t="s">
        <v>338</v>
      </c>
      <c r="D285" s="11"/>
      <c r="E285" s="11"/>
      <c r="F285" s="11" t="s">
        <v>379</v>
      </c>
      <c r="G285" t="s">
        <v>3715</v>
      </c>
      <c r="H285" t="s">
        <v>3716</v>
      </c>
    </row>
    <row r="286" spans="1:8" ht="16.2" thickBot="1" x14ac:dyDescent="0.35">
      <c r="A286" s="9">
        <v>32</v>
      </c>
      <c r="B286" s="10" t="s">
        <v>217</v>
      </c>
      <c r="C286" s="11" t="s">
        <v>338</v>
      </c>
      <c r="D286" s="11"/>
      <c r="E286" s="11"/>
      <c r="F286" s="11" t="s">
        <v>379</v>
      </c>
      <c r="G286" t="s">
        <v>3715</v>
      </c>
      <c r="H286" t="s">
        <v>3716</v>
      </c>
    </row>
    <row r="287" spans="1:8" ht="16.2" thickBot="1" x14ac:dyDescent="0.35">
      <c r="A287" s="9">
        <v>60</v>
      </c>
      <c r="B287" s="10" t="s">
        <v>219</v>
      </c>
      <c r="C287" s="11" t="s">
        <v>338</v>
      </c>
      <c r="D287" s="11"/>
      <c r="E287" s="11" t="s">
        <v>379</v>
      </c>
      <c r="F287" s="11" t="s">
        <v>379</v>
      </c>
      <c r="G287" t="s">
        <v>3719</v>
      </c>
    </row>
    <row r="288" spans="1:8" ht="16.2" thickBot="1" x14ac:dyDescent="0.35">
      <c r="A288" s="9">
        <v>88</v>
      </c>
      <c r="B288" s="10" t="s">
        <v>220</v>
      </c>
      <c r="C288" s="11" t="s">
        <v>338</v>
      </c>
      <c r="D288" s="11"/>
      <c r="E288" s="11"/>
      <c r="F288" s="11" t="s">
        <v>379</v>
      </c>
      <c r="G288" t="s">
        <v>3715</v>
      </c>
      <c r="H288" t="s">
        <v>3716</v>
      </c>
    </row>
    <row r="289" spans="1:9" ht="16.2" thickBot="1" x14ac:dyDescent="0.35">
      <c r="A289" s="9">
        <v>1</v>
      </c>
      <c r="B289" s="10" t="s">
        <v>221</v>
      </c>
      <c r="C289" s="11" t="s">
        <v>338</v>
      </c>
      <c r="D289" s="11"/>
      <c r="E289" s="11"/>
      <c r="F289" s="11" t="s">
        <v>379</v>
      </c>
      <c r="G289" t="s">
        <v>3715</v>
      </c>
      <c r="H289" t="s">
        <v>3716</v>
      </c>
    </row>
    <row r="290" spans="1:9" ht="16.2" thickBot="1" x14ac:dyDescent="0.35">
      <c r="A290" s="9">
        <v>181</v>
      </c>
      <c r="B290" s="10" t="s">
        <v>239</v>
      </c>
      <c r="C290" s="11" t="s">
        <v>338</v>
      </c>
      <c r="D290" s="11"/>
      <c r="E290" s="11"/>
      <c r="F290" s="11" t="s">
        <v>3720</v>
      </c>
    </row>
    <row r="291" spans="1:9" ht="16.2" thickBot="1" x14ac:dyDescent="0.35">
      <c r="A291" s="9">
        <v>157</v>
      </c>
      <c r="B291" s="10" t="s">
        <v>240</v>
      </c>
      <c r="C291" s="11" t="s">
        <v>338</v>
      </c>
      <c r="D291" s="11"/>
      <c r="E291" s="11" t="s">
        <v>379</v>
      </c>
      <c r="F291" s="11" t="s">
        <v>379</v>
      </c>
      <c r="G291" t="s">
        <v>3722</v>
      </c>
    </row>
    <row r="292" spans="1:9" ht="16.2" thickBot="1" x14ac:dyDescent="0.35">
      <c r="A292" s="9">
        <v>7</v>
      </c>
      <c r="B292" s="10" t="s">
        <v>244</v>
      </c>
      <c r="C292" s="11" t="s">
        <v>338</v>
      </c>
      <c r="D292" s="11"/>
      <c r="E292" s="11"/>
      <c r="F292" s="11" t="s">
        <v>379</v>
      </c>
      <c r="G292" t="s">
        <v>3715</v>
      </c>
      <c r="H292" t="s">
        <v>3716</v>
      </c>
    </row>
    <row r="293" spans="1:9" ht="16.2" thickBot="1" x14ac:dyDescent="0.35">
      <c r="A293" s="9">
        <v>4</v>
      </c>
      <c r="B293" s="10" t="s">
        <v>246</v>
      </c>
      <c r="C293" s="11" t="s">
        <v>338</v>
      </c>
      <c r="D293" s="11"/>
      <c r="E293" s="11"/>
      <c r="F293" s="11" t="s">
        <v>379</v>
      </c>
      <c r="G293" t="s">
        <v>3715</v>
      </c>
      <c r="H293" t="s">
        <v>3716</v>
      </c>
    </row>
    <row r="294" spans="1:9" ht="16.2" thickBot="1" x14ac:dyDescent="0.35">
      <c r="A294" s="9">
        <v>116</v>
      </c>
      <c r="B294" s="10" t="s">
        <v>247</v>
      </c>
      <c r="C294" s="11" t="s">
        <v>338</v>
      </c>
      <c r="D294" s="11"/>
      <c r="E294" s="11"/>
      <c r="F294" s="11" t="s">
        <v>379</v>
      </c>
      <c r="G294" t="s">
        <v>3715</v>
      </c>
      <c r="H294" t="s">
        <v>3716</v>
      </c>
    </row>
    <row r="295" spans="1:9" ht="16.2" thickBot="1" x14ac:dyDescent="0.35">
      <c r="A295" s="9">
        <v>45</v>
      </c>
      <c r="B295" s="10" t="s">
        <v>249</v>
      </c>
      <c r="C295" s="11" t="s">
        <v>338</v>
      </c>
      <c r="D295" s="11"/>
      <c r="E295" s="11"/>
      <c r="F295" s="11" t="s">
        <v>379</v>
      </c>
      <c r="G295" t="s">
        <v>3715</v>
      </c>
      <c r="H295" t="s">
        <v>3716</v>
      </c>
    </row>
    <row r="296" spans="1:9" ht="16.2" thickBot="1" x14ac:dyDescent="0.35">
      <c r="A296" s="9">
        <v>239</v>
      </c>
      <c r="B296" s="10" t="s">
        <v>253</v>
      </c>
      <c r="C296" s="11" t="s">
        <v>338</v>
      </c>
      <c r="D296" s="11"/>
      <c r="E296" s="11"/>
      <c r="F296" s="11" t="s">
        <v>3720</v>
      </c>
    </row>
    <row r="297" spans="1:9" ht="16.2" thickBot="1" x14ac:dyDescent="0.35">
      <c r="A297" s="9">
        <v>261</v>
      </c>
      <c r="B297" s="10" t="s">
        <v>263</v>
      </c>
      <c r="C297" s="11" t="s">
        <v>338</v>
      </c>
      <c r="D297" s="11"/>
      <c r="E297" s="11"/>
      <c r="F297" s="11" t="s">
        <v>379</v>
      </c>
      <c r="G297" t="s">
        <v>3715</v>
      </c>
      <c r="H297" t="s">
        <v>3716</v>
      </c>
    </row>
    <row r="298" spans="1:9" ht="16.2" thickBot="1" x14ac:dyDescent="0.35">
      <c r="A298" s="9">
        <v>176</v>
      </c>
      <c r="B298" s="10" t="s">
        <v>272</v>
      </c>
      <c r="C298" s="11" t="s">
        <v>338</v>
      </c>
      <c r="D298" s="11"/>
      <c r="E298" s="11"/>
      <c r="F298" s="11" t="s">
        <v>379</v>
      </c>
      <c r="G298" t="s">
        <v>3715</v>
      </c>
      <c r="H298" t="s">
        <v>3716</v>
      </c>
    </row>
    <row r="299" spans="1:9" ht="16.2" thickBot="1" x14ac:dyDescent="0.35">
      <c r="A299" s="9">
        <v>92</v>
      </c>
      <c r="B299" s="10" t="s">
        <v>280</v>
      </c>
      <c r="C299" s="11" t="s">
        <v>338</v>
      </c>
      <c r="D299" s="11"/>
      <c r="E299" s="11"/>
      <c r="F299" s="11" t="s">
        <v>3720</v>
      </c>
    </row>
    <row r="300" spans="1:9" ht="16.2" thickBot="1" x14ac:dyDescent="0.35">
      <c r="A300" s="9">
        <v>17</v>
      </c>
      <c r="B300" s="10" t="s">
        <v>289</v>
      </c>
      <c r="C300" s="11" t="s">
        <v>338</v>
      </c>
      <c r="D300" s="11"/>
      <c r="E300" s="11"/>
      <c r="F300" s="11" t="s">
        <v>379</v>
      </c>
      <c r="G300" t="s">
        <v>3715</v>
      </c>
      <c r="H300" t="s">
        <v>3716</v>
      </c>
    </row>
    <row r="301" spans="1:9" ht="16.2" thickBot="1" x14ac:dyDescent="0.35">
      <c r="A301" s="9">
        <v>305</v>
      </c>
      <c r="B301" s="10" t="s">
        <v>290</v>
      </c>
      <c r="C301" s="11" t="s">
        <v>338</v>
      </c>
      <c r="D301" s="11"/>
      <c r="E301" s="11" t="s">
        <v>379</v>
      </c>
      <c r="F301" s="11" t="s">
        <v>379</v>
      </c>
      <c r="G301" t="s">
        <v>3722</v>
      </c>
      <c r="H301" t="s">
        <v>3716</v>
      </c>
    </row>
    <row r="302" spans="1:9" ht="16.2" thickBot="1" x14ac:dyDescent="0.35">
      <c r="A302" s="9">
        <v>104</v>
      </c>
      <c r="B302" s="10" t="s">
        <v>293</v>
      </c>
      <c r="C302" s="11" t="s">
        <v>338</v>
      </c>
      <c r="D302" s="11"/>
      <c r="E302" s="11" t="s">
        <v>379</v>
      </c>
      <c r="F302" s="11" t="s">
        <v>379</v>
      </c>
      <c r="G302" t="s">
        <v>3722</v>
      </c>
      <c r="H302" t="s">
        <v>3716</v>
      </c>
    </row>
    <row r="303" spans="1:9" ht="16.2" thickBot="1" x14ac:dyDescent="0.35">
      <c r="A303" s="9">
        <v>42</v>
      </c>
      <c r="B303" s="10" t="s">
        <v>302</v>
      </c>
      <c r="C303" s="11" t="s">
        <v>338</v>
      </c>
      <c r="D303" s="11"/>
      <c r="E303" s="11"/>
      <c r="F303" s="11" t="s">
        <v>379</v>
      </c>
      <c r="G303" t="s">
        <v>3715</v>
      </c>
      <c r="H303" t="s">
        <v>3716</v>
      </c>
    </row>
    <row r="304" spans="1:9" ht="16.2" thickBot="1" x14ac:dyDescent="0.35">
      <c r="A304" s="9">
        <v>71</v>
      </c>
      <c r="B304" s="10" t="s">
        <v>308</v>
      </c>
      <c r="C304" s="11" t="s">
        <v>338</v>
      </c>
      <c r="D304" s="11"/>
      <c r="E304" s="11"/>
      <c r="F304" s="11" t="s">
        <v>379</v>
      </c>
      <c r="G304" t="s">
        <v>3715</v>
      </c>
      <c r="H304" t="s">
        <v>3716</v>
      </c>
      <c r="I304" t="s">
        <v>3721</v>
      </c>
    </row>
    <row r="305" spans="1:9" ht="16.2" thickBot="1" x14ac:dyDescent="0.35">
      <c r="A305" s="9">
        <v>51</v>
      </c>
      <c r="B305" s="10" t="s">
        <v>316</v>
      </c>
      <c r="C305" s="11" t="s">
        <v>338</v>
      </c>
      <c r="D305" s="11"/>
      <c r="E305" s="11" t="s">
        <v>379</v>
      </c>
      <c r="F305" s="11" t="s">
        <v>379</v>
      </c>
      <c r="G305" t="s">
        <v>3719</v>
      </c>
    </row>
    <row r="306" spans="1:9" ht="16.2" thickBot="1" x14ac:dyDescent="0.35">
      <c r="A306" s="9">
        <v>284</v>
      </c>
      <c r="B306" s="10" t="s">
        <v>326</v>
      </c>
      <c r="C306" s="11" t="s">
        <v>338</v>
      </c>
      <c r="D306" s="11"/>
      <c r="E306" s="11" t="s">
        <v>379</v>
      </c>
      <c r="F306" s="11" t="s">
        <v>379</v>
      </c>
      <c r="G306" t="s">
        <v>3719</v>
      </c>
    </row>
    <row r="307" spans="1:9" ht="16.2" thickBot="1" x14ac:dyDescent="0.35">
      <c r="A307" s="9">
        <v>232</v>
      </c>
      <c r="B307" s="10" t="s">
        <v>330</v>
      </c>
      <c r="C307" s="11" t="s">
        <v>338</v>
      </c>
      <c r="D307" s="11"/>
      <c r="E307" s="11" t="s">
        <v>379</v>
      </c>
      <c r="F307" s="11" t="s">
        <v>379</v>
      </c>
      <c r="G307" t="s">
        <v>3722</v>
      </c>
    </row>
    <row r="308" spans="1:9" ht="16.2" thickBot="1" x14ac:dyDescent="0.35">
      <c r="A308" s="9">
        <v>185</v>
      </c>
      <c r="B308" s="10" t="s">
        <v>14</v>
      </c>
      <c r="C308" s="11" t="s">
        <v>3763</v>
      </c>
      <c r="D308" s="11"/>
      <c r="E308" s="11" t="s">
        <v>3988</v>
      </c>
      <c r="F308" s="11">
        <v>1</v>
      </c>
      <c r="I308">
        <v>1221</v>
      </c>
    </row>
    <row r="309" spans="1:9" ht="16.2" thickBot="1" x14ac:dyDescent="0.35">
      <c r="A309" s="9">
        <v>196</v>
      </c>
      <c r="B309" s="10" t="s">
        <v>49</v>
      </c>
      <c r="C309" s="11" t="s">
        <v>3763</v>
      </c>
      <c r="D309" s="11"/>
      <c r="E309" s="11"/>
      <c r="F309" s="11"/>
    </row>
    <row r="310" spans="1:9" ht="16.2" thickBot="1" x14ac:dyDescent="0.35">
      <c r="A310" s="9">
        <v>199</v>
      </c>
      <c r="B310" s="10" t="s">
        <v>94</v>
      </c>
      <c r="C310" s="11" t="s">
        <v>3763</v>
      </c>
      <c r="D310" s="11"/>
      <c r="E310" s="12" t="s">
        <v>3988</v>
      </c>
      <c r="F310" s="11">
        <v>1</v>
      </c>
    </row>
    <row r="311" spans="1:9" ht="16.2" thickBot="1" x14ac:dyDescent="0.35">
      <c r="A311" s="9">
        <v>227</v>
      </c>
      <c r="B311" s="10" t="s">
        <v>111</v>
      </c>
      <c r="C311" s="11" t="s">
        <v>3763</v>
      </c>
      <c r="D311" s="11"/>
      <c r="E311" s="12" t="s">
        <v>3988</v>
      </c>
      <c r="F311" s="11">
        <v>1</v>
      </c>
    </row>
    <row r="312" spans="1:9" ht="16.2" thickBot="1" x14ac:dyDescent="0.35">
      <c r="A312" s="9">
        <v>99</v>
      </c>
      <c r="B312" s="10" t="s">
        <v>124</v>
      </c>
      <c r="C312" s="11" t="s">
        <v>3763</v>
      </c>
      <c r="D312" s="11"/>
      <c r="E312" s="11" t="s">
        <v>3988</v>
      </c>
      <c r="F312" s="11">
        <v>1</v>
      </c>
    </row>
    <row r="313" spans="1:9" ht="16.2" thickBot="1" x14ac:dyDescent="0.35">
      <c r="A313" s="9">
        <v>142</v>
      </c>
      <c r="B313" s="10" t="s">
        <v>258</v>
      </c>
      <c r="C313" s="11" t="s">
        <v>3763</v>
      </c>
      <c r="D313" s="11"/>
      <c r="E313" s="11" t="s">
        <v>3988</v>
      </c>
      <c r="F313" s="11">
        <v>1</v>
      </c>
    </row>
    <row r="314" spans="1:9" ht="16.2" thickBot="1" x14ac:dyDescent="0.35">
      <c r="A314" s="9">
        <v>209</v>
      </c>
      <c r="B314" s="10" t="s">
        <v>277</v>
      </c>
      <c r="C314" s="11" t="s">
        <v>3763</v>
      </c>
      <c r="D314" s="11"/>
      <c r="E314" s="12" t="s">
        <v>3988</v>
      </c>
      <c r="F314" s="11">
        <v>1</v>
      </c>
    </row>
    <row r="315" spans="1:9" ht="16.2" thickBot="1" x14ac:dyDescent="0.35">
      <c r="A315" s="9">
        <v>195</v>
      </c>
      <c r="B315" s="10" t="s">
        <v>311</v>
      </c>
      <c r="C315" s="11" t="s">
        <v>3763</v>
      </c>
      <c r="D315" s="11"/>
      <c r="E315" s="12" t="s">
        <v>3988</v>
      </c>
      <c r="F315" s="11" t="s">
        <v>3764</v>
      </c>
    </row>
    <row r="316" spans="1:9" ht="16.2" thickBot="1" x14ac:dyDescent="0.35">
      <c r="A316" s="9">
        <v>157</v>
      </c>
      <c r="B316" s="10" t="s">
        <v>88</v>
      </c>
      <c r="C316" s="11" t="s">
        <v>3765</v>
      </c>
      <c r="D316" s="11"/>
      <c r="E316" s="11"/>
      <c r="F316" s="11">
        <v>1</v>
      </c>
      <c r="I316">
        <v>1222</v>
      </c>
    </row>
    <row r="317" spans="1:9" ht="16.2" thickBot="1" x14ac:dyDescent="0.35">
      <c r="A317" s="9">
        <v>50</v>
      </c>
      <c r="B317" s="10" t="s">
        <v>9</v>
      </c>
      <c r="C317" s="11" t="s">
        <v>345</v>
      </c>
      <c r="D317" s="11"/>
      <c r="E317" s="11">
        <v>1</v>
      </c>
      <c r="F317" s="11"/>
      <c r="I317">
        <v>1227</v>
      </c>
    </row>
    <row r="318" spans="1:9" ht="16.2" thickBot="1" x14ac:dyDescent="0.35">
      <c r="A318" s="9">
        <v>263</v>
      </c>
      <c r="B318" s="10" t="s">
        <v>98</v>
      </c>
      <c r="C318" s="11" t="s">
        <v>345</v>
      </c>
      <c r="D318" s="11"/>
      <c r="E318" s="11" t="s">
        <v>3751</v>
      </c>
      <c r="F318" s="11"/>
    </row>
    <row r="319" spans="1:9" ht="16.2" thickBot="1" x14ac:dyDescent="0.35">
      <c r="A319" s="9">
        <v>110</v>
      </c>
      <c r="B319" s="10" t="s">
        <v>106</v>
      </c>
      <c r="C319" s="11" t="s">
        <v>345</v>
      </c>
      <c r="D319" s="11"/>
      <c r="E319" s="11"/>
      <c r="F319" s="11">
        <v>1</v>
      </c>
      <c r="G319" t="s">
        <v>3716</v>
      </c>
    </row>
    <row r="320" spans="1:9" ht="16.2" thickBot="1" x14ac:dyDescent="0.35">
      <c r="A320" s="9">
        <v>57</v>
      </c>
      <c r="B320" s="10" t="s">
        <v>107</v>
      </c>
      <c r="C320" s="11" t="s">
        <v>345</v>
      </c>
      <c r="D320" s="11"/>
      <c r="E320" s="11"/>
      <c r="F320" s="11">
        <v>1</v>
      </c>
      <c r="G320" t="s">
        <v>3716</v>
      </c>
    </row>
    <row r="321" spans="1:9" ht="16.2" thickBot="1" x14ac:dyDescent="0.35">
      <c r="A321" s="9">
        <v>305</v>
      </c>
      <c r="B321" s="10" t="s">
        <v>207</v>
      </c>
      <c r="C321" s="11" t="s">
        <v>345</v>
      </c>
      <c r="D321" s="11"/>
      <c r="E321" s="11"/>
      <c r="F321" s="11">
        <v>1</v>
      </c>
    </row>
    <row r="322" spans="1:9" ht="16.2" thickBot="1" x14ac:dyDescent="0.35">
      <c r="A322" s="9">
        <v>47</v>
      </c>
      <c r="B322" s="10" t="s">
        <v>234</v>
      </c>
      <c r="C322" s="11" t="s">
        <v>345</v>
      </c>
      <c r="D322" s="11"/>
      <c r="E322" s="11"/>
      <c r="F322" s="11">
        <v>1</v>
      </c>
      <c r="G322" t="s">
        <v>3716</v>
      </c>
    </row>
    <row r="323" spans="1:9" ht="16.2" thickBot="1" x14ac:dyDescent="0.35">
      <c r="A323" s="9">
        <v>279</v>
      </c>
      <c r="B323" s="10" t="s">
        <v>317</v>
      </c>
      <c r="C323" s="11" t="s">
        <v>345</v>
      </c>
      <c r="D323" s="11"/>
      <c r="E323" s="11"/>
      <c r="F323" s="11">
        <v>1</v>
      </c>
    </row>
    <row r="324" spans="1:9" ht="16.2" thickBot="1" x14ac:dyDescent="0.35">
      <c r="A324" s="9">
        <v>243</v>
      </c>
      <c r="B324" s="10" t="s">
        <v>325</v>
      </c>
      <c r="C324" s="11" t="s">
        <v>345</v>
      </c>
      <c r="D324" s="11"/>
      <c r="E324" s="11"/>
      <c r="F324" s="11">
        <v>1</v>
      </c>
      <c r="G324" t="s">
        <v>3716</v>
      </c>
    </row>
    <row r="325" spans="1:9" ht="16.2" thickBot="1" x14ac:dyDescent="0.35">
      <c r="A325" s="9">
        <v>151</v>
      </c>
      <c r="B325" s="10" t="s">
        <v>327</v>
      </c>
      <c r="C325" s="11" t="s">
        <v>345</v>
      </c>
      <c r="D325" s="11"/>
      <c r="E325" s="11"/>
      <c r="F325" s="11">
        <v>1</v>
      </c>
      <c r="G325" t="s">
        <v>3716</v>
      </c>
    </row>
    <row r="326" spans="1:9" ht="16.2" thickBot="1" x14ac:dyDescent="0.35">
      <c r="A326" s="9">
        <v>43</v>
      </c>
      <c r="B326" s="10" t="s">
        <v>10</v>
      </c>
      <c r="C326" s="11" t="s">
        <v>343</v>
      </c>
      <c r="D326" s="11"/>
      <c r="E326" t="s">
        <v>3988</v>
      </c>
      <c r="F326" s="11">
        <v>1</v>
      </c>
      <c r="I326">
        <v>1228</v>
      </c>
    </row>
    <row r="327" spans="1:9" ht="16.2" thickBot="1" x14ac:dyDescent="0.35">
      <c r="A327" s="9">
        <v>267</v>
      </c>
      <c r="B327" s="10" t="s">
        <v>39</v>
      </c>
      <c r="C327" s="11" t="s">
        <v>343</v>
      </c>
      <c r="D327" s="11"/>
      <c r="E327" t="s">
        <v>3988</v>
      </c>
      <c r="F327" s="11">
        <v>1</v>
      </c>
    </row>
    <row r="328" spans="1:9" ht="16.2" thickBot="1" x14ac:dyDescent="0.35">
      <c r="A328" s="9">
        <v>305</v>
      </c>
      <c r="B328" s="10" t="s">
        <v>44</v>
      </c>
      <c r="C328" s="11" t="s">
        <v>343</v>
      </c>
      <c r="D328" s="11"/>
      <c r="E328" t="s">
        <v>3988</v>
      </c>
      <c r="F328" s="11">
        <v>1</v>
      </c>
    </row>
    <row r="329" spans="1:9" ht="16.2" thickBot="1" x14ac:dyDescent="0.35">
      <c r="A329" s="9">
        <v>118</v>
      </c>
      <c r="B329" s="10" t="s">
        <v>48</v>
      </c>
      <c r="C329" s="11" t="s">
        <v>343</v>
      </c>
      <c r="D329" s="11"/>
      <c r="E329" s="11" t="s">
        <v>3988</v>
      </c>
      <c r="F329" s="11">
        <v>1</v>
      </c>
    </row>
    <row r="330" spans="1:9" ht="16.2" thickBot="1" x14ac:dyDescent="0.35">
      <c r="A330" s="9">
        <v>248</v>
      </c>
      <c r="B330" s="10" t="s">
        <v>102</v>
      </c>
      <c r="C330" s="11" t="s">
        <v>343</v>
      </c>
      <c r="D330" s="11"/>
      <c r="E330" s="11" t="s">
        <v>3988</v>
      </c>
      <c r="F330" s="11">
        <v>1</v>
      </c>
      <c r="G330" t="s">
        <v>3716</v>
      </c>
    </row>
    <row r="331" spans="1:9" ht="16.2" thickBot="1" x14ac:dyDescent="0.35">
      <c r="A331" s="9">
        <v>297</v>
      </c>
      <c r="B331" s="10" t="s">
        <v>177</v>
      </c>
      <c r="C331" s="11" t="s">
        <v>343</v>
      </c>
      <c r="D331" s="11"/>
      <c r="E331" s="12" t="s">
        <v>3988</v>
      </c>
      <c r="F331" s="11">
        <v>1</v>
      </c>
    </row>
    <row r="332" spans="1:9" ht="16.2" thickBot="1" x14ac:dyDescent="0.35">
      <c r="A332" s="9">
        <v>221</v>
      </c>
      <c r="B332" s="10" t="s">
        <v>195</v>
      </c>
      <c r="C332" s="11" t="s">
        <v>343</v>
      </c>
      <c r="D332" s="11"/>
      <c r="E332" s="12" t="s">
        <v>3988</v>
      </c>
      <c r="F332" s="11" t="s">
        <v>3764</v>
      </c>
    </row>
    <row r="333" spans="1:9" ht="16.2" thickBot="1" x14ac:dyDescent="0.35">
      <c r="A333" s="9">
        <v>131</v>
      </c>
      <c r="B333" s="10" t="s">
        <v>198</v>
      </c>
      <c r="C333" s="11" t="s">
        <v>343</v>
      </c>
      <c r="D333" s="11"/>
      <c r="E333" s="12" t="s">
        <v>3988</v>
      </c>
      <c r="F333" s="11">
        <v>1</v>
      </c>
    </row>
    <row r="334" spans="1:9" ht="16.2" thickBot="1" x14ac:dyDescent="0.35">
      <c r="A334" s="9">
        <v>235</v>
      </c>
      <c r="B334" s="10" t="s">
        <v>45</v>
      </c>
      <c r="C334" s="11" t="s">
        <v>346</v>
      </c>
      <c r="D334" s="11"/>
      <c r="E334" t="s">
        <v>3988</v>
      </c>
      <c r="F334" s="11">
        <v>1</v>
      </c>
      <c r="H334">
        <v>1229</v>
      </c>
    </row>
    <row r="335" spans="1:9" ht="16.2" thickBot="1" x14ac:dyDescent="0.35">
      <c r="A335" s="9">
        <v>148</v>
      </c>
      <c r="B335" s="10" t="s">
        <v>236</v>
      </c>
      <c r="C335" s="11" t="s">
        <v>346</v>
      </c>
      <c r="D335" s="11"/>
      <c r="E335" t="s">
        <v>3988</v>
      </c>
      <c r="F335" s="11">
        <v>1</v>
      </c>
    </row>
    <row r="336" spans="1:9" ht="16.2" thickBot="1" x14ac:dyDescent="0.35">
      <c r="A336" s="9">
        <v>301</v>
      </c>
      <c r="B336" s="10" t="s">
        <v>292</v>
      </c>
      <c r="C336" s="11" t="s">
        <v>346</v>
      </c>
      <c r="D336" s="11"/>
      <c r="E336" s="11" t="s">
        <v>3988</v>
      </c>
      <c r="F336" s="11">
        <v>1</v>
      </c>
      <c r="G336" t="s">
        <v>3716</v>
      </c>
    </row>
    <row r="337" spans="1:6" ht="16.2" thickBot="1" x14ac:dyDescent="0.35">
      <c r="A337" s="9">
        <v>226</v>
      </c>
      <c r="B337" s="10" t="s">
        <v>70</v>
      </c>
      <c r="C337" s="11"/>
      <c r="D337" s="11"/>
      <c r="E337" s="11"/>
      <c r="F337" s="11"/>
    </row>
    <row r="338" spans="1:6" ht="16.2" thickBot="1" x14ac:dyDescent="0.35">
      <c r="A338" s="9">
        <v>273</v>
      </c>
      <c r="B338" s="10" t="s">
        <v>286</v>
      </c>
      <c r="C338" s="11"/>
      <c r="D338" s="11"/>
      <c r="E338" s="11"/>
      <c r="F338" s="11"/>
    </row>
    <row r="339" spans="1:6" x14ac:dyDescent="0.3">
      <c r="A339" s="7" t="s">
        <v>337</v>
      </c>
      <c r="B339" s="8"/>
      <c r="C339" s="8"/>
      <c r="D339" s="8"/>
    </row>
    <row r="342" spans="1:6" x14ac:dyDescent="0.3">
      <c r="A342" s="1"/>
    </row>
  </sheetData>
  <sortState xmlns:xlrd2="http://schemas.microsoft.com/office/spreadsheetml/2017/richdata2" ref="A234:D247">
    <sortCondition ref="B234:B247"/>
  </sortState>
  <hyperlinks>
    <hyperlink ref="A339" location="_ednref1" display="_ednref1" xr:uid="{00000000-0004-0000-0000-000000000000}"/>
  </hyperlinks>
  <pageMargins left="0.23622047244094491" right="0.23622047244094491" top="0.74803149606299213" bottom="0.74803149606299213" header="0.31496062992125984" footer="0.31496062992125984"/>
  <pageSetup paperSize="9" scale="98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M2672"/>
  <sheetViews>
    <sheetView workbookViewId="0">
      <selection activeCell="X6" sqref="X6"/>
    </sheetView>
  </sheetViews>
  <sheetFormatPr defaultRowHeight="14.4" x14ac:dyDescent="0.3"/>
  <cols>
    <col min="1" max="1" width="48.6640625" customWidth="1"/>
    <col min="2" max="2" width="8.77734375" customWidth="1"/>
    <col min="3" max="3" width="1.44140625" customWidth="1"/>
    <col min="5" max="90" width="1.6640625" customWidth="1"/>
  </cols>
  <sheetData>
    <row r="1" spans="1:91" x14ac:dyDescent="0.3">
      <c r="A1" t="s">
        <v>349</v>
      </c>
      <c r="B1">
        <v>46299</v>
      </c>
      <c r="D1">
        <v>12</v>
      </c>
      <c r="Q1" s="2">
        <v>15138100</v>
      </c>
      <c r="V1" t="s">
        <v>350</v>
      </c>
      <c r="Y1">
        <v>100</v>
      </c>
      <c r="AA1">
        <v>100.5</v>
      </c>
      <c r="AC1" s="3">
        <v>100.62</v>
      </c>
      <c r="AE1" s="3">
        <v>99.37</v>
      </c>
      <c r="AI1">
        <v>99.5</v>
      </c>
      <c r="AK1" s="3"/>
      <c r="AV1" t="s">
        <v>351</v>
      </c>
      <c r="AX1" t="s">
        <v>351</v>
      </c>
      <c r="AZ1" t="s">
        <v>351</v>
      </c>
      <c r="BB1" t="s">
        <v>351</v>
      </c>
      <c r="BO1" t="s">
        <v>352</v>
      </c>
      <c r="BT1">
        <v>3</v>
      </c>
      <c r="BU1">
        <v>11</v>
      </c>
      <c r="BV1">
        <v>6</v>
      </c>
      <c r="BX1">
        <v>102</v>
      </c>
      <c r="BZ1">
        <v>99.06</v>
      </c>
      <c r="CB1">
        <v>1929</v>
      </c>
      <c r="CD1" t="s">
        <v>353</v>
      </c>
      <c r="CK1" t="s">
        <v>354</v>
      </c>
      <c r="CM1">
        <v>1911</v>
      </c>
    </row>
    <row r="2" spans="1:91" x14ac:dyDescent="0.3">
      <c r="A2" t="s">
        <v>349</v>
      </c>
      <c r="B2">
        <v>46301</v>
      </c>
      <c r="C2" t="s">
        <v>355</v>
      </c>
      <c r="D2">
        <v>12</v>
      </c>
      <c r="Q2" s="2">
        <v>10209100</v>
      </c>
      <c r="V2" t="s">
        <v>350</v>
      </c>
      <c r="Y2">
        <v>100</v>
      </c>
      <c r="AA2">
        <v>87.5</v>
      </c>
      <c r="AC2" s="3">
        <v>87.75</v>
      </c>
      <c r="AE2" s="3">
        <v>87.12</v>
      </c>
      <c r="AI2">
        <v>87.5</v>
      </c>
      <c r="AK2" s="3"/>
      <c r="AV2" t="s">
        <v>356</v>
      </c>
      <c r="AX2" t="s">
        <v>356</v>
      </c>
      <c r="AZ2" t="s">
        <v>356</v>
      </c>
      <c r="BB2" t="s">
        <v>356</v>
      </c>
      <c r="BO2" t="s">
        <v>352</v>
      </c>
      <c r="BT2">
        <v>3</v>
      </c>
      <c r="BU2">
        <v>15</v>
      </c>
      <c r="BV2">
        <v>0</v>
      </c>
      <c r="BX2">
        <v>92.37</v>
      </c>
      <c r="BZ2">
        <v>86.12</v>
      </c>
      <c r="CB2">
        <v>1941</v>
      </c>
      <c r="CD2" t="s">
        <v>353</v>
      </c>
      <c r="CK2" t="s">
        <v>354</v>
      </c>
      <c r="CM2">
        <v>1911</v>
      </c>
    </row>
    <row r="3" spans="1:91" x14ac:dyDescent="0.3">
      <c r="A3" t="s">
        <v>349</v>
      </c>
      <c r="B3">
        <v>46300</v>
      </c>
      <c r="C3" t="s">
        <v>357</v>
      </c>
      <c r="D3">
        <v>12</v>
      </c>
      <c r="Q3" s="2">
        <v>6227930</v>
      </c>
      <c r="V3" t="s">
        <v>350</v>
      </c>
      <c r="Y3">
        <v>100</v>
      </c>
      <c r="AA3">
        <v>77.5</v>
      </c>
      <c r="AC3" s="3">
        <v>77.75</v>
      </c>
      <c r="AE3" s="3">
        <v>77</v>
      </c>
      <c r="AI3">
        <v>77.5</v>
      </c>
      <c r="AK3" s="3"/>
      <c r="AV3" t="s">
        <v>358</v>
      </c>
      <c r="AX3" t="s">
        <v>358</v>
      </c>
      <c r="AZ3" t="s">
        <v>358</v>
      </c>
      <c r="BB3" t="s">
        <v>358</v>
      </c>
      <c r="BO3" t="s">
        <v>352</v>
      </c>
      <c r="BT3">
        <v>3</v>
      </c>
      <c r="BU3">
        <v>13</v>
      </c>
      <c r="BV3">
        <v>0</v>
      </c>
      <c r="BX3">
        <v>80.25</v>
      </c>
      <c r="BZ3">
        <v>76.75</v>
      </c>
      <c r="CB3" t="s">
        <v>359</v>
      </c>
      <c r="CD3" t="s">
        <v>353</v>
      </c>
      <c r="CK3" t="s">
        <v>360</v>
      </c>
      <c r="CM3">
        <v>1911</v>
      </c>
    </row>
    <row r="4" spans="1:91" x14ac:dyDescent="0.3">
      <c r="A4" t="s">
        <v>361</v>
      </c>
      <c r="B4">
        <v>45718</v>
      </c>
      <c r="D4">
        <v>12</v>
      </c>
      <c r="Q4" s="2">
        <v>5561690</v>
      </c>
      <c r="V4" t="s">
        <v>350</v>
      </c>
      <c r="Y4">
        <v>100</v>
      </c>
      <c r="AA4">
        <v>70.5</v>
      </c>
      <c r="AC4" s="3">
        <v>70.62</v>
      </c>
      <c r="AE4" s="3">
        <v>70.12</v>
      </c>
      <c r="AI4">
        <v>70.5</v>
      </c>
      <c r="AK4" s="3"/>
      <c r="AV4" t="s">
        <v>358</v>
      </c>
      <c r="AX4" t="s">
        <v>358</v>
      </c>
      <c r="AZ4" t="s">
        <v>358</v>
      </c>
      <c r="BB4" t="s">
        <v>358</v>
      </c>
      <c r="BO4" t="s">
        <v>352</v>
      </c>
      <c r="BT4">
        <v>3</v>
      </c>
      <c r="BU4">
        <v>11</v>
      </c>
      <c r="BV4">
        <v>6</v>
      </c>
      <c r="BX4">
        <v>74.87</v>
      </c>
      <c r="BZ4">
        <v>68.25</v>
      </c>
      <c r="CB4">
        <v>1920</v>
      </c>
      <c r="CC4" t="s">
        <v>362</v>
      </c>
      <c r="CD4" t="s">
        <v>353</v>
      </c>
      <c r="CK4" t="s">
        <v>354</v>
      </c>
      <c r="CM4">
        <v>1911</v>
      </c>
    </row>
    <row r="5" spans="1:91" x14ac:dyDescent="0.3">
      <c r="A5" t="s">
        <v>361</v>
      </c>
      <c r="B5">
        <v>45719</v>
      </c>
      <c r="C5" t="s">
        <v>363</v>
      </c>
      <c r="D5">
        <v>12</v>
      </c>
      <c r="Q5" s="2">
        <v>25876700</v>
      </c>
      <c r="V5" t="s">
        <v>350</v>
      </c>
      <c r="Y5">
        <v>100</v>
      </c>
      <c r="AA5">
        <v>85</v>
      </c>
      <c r="AC5" s="3">
        <v>85</v>
      </c>
      <c r="AE5" s="3">
        <v>83.56</v>
      </c>
      <c r="AI5">
        <v>84</v>
      </c>
      <c r="AK5" s="3"/>
      <c r="AV5" t="s">
        <v>358</v>
      </c>
      <c r="AX5" t="s">
        <v>358</v>
      </c>
      <c r="AZ5" t="s">
        <v>358</v>
      </c>
      <c r="BB5" t="s">
        <v>358</v>
      </c>
      <c r="BO5" t="s">
        <v>352</v>
      </c>
      <c r="BT5">
        <v>3</v>
      </c>
      <c r="BU5">
        <v>11</v>
      </c>
      <c r="BV5">
        <v>6</v>
      </c>
      <c r="BX5">
        <v>88.62</v>
      </c>
      <c r="BZ5">
        <v>83.37</v>
      </c>
      <c r="CB5">
        <v>1920</v>
      </c>
      <c r="CC5" t="s">
        <v>362</v>
      </c>
      <c r="CD5" t="s">
        <v>353</v>
      </c>
      <c r="CK5" t="s">
        <v>354</v>
      </c>
      <c r="CM5">
        <v>1911</v>
      </c>
    </row>
    <row r="6" spans="1:91" x14ac:dyDescent="0.3">
      <c r="A6" t="s">
        <v>361</v>
      </c>
      <c r="B6">
        <v>45721</v>
      </c>
      <c r="C6" t="s">
        <v>364</v>
      </c>
      <c r="D6">
        <v>12</v>
      </c>
      <c r="Q6" s="2">
        <v>10000000</v>
      </c>
      <c r="V6" t="s">
        <v>350</v>
      </c>
      <c r="Y6">
        <v>100</v>
      </c>
      <c r="AA6">
        <v>100</v>
      </c>
      <c r="AC6" s="3">
        <v>100.12</v>
      </c>
      <c r="AE6" s="3">
        <v>99</v>
      </c>
      <c r="AI6">
        <v>99</v>
      </c>
      <c r="AK6" s="3"/>
      <c r="AV6" t="s">
        <v>351</v>
      </c>
      <c r="AX6" t="s">
        <v>351</v>
      </c>
      <c r="AZ6" t="s">
        <v>351</v>
      </c>
      <c r="BB6" t="s">
        <v>351</v>
      </c>
      <c r="BO6" t="s">
        <v>352</v>
      </c>
      <c r="BT6">
        <v>3</v>
      </c>
      <c r="BU6">
        <v>11</v>
      </c>
      <c r="BV6">
        <v>0</v>
      </c>
      <c r="BX6">
        <v>101.87</v>
      </c>
      <c r="BZ6">
        <v>98.37</v>
      </c>
      <c r="CB6">
        <v>1929</v>
      </c>
      <c r="CC6" t="s">
        <v>362</v>
      </c>
      <c r="CD6" t="s">
        <v>353</v>
      </c>
      <c r="CK6" t="s">
        <v>354</v>
      </c>
      <c r="CM6">
        <v>1911</v>
      </c>
    </row>
    <row r="7" spans="1:91" x14ac:dyDescent="0.3">
      <c r="A7" t="s">
        <v>365</v>
      </c>
      <c r="B7">
        <v>42803</v>
      </c>
      <c r="D7">
        <v>12</v>
      </c>
      <c r="Q7">
        <v>259700</v>
      </c>
      <c r="U7">
        <v>100</v>
      </c>
      <c r="Y7">
        <v>100</v>
      </c>
      <c r="AA7">
        <v>100</v>
      </c>
      <c r="AC7" s="3">
        <v>100</v>
      </c>
      <c r="AE7" s="3">
        <v>100</v>
      </c>
      <c r="AI7">
        <v>100</v>
      </c>
      <c r="AK7" s="3"/>
      <c r="AV7" t="s">
        <v>366</v>
      </c>
      <c r="AX7" t="s">
        <v>366</v>
      </c>
      <c r="AZ7" t="s">
        <v>366</v>
      </c>
      <c r="BB7" t="s">
        <v>366</v>
      </c>
      <c r="BO7" t="s">
        <v>367</v>
      </c>
      <c r="BT7">
        <v>3</v>
      </c>
      <c r="BU7">
        <v>13</v>
      </c>
      <c r="BV7">
        <v>3</v>
      </c>
      <c r="BX7">
        <v>100.5</v>
      </c>
      <c r="BZ7">
        <v>99</v>
      </c>
      <c r="CB7">
        <v>1916</v>
      </c>
      <c r="CC7" t="s">
        <v>368</v>
      </c>
      <c r="CD7" t="s">
        <v>353</v>
      </c>
      <c r="CM7">
        <v>1911</v>
      </c>
    </row>
    <row r="8" spans="1:91" x14ac:dyDescent="0.3">
      <c r="A8" t="s">
        <v>365</v>
      </c>
      <c r="B8">
        <v>42807</v>
      </c>
      <c r="C8" t="s">
        <v>369</v>
      </c>
      <c r="D8">
        <v>12</v>
      </c>
      <c r="Q8" s="2">
        <v>1642900</v>
      </c>
      <c r="V8" t="s">
        <v>350</v>
      </c>
      <c r="Y8">
        <v>100</v>
      </c>
      <c r="AA8">
        <v>77</v>
      </c>
      <c r="AC8" s="3">
        <v>77</v>
      </c>
      <c r="AE8" s="3">
        <v>75.25</v>
      </c>
      <c r="AI8">
        <v>76</v>
      </c>
      <c r="AK8" s="3"/>
      <c r="AV8" t="s">
        <v>370</v>
      </c>
      <c r="AX8" t="s">
        <v>370</v>
      </c>
      <c r="AZ8" t="s">
        <v>370</v>
      </c>
      <c r="BB8" t="s">
        <v>370</v>
      </c>
      <c r="BO8" t="s">
        <v>367</v>
      </c>
      <c r="BT8">
        <v>3</v>
      </c>
      <c r="BU8">
        <v>13</v>
      </c>
      <c r="BV8">
        <v>3</v>
      </c>
      <c r="BX8">
        <v>77.5</v>
      </c>
      <c r="BZ8">
        <v>75.12</v>
      </c>
      <c r="CB8" t="s">
        <v>371</v>
      </c>
      <c r="CD8" t="s">
        <v>353</v>
      </c>
      <c r="CK8" t="s">
        <v>360</v>
      </c>
      <c r="CM8">
        <v>1911</v>
      </c>
    </row>
    <row r="9" spans="1:91" x14ac:dyDescent="0.3">
      <c r="A9" t="s">
        <v>365</v>
      </c>
      <c r="B9">
        <v>42812</v>
      </c>
      <c r="C9" t="s">
        <v>372</v>
      </c>
      <c r="D9">
        <v>12</v>
      </c>
      <c r="Q9" s="2">
        <v>1250000</v>
      </c>
      <c r="V9" t="s">
        <v>350</v>
      </c>
      <c r="Y9">
        <v>100</v>
      </c>
      <c r="AA9">
        <v>86</v>
      </c>
      <c r="AC9" s="3">
        <v>86.25</v>
      </c>
      <c r="AE9" s="3">
        <v>86</v>
      </c>
      <c r="AI9">
        <v>86</v>
      </c>
      <c r="AK9" s="3"/>
      <c r="AV9" t="s">
        <v>373</v>
      </c>
      <c r="AX9" t="s">
        <v>373</v>
      </c>
      <c r="AZ9" t="s">
        <v>373</v>
      </c>
      <c r="BB9" t="s">
        <v>373</v>
      </c>
      <c r="BO9" t="s">
        <v>367</v>
      </c>
      <c r="BT9">
        <v>3</v>
      </c>
      <c r="BU9">
        <v>13</v>
      </c>
      <c r="BV9">
        <v>6</v>
      </c>
      <c r="BX9">
        <v>88.5</v>
      </c>
      <c r="BZ9">
        <v>85.5</v>
      </c>
      <c r="CB9" t="s">
        <v>371</v>
      </c>
      <c r="CD9" t="s">
        <v>353</v>
      </c>
      <c r="CK9" t="s">
        <v>360</v>
      </c>
      <c r="CM9">
        <v>1911</v>
      </c>
    </row>
    <row r="10" spans="1:91" x14ac:dyDescent="0.3">
      <c r="A10" t="s">
        <v>365</v>
      </c>
      <c r="B10">
        <v>42810</v>
      </c>
      <c r="C10" t="s">
        <v>372</v>
      </c>
      <c r="D10">
        <v>12</v>
      </c>
      <c r="Q10" s="2">
        <v>1000000</v>
      </c>
      <c r="V10" t="s">
        <v>350</v>
      </c>
      <c r="Y10">
        <v>100</v>
      </c>
      <c r="AA10">
        <v>94</v>
      </c>
      <c r="AC10" s="3">
        <v>94</v>
      </c>
      <c r="AE10" s="3">
        <v>93.5</v>
      </c>
      <c r="AI10">
        <v>94</v>
      </c>
      <c r="AK10" s="3"/>
      <c r="AV10" t="s">
        <v>374</v>
      </c>
      <c r="AX10" t="s">
        <v>374</v>
      </c>
      <c r="AZ10" t="s">
        <v>374</v>
      </c>
      <c r="BB10" t="s">
        <v>374</v>
      </c>
      <c r="BO10" t="s">
        <v>367</v>
      </c>
      <c r="BT10">
        <v>3</v>
      </c>
      <c r="BU10">
        <v>5</v>
      </c>
      <c r="BV10">
        <v>9</v>
      </c>
      <c r="BX10">
        <v>95.5</v>
      </c>
      <c r="BZ10">
        <v>93</v>
      </c>
      <c r="CB10">
        <v>1923</v>
      </c>
      <c r="CD10" t="s">
        <v>353</v>
      </c>
      <c r="CM10">
        <v>1911</v>
      </c>
    </row>
    <row r="11" spans="1:91" x14ac:dyDescent="0.3">
      <c r="A11" t="s">
        <v>375</v>
      </c>
      <c r="B11">
        <v>40822</v>
      </c>
      <c r="D11">
        <v>12</v>
      </c>
      <c r="Q11">
        <v>176660</v>
      </c>
      <c r="V11" t="s">
        <v>350</v>
      </c>
      <c r="Y11">
        <v>100</v>
      </c>
      <c r="AA11">
        <v>81</v>
      </c>
      <c r="AC11" s="3">
        <v>81.5</v>
      </c>
      <c r="AE11" s="3">
        <v>80.5</v>
      </c>
      <c r="AI11">
        <v>81</v>
      </c>
      <c r="AK11" s="3"/>
      <c r="AV11" t="s">
        <v>376</v>
      </c>
      <c r="AX11" t="s">
        <v>376</v>
      </c>
      <c r="AZ11" t="s">
        <v>376</v>
      </c>
      <c r="BB11" t="s">
        <v>376</v>
      </c>
      <c r="BO11" t="s">
        <v>367</v>
      </c>
      <c r="BT11">
        <v>4</v>
      </c>
      <c r="BU11">
        <v>2</v>
      </c>
      <c r="BV11">
        <v>3</v>
      </c>
      <c r="BX11">
        <v>82</v>
      </c>
      <c r="BZ11">
        <v>80.5</v>
      </c>
      <c r="CB11" t="s">
        <v>377</v>
      </c>
      <c r="CD11" t="s">
        <v>353</v>
      </c>
      <c r="CK11" t="s">
        <v>360</v>
      </c>
      <c r="CM11">
        <v>1911</v>
      </c>
    </row>
    <row r="12" spans="1:91" x14ac:dyDescent="0.3">
      <c r="A12" t="s">
        <v>378</v>
      </c>
      <c r="B12">
        <v>40841</v>
      </c>
      <c r="D12">
        <v>12</v>
      </c>
      <c r="Q12">
        <v>182000</v>
      </c>
      <c r="V12" t="s">
        <v>350</v>
      </c>
      <c r="Y12">
        <v>100</v>
      </c>
      <c r="AA12">
        <v>81</v>
      </c>
      <c r="AC12" s="3">
        <v>81</v>
      </c>
      <c r="AE12" s="3">
        <v>80</v>
      </c>
      <c r="AI12">
        <v>80</v>
      </c>
      <c r="AJ12" t="s">
        <v>379</v>
      </c>
      <c r="AK12" s="3"/>
      <c r="AV12" t="s">
        <v>370</v>
      </c>
      <c r="AX12" t="s">
        <v>370</v>
      </c>
      <c r="AZ12" t="s">
        <v>370</v>
      </c>
      <c r="BB12" t="s">
        <v>370</v>
      </c>
      <c r="BO12" t="s">
        <v>367</v>
      </c>
      <c r="BT12">
        <v>4</v>
      </c>
      <c r="BU12">
        <v>2</v>
      </c>
      <c r="BV12">
        <v>3</v>
      </c>
      <c r="BX12">
        <v>82.5</v>
      </c>
      <c r="BZ12">
        <v>80</v>
      </c>
      <c r="CB12" t="s">
        <v>380</v>
      </c>
      <c r="CD12" t="s">
        <v>353</v>
      </c>
      <c r="CK12" t="s">
        <v>360</v>
      </c>
      <c r="CM12">
        <v>1911</v>
      </c>
    </row>
    <row r="13" spans="1:91" x14ac:dyDescent="0.3">
      <c r="A13" t="s">
        <v>381</v>
      </c>
      <c r="B13">
        <v>40865</v>
      </c>
      <c r="D13">
        <v>12</v>
      </c>
      <c r="Q13">
        <v>431833</v>
      </c>
      <c r="V13" t="s">
        <v>350</v>
      </c>
      <c r="Y13">
        <v>100</v>
      </c>
      <c r="AA13">
        <v>85</v>
      </c>
      <c r="AC13" s="3">
        <v>85</v>
      </c>
      <c r="AE13" s="3">
        <v>85</v>
      </c>
      <c r="AI13">
        <v>85</v>
      </c>
      <c r="AK13" s="3"/>
      <c r="AV13" t="s">
        <v>382</v>
      </c>
      <c r="AX13" t="s">
        <v>382</v>
      </c>
      <c r="AZ13" t="s">
        <v>382</v>
      </c>
      <c r="BB13" t="s">
        <v>382</v>
      </c>
      <c r="BO13" t="s">
        <v>367</v>
      </c>
      <c r="BT13">
        <v>4</v>
      </c>
      <c r="BU13">
        <v>4</v>
      </c>
      <c r="BV13">
        <v>9</v>
      </c>
      <c r="BX13">
        <v>86.5</v>
      </c>
      <c r="BZ13">
        <v>84</v>
      </c>
      <c r="CB13" t="s">
        <v>383</v>
      </c>
      <c r="CD13" t="s">
        <v>353</v>
      </c>
      <c r="CK13" t="s">
        <v>384</v>
      </c>
      <c r="CM13">
        <v>1911</v>
      </c>
    </row>
    <row r="14" spans="1:91" x14ac:dyDescent="0.3">
      <c r="A14" t="s">
        <v>381</v>
      </c>
      <c r="B14">
        <v>40866</v>
      </c>
      <c r="C14" t="s">
        <v>364</v>
      </c>
      <c r="D14">
        <v>12</v>
      </c>
      <c r="Q14">
        <v>235701</v>
      </c>
      <c r="V14" t="s">
        <v>350</v>
      </c>
      <c r="Y14">
        <v>100</v>
      </c>
      <c r="AA14">
        <v>96</v>
      </c>
      <c r="AC14" s="3">
        <v>96.62</v>
      </c>
      <c r="AE14" s="3">
        <v>96</v>
      </c>
      <c r="AI14">
        <v>96</v>
      </c>
      <c r="AK14" s="3"/>
      <c r="AV14" t="s">
        <v>382</v>
      </c>
      <c r="AX14" t="s">
        <v>382</v>
      </c>
      <c r="AZ14" t="s">
        <v>382</v>
      </c>
      <c r="BB14" t="s">
        <v>382</v>
      </c>
      <c r="BO14" t="s">
        <v>367</v>
      </c>
      <c r="BT14">
        <v>3</v>
      </c>
      <c r="BU14">
        <v>14</v>
      </c>
      <c r="BV14">
        <v>3</v>
      </c>
      <c r="BY14" t="s">
        <v>385</v>
      </c>
      <c r="CA14" t="s">
        <v>385</v>
      </c>
      <c r="CB14" t="s">
        <v>386</v>
      </c>
      <c r="CD14" t="s">
        <v>353</v>
      </c>
      <c r="CM14">
        <v>1911</v>
      </c>
    </row>
    <row r="15" spans="1:91" x14ac:dyDescent="0.3">
      <c r="A15" t="s">
        <v>387</v>
      </c>
      <c r="B15">
        <v>40920</v>
      </c>
      <c r="D15">
        <v>12</v>
      </c>
      <c r="Q15" s="2">
        <v>1695000</v>
      </c>
      <c r="V15" t="s">
        <v>350</v>
      </c>
      <c r="Y15">
        <v>100</v>
      </c>
      <c r="AA15">
        <v>95</v>
      </c>
      <c r="AC15" s="3">
        <v>95.75</v>
      </c>
      <c r="AE15" s="3">
        <v>93.5</v>
      </c>
      <c r="AI15">
        <v>95</v>
      </c>
      <c r="AK15" s="3"/>
      <c r="AV15" t="s">
        <v>370</v>
      </c>
      <c r="AX15" t="s">
        <v>370</v>
      </c>
      <c r="AZ15" t="s">
        <v>370</v>
      </c>
      <c r="BB15" t="s">
        <v>370</v>
      </c>
      <c r="BO15" t="s">
        <v>367</v>
      </c>
      <c r="BT15">
        <v>3</v>
      </c>
      <c r="BU15">
        <v>14</v>
      </c>
      <c r="BV15">
        <v>9</v>
      </c>
      <c r="BY15" t="s">
        <v>385</v>
      </c>
      <c r="CA15" t="s">
        <v>385</v>
      </c>
      <c r="CB15">
        <v>1935</v>
      </c>
      <c r="CD15" t="s">
        <v>353</v>
      </c>
      <c r="CK15" t="s">
        <v>388</v>
      </c>
      <c r="CM15">
        <v>1911</v>
      </c>
    </row>
    <row r="16" spans="1:91" x14ac:dyDescent="0.3">
      <c r="A16" t="s">
        <v>389</v>
      </c>
      <c r="B16">
        <v>41084</v>
      </c>
      <c r="D16">
        <v>12</v>
      </c>
      <c r="Q16">
        <v>51287</v>
      </c>
      <c r="R16" t="s">
        <v>390</v>
      </c>
      <c r="V16" t="s">
        <v>391</v>
      </c>
      <c r="Z16" t="s">
        <v>391</v>
      </c>
      <c r="AA16">
        <v>27.5</v>
      </c>
      <c r="AC16" s="3">
        <v>27.5</v>
      </c>
      <c r="AE16" s="3">
        <v>27.5</v>
      </c>
      <c r="AI16">
        <v>27.5</v>
      </c>
      <c r="AK16" s="3"/>
      <c r="AV16" t="s">
        <v>392</v>
      </c>
      <c r="BG16">
        <v>1</v>
      </c>
      <c r="BT16">
        <v>3</v>
      </c>
      <c r="BU16">
        <v>12</v>
      </c>
      <c r="BV16">
        <v>9</v>
      </c>
      <c r="BX16">
        <v>28.5</v>
      </c>
      <c r="BZ16">
        <v>27.5</v>
      </c>
      <c r="CC16" t="s">
        <v>385</v>
      </c>
      <c r="CD16" t="s">
        <v>385</v>
      </c>
      <c r="CK16" t="s">
        <v>393</v>
      </c>
      <c r="CM16">
        <v>1911</v>
      </c>
    </row>
    <row r="17" spans="1:91" x14ac:dyDescent="0.3">
      <c r="A17" t="s">
        <v>389</v>
      </c>
      <c r="B17">
        <v>41086</v>
      </c>
      <c r="C17" t="s">
        <v>364</v>
      </c>
      <c r="D17">
        <v>12</v>
      </c>
      <c r="Q17" s="2">
        <v>3650000</v>
      </c>
      <c r="V17" t="s">
        <v>350</v>
      </c>
      <c r="Y17">
        <v>100</v>
      </c>
      <c r="AA17">
        <v>101</v>
      </c>
      <c r="AC17" s="3">
        <v>101.37</v>
      </c>
      <c r="AE17" s="3">
        <v>99.12</v>
      </c>
      <c r="AI17">
        <v>100</v>
      </c>
      <c r="AK17" s="3"/>
      <c r="AV17" t="s">
        <v>394</v>
      </c>
      <c r="AX17" t="s">
        <v>394</v>
      </c>
      <c r="AZ17" t="s">
        <v>394</v>
      </c>
      <c r="BB17" t="s">
        <v>394</v>
      </c>
      <c r="BO17" t="s">
        <v>367</v>
      </c>
      <c r="BT17">
        <v>3</v>
      </c>
      <c r="BU17">
        <v>11</v>
      </c>
      <c r="BV17">
        <v>0</v>
      </c>
      <c r="BX17">
        <v>102</v>
      </c>
      <c r="BZ17">
        <v>99.12</v>
      </c>
      <c r="CB17">
        <v>1946</v>
      </c>
      <c r="CC17" t="s">
        <v>362</v>
      </c>
      <c r="CD17" t="s">
        <v>353</v>
      </c>
      <c r="CK17" t="s">
        <v>395</v>
      </c>
      <c r="CM17">
        <v>1911</v>
      </c>
    </row>
    <row r="18" spans="1:91" x14ac:dyDescent="0.3">
      <c r="A18" t="s">
        <v>389</v>
      </c>
      <c r="B18">
        <v>41087</v>
      </c>
      <c r="C18" t="s">
        <v>363</v>
      </c>
      <c r="D18">
        <v>12</v>
      </c>
      <c r="Q18" s="2">
        <v>2000000</v>
      </c>
      <c r="V18" t="s">
        <v>350</v>
      </c>
      <c r="Y18">
        <v>100</v>
      </c>
      <c r="AA18">
        <v>86.5</v>
      </c>
      <c r="AC18" s="3">
        <v>87</v>
      </c>
      <c r="AE18" s="3">
        <v>85</v>
      </c>
      <c r="AI18">
        <v>85.5</v>
      </c>
      <c r="AK18" s="3"/>
      <c r="AV18" t="s">
        <v>394</v>
      </c>
      <c r="AX18" t="s">
        <v>394</v>
      </c>
      <c r="AZ18" t="s">
        <v>394</v>
      </c>
      <c r="BB18" t="s">
        <v>394</v>
      </c>
      <c r="BO18" t="s">
        <v>367</v>
      </c>
      <c r="BT18">
        <v>3</v>
      </c>
      <c r="BU18">
        <v>11</v>
      </c>
      <c r="BV18">
        <v>6</v>
      </c>
      <c r="BX18">
        <v>87.75</v>
      </c>
      <c r="BZ18">
        <v>85</v>
      </c>
      <c r="CB18">
        <v>1947</v>
      </c>
      <c r="CC18" t="s">
        <v>362</v>
      </c>
      <c r="CD18" t="s">
        <v>353</v>
      </c>
      <c r="CM18">
        <v>1911</v>
      </c>
    </row>
    <row r="19" spans="1:91" x14ac:dyDescent="0.3">
      <c r="A19" t="s">
        <v>389</v>
      </c>
      <c r="B19">
        <v>41090</v>
      </c>
      <c r="C19" t="s">
        <v>363</v>
      </c>
      <c r="D19">
        <v>12</v>
      </c>
      <c r="Q19" s="2">
        <v>1000000</v>
      </c>
      <c r="V19" t="s">
        <v>350</v>
      </c>
      <c r="Y19">
        <v>100</v>
      </c>
      <c r="AA19">
        <v>86.5</v>
      </c>
      <c r="AC19" s="3">
        <v>86.5</v>
      </c>
      <c r="AE19" s="3">
        <v>85</v>
      </c>
      <c r="AI19">
        <v>85.5</v>
      </c>
      <c r="AK19" s="3"/>
      <c r="AV19" t="s">
        <v>394</v>
      </c>
      <c r="AX19" t="s">
        <v>394</v>
      </c>
      <c r="AZ19" t="s">
        <v>394</v>
      </c>
      <c r="BB19" t="s">
        <v>394</v>
      </c>
      <c r="BO19" t="s">
        <v>367</v>
      </c>
      <c r="BT19">
        <v>3</v>
      </c>
      <c r="BU19">
        <v>11</v>
      </c>
      <c r="BV19">
        <v>6</v>
      </c>
      <c r="BX19">
        <v>87.75</v>
      </c>
      <c r="BZ19">
        <v>85</v>
      </c>
      <c r="CB19">
        <v>1932</v>
      </c>
      <c r="CC19" t="s">
        <v>362</v>
      </c>
      <c r="CD19" t="s">
        <v>353</v>
      </c>
      <c r="CM19">
        <v>1911</v>
      </c>
    </row>
    <row r="20" spans="1:91" x14ac:dyDescent="0.3">
      <c r="A20" t="s">
        <v>389</v>
      </c>
      <c r="B20">
        <v>41088</v>
      </c>
      <c r="C20" t="s">
        <v>357</v>
      </c>
      <c r="D20">
        <v>12</v>
      </c>
      <c r="Q20" s="2">
        <v>1550600</v>
      </c>
      <c r="V20" t="s">
        <v>350</v>
      </c>
      <c r="Y20">
        <v>100</v>
      </c>
      <c r="AA20">
        <v>71</v>
      </c>
      <c r="AC20" s="3">
        <v>71</v>
      </c>
      <c r="AE20" s="3">
        <v>70</v>
      </c>
      <c r="AI20">
        <v>70</v>
      </c>
      <c r="AK20" s="3"/>
      <c r="AV20" t="s">
        <v>394</v>
      </c>
      <c r="AX20" t="s">
        <v>394</v>
      </c>
      <c r="AZ20" t="s">
        <v>394</v>
      </c>
      <c r="BB20" t="s">
        <v>394</v>
      </c>
      <c r="BO20" t="s">
        <v>367</v>
      </c>
      <c r="BT20">
        <v>3</v>
      </c>
      <c r="BU20">
        <v>12</v>
      </c>
      <c r="BV20">
        <v>6</v>
      </c>
      <c r="BX20">
        <v>72.87</v>
      </c>
      <c r="BZ20">
        <v>69.5</v>
      </c>
      <c r="CB20">
        <v>1926</v>
      </c>
      <c r="CC20" t="s">
        <v>362</v>
      </c>
      <c r="CD20" t="s">
        <v>353</v>
      </c>
      <c r="CM20">
        <v>1911</v>
      </c>
    </row>
    <row r="21" spans="1:91" x14ac:dyDescent="0.3">
      <c r="A21" t="s">
        <v>396</v>
      </c>
      <c r="B21">
        <v>41160</v>
      </c>
      <c r="D21">
        <v>12</v>
      </c>
      <c r="Q21">
        <v>457400</v>
      </c>
      <c r="V21" t="s">
        <v>350</v>
      </c>
      <c r="Y21">
        <v>100</v>
      </c>
      <c r="AA21">
        <v>97</v>
      </c>
      <c r="AC21" s="3">
        <v>97</v>
      </c>
      <c r="AE21" s="3">
        <v>95</v>
      </c>
      <c r="AI21">
        <v>95</v>
      </c>
      <c r="AK21" s="3"/>
      <c r="AV21" t="s">
        <v>394</v>
      </c>
      <c r="AX21" t="s">
        <v>394</v>
      </c>
      <c r="AZ21" t="s">
        <v>394</v>
      </c>
      <c r="BB21" t="s">
        <v>394</v>
      </c>
      <c r="BO21" t="s">
        <v>367</v>
      </c>
      <c r="BT21">
        <v>3</v>
      </c>
      <c r="BU21">
        <v>14</v>
      </c>
      <c r="BV21">
        <v>9</v>
      </c>
      <c r="BX21">
        <v>99</v>
      </c>
      <c r="BZ21">
        <v>95</v>
      </c>
      <c r="CC21" t="s">
        <v>385</v>
      </c>
      <c r="CD21" t="s">
        <v>353</v>
      </c>
      <c r="CK21" t="s">
        <v>397</v>
      </c>
      <c r="CM21">
        <v>1911</v>
      </c>
    </row>
    <row r="22" spans="1:91" x14ac:dyDescent="0.3">
      <c r="A22" t="s">
        <v>396</v>
      </c>
      <c r="B22">
        <v>41159</v>
      </c>
      <c r="C22" t="s">
        <v>363</v>
      </c>
      <c r="D22">
        <v>12</v>
      </c>
      <c r="Q22">
        <v>868510</v>
      </c>
      <c r="V22" t="s">
        <v>350</v>
      </c>
      <c r="Y22">
        <v>100</v>
      </c>
      <c r="AA22">
        <v>86.5</v>
      </c>
      <c r="AC22" s="3">
        <v>86.5</v>
      </c>
      <c r="AE22" s="3">
        <v>85</v>
      </c>
      <c r="AI22">
        <v>85</v>
      </c>
      <c r="AK22" s="3"/>
      <c r="AV22" t="s">
        <v>394</v>
      </c>
      <c r="AX22" t="s">
        <v>394</v>
      </c>
      <c r="AZ22" t="s">
        <v>394</v>
      </c>
      <c r="BB22" t="s">
        <v>394</v>
      </c>
      <c r="BO22" t="s">
        <v>367</v>
      </c>
      <c r="BT22">
        <v>4</v>
      </c>
      <c r="BU22">
        <v>6</v>
      </c>
      <c r="BV22">
        <v>9</v>
      </c>
      <c r="BX22">
        <v>87</v>
      </c>
      <c r="BZ22">
        <v>82.5</v>
      </c>
      <c r="CB22">
        <v>1930</v>
      </c>
      <c r="CD22" t="s">
        <v>353</v>
      </c>
      <c r="CM22">
        <v>1911</v>
      </c>
    </row>
    <row r="23" spans="1:91" x14ac:dyDescent="0.3">
      <c r="A23" t="s">
        <v>398</v>
      </c>
      <c r="B23">
        <v>40936</v>
      </c>
      <c r="D23">
        <v>12</v>
      </c>
      <c r="Q23" s="2">
        <v>1000000</v>
      </c>
      <c r="V23" t="s">
        <v>350</v>
      </c>
      <c r="Y23">
        <v>100</v>
      </c>
      <c r="AA23">
        <v>97.75</v>
      </c>
      <c r="AC23" s="3">
        <v>97.75</v>
      </c>
      <c r="AE23" s="3">
        <v>97.25</v>
      </c>
      <c r="AI23">
        <v>97.5</v>
      </c>
      <c r="AK23" s="3"/>
      <c r="AV23" t="s">
        <v>382</v>
      </c>
      <c r="AX23" t="s">
        <v>382</v>
      </c>
      <c r="AZ23" t="s">
        <v>382</v>
      </c>
      <c r="BB23" t="s">
        <v>382</v>
      </c>
      <c r="BO23" t="s">
        <v>367</v>
      </c>
      <c r="BT23">
        <v>3</v>
      </c>
      <c r="BU23">
        <v>13</v>
      </c>
      <c r="BV23">
        <v>9</v>
      </c>
      <c r="BX23">
        <v>99</v>
      </c>
      <c r="BZ23">
        <v>97</v>
      </c>
      <c r="CB23">
        <v>1935</v>
      </c>
      <c r="CD23" t="s">
        <v>385</v>
      </c>
      <c r="CK23" t="s">
        <v>399</v>
      </c>
      <c r="CM23">
        <v>1911</v>
      </c>
    </row>
    <row r="24" spans="1:91" x14ac:dyDescent="0.3">
      <c r="A24" t="s">
        <v>400</v>
      </c>
      <c r="B24">
        <v>41269</v>
      </c>
      <c r="D24">
        <v>12</v>
      </c>
      <c r="Q24">
        <v>554286</v>
      </c>
      <c r="V24" t="s">
        <v>350</v>
      </c>
      <c r="Y24">
        <v>100</v>
      </c>
      <c r="AA24">
        <v>84</v>
      </c>
      <c r="AC24" s="3">
        <v>85.25</v>
      </c>
      <c r="AE24" s="3">
        <v>84</v>
      </c>
      <c r="AI24">
        <v>85</v>
      </c>
      <c r="AK24" s="3"/>
      <c r="AV24" t="s">
        <v>382</v>
      </c>
      <c r="AX24" t="s">
        <v>382</v>
      </c>
      <c r="AZ24" t="s">
        <v>382</v>
      </c>
      <c r="BB24" t="s">
        <v>382</v>
      </c>
      <c r="BO24" t="s">
        <v>367</v>
      </c>
      <c r="BT24">
        <v>4</v>
      </c>
      <c r="BU24">
        <v>0</v>
      </c>
      <c r="BV24">
        <v>6</v>
      </c>
      <c r="BX24">
        <v>85.75</v>
      </c>
      <c r="BZ24">
        <v>83</v>
      </c>
      <c r="CB24" t="s">
        <v>401</v>
      </c>
      <c r="CD24" t="s">
        <v>353</v>
      </c>
      <c r="CK24" t="s">
        <v>360</v>
      </c>
      <c r="CM24">
        <v>1911</v>
      </c>
    </row>
    <row r="25" spans="1:91" x14ac:dyDescent="0.3">
      <c r="A25" t="s">
        <v>402</v>
      </c>
      <c r="B25">
        <v>41302</v>
      </c>
      <c r="D25">
        <v>12</v>
      </c>
      <c r="Q25">
        <v>500000</v>
      </c>
      <c r="V25" t="s">
        <v>350</v>
      </c>
      <c r="Y25">
        <v>100</v>
      </c>
      <c r="AA25">
        <v>85</v>
      </c>
      <c r="AC25" s="3">
        <v>85.75</v>
      </c>
      <c r="AE25" s="3">
        <v>85</v>
      </c>
      <c r="AI25">
        <v>85</v>
      </c>
      <c r="AK25" s="3"/>
      <c r="AV25" t="s">
        <v>403</v>
      </c>
      <c r="AX25" t="s">
        <v>403</v>
      </c>
      <c r="AZ25" t="s">
        <v>403</v>
      </c>
      <c r="BB25" t="s">
        <v>403</v>
      </c>
      <c r="BO25" t="s">
        <v>367</v>
      </c>
      <c r="BT25">
        <v>3</v>
      </c>
      <c r="BU25">
        <v>12</v>
      </c>
      <c r="BV25">
        <v>6</v>
      </c>
      <c r="BX25">
        <v>87</v>
      </c>
      <c r="BZ25">
        <v>84.75</v>
      </c>
      <c r="CB25">
        <v>1954</v>
      </c>
      <c r="CD25" t="s">
        <v>353</v>
      </c>
      <c r="CK25" t="s">
        <v>404</v>
      </c>
      <c r="CM25">
        <v>1911</v>
      </c>
    </row>
    <row r="26" spans="1:91" x14ac:dyDescent="0.3">
      <c r="A26" t="s">
        <v>402</v>
      </c>
      <c r="B26">
        <v>41299</v>
      </c>
      <c r="C26" t="s">
        <v>405</v>
      </c>
      <c r="D26">
        <v>12</v>
      </c>
      <c r="Q26" s="2">
        <v>1952600</v>
      </c>
      <c r="V26" t="s">
        <v>350</v>
      </c>
      <c r="Y26">
        <v>100</v>
      </c>
      <c r="AA26">
        <v>97</v>
      </c>
      <c r="AC26" s="3">
        <v>97.87</v>
      </c>
      <c r="AE26" s="3">
        <v>96.75</v>
      </c>
      <c r="AI26">
        <v>97</v>
      </c>
      <c r="AK26" s="3"/>
      <c r="AV26" t="s">
        <v>382</v>
      </c>
      <c r="AX26" t="s">
        <v>382</v>
      </c>
      <c r="AZ26" t="s">
        <v>382</v>
      </c>
      <c r="BB26" t="s">
        <v>382</v>
      </c>
      <c r="BO26" t="s">
        <v>367</v>
      </c>
      <c r="BT26">
        <v>3</v>
      </c>
      <c r="BU26">
        <v>14</v>
      </c>
      <c r="BV26">
        <v>0</v>
      </c>
      <c r="BX26">
        <v>99</v>
      </c>
      <c r="BZ26">
        <v>96.5</v>
      </c>
      <c r="CB26">
        <v>1945</v>
      </c>
      <c r="CD26" t="s">
        <v>353</v>
      </c>
      <c r="CM26">
        <v>1911</v>
      </c>
    </row>
    <row r="27" spans="1:91" x14ac:dyDescent="0.3">
      <c r="A27" t="s">
        <v>406</v>
      </c>
      <c r="B27">
        <v>41408</v>
      </c>
      <c r="D27">
        <v>12</v>
      </c>
      <c r="Q27" s="2">
        <v>1445640</v>
      </c>
      <c r="V27" t="s">
        <v>350</v>
      </c>
      <c r="Y27">
        <v>100</v>
      </c>
      <c r="AA27">
        <v>97</v>
      </c>
      <c r="AC27" s="3">
        <v>97.5</v>
      </c>
      <c r="AE27" s="3">
        <v>97</v>
      </c>
      <c r="AI27">
        <v>97</v>
      </c>
      <c r="AK27" s="3"/>
      <c r="AV27" t="s">
        <v>407</v>
      </c>
      <c r="AX27" t="s">
        <v>407</v>
      </c>
      <c r="AZ27" t="s">
        <v>407</v>
      </c>
      <c r="BB27" t="s">
        <v>407</v>
      </c>
      <c r="BO27" t="s">
        <v>367</v>
      </c>
      <c r="BT27">
        <v>3</v>
      </c>
      <c r="BU27">
        <v>13</v>
      </c>
      <c r="BV27">
        <v>9</v>
      </c>
      <c r="BX27">
        <v>100</v>
      </c>
      <c r="BZ27">
        <v>96.37</v>
      </c>
      <c r="CB27">
        <v>1946</v>
      </c>
      <c r="CD27" t="s">
        <v>353</v>
      </c>
      <c r="CK27" t="s">
        <v>360</v>
      </c>
      <c r="CM27">
        <v>1911</v>
      </c>
    </row>
    <row r="28" spans="1:91" x14ac:dyDescent="0.3">
      <c r="A28" t="s">
        <v>406</v>
      </c>
      <c r="B28">
        <v>41412</v>
      </c>
      <c r="C28" t="s">
        <v>357</v>
      </c>
      <c r="D28">
        <v>12</v>
      </c>
      <c r="Q28">
        <v>290327</v>
      </c>
      <c r="V28" t="s">
        <v>350</v>
      </c>
      <c r="Y28">
        <v>100</v>
      </c>
      <c r="AA28">
        <v>70</v>
      </c>
      <c r="AC28" s="3">
        <v>70</v>
      </c>
      <c r="AE28" s="3">
        <v>69.75</v>
      </c>
      <c r="AI28">
        <v>70</v>
      </c>
      <c r="AK28" s="3"/>
      <c r="AV28" t="s">
        <v>407</v>
      </c>
      <c r="AX28" t="s">
        <v>407</v>
      </c>
      <c r="AZ28" t="s">
        <v>407</v>
      </c>
      <c r="BB28" t="s">
        <v>407</v>
      </c>
      <c r="BO28" t="s">
        <v>367</v>
      </c>
      <c r="BT28">
        <v>3</v>
      </c>
      <c r="BU28">
        <v>13</v>
      </c>
      <c r="BV28">
        <v>0</v>
      </c>
      <c r="BX28">
        <v>72</v>
      </c>
      <c r="BZ28">
        <v>69.37</v>
      </c>
      <c r="CB28">
        <v>1957</v>
      </c>
      <c r="CD28" t="s">
        <v>353</v>
      </c>
      <c r="CM28">
        <v>1911</v>
      </c>
    </row>
    <row r="29" spans="1:91" x14ac:dyDescent="0.3">
      <c r="A29" t="s">
        <v>406</v>
      </c>
      <c r="B29">
        <v>41411</v>
      </c>
      <c r="C29" t="s">
        <v>363</v>
      </c>
      <c r="D29">
        <v>12</v>
      </c>
      <c r="Q29">
        <v>551418</v>
      </c>
      <c r="V29" t="s">
        <v>350</v>
      </c>
      <c r="Y29">
        <v>100</v>
      </c>
      <c r="AA29">
        <v>84</v>
      </c>
      <c r="AC29" s="3">
        <v>84</v>
      </c>
      <c r="AE29" s="3">
        <v>83</v>
      </c>
      <c r="AI29">
        <v>83</v>
      </c>
      <c r="AK29" s="3"/>
      <c r="AV29" t="s">
        <v>370</v>
      </c>
      <c r="AX29" t="s">
        <v>370</v>
      </c>
      <c r="AZ29" t="s">
        <v>370</v>
      </c>
      <c r="BB29" t="s">
        <v>370</v>
      </c>
      <c r="BO29" t="s">
        <v>367</v>
      </c>
      <c r="BT29">
        <v>3</v>
      </c>
      <c r="BU29">
        <v>18</v>
      </c>
      <c r="BV29">
        <v>9</v>
      </c>
      <c r="BX29">
        <v>86.75</v>
      </c>
      <c r="BZ29">
        <v>83</v>
      </c>
      <c r="CB29" t="s">
        <v>408</v>
      </c>
      <c r="CD29" t="s">
        <v>353</v>
      </c>
      <c r="CM29">
        <v>1911</v>
      </c>
    </row>
    <row r="30" spans="1:91" x14ac:dyDescent="0.3">
      <c r="A30" t="s">
        <v>409</v>
      </c>
      <c r="B30">
        <v>41459</v>
      </c>
      <c r="D30">
        <v>12</v>
      </c>
      <c r="Q30" s="2">
        <v>1632310</v>
      </c>
      <c r="V30" t="s">
        <v>350</v>
      </c>
      <c r="Y30">
        <v>100</v>
      </c>
      <c r="AA30">
        <v>85</v>
      </c>
      <c r="AC30" s="3">
        <v>85.25</v>
      </c>
      <c r="AE30" s="3">
        <v>85</v>
      </c>
      <c r="AI30">
        <v>85</v>
      </c>
      <c r="AK30" s="3"/>
      <c r="AV30" t="s">
        <v>374</v>
      </c>
      <c r="AX30" t="s">
        <v>374</v>
      </c>
      <c r="AZ30" t="s">
        <v>374</v>
      </c>
      <c r="BB30" t="s">
        <v>374</v>
      </c>
      <c r="BO30" t="s">
        <v>367</v>
      </c>
      <c r="BT30">
        <v>3</v>
      </c>
      <c r="BU30">
        <v>15</v>
      </c>
      <c r="BV30">
        <v>6</v>
      </c>
      <c r="BX30">
        <v>86.62</v>
      </c>
      <c r="BZ30">
        <v>84</v>
      </c>
      <c r="CB30" t="s">
        <v>410</v>
      </c>
      <c r="CD30" t="s">
        <v>353</v>
      </c>
      <c r="CK30" t="s">
        <v>411</v>
      </c>
      <c r="CM30">
        <v>1911</v>
      </c>
    </row>
    <row r="31" spans="1:91" x14ac:dyDescent="0.3">
      <c r="A31" t="s">
        <v>409</v>
      </c>
      <c r="B31">
        <v>41462</v>
      </c>
      <c r="C31" t="s">
        <v>364</v>
      </c>
      <c r="D31">
        <v>12</v>
      </c>
      <c r="Q31" s="2">
        <v>3033830</v>
      </c>
      <c r="V31" t="s">
        <v>350</v>
      </c>
      <c r="Y31">
        <v>100</v>
      </c>
      <c r="AA31">
        <v>98</v>
      </c>
      <c r="AC31" s="3">
        <v>99</v>
      </c>
      <c r="AE31" s="3">
        <v>98</v>
      </c>
      <c r="AI31">
        <v>98</v>
      </c>
      <c r="AK31" s="3"/>
      <c r="AV31" t="s">
        <v>412</v>
      </c>
      <c r="AX31" t="s">
        <v>412</v>
      </c>
      <c r="AZ31" t="s">
        <v>412</v>
      </c>
      <c r="BB31" t="s">
        <v>412</v>
      </c>
      <c r="BO31" t="s">
        <v>367</v>
      </c>
      <c r="BT31">
        <v>3</v>
      </c>
      <c r="BU31">
        <v>12</v>
      </c>
      <c r="BV31">
        <v>0</v>
      </c>
      <c r="BY31" t="s">
        <v>385</v>
      </c>
      <c r="CA31" t="s">
        <v>385</v>
      </c>
      <c r="CB31" t="s">
        <v>413</v>
      </c>
      <c r="CD31" t="s">
        <v>353</v>
      </c>
      <c r="CM31">
        <v>1911</v>
      </c>
    </row>
    <row r="32" spans="1:91" x14ac:dyDescent="0.3">
      <c r="A32" t="s">
        <v>409</v>
      </c>
      <c r="B32">
        <v>41458</v>
      </c>
      <c r="C32" t="s">
        <v>405</v>
      </c>
      <c r="D32">
        <v>12</v>
      </c>
      <c r="Q32" s="2">
        <v>2106440</v>
      </c>
      <c r="V32" t="s">
        <v>350</v>
      </c>
      <c r="Y32">
        <v>100</v>
      </c>
      <c r="AA32">
        <v>96</v>
      </c>
      <c r="AC32" s="3">
        <v>96.75</v>
      </c>
      <c r="AE32" s="3">
        <v>96</v>
      </c>
      <c r="AJ32" t="s">
        <v>385</v>
      </c>
      <c r="AK32" s="3"/>
      <c r="AV32" t="s">
        <v>407</v>
      </c>
      <c r="AX32" t="s">
        <v>407</v>
      </c>
      <c r="AZ32" t="s">
        <v>407</v>
      </c>
      <c r="BB32" t="s">
        <v>407</v>
      </c>
      <c r="BO32" t="s">
        <v>367</v>
      </c>
      <c r="BT32">
        <v>3</v>
      </c>
      <c r="BU32">
        <v>14</v>
      </c>
      <c r="BV32">
        <v>6</v>
      </c>
      <c r="BX32">
        <v>99.75</v>
      </c>
      <c r="BZ32">
        <v>95.5</v>
      </c>
      <c r="CC32" t="s">
        <v>385</v>
      </c>
      <c r="CD32" t="s">
        <v>353</v>
      </c>
      <c r="CM32">
        <v>1911</v>
      </c>
    </row>
    <row r="33" spans="1:91" x14ac:dyDescent="0.3">
      <c r="A33" t="s">
        <v>409</v>
      </c>
      <c r="B33">
        <v>41460</v>
      </c>
      <c r="C33" t="s">
        <v>357</v>
      </c>
      <c r="D33">
        <v>12</v>
      </c>
      <c r="Q33">
        <v>413349</v>
      </c>
      <c r="V33" t="s">
        <v>350</v>
      </c>
      <c r="Y33">
        <v>100</v>
      </c>
      <c r="AA33">
        <v>68</v>
      </c>
      <c r="AC33" s="3">
        <v>68</v>
      </c>
      <c r="AE33" s="3">
        <v>68</v>
      </c>
      <c r="AI33">
        <v>68</v>
      </c>
      <c r="AK33" s="3"/>
      <c r="AV33" t="s">
        <v>407</v>
      </c>
      <c r="AX33" t="s">
        <v>407</v>
      </c>
      <c r="AZ33" t="s">
        <v>407</v>
      </c>
      <c r="BB33" t="s">
        <v>407</v>
      </c>
      <c r="BO33" t="s">
        <v>367</v>
      </c>
      <c r="BT33">
        <v>3</v>
      </c>
      <c r="BU33">
        <v>15</v>
      </c>
      <c r="BV33">
        <v>3</v>
      </c>
      <c r="BX33">
        <v>70</v>
      </c>
      <c r="BZ33">
        <v>68</v>
      </c>
      <c r="CB33">
        <v>1957</v>
      </c>
      <c r="CC33" t="s">
        <v>362</v>
      </c>
      <c r="CD33" t="s">
        <v>353</v>
      </c>
      <c r="CM33">
        <v>1911</v>
      </c>
    </row>
    <row r="34" spans="1:91" x14ac:dyDescent="0.3">
      <c r="A34" t="s">
        <v>414</v>
      </c>
      <c r="B34">
        <v>41904</v>
      </c>
      <c r="D34">
        <v>12</v>
      </c>
      <c r="Q34">
        <v>317750</v>
      </c>
      <c r="V34" t="s">
        <v>350</v>
      </c>
      <c r="Y34">
        <v>100</v>
      </c>
      <c r="AA34">
        <v>96</v>
      </c>
      <c r="AC34" s="3">
        <v>96</v>
      </c>
      <c r="AE34" s="3">
        <v>96</v>
      </c>
      <c r="AI34">
        <v>96</v>
      </c>
      <c r="AK34" s="3"/>
      <c r="AV34" t="s">
        <v>415</v>
      </c>
      <c r="AX34" t="s">
        <v>415</v>
      </c>
      <c r="AZ34" t="s">
        <v>415</v>
      </c>
      <c r="BB34" t="s">
        <v>415</v>
      </c>
      <c r="BO34" t="s">
        <v>367</v>
      </c>
      <c r="BT34">
        <v>3</v>
      </c>
      <c r="BU34">
        <v>15</v>
      </c>
      <c r="BV34">
        <v>0</v>
      </c>
      <c r="BX34">
        <v>99</v>
      </c>
      <c r="BZ34">
        <v>95.5</v>
      </c>
      <c r="CB34">
        <v>1933</v>
      </c>
      <c r="CD34" t="s">
        <v>385</v>
      </c>
      <c r="CK34" t="s">
        <v>399</v>
      </c>
      <c r="CM34">
        <v>1911</v>
      </c>
    </row>
    <row r="35" spans="1:91" x14ac:dyDescent="0.3">
      <c r="A35" t="s">
        <v>416</v>
      </c>
      <c r="B35">
        <v>41913</v>
      </c>
      <c r="D35">
        <v>12</v>
      </c>
      <c r="Q35">
        <v>329415</v>
      </c>
      <c r="V35" t="s">
        <v>350</v>
      </c>
      <c r="Y35">
        <v>100</v>
      </c>
      <c r="AA35">
        <v>84</v>
      </c>
      <c r="AC35" s="3">
        <v>84</v>
      </c>
      <c r="AE35" s="3">
        <v>83</v>
      </c>
      <c r="AI35">
        <v>83</v>
      </c>
      <c r="AK35" s="3"/>
      <c r="AV35" t="s">
        <v>370</v>
      </c>
      <c r="AX35" t="s">
        <v>370</v>
      </c>
      <c r="AZ35" t="s">
        <v>370</v>
      </c>
      <c r="BB35" t="s">
        <v>370</v>
      </c>
      <c r="BO35" t="s">
        <v>367</v>
      </c>
      <c r="BT35">
        <v>4</v>
      </c>
      <c r="BU35">
        <v>1</v>
      </c>
      <c r="BV35">
        <v>3</v>
      </c>
      <c r="BX35">
        <v>85.5</v>
      </c>
      <c r="BZ35">
        <v>83</v>
      </c>
      <c r="CB35" t="s">
        <v>417</v>
      </c>
      <c r="CD35" t="s">
        <v>353</v>
      </c>
      <c r="CK35" t="s">
        <v>360</v>
      </c>
      <c r="CM35">
        <v>1911</v>
      </c>
    </row>
    <row r="36" spans="1:91" x14ac:dyDescent="0.3">
      <c r="A36" t="s">
        <v>418</v>
      </c>
      <c r="B36">
        <v>41914</v>
      </c>
      <c r="D36">
        <v>12</v>
      </c>
      <c r="Q36">
        <v>243200</v>
      </c>
      <c r="V36" t="s">
        <v>350</v>
      </c>
      <c r="Y36">
        <v>100</v>
      </c>
      <c r="AA36">
        <v>96</v>
      </c>
      <c r="AC36" s="3">
        <v>96</v>
      </c>
      <c r="AE36" s="3">
        <v>96</v>
      </c>
      <c r="AI36">
        <v>96</v>
      </c>
      <c r="AK36" s="3"/>
      <c r="AV36" t="s">
        <v>382</v>
      </c>
      <c r="AX36" t="s">
        <v>382</v>
      </c>
      <c r="AZ36" t="s">
        <v>382</v>
      </c>
      <c r="BB36" t="s">
        <v>382</v>
      </c>
      <c r="BO36" t="s">
        <v>367</v>
      </c>
      <c r="BT36">
        <v>3</v>
      </c>
      <c r="BU36">
        <v>13</v>
      </c>
      <c r="BV36">
        <v>6</v>
      </c>
      <c r="BX36">
        <v>97.5</v>
      </c>
      <c r="BZ36">
        <v>95</v>
      </c>
      <c r="CB36">
        <v>1946</v>
      </c>
      <c r="CD36" t="s">
        <v>385</v>
      </c>
      <c r="CK36" t="s">
        <v>399</v>
      </c>
      <c r="CM36">
        <v>1911</v>
      </c>
    </row>
    <row r="37" spans="1:91" x14ac:dyDescent="0.3">
      <c r="A37" t="s">
        <v>419</v>
      </c>
      <c r="B37">
        <v>42022</v>
      </c>
      <c r="D37">
        <v>12</v>
      </c>
      <c r="Q37">
        <v>159116</v>
      </c>
      <c r="V37" t="s">
        <v>350</v>
      </c>
      <c r="Y37">
        <v>100</v>
      </c>
      <c r="AA37">
        <v>83</v>
      </c>
      <c r="AC37" s="3">
        <v>83</v>
      </c>
      <c r="AE37" s="3">
        <v>82</v>
      </c>
      <c r="AI37">
        <v>82</v>
      </c>
      <c r="AK37" s="3"/>
      <c r="AV37" t="s">
        <v>370</v>
      </c>
      <c r="AX37" t="s">
        <v>370</v>
      </c>
      <c r="AZ37" t="s">
        <v>370</v>
      </c>
      <c r="BB37" t="s">
        <v>370</v>
      </c>
      <c r="BO37" t="s">
        <v>367</v>
      </c>
      <c r="BT37">
        <v>4</v>
      </c>
      <c r="BU37">
        <v>2</v>
      </c>
      <c r="BV37">
        <v>9</v>
      </c>
      <c r="BX37">
        <v>84.5</v>
      </c>
      <c r="BZ37">
        <v>82</v>
      </c>
      <c r="CB37" t="s">
        <v>417</v>
      </c>
      <c r="CD37" t="s">
        <v>353</v>
      </c>
      <c r="CK37" t="s">
        <v>360</v>
      </c>
      <c r="CM37">
        <v>1911</v>
      </c>
    </row>
    <row r="38" spans="1:91" x14ac:dyDescent="0.3">
      <c r="A38" t="s">
        <v>420</v>
      </c>
      <c r="B38">
        <v>42133</v>
      </c>
      <c r="D38">
        <v>12</v>
      </c>
      <c r="Q38" s="2">
        <v>1187950</v>
      </c>
      <c r="V38" t="s">
        <v>350</v>
      </c>
      <c r="Y38">
        <v>100</v>
      </c>
      <c r="AA38">
        <v>97</v>
      </c>
      <c r="AC38" s="3">
        <v>97</v>
      </c>
      <c r="AE38" s="3">
        <v>95.25</v>
      </c>
      <c r="AI38">
        <v>96</v>
      </c>
      <c r="AK38" s="3"/>
      <c r="AV38" t="s">
        <v>421</v>
      </c>
      <c r="AX38" t="s">
        <v>421</v>
      </c>
      <c r="AZ38" t="s">
        <v>421</v>
      </c>
      <c r="BB38" t="s">
        <v>421</v>
      </c>
      <c r="BO38" t="s">
        <v>367</v>
      </c>
      <c r="BT38">
        <v>3</v>
      </c>
      <c r="BU38">
        <v>15</v>
      </c>
      <c r="BV38">
        <v>0</v>
      </c>
      <c r="BX38">
        <v>98.75</v>
      </c>
      <c r="BZ38">
        <v>95.25</v>
      </c>
      <c r="CB38">
        <v>1935</v>
      </c>
      <c r="CD38" t="s">
        <v>353</v>
      </c>
      <c r="CK38" t="s">
        <v>411</v>
      </c>
      <c r="CM38">
        <v>1911</v>
      </c>
    </row>
    <row r="39" spans="1:91" x14ac:dyDescent="0.3">
      <c r="A39" t="s">
        <v>420</v>
      </c>
      <c r="B39">
        <v>42134</v>
      </c>
      <c r="C39" t="s">
        <v>363</v>
      </c>
      <c r="D39">
        <v>12</v>
      </c>
      <c r="Q39" s="2">
        <v>1834670</v>
      </c>
      <c r="V39" t="s">
        <v>350</v>
      </c>
      <c r="Y39">
        <v>100</v>
      </c>
      <c r="AA39">
        <v>84</v>
      </c>
      <c r="AC39" s="3">
        <v>84</v>
      </c>
      <c r="AE39" s="3">
        <v>82.5</v>
      </c>
      <c r="AI39">
        <v>83</v>
      </c>
      <c r="AK39" s="3"/>
      <c r="AV39" t="s">
        <v>394</v>
      </c>
      <c r="AX39" t="s">
        <v>394</v>
      </c>
      <c r="AZ39" t="s">
        <v>394</v>
      </c>
      <c r="BB39" t="s">
        <v>394</v>
      </c>
      <c r="BO39" t="s">
        <v>367</v>
      </c>
      <c r="BT39">
        <v>3</v>
      </c>
      <c r="BU39">
        <v>17</v>
      </c>
      <c r="BV39">
        <v>9</v>
      </c>
      <c r="BX39">
        <v>84.87</v>
      </c>
      <c r="BZ39">
        <v>82.5</v>
      </c>
      <c r="CB39" t="s">
        <v>422</v>
      </c>
      <c r="CD39" t="s">
        <v>353</v>
      </c>
      <c r="CM39">
        <v>1911</v>
      </c>
    </row>
    <row r="40" spans="1:91" x14ac:dyDescent="0.3">
      <c r="A40" t="s">
        <v>420</v>
      </c>
      <c r="B40">
        <v>42137</v>
      </c>
      <c r="C40" t="s">
        <v>364</v>
      </c>
      <c r="D40">
        <v>12</v>
      </c>
      <c r="Q40">
        <v>607500</v>
      </c>
      <c r="V40" t="s">
        <v>350</v>
      </c>
      <c r="Y40">
        <v>100</v>
      </c>
      <c r="AA40">
        <v>97</v>
      </c>
      <c r="AC40" s="3">
        <v>97</v>
      </c>
      <c r="AE40" s="3">
        <v>95.5</v>
      </c>
      <c r="AI40">
        <v>97</v>
      </c>
      <c r="AK40" s="3"/>
      <c r="AV40" t="s">
        <v>382</v>
      </c>
      <c r="AX40" t="s">
        <v>382</v>
      </c>
      <c r="AZ40" t="s">
        <v>382</v>
      </c>
      <c r="BB40" t="s">
        <v>382</v>
      </c>
      <c r="BO40" t="s">
        <v>367</v>
      </c>
      <c r="BT40">
        <v>3</v>
      </c>
      <c r="BU40">
        <v>14</v>
      </c>
      <c r="BV40">
        <v>9</v>
      </c>
      <c r="BX40">
        <v>98.62</v>
      </c>
      <c r="BZ40">
        <v>95.5</v>
      </c>
      <c r="CB40" t="s">
        <v>413</v>
      </c>
      <c r="CD40" t="s">
        <v>353</v>
      </c>
      <c r="CM40">
        <v>1911</v>
      </c>
    </row>
    <row r="41" spans="1:91" x14ac:dyDescent="0.3">
      <c r="A41" t="s">
        <v>423</v>
      </c>
      <c r="B41">
        <v>42336</v>
      </c>
      <c r="D41">
        <v>12</v>
      </c>
      <c r="Q41">
        <v>368923</v>
      </c>
      <c r="V41" t="s">
        <v>350</v>
      </c>
      <c r="Y41">
        <v>100</v>
      </c>
      <c r="AA41">
        <v>81</v>
      </c>
      <c r="AC41" s="3">
        <v>81.62</v>
      </c>
      <c r="AE41" s="3">
        <v>81</v>
      </c>
      <c r="AI41">
        <v>81</v>
      </c>
      <c r="AK41" s="3"/>
      <c r="AV41" t="s">
        <v>424</v>
      </c>
      <c r="AX41" t="s">
        <v>424</v>
      </c>
      <c r="AZ41" t="s">
        <v>424</v>
      </c>
      <c r="BB41" t="s">
        <v>424</v>
      </c>
      <c r="BO41" t="s">
        <v>367</v>
      </c>
      <c r="BT41">
        <v>3</v>
      </c>
      <c r="BU41">
        <v>14</v>
      </c>
      <c r="BV41">
        <v>9</v>
      </c>
      <c r="BX41">
        <v>83.5</v>
      </c>
      <c r="BZ41">
        <v>81</v>
      </c>
      <c r="CB41">
        <v>1971</v>
      </c>
      <c r="CD41" t="s">
        <v>425</v>
      </c>
      <c r="CK41" t="s">
        <v>411</v>
      </c>
      <c r="CM41">
        <v>1911</v>
      </c>
    </row>
    <row r="42" spans="1:91" x14ac:dyDescent="0.3">
      <c r="A42" t="s">
        <v>426</v>
      </c>
      <c r="B42">
        <v>42863</v>
      </c>
      <c r="D42">
        <v>12</v>
      </c>
      <c r="Q42">
        <v>324000</v>
      </c>
      <c r="V42" t="s">
        <v>350</v>
      </c>
      <c r="Y42">
        <v>100</v>
      </c>
      <c r="AA42">
        <v>75</v>
      </c>
      <c r="AC42" s="3">
        <v>75.62</v>
      </c>
      <c r="AE42" s="3">
        <v>74.75</v>
      </c>
      <c r="AI42">
        <v>75</v>
      </c>
      <c r="AK42" s="3"/>
      <c r="AV42" t="s">
        <v>403</v>
      </c>
      <c r="AX42" t="s">
        <v>403</v>
      </c>
      <c r="AZ42" t="s">
        <v>403</v>
      </c>
      <c r="BB42" t="s">
        <v>403</v>
      </c>
      <c r="BO42" t="s">
        <v>367</v>
      </c>
      <c r="BT42">
        <v>4</v>
      </c>
      <c r="BU42">
        <v>0</v>
      </c>
      <c r="BV42">
        <v>6</v>
      </c>
      <c r="BX42">
        <v>77.75</v>
      </c>
      <c r="BZ42">
        <v>74.37</v>
      </c>
      <c r="CB42" t="s">
        <v>427</v>
      </c>
      <c r="CD42" t="s">
        <v>425</v>
      </c>
      <c r="CK42" t="s">
        <v>360</v>
      </c>
      <c r="CM42">
        <v>1911</v>
      </c>
    </row>
    <row r="43" spans="1:91" x14ac:dyDescent="0.3">
      <c r="A43" t="s">
        <v>426</v>
      </c>
      <c r="B43">
        <v>42865</v>
      </c>
      <c r="C43" t="s">
        <v>363</v>
      </c>
      <c r="D43">
        <v>12</v>
      </c>
      <c r="Q43">
        <v>276662</v>
      </c>
      <c r="V43" t="s">
        <v>350</v>
      </c>
      <c r="Y43">
        <v>100</v>
      </c>
      <c r="AA43">
        <v>83</v>
      </c>
      <c r="AC43" s="3">
        <v>83.62</v>
      </c>
      <c r="AE43" s="3">
        <v>83</v>
      </c>
      <c r="AI43">
        <v>83</v>
      </c>
      <c r="AK43" s="3"/>
      <c r="AV43" t="s">
        <v>403</v>
      </c>
      <c r="AX43" t="s">
        <v>403</v>
      </c>
      <c r="AZ43" t="s">
        <v>403</v>
      </c>
      <c r="BB43" t="s">
        <v>403</v>
      </c>
      <c r="BO43" t="s">
        <v>367</v>
      </c>
      <c r="BT43">
        <v>3</v>
      </c>
      <c r="BU43">
        <v>15</v>
      </c>
      <c r="BV43">
        <v>6</v>
      </c>
      <c r="BX43">
        <v>84.5</v>
      </c>
      <c r="BZ43">
        <v>81.75</v>
      </c>
      <c r="CB43" t="s">
        <v>410</v>
      </c>
      <c r="CD43" t="s">
        <v>425</v>
      </c>
      <c r="CM43">
        <v>1911</v>
      </c>
    </row>
    <row r="44" spans="1:91" x14ac:dyDescent="0.3">
      <c r="A44" t="s">
        <v>428</v>
      </c>
      <c r="B44">
        <v>42957</v>
      </c>
      <c r="D44">
        <v>12</v>
      </c>
      <c r="Q44">
        <v>383666</v>
      </c>
      <c r="V44" t="s">
        <v>350</v>
      </c>
      <c r="Y44">
        <v>100</v>
      </c>
      <c r="AA44">
        <v>97</v>
      </c>
      <c r="AC44" s="3">
        <v>97</v>
      </c>
      <c r="AE44" s="3">
        <v>96</v>
      </c>
      <c r="AI44">
        <v>96</v>
      </c>
      <c r="AK44" s="3"/>
      <c r="AV44" t="s">
        <v>394</v>
      </c>
      <c r="AX44" t="s">
        <v>394</v>
      </c>
      <c r="AZ44" t="s">
        <v>394</v>
      </c>
      <c r="BB44" t="s">
        <v>394</v>
      </c>
      <c r="BO44" t="s">
        <v>367</v>
      </c>
      <c r="BT44">
        <v>3</v>
      </c>
      <c r="BU44">
        <v>15</v>
      </c>
      <c r="BV44">
        <v>0</v>
      </c>
      <c r="BX44">
        <v>99</v>
      </c>
      <c r="BZ44">
        <v>96</v>
      </c>
      <c r="CC44" t="s">
        <v>385</v>
      </c>
      <c r="CD44" t="s">
        <v>425</v>
      </c>
      <c r="CK44" t="s">
        <v>360</v>
      </c>
      <c r="CM44">
        <v>1911</v>
      </c>
    </row>
    <row r="45" spans="1:91" x14ac:dyDescent="0.3">
      <c r="A45" t="s">
        <v>428</v>
      </c>
      <c r="B45">
        <v>42958</v>
      </c>
      <c r="C45" t="s">
        <v>363</v>
      </c>
      <c r="D45">
        <v>12</v>
      </c>
      <c r="Q45">
        <v>300000</v>
      </c>
      <c r="V45" t="s">
        <v>350</v>
      </c>
      <c r="Y45">
        <v>100</v>
      </c>
      <c r="AA45">
        <v>84</v>
      </c>
      <c r="AC45" s="3">
        <v>85</v>
      </c>
      <c r="AE45" s="3">
        <v>83.75</v>
      </c>
      <c r="AI45">
        <v>85</v>
      </c>
      <c r="AK45" s="3"/>
      <c r="AV45" t="s">
        <v>429</v>
      </c>
      <c r="AX45" t="s">
        <v>429</v>
      </c>
      <c r="AZ45" t="s">
        <v>429</v>
      </c>
      <c r="BB45" t="s">
        <v>429</v>
      </c>
      <c r="BO45" t="s">
        <v>367</v>
      </c>
      <c r="BT45">
        <v>3</v>
      </c>
      <c r="BU45">
        <v>18</v>
      </c>
      <c r="BV45">
        <v>0</v>
      </c>
      <c r="BX45">
        <v>85.75</v>
      </c>
      <c r="BZ45">
        <v>83.75</v>
      </c>
      <c r="CB45">
        <v>1940</v>
      </c>
      <c r="CD45" t="s">
        <v>425</v>
      </c>
      <c r="CM45">
        <v>1911</v>
      </c>
    </row>
    <row r="46" spans="1:91" x14ac:dyDescent="0.3">
      <c r="A46" t="s">
        <v>428</v>
      </c>
      <c r="B46">
        <v>42962</v>
      </c>
      <c r="C46" t="s">
        <v>363</v>
      </c>
      <c r="D46">
        <v>12</v>
      </c>
      <c r="Q46" s="2">
        <v>1380000</v>
      </c>
      <c r="V46" t="s">
        <v>350</v>
      </c>
      <c r="Y46">
        <v>100</v>
      </c>
      <c r="AA46">
        <v>84</v>
      </c>
      <c r="AC46" s="3">
        <v>84.62</v>
      </c>
      <c r="AE46" s="3">
        <v>83.5</v>
      </c>
      <c r="AI46">
        <v>84</v>
      </c>
      <c r="AK46" s="3"/>
      <c r="AV46" t="s">
        <v>394</v>
      </c>
      <c r="AX46" t="s">
        <v>394</v>
      </c>
      <c r="AZ46" t="s">
        <v>394</v>
      </c>
      <c r="BB46" t="s">
        <v>394</v>
      </c>
      <c r="BO46" t="s">
        <v>367</v>
      </c>
      <c r="BT46">
        <v>3</v>
      </c>
      <c r="BU46">
        <v>15</v>
      </c>
      <c r="BV46">
        <v>6</v>
      </c>
      <c r="BX46">
        <v>85.75</v>
      </c>
      <c r="BZ46">
        <v>83.5</v>
      </c>
      <c r="CB46" t="s">
        <v>430</v>
      </c>
      <c r="CD46" t="s">
        <v>425</v>
      </c>
      <c r="CM46">
        <v>1911</v>
      </c>
    </row>
    <row r="47" spans="1:91" x14ac:dyDescent="0.3">
      <c r="A47" t="s">
        <v>431</v>
      </c>
      <c r="B47">
        <v>43150</v>
      </c>
      <c r="D47">
        <v>12</v>
      </c>
      <c r="Q47">
        <v>776400</v>
      </c>
      <c r="V47" t="s">
        <v>350</v>
      </c>
      <c r="Y47">
        <v>100</v>
      </c>
      <c r="AA47">
        <v>83</v>
      </c>
      <c r="AC47" s="3">
        <v>83</v>
      </c>
      <c r="AE47" s="3">
        <v>82</v>
      </c>
      <c r="AI47">
        <v>82</v>
      </c>
      <c r="AK47" s="3"/>
      <c r="AV47" t="s">
        <v>394</v>
      </c>
      <c r="AX47" t="s">
        <v>394</v>
      </c>
      <c r="AZ47" t="s">
        <v>394</v>
      </c>
      <c r="BB47" t="s">
        <v>394</v>
      </c>
      <c r="BO47" t="s">
        <v>367</v>
      </c>
      <c r="BT47">
        <v>4</v>
      </c>
      <c r="BU47">
        <v>0</v>
      </c>
      <c r="BV47">
        <v>3</v>
      </c>
      <c r="BX47">
        <v>84</v>
      </c>
      <c r="BZ47">
        <v>82</v>
      </c>
      <c r="CB47" t="s">
        <v>432</v>
      </c>
      <c r="CD47" t="s">
        <v>425</v>
      </c>
      <c r="CK47" t="s">
        <v>360</v>
      </c>
      <c r="CM47">
        <v>1911</v>
      </c>
    </row>
    <row r="48" spans="1:91" x14ac:dyDescent="0.3">
      <c r="A48" t="s">
        <v>433</v>
      </c>
      <c r="B48">
        <v>43166</v>
      </c>
      <c r="D48">
        <v>12</v>
      </c>
      <c r="Q48">
        <v>514600</v>
      </c>
      <c r="V48" t="s">
        <v>350</v>
      </c>
      <c r="Y48">
        <v>100</v>
      </c>
      <c r="AA48">
        <v>83</v>
      </c>
      <c r="AC48" s="3">
        <v>83</v>
      </c>
      <c r="AE48" s="3">
        <v>82.5</v>
      </c>
      <c r="AI48">
        <v>83</v>
      </c>
      <c r="AK48" s="3"/>
      <c r="AV48" t="s">
        <v>382</v>
      </c>
      <c r="AX48" t="s">
        <v>382</v>
      </c>
      <c r="AZ48" t="s">
        <v>382</v>
      </c>
      <c r="BB48" t="s">
        <v>382</v>
      </c>
      <c r="BO48" t="s">
        <v>367</v>
      </c>
      <c r="BT48">
        <v>3</v>
      </c>
      <c r="BU48">
        <v>17</v>
      </c>
      <c r="BV48">
        <v>6</v>
      </c>
      <c r="BX48">
        <v>85.25</v>
      </c>
      <c r="BZ48">
        <v>82.25</v>
      </c>
      <c r="CB48" t="s">
        <v>410</v>
      </c>
      <c r="CD48" t="s">
        <v>425</v>
      </c>
      <c r="CM48">
        <v>1911</v>
      </c>
    </row>
    <row r="49" spans="1:91" x14ac:dyDescent="0.3">
      <c r="A49" t="s">
        <v>434</v>
      </c>
      <c r="B49">
        <v>43171</v>
      </c>
      <c r="D49">
        <v>12</v>
      </c>
      <c r="Q49">
        <v>245590</v>
      </c>
      <c r="V49" t="s">
        <v>350</v>
      </c>
      <c r="Y49">
        <v>100</v>
      </c>
      <c r="AA49">
        <v>94.5</v>
      </c>
      <c r="AC49" s="3">
        <v>94.5</v>
      </c>
      <c r="AE49" s="3">
        <v>94.5</v>
      </c>
      <c r="AI49">
        <v>94.5</v>
      </c>
      <c r="AK49" s="3"/>
      <c r="AV49" t="s">
        <v>376</v>
      </c>
      <c r="AX49" t="s">
        <v>376</v>
      </c>
      <c r="AZ49" t="s">
        <v>376</v>
      </c>
      <c r="BB49" t="s">
        <v>376</v>
      </c>
      <c r="BO49" t="s">
        <v>367</v>
      </c>
      <c r="BT49">
        <v>3</v>
      </c>
      <c r="BU49">
        <v>16</v>
      </c>
      <c r="BV49">
        <v>6</v>
      </c>
      <c r="BX49">
        <v>95</v>
      </c>
      <c r="BZ49">
        <v>91</v>
      </c>
      <c r="CB49">
        <v>1930</v>
      </c>
      <c r="CD49" t="s">
        <v>425</v>
      </c>
      <c r="CK49" t="s">
        <v>435</v>
      </c>
      <c r="CM49">
        <v>1911</v>
      </c>
    </row>
    <row r="50" spans="1:91" x14ac:dyDescent="0.3">
      <c r="A50" t="s">
        <v>436</v>
      </c>
      <c r="B50">
        <v>43254</v>
      </c>
      <c r="D50">
        <v>12</v>
      </c>
      <c r="Q50">
        <v>222892</v>
      </c>
      <c r="V50" t="s">
        <v>350</v>
      </c>
      <c r="Y50">
        <v>100</v>
      </c>
      <c r="AA50">
        <v>84</v>
      </c>
      <c r="AC50" s="3">
        <v>84</v>
      </c>
      <c r="AE50" s="3">
        <v>83</v>
      </c>
      <c r="AI50">
        <v>83</v>
      </c>
      <c r="AK50" s="3"/>
      <c r="AV50" t="s">
        <v>394</v>
      </c>
      <c r="AX50" t="s">
        <v>394</v>
      </c>
      <c r="AZ50" t="s">
        <v>394</v>
      </c>
      <c r="BB50" t="s">
        <v>394</v>
      </c>
      <c r="BO50" t="s">
        <v>367</v>
      </c>
      <c r="BT50">
        <v>4</v>
      </c>
      <c r="BU50">
        <v>0</v>
      </c>
      <c r="BV50">
        <v>6</v>
      </c>
      <c r="BX50">
        <v>85.75</v>
      </c>
      <c r="BZ50">
        <v>82</v>
      </c>
      <c r="CB50" t="s">
        <v>437</v>
      </c>
      <c r="CD50" t="s">
        <v>425</v>
      </c>
      <c r="CM50">
        <v>1911</v>
      </c>
    </row>
    <row r="51" spans="1:91" x14ac:dyDescent="0.3">
      <c r="A51" t="s">
        <v>438</v>
      </c>
      <c r="B51">
        <v>43255</v>
      </c>
      <c r="D51">
        <v>12</v>
      </c>
      <c r="Q51">
        <v>176299</v>
      </c>
      <c r="V51" t="s">
        <v>350</v>
      </c>
      <c r="Y51">
        <v>100</v>
      </c>
      <c r="AA51">
        <v>96</v>
      </c>
      <c r="AC51" s="3">
        <v>96</v>
      </c>
      <c r="AE51" s="3">
        <v>95</v>
      </c>
      <c r="AI51">
        <v>95</v>
      </c>
      <c r="AK51" s="3"/>
      <c r="AV51" t="s">
        <v>394</v>
      </c>
      <c r="AX51" t="s">
        <v>394</v>
      </c>
      <c r="AZ51" t="s">
        <v>394</v>
      </c>
      <c r="BB51" t="s">
        <v>394</v>
      </c>
      <c r="BO51" t="s">
        <v>367</v>
      </c>
      <c r="BT51">
        <v>3</v>
      </c>
      <c r="BU51">
        <v>15</v>
      </c>
      <c r="BV51">
        <v>9</v>
      </c>
      <c r="BX51">
        <v>97.87</v>
      </c>
      <c r="BZ51">
        <v>95</v>
      </c>
      <c r="CB51" t="s">
        <v>439</v>
      </c>
      <c r="CD51" t="s">
        <v>425</v>
      </c>
      <c r="CK51" t="s">
        <v>440</v>
      </c>
      <c r="CM51">
        <v>1911</v>
      </c>
    </row>
    <row r="52" spans="1:91" x14ac:dyDescent="0.3">
      <c r="A52" t="s">
        <v>441</v>
      </c>
      <c r="B52">
        <v>43261</v>
      </c>
      <c r="D52">
        <v>12</v>
      </c>
      <c r="Q52">
        <v>271848</v>
      </c>
      <c r="V52" t="s">
        <v>350</v>
      </c>
      <c r="Y52">
        <v>100</v>
      </c>
      <c r="AA52">
        <v>84</v>
      </c>
      <c r="AC52" s="3">
        <v>84</v>
      </c>
      <c r="AE52" s="3">
        <v>84</v>
      </c>
      <c r="AI52">
        <v>84</v>
      </c>
      <c r="AK52" s="3"/>
      <c r="AV52" t="s">
        <v>382</v>
      </c>
      <c r="AX52" t="s">
        <v>382</v>
      </c>
      <c r="AZ52" t="s">
        <v>382</v>
      </c>
      <c r="BB52" t="s">
        <v>382</v>
      </c>
      <c r="BO52" t="s">
        <v>367</v>
      </c>
      <c r="BT52">
        <v>3</v>
      </c>
      <c r="BU52">
        <v>18</v>
      </c>
      <c r="BV52">
        <v>3</v>
      </c>
      <c r="BX52">
        <v>84</v>
      </c>
      <c r="BZ52">
        <v>83</v>
      </c>
      <c r="CB52" t="s">
        <v>417</v>
      </c>
      <c r="CD52" t="s">
        <v>425</v>
      </c>
      <c r="CK52" t="s">
        <v>360</v>
      </c>
      <c r="CM52">
        <v>1911</v>
      </c>
    </row>
    <row r="53" spans="1:91" x14ac:dyDescent="0.3">
      <c r="A53" t="s">
        <v>442</v>
      </c>
      <c r="B53">
        <v>43283</v>
      </c>
      <c r="D53">
        <v>12</v>
      </c>
      <c r="Q53" s="2">
        <v>1712850</v>
      </c>
      <c r="V53" t="s">
        <v>350</v>
      </c>
      <c r="Y53">
        <v>100</v>
      </c>
      <c r="AA53">
        <v>87.25</v>
      </c>
      <c r="AC53" s="3">
        <v>87.25</v>
      </c>
      <c r="AE53" s="3">
        <v>84</v>
      </c>
      <c r="AI53">
        <v>84</v>
      </c>
      <c r="AK53" s="3"/>
      <c r="AV53" t="s">
        <v>394</v>
      </c>
      <c r="AX53" t="s">
        <v>394</v>
      </c>
      <c r="AZ53" t="s">
        <v>394</v>
      </c>
      <c r="BB53" t="s">
        <v>394</v>
      </c>
      <c r="BO53" t="s">
        <v>367</v>
      </c>
      <c r="BT53">
        <v>4</v>
      </c>
      <c r="BU53">
        <v>4</v>
      </c>
      <c r="BV53">
        <v>6</v>
      </c>
      <c r="BX53">
        <v>90.75</v>
      </c>
      <c r="BZ53">
        <v>86.5</v>
      </c>
      <c r="CB53">
        <v>1944</v>
      </c>
      <c r="CD53" t="s">
        <v>425</v>
      </c>
      <c r="CK53" t="s">
        <v>443</v>
      </c>
      <c r="CM53">
        <v>1911</v>
      </c>
    </row>
    <row r="54" spans="1:91" x14ac:dyDescent="0.3">
      <c r="A54" t="s">
        <v>444</v>
      </c>
      <c r="B54">
        <v>43302</v>
      </c>
      <c r="D54">
        <v>12</v>
      </c>
      <c r="Q54">
        <v>14315</v>
      </c>
      <c r="R54" t="s">
        <v>445</v>
      </c>
      <c r="V54" t="s">
        <v>350</v>
      </c>
      <c r="AA54">
        <v>260</v>
      </c>
      <c r="AC54" s="3">
        <v>260</v>
      </c>
      <c r="AE54" s="3">
        <v>260</v>
      </c>
      <c r="AI54">
        <v>260</v>
      </c>
      <c r="AK54" s="3"/>
      <c r="AV54" t="s">
        <v>446</v>
      </c>
      <c r="BG54">
        <v>10</v>
      </c>
      <c r="BT54">
        <v>3</v>
      </c>
      <c r="BU54">
        <v>17</v>
      </c>
      <c r="BV54">
        <v>3</v>
      </c>
      <c r="BX54">
        <v>265.5</v>
      </c>
      <c r="BZ54">
        <v>260</v>
      </c>
      <c r="CC54" t="s">
        <v>385</v>
      </c>
      <c r="CD54" t="s">
        <v>425</v>
      </c>
      <c r="CK54" t="s">
        <v>447</v>
      </c>
      <c r="CM54">
        <v>1911</v>
      </c>
    </row>
    <row r="55" spans="1:91" x14ac:dyDescent="0.3">
      <c r="A55" t="s">
        <v>448</v>
      </c>
      <c r="B55">
        <v>43436</v>
      </c>
      <c r="D55">
        <v>12</v>
      </c>
      <c r="Q55">
        <v>174591</v>
      </c>
      <c r="V55" t="s">
        <v>350</v>
      </c>
      <c r="Y55">
        <v>100</v>
      </c>
      <c r="AA55">
        <v>84</v>
      </c>
      <c r="AC55" s="3">
        <v>84</v>
      </c>
      <c r="AE55" s="3">
        <v>83</v>
      </c>
      <c r="AI55">
        <v>83</v>
      </c>
      <c r="AK55" s="3"/>
      <c r="AV55" t="s">
        <v>449</v>
      </c>
      <c r="AX55" t="s">
        <v>449</v>
      </c>
      <c r="AZ55" t="s">
        <v>449</v>
      </c>
      <c r="BB55" t="s">
        <v>449</v>
      </c>
      <c r="BO55" t="s">
        <v>367</v>
      </c>
      <c r="BT55">
        <v>4</v>
      </c>
      <c r="BU55">
        <v>0</v>
      </c>
      <c r="BV55">
        <v>6</v>
      </c>
      <c r="BX55">
        <v>85</v>
      </c>
      <c r="BZ55">
        <v>83</v>
      </c>
      <c r="CB55" t="s">
        <v>450</v>
      </c>
      <c r="CD55" t="s">
        <v>353</v>
      </c>
      <c r="CK55" t="s">
        <v>360</v>
      </c>
      <c r="CM55">
        <v>1911</v>
      </c>
    </row>
    <row r="56" spans="1:91" x14ac:dyDescent="0.3">
      <c r="A56" t="s">
        <v>448</v>
      </c>
      <c r="B56">
        <v>43437</v>
      </c>
      <c r="C56" t="s">
        <v>363</v>
      </c>
      <c r="D56">
        <v>12</v>
      </c>
      <c r="Q56">
        <v>274650</v>
      </c>
      <c r="V56" t="s">
        <v>350</v>
      </c>
      <c r="Y56">
        <v>100</v>
      </c>
      <c r="AA56">
        <v>84</v>
      </c>
      <c r="AC56" s="3">
        <v>84</v>
      </c>
      <c r="AE56" s="3">
        <v>83</v>
      </c>
      <c r="AI56">
        <v>83</v>
      </c>
      <c r="AK56" s="3"/>
      <c r="AV56" t="s">
        <v>449</v>
      </c>
      <c r="AX56" t="s">
        <v>449</v>
      </c>
      <c r="AZ56" t="s">
        <v>449</v>
      </c>
      <c r="BB56" t="s">
        <v>449</v>
      </c>
      <c r="BO56" t="s">
        <v>367</v>
      </c>
      <c r="BT56">
        <v>3</v>
      </c>
      <c r="BU56">
        <v>18</v>
      </c>
      <c r="BV56">
        <v>3</v>
      </c>
      <c r="BX56">
        <v>85</v>
      </c>
      <c r="BZ56">
        <v>83</v>
      </c>
      <c r="CB56" t="s">
        <v>451</v>
      </c>
      <c r="CD56" t="s">
        <v>353</v>
      </c>
      <c r="CK56" t="s">
        <v>360</v>
      </c>
      <c r="CM56">
        <v>1911</v>
      </c>
    </row>
    <row r="57" spans="1:91" x14ac:dyDescent="0.3">
      <c r="A57" t="s">
        <v>452</v>
      </c>
      <c r="B57">
        <v>43534</v>
      </c>
      <c r="D57">
        <v>12</v>
      </c>
      <c r="Q57" s="2">
        <v>2047150</v>
      </c>
      <c r="V57" t="s">
        <v>350</v>
      </c>
      <c r="Y57">
        <v>100</v>
      </c>
      <c r="AA57">
        <v>90.5</v>
      </c>
      <c r="AC57" s="3">
        <v>90.75</v>
      </c>
      <c r="AE57" s="3">
        <v>90.5</v>
      </c>
      <c r="AI57">
        <v>90.62</v>
      </c>
      <c r="AK57" s="3"/>
      <c r="AV57" t="s">
        <v>453</v>
      </c>
      <c r="AX57" t="s">
        <v>453</v>
      </c>
      <c r="AZ57" t="s">
        <v>453</v>
      </c>
      <c r="BB57" t="s">
        <v>453</v>
      </c>
      <c r="BO57" t="s">
        <v>367</v>
      </c>
      <c r="BT57">
        <v>3</v>
      </c>
      <c r="BU57">
        <v>19</v>
      </c>
      <c r="BV57">
        <v>9</v>
      </c>
      <c r="BX57">
        <v>92.25</v>
      </c>
      <c r="BZ57">
        <v>90</v>
      </c>
      <c r="CB57">
        <v>1924</v>
      </c>
      <c r="CD57" t="s">
        <v>425</v>
      </c>
      <c r="CK57" t="s">
        <v>454</v>
      </c>
      <c r="CM57">
        <v>1911</v>
      </c>
    </row>
    <row r="58" spans="1:91" x14ac:dyDescent="0.3">
      <c r="A58" t="s">
        <v>452</v>
      </c>
      <c r="B58">
        <v>43535</v>
      </c>
      <c r="C58" t="s">
        <v>357</v>
      </c>
      <c r="D58">
        <v>12</v>
      </c>
      <c r="Q58">
        <v>750000</v>
      </c>
      <c r="V58" t="s">
        <v>350</v>
      </c>
      <c r="Y58">
        <v>100</v>
      </c>
      <c r="AA58">
        <v>74.12</v>
      </c>
      <c r="AC58" s="3">
        <v>80</v>
      </c>
      <c r="AE58" s="3">
        <v>74.12</v>
      </c>
      <c r="AI58">
        <v>80</v>
      </c>
      <c r="AK58" s="3"/>
      <c r="AV58" t="s">
        <v>403</v>
      </c>
      <c r="AX58" t="s">
        <v>403</v>
      </c>
      <c r="AZ58" t="s">
        <v>403</v>
      </c>
      <c r="BB58" t="s">
        <v>403</v>
      </c>
      <c r="BO58" t="s">
        <v>367</v>
      </c>
      <c r="BT58">
        <v>3</v>
      </c>
      <c r="BU58">
        <v>2</v>
      </c>
      <c r="BV58">
        <v>6</v>
      </c>
      <c r="BX58">
        <v>80</v>
      </c>
      <c r="BZ58">
        <v>74</v>
      </c>
      <c r="CB58">
        <v>1927</v>
      </c>
      <c r="CC58" t="s">
        <v>362</v>
      </c>
      <c r="CD58" t="s">
        <v>425</v>
      </c>
      <c r="CM58">
        <v>1911</v>
      </c>
    </row>
    <row r="59" spans="1:91" x14ac:dyDescent="0.3">
      <c r="A59" t="s">
        <v>455</v>
      </c>
      <c r="B59">
        <v>43516</v>
      </c>
      <c r="D59">
        <v>12</v>
      </c>
      <c r="Q59">
        <v>414000</v>
      </c>
      <c r="V59" t="s">
        <v>350</v>
      </c>
      <c r="Y59">
        <v>100</v>
      </c>
      <c r="AA59">
        <v>164</v>
      </c>
      <c r="AC59" s="3">
        <v>164</v>
      </c>
      <c r="AE59" s="3">
        <v>159</v>
      </c>
      <c r="AI59">
        <v>159</v>
      </c>
      <c r="AK59" s="3"/>
      <c r="BG59">
        <v>6</v>
      </c>
      <c r="BH59">
        <v>6</v>
      </c>
      <c r="BI59">
        <v>6</v>
      </c>
      <c r="BJ59">
        <v>6</v>
      </c>
      <c r="BK59" s="4">
        <v>4139</v>
      </c>
      <c r="BL59" s="4">
        <v>4323</v>
      </c>
      <c r="BM59" s="4">
        <v>4505</v>
      </c>
      <c r="BN59" s="4">
        <v>4689</v>
      </c>
      <c r="BT59">
        <v>3</v>
      </c>
      <c r="BU59">
        <v>15</v>
      </c>
      <c r="BV59">
        <v>6</v>
      </c>
      <c r="BX59">
        <v>167</v>
      </c>
      <c r="BZ59">
        <v>156</v>
      </c>
      <c r="CC59" t="s">
        <v>385</v>
      </c>
      <c r="CD59" t="s">
        <v>425</v>
      </c>
      <c r="CK59" t="s">
        <v>454</v>
      </c>
      <c r="CM59">
        <v>1911</v>
      </c>
    </row>
    <row r="60" spans="1:91" x14ac:dyDescent="0.3">
      <c r="A60" t="s">
        <v>456</v>
      </c>
      <c r="B60">
        <v>43742</v>
      </c>
      <c r="D60">
        <v>12</v>
      </c>
      <c r="Q60">
        <v>90872</v>
      </c>
      <c r="V60" t="s">
        <v>350</v>
      </c>
      <c r="Y60">
        <v>100</v>
      </c>
      <c r="AA60">
        <v>70</v>
      </c>
      <c r="AC60" s="3">
        <v>71</v>
      </c>
      <c r="AE60" s="3">
        <v>70</v>
      </c>
      <c r="AI60">
        <v>70</v>
      </c>
      <c r="AK60" s="3"/>
      <c r="AV60" t="s">
        <v>382</v>
      </c>
      <c r="AX60" t="s">
        <v>382</v>
      </c>
      <c r="AZ60" t="s">
        <v>382</v>
      </c>
      <c r="BB60" t="s">
        <v>382</v>
      </c>
      <c r="BO60" t="s">
        <v>367</v>
      </c>
      <c r="BT60">
        <v>4</v>
      </c>
      <c r="BU60">
        <v>2</v>
      </c>
      <c r="BV60">
        <v>0</v>
      </c>
      <c r="BX60">
        <v>72</v>
      </c>
      <c r="BZ60">
        <v>70</v>
      </c>
      <c r="CB60" t="s">
        <v>427</v>
      </c>
      <c r="CD60" t="s">
        <v>425</v>
      </c>
      <c r="CK60" t="s">
        <v>360</v>
      </c>
      <c r="CL60" t="s">
        <v>457</v>
      </c>
      <c r="CM60">
        <v>1911</v>
      </c>
    </row>
    <row r="61" spans="1:91" x14ac:dyDescent="0.3">
      <c r="A61" t="s">
        <v>458</v>
      </c>
      <c r="B61">
        <v>44092</v>
      </c>
      <c r="D61">
        <v>12</v>
      </c>
      <c r="Q61">
        <v>160320</v>
      </c>
      <c r="V61" t="s">
        <v>350</v>
      </c>
      <c r="Y61">
        <v>100</v>
      </c>
      <c r="AA61">
        <v>84.5</v>
      </c>
      <c r="AC61" s="3">
        <v>84.5</v>
      </c>
      <c r="AE61" s="3">
        <v>83.5</v>
      </c>
      <c r="AI61">
        <v>83.5</v>
      </c>
      <c r="AK61" s="3"/>
      <c r="AV61" t="s">
        <v>394</v>
      </c>
      <c r="AX61" t="s">
        <v>394</v>
      </c>
      <c r="AZ61" t="s">
        <v>394</v>
      </c>
      <c r="BB61" t="s">
        <v>394</v>
      </c>
      <c r="BO61" t="s">
        <v>367</v>
      </c>
      <c r="BT61">
        <v>4</v>
      </c>
      <c r="BU61">
        <v>5</v>
      </c>
      <c r="BV61">
        <v>9</v>
      </c>
      <c r="BX61">
        <v>85.62</v>
      </c>
      <c r="BZ61">
        <v>83.5</v>
      </c>
      <c r="CB61" t="s">
        <v>459</v>
      </c>
      <c r="CD61" t="s">
        <v>425</v>
      </c>
      <c r="CK61" t="s">
        <v>360</v>
      </c>
      <c r="CL61" t="s">
        <v>457</v>
      </c>
      <c r="CM61">
        <v>1911</v>
      </c>
    </row>
    <row r="62" spans="1:91" x14ac:dyDescent="0.3">
      <c r="A62" t="s">
        <v>460</v>
      </c>
      <c r="B62">
        <v>44095</v>
      </c>
      <c r="D62">
        <v>12</v>
      </c>
      <c r="Q62">
        <v>187652</v>
      </c>
      <c r="V62" t="s">
        <v>350</v>
      </c>
      <c r="Y62">
        <v>100</v>
      </c>
      <c r="AA62">
        <v>240.5</v>
      </c>
      <c r="AC62" s="3">
        <v>240.5</v>
      </c>
      <c r="AE62" s="3">
        <v>240.5</v>
      </c>
      <c r="AI62">
        <v>240.5</v>
      </c>
      <c r="AK62" s="3"/>
      <c r="AV62" t="s">
        <v>366</v>
      </c>
      <c r="AX62" t="s">
        <v>366</v>
      </c>
      <c r="AZ62" t="s">
        <v>366</v>
      </c>
      <c r="BB62" t="s">
        <v>366</v>
      </c>
      <c r="BO62" t="s">
        <v>367</v>
      </c>
      <c r="BT62">
        <v>3</v>
      </c>
      <c r="BU62">
        <v>15</v>
      </c>
      <c r="BV62">
        <v>3</v>
      </c>
      <c r="BX62">
        <v>245</v>
      </c>
      <c r="BZ62">
        <v>233.5</v>
      </c>
      <c r="CC62" t="s">
        <v>385</v>
      </c>
      <c r="CD62" t="s">
        <v>425</v>
      </c>
      <c r="CK62" t="s">
        <v>461</v>
      </c>
      <c r="CM62">
        <v>1911</v>
      </c>
    </row>
    <row r="63" spans="1:91" x14ac:dyDescent="0.3">
      <c r="A63" t="s">
        <v>462</v>
      </c>
      <c r="B63">
        <v>44096</v>
      </c>
      <c r="D63">
        <v>12</v>
      </c>
      <c r="Q63">
        <v>72465</v>
      </c>
      <c r="V63" t="s">
        <v>350</v>
      </c>
      <c r="Y63">
        <v>100</v>
      </c>
      <c r="AA63">
        <v>176.62</v>
      </c>
      <c r="AC63" s="3">
        <v>176.62</v>
      </c>
      <c r="AE63" s="3">
        <v>176.62</v>
      </c>
      <c r="AI63">
        <v>176.62</v>
      </c>
      <c r="AK63" s="3"/>
      <c r="AV63" t="s">
        <v>366</v>
      </c>
      <c r="AX63" t="s">
        <v>366</v>
      </c>
      <c r="AZ63" t="s">
        <v>366</v>
      </c>
      <c r="BB63" t="s">
        <v>366</v>
      </c>
      <c r="BO63" t="s">
        <v>367</v>
      </c>
      <c r="BT63">
        <v>3</v>
      </c>
      <c r="BU63">
        <v>17</v>
      </c>
      <c r="BV63">
        <v>6</v>
      </c>
      <c r="BX63">
        <v>180</v>
      </c>
      <c r="BZ63">
        <v>176.37</v>
      </c>
      <c r="CC63" t="s">
        <v>385</v>
      </c>
      <c r="CD63" t="s">
        <v>425</v>
      </c>
      <c r="CM63">
        <v>1911</v>
      </c>
    </row>
    <row r="64" spans="1:91" x14ac:dyDescent="0.3">
      <c r="A64" t="s">
        <v>463</v>
      </c>
      <c r="B64">
        <v>44119</v>
      </c>
      <c r="D64">
        <v>12</v>
      </c>
      <c r="Q64">
        <v>22698</v>
      </c>
      <c r="R64" t="s">
        <v>464</v>
      </c>
      <c r="V64" t="s">
        <v>350</v>
      </c>
      <c r="AA64">
        <v>26.5</v>
      </c>
      <c r="AC64" s="3">
        <v>26.5</v>
      </c>
      <c r="AE64" s="3">
        <v>26.5</v>
      </c>
      <c r="AI64">
        <v>26.5</v>
      </c>
      <c r="AK64" s="3"/>
      <c r="AV64" t="s">
        <v>366</v>
      </c>
      <c r="AX64" t="s">
        <v>366</v>
      </c>
      <c r="AZ64" t="s">
        <v>366</v>
      </c>
      <c r="BB64" t="s">
        <v>366</v>
      </c>
      <c r="BO64" t="s">
        <v>367</v>
      </c>
      <c r="BT64">
        <v>3</v>
      </c>
      <c r="BU64">
        <v>15</v>
      </c>
      <c r="BV64">
        <v>6</v>
      </c>
      <c r="BX64">
        <v>27.5</v>
      </c>
      <c r="BZ64">
        <v>26.5</v>
      </c>
      <c r="CC64" t="s">
        <v>385</v>
      </c>
      <c r="CD64" t="s">
        <v>425</v>
      </c>
      <c r="CK64" t="s">
        <v>465</v>
      </c>
      <c r="CM64">
        <v>1911</v>
      </c>
    </row>
    <row r="65" spans="1:91" x14ac:dyDescent="0.3">
      <c r="A65" t="s">
        <v>463</v>
      </c>
      <c r="B65">
        <v>44115</v>
      </c>
      <c r="C65" t="s">
        <v>466</v>
      </c>
      <c r="D65">
        <v>12</v>
      </c>
      <c r="Q65">
        <v>148240</v>
      </c>
      <c r="U65">
        <v>100</v>
      </c>
      <c r="Y65">
        <v>100</v>
      </c>
      <c r="AA65">
        <v>105</v>
      </c>
      <c r="AC65" s="3">
        <v>105</v>
      </c>
      <c r="AE65" s="3">
        <v>105</v>
      </c>
      <c r="AI65">
        <v>105</v>
      </c>
      <c r="AK65" s="3"/>
      <c r="AV65" t="s">
        <v>366</v>
      </c>
      <c r="AX65" t="s">
        <v>366</v>
      </c>
      <c r="AZ65" t="s">
        <v>366</v>
      </c>
      <c r="BB65" t="s">
        <v>366</v>
      </c>
      <c r="BO65" t="s">
        <v>367</v>
      </c>
      <c r="BT65">
        <v>3</v>
      </c>
      <c r="BU65">
        <v>16</v>
      </c>
      <c r="BV65">
        <v>6</v>
      </c>
      <c r="BX65">
        <v>109</v>
      </c>
      <c r="BZ65">
        <v>105</v>
      </c>
      <c r="CC65" t="s">
        <v>385</v>
      </c>
      <c r="CD65" t="s">
        <v>425</v>
      </c>
      <c r="CM65">
        <v>1911</v>
      </c>
    </row>
    <row r="66" spans="1:91" x14ac:dyDescent="0.3">
      <c r="A66" t="s">
        <v>463</v>
      </c>
      <c r="B66">
        <v>44110</v>
      </c>
      <c r="C66" t="s">
        <v>364</v>
      </c>
      <c r="D66">
        <v>12</v>
      </c>
      <c r="Q66" s="2">
        <v>1799520</v>
      </c>
      <c r="V66" t="s">
        <v>350</v>
      </c>
      <c r="Y66">
        <v>100</v>
      </c>
      <c r="AA66">
        <v>100.12</v>
      </c>
      <c r="AC66" s="3">
        <v>100.75</v>
      </c>
      <c r="AE66" s="3">
        <v>99.75</v>
      </c>
      <c r="AI66">
        <v>100.12</v>
      </c>
      <c r="AK66" s="3"/>
      <c r="AV66" t="s">
        <v>366</v>
      </c>
      <c r="AX66" t="s">
        <v>366</v>
      </c>
      <c r="AZ66" t="s">
        <v>366</v>
      </c>
      <c r="BB66" t="s">
        <v>366</v>
      </c>
      <c r="BO66" t="s">
        <v>367</v>
      </c>
      <c r="BT66">
        <v>3</v>
      </c>
      <c r="BU66">
        <v>10</v>
      </c>
      <c r="BV66">
        <v>3</v>
      </c>
      <c r="BX66">
        <v>102</v>
      </c>
      <c r="BZ66">
        <v>99.5</v>
      </c>
      <c r="CB66">
        <v>1914</v>
      </c>
      <c r="CD66" t="s">
        <v>425</v>
      </c>
      <c r="CM66">
        <v>1911</v>
      </c>
    </row>
    <row r="67" spans="1:91" x14ac:dyDescent="0.3">
      <c r="A67" t="s">
        <v>463</v>
      </c>
      <c r="B67">
        <v>44113</v>
      </c>
      <c r="C67" t="s">
        <v>467</v>
      </c>
      <c r="D67">
        <v>12</v>
      </c>
      <c r="Q67" s="2">
        <v>1170000</v>
      </c>
      <c r="V67" t="s">
        <v>350</v>
      </c>
      <c r="Y67">
        <v>100</v>
      </c>
      <c r="AA67">
        <v>101</v>
      </c>
      <c r="AC67" s="3">
        <v>101.5</v>
      </c>
      <c r="AE67" s="3">
        <v>101</v>
      </c>
      <c r="AI67">
        <v>101.5</v>
      </c>
      <c r="AK67" s="3"/>
      <c r="AV67" t="s">
        <v>366</v>
      </c>
      <c r="AX67" t="s">
        <v>366</v>
      </c>
      <c r="AZ67" t="s">
        <v>366</v>
      </c>
      <c r="BB67" t="s">
        <v>366</v>
      </c>
      <c r="BO67" t="s">
        <v>367</v>
      </c>
      <c r="BT67">
        <v>3</v>
      </c>
      <c r="BU67">
        <v>9</v>
      </c>
      <c r="BV67">
        <v>3</v>
      </c>
      <c r="BX67">
        <v>103.5</v>
      </c>
      <c r="BZ67">
        <v>100.25</v>
      </c>
      <c r="CC67" t="s">
        <v>385</v>
      </c>
      <c r="CD67" t="s">
        <v>425</v>
      </c>
      <c r="CM67">
        <v>1911</v>
      </c>
    </row>
    <row r="68" spans="1:91" x14ac:dyDescent="0.3">
      <c r="A68" t="s">
        <v>463</v>
      </c>
      <c r="B68">
        <v>44122</v>
      </c>
      <c r="C68" t="s">
        <v>363</v>
      </c>
      <c r="D68">
        <v>12</v>
      </c>
      <c r="Q68" s="2">
        <v>1558020</v>
      </c>
      <c r="V68" t="s">
        <v>350</v>
      </c>
      <c r="Y68">
        <v>100</v>
      </c>
      <c r="AA68">
        <v>93</v>
      </c>
      <c r="AC68" s="3">
        <v>93.25</v>
      </c>
      <c r="AE68" s="3">
        <v>93</v>
      </c>
      <c r="AI68">
        <v>93.25</v>
      </c>
      <c r="AK68" s="3"/>
      <c r="AV68" t="s">
        <v>366</v>
      </c>
      <c r="AX68" t="s">
        <v>366</v>
      </c>
      <c r="AZ68" t="s">
        <v>366</v>
      </c>
      <c r="BB68" t="s">
        <v>366</v>
      </c>
      <c r="BO68" t="s">
        <v>367</v>
      </c>
      <c r="BT68">
        <v>3</v>
      </c>
      <c r="BU68">
        <v>17</v>
      </c>
      <c r="BV68">
        <v>6</v>
      </c>
      <c r="BX68">
        <v>93.75</v>
      </c>
      <c r="BZ68">
        <v>91.12</v>
      </c>
      <c r="CB68">
        <v>1921</v>
      </c>
      <c r="CD68" t="s">
        <v>425</v>
      </c>
      <c r="CM68">
        <v>1911</v>
      </c>
    </row>
    <row r="69" spans="1:91" x14ac:dyDescent="0.3">
      <c r="A69" t="s">
        <v>463</v>
      </c>
      <c r="B69">
        <v>44121</v>
      </c>
      <c r="C69" t="s">
        <v>357</v>
      </c>
      <c r="D69">
        <v>12</v>
      </c>
      <c r="Q69">
        <v>500000</v>
      </c>
      <c r="V69" t="s">
        <v>350</v>
      </c>
      <c r="Y69">
        <v>100</v>
      </c>
      <c r="AA69">
        <v>73.5</v>
      </c>
      <c r="AC69" s="3">
        <v>73.5</v>
      </c>
      <c r="AE69" s="3">
        <v>73.5</v>
      </c>
      <c r="AI69">
        <v>73.5</v>
      </c>
      <c r="AK69" s="3"/>
      <c r="AV69" t="s">
        <v>366</v>
      </c>
      <c r="AX69" t="s">
        <v>366</v>
      </c>
      <c r="AZ69" t="s">
        <v>366</v>
      </c>
      <c r="BB69" t="s">
        <v>366</v>
      </c>
      <c r="BO69" t="s">
        <v>367</v>
      </c>
      <c r="BT69">
        <v>4</v>
      </c>
      <c r="BU69">
        <v>5</v>
      </c>
      <c r="BV69">
        <v>6</v>
      </c>
      <c r="BX69">
        <v>76</v>
      </c>
      <c r="BZ69">
        <v>73.5</v>
      </c>
      <c r="CB69" t="s">
        <v>468</v>
      </c>
      <c r="CD69" t="s">
        <v>425</v>
      </c>
      <c r="CM69">
        <v>1911</v>
      </c>
    </row>
    <row r="70" spans="1:91" x14ac:dyDescent="0.3">
      <c r="A70" t="s">
        <v>469</v>
      </c>
      <c r="B70">
        <v>44143</v>
      </c>
      <c r="D70">
        <v>12</v>
      </c>
      <c r="Q70">
        <v>124580</v>
      </c>
      <c r="V70" t="s">
        <v>350</v>
      </c>
      <c r="Y70">
        <v>100</v>
      </c>
      <c r="AA70">
        <v>82</v>
      </c>
      <c r="AC70" s="3">
        <v>82</v>
      </c>
      <c r="AE70" s="3">
        <v>82</v>
      </c>
      <c r="AI70">
        <v>82</v>
      </c>
      <c r="AK70" s="3"/>
      <c r="AV70" t="s">
        <v>470</v>
      </c>
      <c r="AX70" t="s">
        <v>470</v>
      </c>
      <c r="AZ70" t="s">
        <v>470</v>
      </c>
      <c r="BB70" t="s">
        <v>470</v>
      </c>
      <c r="BO70" t="s">
        <v>367</v>
      </c>
      <c r="BT70">
        <v>3</v>
      </c>
      <c r="BU70">
        <v>17</v>
      </c>
      <c r="BV70">
        <v>3</v>
      </c>
      <c r="BX70">
        <v>83</v>
      </c>
      <c r="BZ70">
        <v>82</v>
      </c>
      <c r="CB70" t="s">
        <v>471</v>
      </c>
      <c r="CD70" t="s">
        <v>425</v>
      </c>
      <c r="CK70" t="s">
        <v>384</v>
      </c>
      <c r="CM70">
        <v>1911</v>
      </c>
    </row>
    <row r="71" spans="1:91" x14ac:dyDescent="0.3">
      <c r="A71" t="s">
        <v>472</v>
      </c>
      <c r="B71">
        <v>44482</v>
      </c>
      <c r="D71">
        <v>12</v>
      </c>
      <c r="Q71">
        <v>166650</v>
      </c>
      <c r="V71" t="s">
        <v>350</v>
      </c>
      <c r="Y71">
        <v>100</v>
      </c>
      <c r="AA71">
        <v>82</v>
      </c>
      <c r="AC71" s="3">
        <v>82</v>
      </c>
      <c r="AE71" s="3">
        <v>81</v>
      </c>
      <c r="AI71">
        <v>81</v>
      </c>
      <c r="AK71" s="3"/>
      <c r="AV71" t="s">
        <v>394</v>
      </c>
      <c r="AX71" t="s">
        <v>394</v>
      </c>
      <c r="AZ71" t="s">
        <v>394</v>
      </c>
      <c r="BB71" t="s">
        <v>394</v>
      </c>
      <c r="BO71" t="s">
        <v>367</v>
      </c>
      <c r="BT71">
        <v>4</v>
      </c>
      <c r="BU71">
        <v>11</v>
      </c>
      <c r="BV71">
        <v>6</v>
      </c>
      <c r="BX71">
        <v>83</v>
      </c>
      <c r="BZ71">
        <v>81</v>
      </c>
      <c r="CB71" t="s">
        <v>459</v>
      </c>
      <c r="CD71" t="s">
        <v>425</v>
      </c>
      <c r="CK71" t="s">
        <v>360</v>
      </c>
      <c r="CM71">
        <v>1911</v>
      </c>
    </row>
    <row r="72" spans="1:91" x14ac:dyDescent="0.3">
      <c r="A72" t="s">
        <v>473</v>
      </c>
      <c r="B72">
        <v>44505</v>
      </c>
      <c r="D72">
        <v>12</v>
      </c>
      <c r="Q72">
        <v>535431</v>
      </c>
      <c r="V72" t="s">
        <v>350</v>
      </c>
      <c r="Y72">
        <v>100</v>
      </c>
      <c r="AA72">
        <v>83</v>
      </c>
      <c r="AC72" s="3">
        <v>83</v>
      </c>
      <c r="AE72" s="3">
        <v>82</v>
      </c>
      <c r="AI72">
        <v>82</v>
      </c>
      <c r="AK72" s="3"/>
      <c r="AV72" t="s">
        <v>394</v>
      </c>
      <c r="AX72" t="s">
        <v>394</v>
      </c>
      <c r="AZ72" t="s">
        <v>394</v>
      </c>
      <c r="BB72" t="s">
        <v>394</v>
      </c>
      <c r="BO72" t="s">
        <v>367</v>
      </c>
      <c r="BT72">
        <v>3</v>
      </c>
      <c r="BU72">
        <v>18</v>
      </c>
      <c r="BV72">
        <v>9</v>
      </c>
      <c r="BX72">
        <v>84.5</v>
      </c>
      <c r="BZ72">
        <v>82</v>
      </c>
      <c r="CB72" t="s">
        <v>474</v>
      </c>
      <c r="CD72" t="s">
        <v>425</v>
      </c>
      <c r="CK72" t="s">
        <v>360</v>
      </c>
      <c r="CM72">
        <v>1911</v>
      </c>
    </row>
    <row r="73" spans="1:91" x14ac:dyDescent="0.3">
      <c r="A73" t="s">
        <v>475</v>
      </c>
      <c r="B73">
        <v>44563</v>
      </c>
      <c r="D73">
        <v>12</v>
      </c>
      <c r="Q73">
        <v>91825</v>
      </c>
      <c r="V73" t="s">
        <v>350</v>
      </c>
      <c r="Y73">
        <v>100</v>
      </c>
      <c r="AA73">
        <v>75</v>
      </c>
      <c r="AC73" s="3">
        <v>75</v>
      </c>
      <c r="AE73" s="3">
        <v>75</v>
      </c>
      <c r="AI73">
        <v>75</v>
      </c>
      <c r="AK73" s="3"/>
      <c r="AV73" t="s">
        <v>476</v>
      </c>
      <c r="AX73" t="s">
        <v>476</v>
      </c>
      <c r="AZ73" t="s">
        <v>476</v>
      </c>
      <c r="BB73" t="s">
        <v>476</v>
      </c>
      <c r="BO73" t="s">
        <v>367</v>
      </c>
      <c r="BT73">
        <v>4</v>
      </c>
      <c r="BU73">
        <v>11</v>
      </c>
      <c r="BV73">
        <v>0</v>
      </c>
      <c r="BX73">
        <v>76.75</v>
      </c>
      <c r="BZ73">
        <v>75</v>
      </c>
      <c r="CB73" t="s">
        <v>477</v>
      </c>
      <c r="CD73" t="s">
        <v>425</v>
      </c>
      <c r="CK73" t="s">
        <v>360</v>
      </c>
      <c r="CL73" t="s">
        <v>457</v>
      </c>
      <c r="CM73">
        <v>1911</v>
      </c>
    </row>
    <row r="74" spans="1:91" x14ac:dyDescent="0.3">
      <c r="A74" t="s">
        <v>475</v>
      </c>
      <c r="B74">
        <v>44564</v>
      </c>
      <c r="C74" t="s">
        <v>478</v>
      </c>
      <c r="D74">
        <v>12</v>
      </c>
      <c r="Q74">
        <v>343258</v>
      </c>
      <c r="V74" t="s">
        <v>350</v>
      </c>
      <c r="Y74">
        <v>100</v>
      </c>
      <c r="AA74">
        <v>97</v>
      </c>
      <c r="AC74" s="3">
        <v>97.62</v>
      </c>
      <c r="AE74" s="3">
        <v>97</v>
      </c>
      <c r="AI74">
        <v>97.5</v>
      </c>
      <c r="AK74" s="3"/>
      <c r="AV74" t="s">
        <v>476</v>
      </c>
      <c r="AX74" t="s">
        <v>476</v>
      </c>
      <c r="AZ74" t="s">
        <v>476</v>
      </c>
      <c r="BB74" t="s">
        <v>476</v>
      </c>
      <c r="BO74" t="s">
        <v>367</v>
      </c>
      <c r="BT74">
        <v>3</v>
      </c>
      <c r="BU74">
        <v>14</v>
      </c>
      <c r="BV74">
        <v>0</v>
      </c>
      <c r="BX74">
        <v>98.25</v>
      </c>
      <c r="BZ74">
        <v>95.5</v>
      </c>
      <c r="CB74" t="s">
        <v>479</v>
      </c>
      <c r="CD74" t="s">
        <v>425</v>
      </c>
      <c r="CK74" t="s">
        <v>360</v>
      </c>
      <c r="CL74" t="s">
        <v>457</v>
      </c>
      <c r="CM74">
        <v>1911</v>
      </c>
    </row>
    <row r="75" spans="1:91" x14ac:dyDescent="0.3">
      <c r="A75" t="s">
        <v>480</v>
      </c>
      <c r="B75">
        <v>44587</v>
      </c>
      <c r="D75">
        <v>12</v>
      </c>
      <c r="Q75">
        <v>218490</v>
      </c>
      <c r="V75" t="s">
        <v>350</v>
      </c>
      <c r="Y75">
        <v>100</v>
      </c>
      <c r="AA75">
        <v>82</v>
      </c>
      <c r="AC75" s="3">
        <v>82</v>
      </c>
      <c r="AE75" s="3">
        <v>81</v>
      </c>
      <c r="AI75">
        <v>81</v>
      </c>
      <c r="AJ75" t="s">
        <v>379</v>
      </c>
      <c r="AK75" s="3"/>
      <c r="AV75" t="s">
        <v>394</v>
      </c>
      <c r="AX75" t="s">
        <v>394</v>
      </c>
      <c r="AZ75" t="s">
        <v>394</v>
      </c>
      <c r="BB75" t="s">
        <v>394</v>
      </c>
      <c r="BO75" t="s">
        <v>367</v>
      </c>
      <c r="BT75">
        <v>3</v>
      </c>
      <c r="BU75">
        <v>14</v>
      </c>
      <c r="BV75">
        <v>3</v>
      </c>
      <c r="BX75">
        <v>83</v>
      </c>
      <c r="BZ75">
        <v>76</v>
      </c>
      <c r="CB75">
        <v>1930</v>
      </c>
      <c r="CD75" t="s">
        <v>425</v>
      </c>
      <c r="CK75" t="s">
        <v>481</v>
      </c>
      <c r="CL75" t="s">
        <v>457</v>
      </c>
      <c r="CM75">
        <v>1911</v>
      </c>
    </row>
    <row r="76" spans="1:91" x14ac:dyDescent="0.3">
      <c r="A76" t="s">
        <v>482</v>
      </c>
      <c r="B76">
        <v>44728</v>
      </c>
      <c r="D76">
        <v>12</v>
      </c>
      <c r="Q76" s="2">
        <v>1040210</v>
      </c>
      <c r="V76" t="s">
        <v>350</v>
      </c>
      <c r="Y76">
        <v>100</v>
      </c>
      <c r="AA76">
        <v>96.5</v>
      </c>
      <c r="AC76" s="3">
        <v>96.5</v>
      </c>
      <c r="AE76" s="3">
        <v>96.5</v>
      </c>
      <c r="AI76">
        <v>96.5</v>
      </c>
      <c r="AK76" s="3"/>
      <c r="AV76" t="s">
        <v>394</v>
      </c>
      <c r="AX76" t="s">
        <v>394</v>
      </c>
      <c r="AZ76" t="s">
        <v>394</v>
      </c>
      <c r="BB76" t="s">
        <v>394</v>
      </c>
      <c r="BO76" t="s">
        <v>367</v>
      </c>
      <c r="BT76">
        <v>3</v>
      </c>
      <c r="BU76">
        <v>15</v>
      </c>
      <c r="BV76">
        <v>3</v>
      </c>
      <c r="BX76">
        <v>98</v>
      </c>
      <c r="BZ76">
        <v>96</v>
      </c>
      <c r="CB76">
        <v>1934</v>
      </c>
      <c r="CD76" t="s">
        <v>425</v>
      </c>
      <c r="CK76" t="s">
        <v>435</v>
      </c>
      <c r="CM76">
        <v>1911</v>
      </c>
    </row>
    <row r="77" spans="1:91" x14ac:dyDescent="0.3">
      <c r="A77" t="s">
        <v>482</v>
      </c>
      <c r="B77">
        <v>44726</v>
      </c>
      <c r="C77" t="s">
        <v>363</v>
      </c>
      <c r="D77">
        <v>12</v>
      </c>
      <c r="Q77">
        <v>479400</v>
      </c>
      <c r="V77" t="s">
        <v>350</v>
      </c>
      <c r="Y77">
        <v>100</v>
      </c>
      <c r="AA77">
        <v>87</v>
      </c>
      <c r="AC77" s="3">
        <v>87</v>
      </c>
      <c r="AE77" s="3">
        <v>86</v>
      </c>
      <c r="AI77">
        <v>86</v>
      </c>
      <c r="AK77" s="3"/>
      <c r="AV77" t="s">
        <v>370</v>
      </c>
      <c r="AX77" t="s">
        <v>370</v>
      </c>
      <c r="AZ77" t="s">
        <v>370</v>
      </c>
      <c r="BB77" t="s">
        <v>370</v>
      </c>
      <c r="BO77" t="s">
        <v>367</v>
      </c>
      <c r="BT77">
        <v>4</v>
      </c>
      <c r="BU77">
        <v>1</v>
      </c>
      <c r="BV77">
        <v>9</v>
      </c>
      <c r="BX77">
        <v>87.5</v>
      </c>
      <c r="BZ77">
        <v>85</v>
      </c>
      <c r="CB77">
        <v>1934</v>
      </c>
      <c r="CD77" t="s">
        <v>425</v>
      </c>
      <c r="CK77" t="s">
        <v>435</v>
      </c>
      <c r="CM77">
        <v>1911</v>
      </c>
    </row>
    <row r="78" spans="1:91" x14ac:dyDescent="0.3">
      <c r="A78" t="s">
        <v>482</v>
      </c>
      <c r="B78">
        <v>44730</v>
      </c>
      <c r="C78" t="s">
        <v>483</v>
      </c>
      <c r="D78">
        <v>12</v>
      </c>
      <c r="Q78" s="2">
        <v>1190020</v>
      </c>
      <c r="V78" t="s">
        <v>350</v>
      </c>
      <c r="Y78">
        <v>100</v>
      </c>
      <c r="AA78">
        <v>85</v>
      </c>
      <c r="AC78" s="3">
        <v>85.37</v>
      </c>
      <c r="AE78" s="3">
        <v>84.62</v>
      </c>
      <c r="AI78">
        <v>85</v>
      </c>
      <c r="AK78" s="3"/>
      <c r="AV78" t="s">
        <v>382</v>
      </c>
      <c r="AX78" t="s">
        <v>382</v>
      </c>
      <c r="AZ78" t="s">
        <v>382</v>
      </c>
      <c r="BB78" t="s">
        <v>382</v>
      </c>
      <c r="BO78" t="s">
        <v>367</v>
      </c>
      <c r="BT78">
        <v>3</v>
      </c>
      <c r="BU78">
        <v>18</v>
      </c>
      <c r="BV78">
        <v>0</v>
      </c>
      <c r="BX78">
        <v>85.62</v>
      </c>
      <c r="BZ78">
        <v>83.5</v>
      </c>
      <c r="CB78" t="s">
        <v>450</v>
      </c>
      <c r="CD78" t="s">
        <v>425</v>
      </c>
      <c r="CM78">
        <v>1911</v>
      </c>
    </row>
    <row r="79" spans="1:91" x14ac:dyDescent="0.3">
      <c r="A79" t="s">
        <v>484</v>
      </c>
      <c r="B79">
        <v>44751</v>
      </c>
      <c r="D79">
        <v>12</v>
      </c>
      <c r="Q79">
        <v>500000</v>
      </c>
      <c r="V79" t="s">
        <v>350</v>
      </c>
      <c r="Y79">
        <v>100</v>
      </c>
      <c r="AA79">
        <v>97</v>
      </c>
      <c r="AC79" s="3">
        <v>97</v>
      </c>
      <c r="AE79" s="3">
        <v>95</v>
      </c>
      <c r="AI79">
        <v>95</v>
      </c>
      <c r="AK79" s="3"/>
      <c r="AV79" t="s">
        <v>394</v>
      </c>
      <c r="AX79" t="s">
        <v>394</v>
      </c>
      <c r="AZ79" t="s">
        <v>394</v>
      </c>
      <c r="BB79" t="s">
        <v>394</v>
      </c>
      <c r="BO79" t="s">
        <v>367</v>
      </c>
      <c r="BT79">
        <v>3</v>
      </c>
      <c r="BU79">
        <v>14</v>
      </c>
      <c r="BV79">
        <v>0</v>
      </c>
      <c r="BX79">
        <v>98.62</v>
      </c>
      <c r="BZ79">
        <v>95</v>
      </c>
      <c r="CC79" t="s">
        <v>385</v>
      </c>
      <c r="CD79" t="s">
        <v>425</v>
      </c>
      <c r="CK79" t="s">
        <v>360</v>
      </c>
      <c r="CM79">
        <v>1911</v>
      </c>
    </row>
    <row r="80" spans="1:91" x14ac:dyDescent="0.3">
      <c r="A80" t="s">
        <v>484</v>
      </c>
      <c r="B80">
        <v>44754</v>
      </c>
      <c r="C80" t="s">
        <v>483</v>
      </c>
      <c r="D80">
        <v>12</v>
      </c>
      <c r="Q80">
        <v>600000</v>
      </c>
      <c r="V80" t="s">
        <v>350</v>
      </c>
      <c r="Y80">
        <v>100</v>
      </c>
      <c r="AA80">
        <v>83</v>
      </c>
      <c r="AC80" s="3">
        <v>83.62</v>
      </c>
      <c r="AE80" s="3">
        <v>83</v>
      </c>
      <c r="AI80">
        <v>83</v>
      </c>
      <c r="AK80" s="3"/>
      <c r="AV80" t="s">
        <v>415</v>
      </c>
      <c r="AX80" t="s">
        <v>415</v>
      </c>
      <c r="AZ80" t="s">
        <v>415</v>
      </c>
      <c r="BB80" t="s">
        <v>415</v>
      </c>
      <c r="BO80" t="s">
        <v>367</v>
      </c>
      <c r="BT80">
        <v>3</v>
      </c>
      <c r="BU80">
        <v>19</v>
      </c>
      <c r="BV80">
        <v>3</v>
      </c>
      <c r="BX80">
        <v>85.5</v>
      </c>
      <c r="BZ80">
        <v>82.5</v>
      </c>
      <c r="CB80" t="s">
        <v>485</v>
      </c>
      <c r="CD80" t="s">
        <v>425</v>
      </c>
      <c r="CM80">
        <v>1911</v>
      </c>
    </row>
    <row r="81" spans="1:91" x14ac:dyDescent="0.3">
      <c r="A81" t="s">
        <v>484</v>
      </c>
      <c r="B81">
        <v>44757</v>
      </c>
      <c r="C81" t="s">
        <v>364</v>
      </c>
      <c r="D81">
        <v>12</v>
      </c>
      <c r="Q81">
        <v>400000</v>
      </c>
      <c r="V81" t="s">
        <v>350</v>
      </c>
      <c r="Y81">
        <v>100</v>
      </c>
      <c r="AA81">
        <v>96</v>
      </c>
      <c r="AC81" s="3">
        <v>96</v>
      </c>
      <c r="AE81" s="3">
        <v>96</v>
      </c>
      <c r="AI81">
        <v>96</v>
      </c>
      <c r="AK81" s="3"/>
      <c r="AV81" t="s">
        <v>374</v>
      </c>
      <c r="AX81" t="s">
        <v>374</v>
      </c>
      <c r="AZ81" t="s">
        <v>374</v>
      </c>
      <c r="BB81" t="s">
        <v>374</v>
      </c>
      <c r="BO81" t="s">
        <v>367</v>
      </c>
      <c r="BT81">
        <v>3</v>
      </c>
      <c r="BU81">
        <v>15</v>
      </c>
      <c r="BV81">
        <v>9</v>
      </c>
      <c r="BX81">
        <v>97.87</v>
      </c>
      <c r="BZ81">
        <v>95.25</v>
      </c>
      <c r="CB81" t="s">
        <v>486</v>
      </c>
      <c r="CD81" t="s">
        <v>353</v>
      </c>
      <c r="CM81">
        <v>1911</v>
      </c>
    </row>
    <row r="82" spans="1:91" x14ac:dyDescent="0.3">
      <c r="A82" t="s">
        <v>484</v>
      </c>
      <c r="B82">
        <v>44752</v>
      </c>
      <c r="C82" t="s">
        <v>487</v>
      </c>
      <c r="D82">
        <v>12</v>
      </c>
      <c r="Q82">
        <v>326158</v>
      </c>
      <c r="V82" t="s">
        <v>350</v>
      </c>
      <c r="Y82">
        <v>100</v>
      </c>
      <c r="AA82">
        <v>96</v>
      </c>
      <c r="AC82" s="3">
        <v>96</v>
      </c>
      <c r="AE82" s="3">
        <v>96</v>
      </c>
      <c r="AI82">
        <v>96</v>
      </c>
      <c r="AK82" s="3"/>
      <c r="AV82" t="s">
        <v>382</v>
      </c>
      <c r="AX82" t="s">
        <v>382</v>
      </c>
      <c r="AZ82" t="s">
        <v>382</v>
      </c>
      <c r="BB82" t="s">
        <v>382</v>
      </c>
      <c r="BO82" t="s">
        <v>367</v>
      </c>
      <c r="BT82">
        <v>3</v>
      </c>
      <c r="BU82">
        <v>14</v>
      </c>
      <c r="BV82">
        <v>9</v>
      </c>
      <c r="BX82">
        <v>98</v>
      </c>
      <c r="BZ82">
        <v>96</v>
      </c>
      <c r="CC82" t="s">
        <v>385</v>
      </c>
      <c r="CD82" t="s">
        <v>425</v>
      </c>
      <c r="CM82">
        <v>1911</v>
      </c>
    </row>
    <row r="83" spans="1:91" x14ac:dyDescent="0.3">
      <c r="A83" t="s">
        <v>488</v>
      </c>
      <c r="B83">
        <v>44991</v>
      </c>
      <c r="D83">
        <v>12</v>
      </c>
      <c r="Q83">
        <v>269070</v>
      </c>
      <c r="V83" t="s">
        <v>350</v>
      </c>
      <c r="Y83">
        <v>100</v>
      </c>
      <c r="AA83">
        <v>83</v>
      </c>
      <c r="AC83" s="3">
        <v>83</v>
      </c>
      <c r="AE83" s="3">
        <v>82</v>
      </c>
      <c r="AI83">
        <v>82</v>
      </c>
      <c r="AK83" s="3"/>
      <c r="AV83" t="s">
        <v>421</v>
      </c>
      <c r="AX83" t="s">
        <v>421</v>
      </c>
      <c r="AZ83" t="s">
        <v>421</v>
      </c>
      <c r="BB83" t="s">
        <v>421</v>
      </c>
      <c r="BO83" t="s">
        <v>367</v>
      </c>
      <c r="BT83">
        <v>3</v>
      </c>
      <c r="BU83">
        <v>13</v>
      </c>
      <c r="BV83">
        <v>3</v>
      </c>
      <c r="BX83">
        <v>84.5</v>
      </c>
      <c r="BZ83">
        <v>82</v>
      </c>
      <c r="CB83">
        <v>1952</v>
      </c>
      <c r="CD83" t="s">
        <v>353</v>
      </c>
      <c r="CK83" t="s">
        <v>360</v>
      </c>
      <c r="CM83">
        <v>1911</v>
      </c>
    </row>
    <row r="84" spans="1:91" x14ac:dyDescent="0.3">
      <c r="A84" t="s">
        <v>489</v>
      </c>
      <c r="B84">
        <v>45279</v>
      </c>
      <c r="D84">
        <v>12</v>
      </c>
      <c r="Q84">
        <v>344410</v>
      </c>
      <c r="V84" t="s">
        <v>350</v>
      </c>
      <c r="Y84">
        <v>100</v>
      </c>
      <c r="AA84">
        <v>83</v>
      </c>
      <c r="AC84" s="3">
        <v>83.62</v>
      </c>
      <c r="AE84" s="3">
        <v>82</v>
      </c>
      <c r="AI84">
        <v>82</v>
      </c>
      <c r="AK84" s="3"/>
      <c r="AV84" t="s">
        <v>394</v>
      </c>
      <c r="AX84" t="s">
        <v>394</v>
      </c>
      <c r="AZ84" t="s">
        <v>394</v>
      </c>
      <c r="BB84" t="s">
        <v>394</v>
      </c>
      <c r="BO84" t="s">
        <v>367</v>
      </c>
      <c r="BT84">
        <v>3</v>
      </c>
      <c r="BU84">
        <v>18</v>
      </c>
      <c r="BV84">
        <v>9</v>
      </c>
      <c r="BX84">
        <v>84.37</v>
      </c>
      <c r="BZ84">
        <v>82</v>
      </c>
      <c r="CB84" t="s">
        <v>490</v>
      </c>
      <c r="CD84" t="s">
        <v>491</v>
      </c>
      <c r="CM84">
        <v>1911</v>
      </c>
    </row>
    <row r="85" spans="1:91" x14ac:dyDescent="0.3">
      <c r="A85" t="s">
        <v>492</v>
      </c>
      <c r="B85">
        <v>45376</v>
      </c>
      <c r="D85">
        <v>12</v>
      </c>
      <c r="Q85" s="2">
        <v>2341250</v>
      </c>
      <c r="V85" t="s">
        <v>350</v>
      </c>
      <c r="Y85">
        <v>100</v>
      </c>
      <c r="AA85">
        <v>104</v>
      </c>
      <c r="AC85" s="3">
        <v>104.5</v>
      </c>
      <c r="AE85" s="3">
        <v>101.5</v>
      </c>
      <c r="AI85">
        <v>102</v>
      </c>
      <c r="AK85" s="3"/>
      <c r="AV85" t="s">
        <v>370</v>
      </c>
      <c r="AX85" t="s">
        <v>370</v>
      </c>
      <c r="AZ85" t="s">
        <v>370</v>
      </c>
      <c r="BB85" t="s">
        <v>370</v>
      </c>
      <c r="BO85" t="s">
        <v>367</v>
      </c>
      <c r="BT85">
        <v>4</v>
      </c>
      <c r="BU85">
        <v>0</v>
      </c>
      <c r="BV85">
        <v>0</v>
      </c>
      <c r="BX85">
        <v>105.62</v>
      </c>
      <c r="BZ85">
        <v>101.5</v>
      </c>
      <c r="CB85">
        <v>1927</v>
      </c>
      <c r="CD85" t="s">
        <v>425</v>
      </c>
      <c r="CK85" t="s">
        <v>493</v>
      </c>
      <c r="CL85" t="s">
        <v>457</v>
      </c>
      <c r="CM85">
        <v>1911</v>
      </c>
    </row>
    <row r="86" spans="1:91" x14ac:dyDescent="0.3">
      <c r="A86" t="s">
        <v>492</v>
      </c>
      <c r="B86">
        <v>45377</v>
      </c>
      <c r="C86" t="s">
        <v>364</v>
      </c>
      <c r="D86">
        <v>12</v>
      </c>
      <c r="Q86" s="2">
        <v>1075370</v>
      </c>
      <c r="V86" t="s">
        <v>350</v>
      </c>
      <c r="Y86">
        <v>100</v>
      </c>
      <c r="AA86">
        <v>98</v>
      </c>
      <c r="AC86" s="3">
        <v>98</v>
      </c>
      <c r="AE86" s="3">
        <v>97</v>
      </c>
      <c r="AI86">
        <v>97</v>
      </c>
      <c r="AK86" s="3"/>
      <c r="AV86" t="s">
        <v>370</v>
      </c>
      <c r="AX86" t="s">
        <v>370</v>
      </c>
      <c r="AZ86" t="s">
        <v>370</v>
      </c>
      <c r="BB86" t="s">
        <v>370</v>
      </c>
      <c r="BO86" t="s">
        <v>367</v>
      </c>
      <c r="BT86">
        <v>3</v>
      </c>
      <c r="BU86">
        <v>13</v>
      </c>
      <c r="BV86">
        <v>3</v>
      </c>
      <c r="BX86">
        <v>98</v>
      </c>
      <c r="BZ86">
        <v>96</v>
      </c>
      <c r="CB86">
        <v>1927</v>
      </c>
      <c r="CC86" t="s">
        <v>362</v>
      </c>
      <c r="CD86" t="s">
        <v>425</v>
      </c>
      <c r="CM86">
        <v>1911</v>
      </c>
    </row>
    <row r="87" spans="1:91" x14ac:dyDescent="0.3">
      <c r="A87" t="s">
        <v>492</v>
      </c>
      <c r="B87">
        <v>45382</v>
      </c>
      <c r="C87" t="s">
        <v>363</v>
      </c>
      <c r="D87">
        <v>12</v>
      </c>
      <c r="Q87" s="2">
        <v>2000000</v>
      </c>
      <c r="V87" t="s">
        <v>350</v>
      </c>
      <c r="Y87">
        <v>100</v>
      </c>
      <c r="AA87">
        <v>85</v>
      </c>
      <c r="AC87" s="3">
        <v>85</v>
      </c>
      <c r="AE87" s="3">
        <v>85</v>
      </c>
      <c r="AI87">
        <v>85</v>
      </c>
      <c r="AK87" s="3"/>
      <c r="AV87" t="s">
        <v>394</v>
      </c>
      <c r="AX87" t="s">
        <v>394</v>
      </c>
      <c r="AZ87" t="s">
        <v>394</v>
      </c>
      <c r="BB87" t="s">
        <v>394</v>
      </c>
      <c r="BO87" t="s">
        <v>367</v>
      </c>
      <c r="BT87">
        <v>3</v>
      </c>
      <c r="BU87">
        <v>13</v>
      </c>
      <c r="BV87">
        <v>3</v>
      </c>
      <c r="BX87">
        <v>86.75</v>
      </c>
      <c r="BZ87">
        <v>83</v>
      </c>
      <c r="CB87">
        <v>1927</v>
      </c>
      <c r="CC87" t="s">
        <v>362</v>
      </c>
      <c r="CD87" t="s">
        <v>425</v>
      </c>
      <c r="CM87">
        <v>1911</v>
      </c>
    </row>
    <row r="88" spans="1:91" x14ac:dyDescent="0.3">
      <c r="A88" t="s">
        <v>492</v>
      </c>
      <c r="B88">
        <v>45378</v>
      </c>
      <c r="C88" t="s">
        <v>372</v>
      </c>
      <c r="D88">
        <v>12</v>
      </c>
      <c r="Q88">
        <v>482900</v>
      </c>
      <c r="V88" t="s">
        <v>350</v>
      </c>
      <c r="Y88">
        <v>100</v>
      </c>
      <c r="AA88">
        <v>83</v>
      </c>
      <c r="AC88" s="3">
        <v>83</v>
      </c>
      <c r="AE88" s="3">
        <v>83</v>
      </c>
      <c r="AI88">
        <v>84</v>
      </c>
      <c r="AK88" s="3"/>
      <c r="AV88" t="s">
        <v>425</v>
      </c>
      <c r="AX88" t="s">
        <v>425</v>
      </c>
      <c r="AZ88" t="s">
        <v>425</v>
      </c>
      <c r="BB88" t="s">
        <v>425</v>
      </c>
      <c r="BO88" t="s">
        <v>367</v>
      </c>
      <c r="BT88">
        <v>3</v>
      </c>
      <c r="BU88">
        <v>14</v>
      </c>
      <c r="BV88">
        <v>9</v>
      </c>
      <c r="BX88">
        <v>84.37</v>
      </c>
      <c r="BZ88">
        <v>82.12</v>
      </c>
      <c r="CB88">
        <v>1927</v>
      </c>
      <c r="CC88" t="s">
        <v>362</v>
      </c>
      <c r="CD88" t="s">
        <v>425</v>
      </c>
      <c r="CM88">
        <v>1911</v>
      </c>
    </row>
    <row r="89" spans="1:91" x14ac:dyDescent="0.3">
      <c r="A89" t="s">
        <v>492</v>
      </c>
      <c r="B89">
        <v>45380</v>
      </c>
      <c r="C89" t="s">
        <v>357</v>
      </c>
      <c r="D89">
        <v>12</v>
      </c>
      <c r="Q89">
        <v>750000</v>
      </c>
      <c r="V89" t="s">
        <v>350</v>
      </c>
      <c r="Y89">
        <v>100</v>
      </c>
      <c r="AA89">
        <v>70</v>
      </c>
      <c r="AC89" s="3">
        <v>70</v>
      </c>
      <c r="AE89" s="3">
        <v>69</v>
      </c>
      <c r="AI89">
        <v>69</v>
      </c>
      <c r="AK89" s="3"/>
      <c r="AV89" t="s">
        <v>425</v>
      </c>
      <c r="AX89" t="s">
        <v>425</v>
      </c>
      <c r="AZ89" t="s">
        <v>425</v>
      </c>
      <c r="BB89" t="s">
        <v>425</v>
      </c>
      <c r="BO89" t="s">
        <v>367</v>
      </c>
      <c r="BT89">
        <v>3</v>
      </c>
      <c r="BU89">
        <v>13</v>
      </c>
      <c r="BV89">
        <v>6</v>
      </c>
      <c r="BX89">
        <v>72</v>
      </c>
      <c r="BZ89">
        <v>69</v>
      </c>
      <c r="CB89">
        <v>1927</v>
      </c>
      <c r="CC89" t="s">
        <v>362</v>
      </c>
      <c r="CD89" t="s">
        <v>425</v>
      </c>
      <c r="CM89">
        <v>1911</v>
      </c>
    </row>
    <row r="90" spans="1:91" x14ac:dyDescent="0.3">
      <c r="A90" t="s">
        <v>494</v>
      </c>
      <c r="B90">
        <v>45416</v>
      </c>
      <c r="D90">
        <v>12</v>
      </c>
      <c r="Q90" s="2">
        <v>1247910</v>
      </c>
      <c r="V90" t="s">
        <v>350</v>
      </c>
      <c r="Y90">
        <v>100</v>
      </c>
      <c r="AA90">
        <v>97</v>
      </c>
      <c r="AC90" s="3">
        <v>97</v>
      </c>
      <c r="AE90" s="3">
        <v>95.5</v>
      </c>
      <c r="AI90">
        <v>96</v>
      </c>
      <c r="AK90" s="3"/>
      <c r="AV90" t="s">
        <v>370</v>
      </c>
      <c r="AX90" t="s">
        <v>370</v>
      </c>
      <c r="AZ90" t="s">
        <v>370</v>
      </c>
      <c r="BB90" t="s">
        <v>370</v>
      </c>
      <c r="BO90" t="s">
        <v>367</v>
      </c>
      <c r="BT90">
        <v>3</v>
      </c>
      <c r="BU90">
        <v>17</v>
      </c>
      <c r="BV90">
        <v>3</v>
      </c>
      <c r="BX90">
        <v>98.62</v>
      </c>
      <c r="BZ90">
        <v>95.5</v>
      </c>
      <c r="CB90">
        <v>1934</v>
      </c>
      <c r="CD90" t="s">
        <v>425</v>
      </c>
      <c r="CK90" t="s">
        <v>360</v>
      </c>
      <c r="CM90">
        <v>1911</v>
      </c>
    </row>
    <row r="91" spans="1:91" x14ac:dyDescent="0.3">
      <c r="A91" t="s">
        <v>494</v>
      </c>
      <c r="B91">
        <v>45417</v>
      </c>
      <c r="C91" t="s">
        <v>363</v>
      </c>
      <c r="D91">
        <v>12</v>
      </c>
      <c r="Q91" s="2">
        <v>1375290</v>
      </c>
      <c r="V91" t="s">
        <v>350</v>
      </c>
      <c r="Y91">
        <v>100</v>
      </c>
      <c r="AA91">
        <v>83</v>
      </c>
      <c r="AC91" s="3">
        <v>84</v>
      </c>
      <c r="AE91" s="3">
        <v>81</v>
      </c>
      <c r="AI91">
        <v>82</v>
      </c>
      <c r="AK91" s="3"/>
      <c r="AV91" t="s">
        <v>394</v>
      </c>
      <c r="AX91" t="s">
        <v>394</v>
      </c>
      <c r="AZ91" t="s">
        <v>394</v>
      </c>
      <c r="BB91" t="s">
        <v>394</v>
      </c>
      <c r="BO91" t="s">
        <v>367</v>
      </c>
      <c r="BT91">
        <v>4</v>
      </c>
      <c r="BU91">
        <v>2</v>
      </c>
      <c r="BV91">
        <v>3</v>
      </c>
      <c r="BX91">
        <v>84</v>
      </c>
      <c r="BZ91">
        <v>81</v>
      </c>
      <c r="CB91" t="s">
        <v>495</v>
      </c>
      <c r="CD91" t="s">
        <v>425</v>
      </c>
      <c r="CM91">
        <v>1911</v>
      </c>
    </row>
    <row r="92" spans="1:91" x14ac:dyDescent="0.3">
      <c r="A92" t="s">
        <v>494</v>
      </c>
      <c r="B92">
        <v>45419</v>
      </c>
      <c r="C92" t="s">
        <v>357</v>
      </c>
      <c r="D92">
        <v>12</v>
      </c>
      <c r="Q92">
        <v>145265</v>
      </c>
      <c r="V92" t="s">
        <v>350</v>
      </c>
      <c r="Y92">
        <v>100</v>
      </c>
      <c r="AA92">
        <v>69</v>
      </c>
      <c r="AC92" s="3">
        <v>69</v>
      </c>
      <c r="AE92" s="3">
        <v>68</v>
      </c>
      <c r="AI92">
        <v>68</v>
      </c>
      <c r="AK92" s="3"/>
      <c r="AV92" t="s">
        <v>394</v>
      </c>
      <c r="AX92" t="s">
        <v>394</v>
      </c>
      <c r="AZ92" t="s">
        <v>394</v>
      </c>
      <c r="BB92" t="s">
        <v>394</v>
      </c>
      <c r="BO92" t="s">
        <v>367</v>
      </c>
      <c r="BT92">
        <v>4</v>
      </c>
      <c r="BU92">
        <v>3</v>
      </c>
      <c r="BV92">
        <v>3</v>
      </c>
      <c r="BX92">
        <v>70</v>
      </c>
      <c r="BZ92">
        <v>68</v>
      </c>
      <c r="CB92" t="s">
        <v>496</v>
      </c>
      <c r="CD92" t="s">
        <v>385</v>
      </c>
      <c r="CM92">
        <v>1911</v>
      </c>
    </row>
    <row r="93" spans="1:91" x14ac:dyDescent="0.3">
      <c r="A93" t="s">
        <v>497</v>
      </c>
      <c r="B93">
        <v>45478</v>
      </c>
      <c r="D93">
        <v>12</v>
      </c>
      <c r="Q93">
        <v>425394</v>
      </c>
      <c r="V93" t="s">
        <v>350</v>
      </c>
      <c r="Y93">
        <v>100</v>
      </c>
      <c r="AA93">
        <v>83</v>
      </c>
      <c r="AC93" s="3">
        <v>83</v>
      </c>
      <c r="AE93" s="3">
        <v>82</v>
      </c>
      <c r="AI93">
        <v>82</v>
      </c>
      <c r="AK93" s="3"/>
      <c r="AV93" t="s">
        <v>370</v>
      </c>
      <c r="AX93" t="s">
        <v>370</v>
      </c>
      <c r="AZ93" t="s">
        <v>370</v>
      </c>
      <c r="BB93" t="s">
        <v>370</v>
      </c>
      <c r="BO93" t="s">
        <v>367</v>
      </c>
      <c r="BT93">
        <v>3</v>
      </c>
      <c r="BU93">
        <v>14</v>
      </c>
      <c r="BV93">
        <v>6</v>
      </c>
      <c r="BX93">
        <v>84.25</v>
      </c>
      <c r="BZ93">
        <v>80.5</v>
      </c>
      <c r="CB93">
        <v>1919</v>
      </c>
      <c r="CC93" t="s">
        <v>362</v>
      </c>
      <c r="CD93" t="s">
        <v>353</v>
      </c>
      <c r="CK93" t="s">
        <v>360</v>
      </c>
      <c r="CM93">
        <v>1911</v>
      </c>
    </row>
    <row r="94" spans="1:91" x14ac:dyDescent="0.3">
      <c r="A94" t="s">
        <v>498</v>
      </c>
      <c r="B94">
        <v>45554</v>
      </c>
      <c r="D94">
        <v>12</v>
      </c>
      <c r="Q94" s="2">
        <v>5755470</v>
      </c>
      <c r="V94" t="s">
        <v>350</v>
      </c>
      <c r="Y94">
        <v>100</v>
      </c>
      <c r="AA94">
        <v>100.5</v>
      </c>
      <c r="AC94" s="3">
        <v>100.5</v>
      </c>
      <c r="AE94" s="3">
        <v>99.5</v>
      </c>
      <c r="AI94">
        <v>100</v>
      </c>
      <c r="AK94" s="3"/>
      <c r="AV94" t="s">
        <v>351</v>
      </c>
      <c r="AX94" t="s">
        <v>351</v>
      </c>
      <c r="AZ94" t="s">
        <v>351</v>
      </c>
      <c r="BB94" t="s">
        <v>351</v>
      </c>
      <c r="BO94" t="s">
        <v>352</v>
      </c>
      <c r="BT94">
        <v>3</v>
      </c>
      <c r="BU94">
        <v>10</v>
      </c>
      <c r="BV94">
        <v>0</v>
      </c>
      <c r="BX94">
        <v>101.75</v>
      </c>
      <c r="BZ94">
        <v>99.12</v>
      </c>
      <c r="CC94" t="s">
        <v>385</v>
      </c>
      <c r="CD94" t="s">
        <v>353</v>
      </c>
      <c r="CK94" t="s">
        <v>499</v>
      </c>
      <c r="CM94">
        <v>1911</v>
      </c>
    </row>
    <row r="95" spans="1:91" x14ac:dyDescent="0.3">
      <c r="A95" t="s">
        <v>498</v>
      </c>
      <c r="B95">
        <v>45555</v>
      </c>
      <c r="C95" t="s">
        <v>357</v>
      </c>
      <c r="D95">
        <v>12</v>
      </c>
      <c r="Q95" s="2">
        <v>1349980</v>
      </c>
      <c r="V95" t="s">
        <v>350</v>
      </c>
      <c r="Y95">
        <v>100</v>
      </c>
      <c r="AA95">
        <v>71</v>
      </c>
      <c r="AC95" s="3">
        <v>71</v>
      </c>
      <c r="AE95" s="3">
        <v>69.25</v>
      </c>
      <c r="AI95">
        <v>70</v>
      </c>
      <c r="AK95" s="3"/>
      <c r="AV95" t="s">
        <v>394</v>
      </c>
      <c r="AX95" t="s">
        <v>394</v>
      </c>
      <c r="AZ95" t="s">
        <v>394</v>
      </c>
      <c r="BB95" t="s">
        <v>394</v>
      </c>
      <c r="BO95" t="s">
        <v>367</v>
      </c>
      <c r="BT95">
        <v>3</v>
      </c>
      <c r="BU95">
        <v>12</v>
      </c>
      <c r="BV95">
        <v>6</v>
      </c>
      <c r="BX95">
        <v>71.75</v>
      </c>
      <c r="BZ95">
        <v>69.25</v>
      </c>
      <c r="CB95">
        <v>1923</v>
      </c>
      <c r="CC95" t="s">
        <v>362</v>
      </c>
      <c r="CD95" t="s">
        <v>353</v>
      </c>
      <c r="CM95">
        <v>1911</v>
      </c>
    </row>
    <row r="96" spans="1:91" x14ac:dyDescent="0.3">
      <c r="A96" t="s">
        <v>498</v>
      </c>
      <c r="B96">
        <v>45556</v>
      </c>
      <c r="C96" t="s">
        <v>483</v>
      </c>
      <c r="D96">
        <v>12</v>
      </c>
      <c r="Q96" s="2">
        <v>1817090</v>
      </c>
      <c r="V96" t="s">
        <v>350</v>
      </c>
      <c r="Y96">
        <v>100</v>
      </c>
      <c r="AA96">
        <v>86</v>
      </c>
      <c r="AC96" s="3">
        <v>86.25</v>
      </c>
      <c r="AE96" s="3">
        <v>85.5</v>
      </c>
      <c r="AI96">
        <v>86</v>
      </c>
      <c r="AK96" s="3"/>
      <c r="AV96" t="s">
        <v>382</v>
      </c>
      <c r="AX96" t="s">
        <v>382</v>
      </c>
      <c r="AZ96" t="s">
        <v>382</v>
      </c>
      <c r="BB96" t="s">
        <v>382</v>
      </c>
      <c r="BO96" t="s">
        <v>367</v>
      </c>
      <c r="BT96">
        <v>3</v>
      </c>
      <c r="BU96">
        <v>11</v>
      </c>
      <c r="BV96">
        <v>9</v>
      </c>
      <c r="BX96">
        <v>88.62</v>
      </c>
      <c r="BZ96">
        <v>85.5</v>
      </c>
      <c r="CB96">
        <v>1942</v>
      </c>
      <c r="CC96" t="s">
        <v>362</v>
      </c>
      <c r="CD96" t="s">
        <v>353</v>
      </c>
      <c r="CM96">
        <v>1911</v>
      </c>
    </row>
    <row r="97" spans="1:91" x14ac:dyDescent="0.3">
      <c r="A97" t="s">
        <v>500</v>
      </c>
      <c r="B97">
        <v>45989</v>
      </c>
      <c r="D97">
        <v>12</v>
      </c>
      <c r="Q97" s="2">
        <v>3485320</v>
      </c>
      <c r="V97" t="s">
        <v>350</v>
      </c>
      <c r="Y97">
        <v>100</v>
      </c>
      <c r="AA97">
        <v>115.25</v>
      </c>
      <c r="AC97" s="3">
        <v>115.25</v>
      </c>
      <c r="AE97" s="3">
        <v>113</v>
      </c>
      <c r="AI97">
        <v>113.25</v>
      </c>
      <c r="AK97" s="3"/>
      <c r="AV97" t="s">
        <v>421</v>
      </c>
      <c r="AX97" t="s">
        <v>421</v>
      </c>
      <c r="AZ97" t="s">
        <v>421</v>
      </c>
      <c r="BB97" t="s">
        <v>421</v>
      </c>
      <c r="BO97" t="s">
        <v>367</v>
      </c>
      <c r="BT97">
        <v>3</v>
      </c>
      <c r="BU97">
        <v>10</v>
      </c>
      <c r="BV97">
        <v>9</v>
      </c>
      <c r="BX97">
        <v>116.5</v>
      </c>
      <c r="BZ97">
        <v>113</v>
      </c>
      <c r="CC97" t="s">
        <v>385</v>
      </c>
      <c r="CD97" t="s">
        <v>385</v>
      </c>
      <c r="CK97" t="s">
        <v>501</v>
      </c>
      <c r="CM97">
        <v>1911</v>
      </c>
    </row>
    <row r="98" spans="1:91" x14ac:dyDescent="0.3">
      <c r="A98" t="s">
        <v>500</v>
      </c>
      <c r="B98">
        <v>45992</v>
      </c>
      <c r="C98" t="s">
        <v>483</v>
      </c>
      <c r="D98">
        <v>12</v>
      </c>
      <c r="Q98">
        <v>947971</v>
      </c>
      <c r="V98" t="s">
        <v>350</v>
      </c>
      <c r="Y98">
        <v>100</v>
      </c>
      <c r="AA98">
        <v>85</v>
      </c>
      <c r="AC98" s="3">
        <v>85.12</v>
      </c>
      <c r="AE98" s="3">
        <v>83.5</v>
      </c>
      <c r="AI98">
        <v>84</v>
      </c>
      <c r="AK98" s="3"/>
      <c r="AV98" t="s">
        <v>358</v>
      </c>
      <c r="AX98" t="s">
        <v>358</v>
      </c>
      <c r="AZ98" t="s">
        <v>358</v>
      </c>
      <c r="BB98" t="s">
        <v>358</v>
      </c>
      <c r="BO98" t="s">
        <v>352</v>
      </c>
      <c r="BT98">
        <v>3</v>
      </c>
      <c r="BU98">
        <v>12</v>
      </c>
      <c r="BV98">
        <v>3</v>
      </c>
      <c r="BX98">
        <v>86.25</v>
      </c>
      <c r="BZ98">
        <v>83.5</v>
      </c>
      <c r="CB98">
        <v>1928</v>
      </c>
      <c r="CC98" t="s">
        <v>362</v>
      </c>
      <c r="CD98" t="s">
        <v>385</v>
      </c>
      <c r="CM98">
        <v>1911</v>
      </c>
    </row>
    <row r="99" spans="1:91" x14ac:dyDescent="0.3">
      <c r="A99" t="s">
        <v>500</v>
      </c>
      <c r="B99">
        <v>45994</v>
      </c>
      <c r="C99" t="s">
        <v>502</v>
      </c>
      <c r="D99">
        <v>12</v>
      </c>
      <c r="Q99" s="2">
        <v>5050760</v>
      </c>
      <c r="V99" t="s">
        <v>350</v>
      </c>
      <c r="Y99">
        <v>100</v>
      </c>
      <c r="AA99">
        <v>86.5</v>
      </c>
      <c r="AC99" s="3">
        <v>86.87</v>
      </c>
      <c r="AE99" s="3">
        <v>86.18</v>
      </c>
      <c r="AI99">
        <v>86.5</v>
      </c>
      <c r="AK99" s="3"/>
      <c r="AV99" t="s">
        <v>374</v>
      </c>
      <c r="AX99" t="s">
        <v>374</v>
      </c>
      <c r="AZ99" t="s">
        <v>374</v>
      </c>
      <c r="BB99" t="s">
        <v>374</v>
      </c>
      <c r="BO99" t="s">
        <v>367</v>
      </c>
      <c r="BT99">
        <v>3</v>
      </c>
      <c r="BU99">
        <v>10</v>
      </c>
      <c r="BV99">
        <v>6</v>
      </c>
      <c r="BX99">
        <v>87.87</v>
      </c>
      <c r="BZ99">
        <v>85.5</v>
      </c>
      <c r="CB99">
        <v>1941</v>
      </c>
      <c r="CC99" t="s">
        <v>362</v>
      </c>
      <c r="CD99" t="s">
        <v>353</v>
      </c>
      <c r="CM99">
        <v>1911</v>
      </c>
    </row>
    <row r="100" spans="1:91" x14ac:dyDescent="0.3">
      <c r="A100" t="s">
        <v>503</v>
      </c>
      <c r="B100">
        <v>46387</v>
      </c>
      <c r="D100">
        <v>12</v>
      </c>
      <c r="Q100">
        <v>100000</v>
      </c>
      <c r="V100" t="s">
        <v>350</v>
      </c>
      <c r="Y100">
        <v>100</v>
      </c>
      <c r="AA100">
        <v>99</v>
      </c>
      <c r="AC100" s="3">
        <v>99</v>
      </c>
      <c r="AE100" s="3">
        <v>98</v>
      </c>
      <c r="AI100">
        <v>98</v>
      </c>
      <c r="AK100" s="3"/>
      <c r="AV100" t="s">
        <v>370</v>
      </c>
      <c r="AX100" t="s">
        <v>370</v>
      </c>
      <c r="AZ100" t="s">
        <v>370</v>
      </c>
      <c r="BB100" t="s">
        <v>370</v>
      </c>
      <c r="BO100" t="s">
        <v>367</v>
      </c>
      <c r="BT100">
        <v>3</v>
      </c>
      <c r="BU100">
        <v>12</v>
      </c>
      <c r="BV100">
        <v>6</v>
      </c>
      <c r="BX100">
        <v>99</v>
      </c>
      <c r="BZ100">
        <v>97.5</v>
      </c>
      <c r="CB100">
        <v>1913</v>
      </c>
      <c r="CD100" t="s">
        <v>353</v>
      </c>
      <c r="CK100" t="s">
        <v>360</v>
      </c>
      <c r="CM100">
        <v>1911</v>
      </c>
    </row>
    <row r="101" spans="1:91" x14ac:dyDescent="0.3">
      <c r="A101" t="s">
        <v>503</v>
      </c>
      <c r="B101">
        <v>46389</v>
      </c>
      <c r="C101" t="s">
        <v>363</v>
      </c>
      <c r="D101">
        <v>12</v>
      </c>
      <c r="Q101">
        <v>100000</v>
      </c>
      <c r="V101" t="s">
        <v>350</v>
      </c>
      <c r="Y101">
        <v>100</v>
      </c>
      <c r="AA101">
        <v>96</v>
      </c>
      <c r="AC101" s="3">
        <v>96</v>
      </c>
      <c r="AE101" s="3">
        <v>95</v>
      </c>
      <c r="AI101">
        <v>95</v>
      </c>
      <c r="AK101" s="3"/>
      <c r="AV101" t="s">
        <v>394</v>
      </c>
      <c r="AX101" t="s">
        <v>394</v>
      </c>
      <c r="AZ101" t="s">
        <v>394</v>
      </c>
      <c r="BB101" t="s">
        <v>394</v>
      </c>
      <c r="BO101" t="s">
        <v>367</v>
      </c>
      <c r="BT101">
        <v>3</v>
      </c>
      <c r="BU101">
        <v>4</v>
      </c>
      <c r="BV101">
        <v>0</v>
      </c>
      <c r="BX101">
        <v>96.37</v>
      </c>
      <c r="BZ101">
        <v>94</v>
      </c>
      <c r="CB101">
        <v>1915</v>
      </c>
      <c r="CD101" t="s">
        <v>353</v>
      </c>
      <c r="CM101">
        <v>1911</v>
      </c>
    </row>
    <row r="102" spans="1:91" x14ac:dyDescent="0.3">
      <c r="A102" t="s">
        <v>504</v>
      </c>
      <c r="B102">
        <v>46399</v>
      </c>
      <c r="D102">
        <v>12</v>
      </c>
      <c r="Q102" s="2">
        <v>2157880</v>
      </c>
      <c r="V102" t="s">
        <v>350</v>
      </c>
      <c r="Y102">
        <v>100</v>
      </c>
      <c r="AA102">
        <v>89</v>
      </c>
      <c r="AC102" s="3">
        <v>89</v>
      </c>
      <c r="AE102" s="3">
        <v>87.25</v>
      </c>
      <c r="AI102">
        <v>88</v>
      </c>
      <c r="AK102" s="3"/>
      <c r="AV102" t="s">
        <v>394</v>
      </c>
      <c r="AX102" t="s">
        <v>394</v>
      </c>
      <c r="AZ102" t="s">
        <v>394</v>
      </c>
      <c r="BB102" t="s">
        <v>394</v>
      </c>
      <c r="BO102" t="s">
        <v>367</v>
      </c>
      <c r="BT102">
        <v>3</v>
      </c>
      <c r="BU102">
        <v>18</v>
      </c>
      <c r="BV102">
        <v>6</v>
      </c>
      <c r="BX102">
        <v>90.5</v>
      </c>
      <c r="BZ102">
        <v>87.25</v>
      </c>
      <c r="CB102" t="s">
        <v>505</v>
      </c>
      <c r="CD102" t="s">
        <v>353</v>
      </c>
      <c r="CK102" t="s">
        <v>360</v>
      </c>
      <c r="CM102">
        <v>1911</v>
      </c>
    </row>
    <row r="103" spans="1:91" x14ac:dyDescent="0.3">
      <c r="A103" t="s">
        <v>504</v>
      </c>
      <c r="B103">
        <v>46400</v>
      </c>
      <c r="C103" t="s">
        <v>364</v>
      </c>
      <c r="D103">
        <v>12</v>
      </c>
      <c r="Q103" s="2">
        <v>1095510</v>
      </c>
      <c r="V103" t="s">
        <v>350</v>
      </c>
      <c r="Y103">
        <v>100</v>
      </c>
      <c r="AA103">
        <v>97</v>
      </c>
      <c r="AC103" s="3">
        <v>97.25</v>
      </c>
      <c r="AE103" s="3">
        <v>96.5</v>
      </c>
      <c r="AI103">
        <v>97</v>
      </c>
      <c r="AK103" s="3"/>
      <c r="AV103" t="s">
        <v>506</v>
      </c>
      <c r="AX103" t="s">
        <v>506</v>
      </c>
      <c r="AZ103" t="s">
        <v>506</v>
      </c>
      <c r="BB103" t="s">
        <v>506</v>
      </c>
      <c r="BO103" t="s">
        <v>367</v>
      </c>
      <c r="BT103">
        <v>3</v>
      </c>
      <c r="BU103">
        <v>13</v>
      </c>
      <c r="BV103">
        <v>6</v>
      </c>
      <c r="BX103">
        <v>100</v>
      </c>
      <c r="BZ103">
        <v>96</v>
      </c>
      <c r="CB103" t="s">
        <v>479</v>
      </c>
      <c r="CD103" t="s">
        <v>353</v>
      </c>
      <c r="CM103">
        <v>1911</v>
      </c>
    </row>
    <row r="104" spans="1:91" x14ac:dyDescent="0.3">
      <c r="A104" t="s">
        <v>507</v>
      </c>
      <c r="B104">
        <v>46971</v>
      </c>
      <c r="D104">
        <v>12</v>
      </c>
      <c r="Q104">
        <v>526560</v>
      </c>
      <c r="V104" t="s">
        <v>350</v>
      </c>
      <c r="Y104">
        <v>100</v>
      </c>
      <c r="AA104">
        <v>97</v>
      </c>
      <c r="AC104" s="3">
        <v>97</v>
      </c>
      <c r="AE104" s="3">
        <v>96</v>
      </c>
      <c r="AI104">
        <v>96</v>
      </c>
      <c r="AK104" s="3"/>
      <c r="AV104" t="s">
        <v>394</v>
      </c>
      <c r="AX104" t="s">
        <v>394</v>
      </c>
      <c r="AZ104" t="s">
        <v>394</v>
      </c>
      <c r="BB104" t="s">
        <v>394</v>
      </c>
      <c r="BO104" t="s">
        <v>367</v>
      </c>
      <c r="BT104">
        <v>3</v>
      </c>
      <c r="BU104">
        <v>15</v>
      </c>
      <c r="BV104">
        <v>0</v>
      </c>
      <c r="BX104">
        <v>98.5</v>
      </c>
      <c r="BZ104">
        <v>96.25</v>
      </c>
      <c r="CB104">
        <v>1936</v>
      </c>
      <c r="CD104" t="s">
        <v>353</v>
      </c>
      <c r="CK104" t="s">
        <v>508</v>
      </c>
      <c r="CM104">
        <v>1911</v>
      </c>
    </row>
    <row r="105" spans="1:91" x14ac:dyDescent="0.3">
      <c r="A105" t="s">
        <v>507</v>
      </c>
      <c r="B105">
        <v>46972</v>
      </c>
      <c r="C105" t="s">
        <v>509</v>
      </c>
      <c r="D105">
        <v>12</v>
      </c>
      <c r="Q105">
        <v>161160</v>
      </c>
      <c r="V105" t="s">
        <v>350</v>
      </c>
      <c r="Y105">
        <v>100</v>
      </c>
      <c r="AA105">
        <v>101</v>
      </c>
      <c r="AC105" s="3">
        <v>101</v>
      </c>
      <c r="AE105" s="3">
        <v>99.37</v>
      </c>
      <c r="AI105">
        <v>100</v>
      </c>
      <c r="AK105" s="3"/>
      <c r="AV105" t="s">
        <v>394</v>
      </c>
      <c r="AX105" t="s">
        <v>394</v>
      </c>
      <c r="AZ105" t="s">
        <v>394</v>
      </c>
      <c r="BB105" t="s">
        <v>394</v>
      </c>
      <c r="BO105" t="s">
        <v>367</v>
      </c>
      <c r="BT105">
        <v>3</v>
      </c>
      <c r="BU105">
        <v>12</v>
      </c>
      <c r="BV105">
        <v>0</v>
      </c>
      <c r="BX105">
        <v>102</v>
      </c>
      <c r="BZ105">
        <v>99.37</v>
      </c>
      <c r="CC105" t="s">
        <v>385</v>
      </c>
      <c r="CD105" t="s">
        <v>353</v>
      </c>
      <c r="CM105">
        <v>1911</v>
      </c>
    </row>
    <row r="106" spans="1:91" x14ac:dyDescent="0.3">
      <c r="A106" t="s">
        <v>507</v>
      </c>
      <c r="B106">
        <v>46975</v>
      </c>
      <c r="C106" t="s">
        <v>510</v>
      </c>
      <c r="D106">
        <v>12</v>
      </c>
      <c r="Q106">
        <v>297000</v>
      </c>
      <c r="V106" t="s">
        <v>350</v>
      </c>
      <c r="Y106">
        <v>100</v>
      </c>
      <c r="AA106">
        <v>98</v>
      </c>
      <c r="AC106" s="3">
        <v>98</v>
      </c>
      <c r="AE106" s="3">
        <v>96.75</v>
      </c>
      <c r="AI106">
        <v>97</v>
      </c>
      <c r="AK106" s="3"/>
      <c r="AV106" t="s">
        <v>370</v>
      </c>
      <c r="AX106" t="s">
        <v>370</v>
      </c>
      <c r="AZ106" t="s">
        <v>370</v>
      </c>
      <c r="BB106" t="s">
        <v>370</v>
      </c>
      <c r="BO106" t="s">
        <v>367</v>
      </c>
      <c r="BT106">
        <v>4</v>
      </c>
      <c r="BU106">
        <v>2</v>
      </c>
      <c r="BV106">
        <v>3</v>
      </c>
      <c r="BX106">
        <v>98.62</v>
      </c>
      <c r="BZ106">
        <v>96.5</v>
      </c>
      <c r="CB106">
        <v>1920</v>
      </c>
      <c r="CD106" t="s">
        <v>353</v>
      </c>
      <c r="CM106">
        <v>1911</v>
      </c>
    </row>
    <row r="107" spans="1:91" x14ac:dyDescent="0.3">
      <c r="A107" t="s">
        <v>507</v>
      </c>
      <c r="B107">
        <v>46976</v>
      </c>
      <c r="C107" t="s">
        <v>511</v>
      </c>
      <c r="D107">
        <v>12</v>
      </c>
      <c r="Q107">
        <v>176020</v>
      </c>
      <c r="V107" t="s">
        <v>350</v>
      </c>
      <c r="Y107">
        <v>100</v>
      </c>
      <c r="AA107">
        <v>76</v>
      </c>
      <c r="AC107" s="3">
        <v>76</v>
      </c>
      <c r="AE107" s="3">
        <v>75</v>
      </c>
      <c r="AI107">
        <v>75</v>
      </c>
      <c r="AK107" s="3"/>
      <c r="AV107" t="s">
        <v>394</v>
      </c>
      <c r="AX107" t="s">
        <v>394</v>
      </c>
      <c r="AZ107" t="s">
        <v>394</v>
      </c>
      <c r="BB107" t="s">
        <v>394</v>
      </c>
      <c r="BO107" t="s">
        <v>367</v>
      </c>
      <c r="BT107">
        <v>4</v>
      </c>
      <c r="BU107">
        <v>11</v>
      </c>
      <c r="BV107">
        <v>0</v>
      </c>
      <c r="BY107" t="s">
        <v>385</v>
      </c>
      <c r="CA107" t="s">
        <v>385</v>
      </c>
      <c r="CB107" t="s">
        <v>512</v>
      </c>
      <c r="CD107" t="s">
        <v>353</v>
      </c>
      <c r="CM107">
        <v>1911</v>
      </c>
    </row>
    <row r="108" spans="1:91" x14ac:dyDescent="0.3">
      <c r="A108" t="s">
        <v>513</v>
      </c>
      <c r="B108">
        <v>47005</v>
      </c>
      <c r="D108">
        <v>12</v>
      </c>
      <c r="Q108">
        <v>845840</v>
      </c>
      <c r="V108" t="s">
        <v>350</v>
      </c>
      <c r="Y108">
        <v>100</v>
      </c>
      <c r="AA108">
        <v>83</v>
      </c>
      <c r="AC108" s="3">
        <v>83</v>
      </c>
      <c r="AE108" s="3">
        <v>81.5</v>
      </c>
      <c r="AI108">
        <v>82</v>
      </c>
      <c r="AK108" s="3"/>
      <c r="AV108" t="s">
        <v>394</v>
      </c>
      <c r="AX108" t="s">
        <v>394</v>
      </c>
      <c r="AZ108" t="s">
        <v>394</v>
      </c>
      <c r="BB108" t="s">
        <v>394</v>
      </c>
      <c r="BO108" t="s">
        <v>367</v>
      </c>
      <c r="BT108">
        <v>3</v>
      </c>
      <c r="BU108">
        <v>18</v>
      </c>
      <c r="BV108">
        <v>9</v>
      </c>
      <c r="BX108">
        <v>84.75</v>
      </c>
      <c r="BZ108">
        <v>81.5</v>
      </c>
      <c r="CB108" t="s">
        <v>471</v>
      </c>
      <c r="CD108" t="s">
        <v>353</v>
      </c>
      <c r="CK108" t="s">
        <v>384</v>
      </c>
      <c r="CM108">
        <v>1911</v>
      </c>
    </row>
    <row r="109" spans="1:91" x14ac:dyDescent="0.3">
      <c r="A109" t="s">
        <v>514</v>
      </c>
      <c r="B109">
        <v>47006</v>
      </c>
      <c r="C109" t="s">
        <v>364</v>
      </c>
      <c r="D109">
        <v>12</v>
      </c>
      <c r="Q109">
        <v>596750</v>
      </c>
      <c r="V109" t="s">
        <v>350</v>
      </c>
      <c r="Y109">
        <v>100</v>
      </c>
      <c r="AA109">
        <v>95</v>
      </c>
      <c r="AC109" s="3">
        <v>95.25</v>
      </c>
      <c r="AE109" s="3">
        <v>94.87</v>
      </c>
      <c r="AI109">
        <v>95</v>
      </c>
      <c r="AK109" s="3"/>
      <c r="AV109" t="s">
        <v>370</v>
      </c>
      <c r="AX109" t="s">
        <v>370</v>
      </c>
      <c r="AZ109" t="s">
        <v>370</v>
      </c>
      <c r="BB109" t="s">
        <v>370</v>
      </c>
      <c r="BO109" t="s">
        <v>367</v>
      </c>
      <c r="BT109">
        <v>3</v>
      </c>
      <c r="BU109">
        <v>15</v>
      </c>
      <c r="BV109">
        <v>3</v>
      </c>
      <c r="BX109">
        <v>98</v>
      </c>
      <c r="BZ109">
        <v>94</v>
      </c>
      <c r="CB109" t="s">
        <v>515</v>
      </c>
      <c r="CD109" t="s">
        <v>353</v>
      </c>
      <c r="CM109">
        <v>1911</v>
      </c>
    </row>
    <row r="110" spans="1:91" x14ac:dyDescent="0.3">
      <c r="A110" t="s">
        <v>516</v>
      </c>
      <c r="B110">
        <v>47137</v>
      </c>
      <c r="D110">
        <v>12</v>
      </c>
      <c r="Q110">
        <v>593653</v>
      </c>
      <c r="V110" t="s">
        <v>350</v>
      </c>
      <c r="Y110">
        <v>100</v>
      </c>
      <c r="AA110">
        <v>84</v>
      </c>
      <c r="AC110" s="3">
        <v>84</v>
      </c>
      <c r="AE110" s="3">
        <v>84</v>
      </c>
      <c r="AI110">
        <v>84</v>
      </c>
      <c r="AK110" s="3"/>
      <c r="AV110" t="s">
        <v>407</v>
      </c>
      <c r="AX110" t="s">
        <v>407</v>
      </c>
      <c r="AZ110" t="s">
        <v>407</v>
      </c>
      <c r="BB110" t="s">
        <v>407</v>
      </c>
      <c r="BO110" t="s">
        <v>367</v>
      </c>
      <c r="BT110">
        <v>3</v>
      </c>
      <c r="BU110">
        <v>13</v>
      </c>
      <c r="BV110">
        <v>3</v>
      </c>
      <c r="BX110">
        <v>85.75</v>
      </c>
      <c r="BZ110">
        <v>83</v>
      </c>
      <c r="CB110">
        <v>1952</v>
      </c>
      <c r="CC110" t="s">
        <v>362</v>
      </c>
      <c r="CD110" t="s">
        <v>353</v>
      </c>
      <c r="CK110" t="s">
        <v>360</v>
      </c>
      <c r="CM110">
        <v>1911</v>
      </c>
    </row>
    <row r="111" spans="1:91" x14ac:dyDescent="0.3">
      <c r="A111" t="s">
        <v>517</v>
      </c>
      <c r="B111">
        <v>47141</v>
      </c>
      <c r="D111">
        <v>12</v>
      </c>
      <c r="Q111" s="2">
        <v>2727110</v>
      </c>
      <c r="V111" t="s">
        <v>350</v>
      </c>
      <c r="Y111">
        <v>100</v>
      </c>
      <c r="AA111">
        <v>87</v>
      </c>
      <c r="AC111" s="3">
        <v>87.37</v>
      </c>
      <c r="AE111" s="3">
        <v>86.25</v>
      </c>
      <c r="AI111">
        <v>87</v>
      </c>
      <c r="AK111" s="3"/>
      <c r="AV111" t="s">
        <v>407</v>
      </c>
      <c r="AX111" t="s">
        <v>407</v>
      </c>
      <c r="AZ111" t="s">
        <v>407</v>
      </c>
      <c r="BB111" t="s">
        <v>407</v>
      </c>
      <c r="BO111" t="s">
        <v>367</v>
      </c>
      <c r="BT111">
        <v>3</v>
      </c>
      <c r="BU111">
        <v>10</v>
      </c>
      <c r="BV111">
        <v>9</v>
      </c>
      <c r="BX111">
        <v>89.5</v>
      </c>
      <c r="BZ111">
        <v>86.25</v>
      </c>
      <c r="CC111" t="s">
        <v>385</v>
      </c>
      <c r="CD111" t="s">
        <v>353</v>
      </c>
      <c r="CK111" t="s">
        <v>360</v>
      </c>
      <c r="CM111">
        <v>1911</v>
      </c>
    </row>
    <row r="112" spans="1:91" x14ac:dyDescent="0.3">
      <c r="A112" t="s">
        <v>517</v>
      </c>
      <c r="B112">
        <v>47142</v>
      </c>
      <c r="C112" t="s">
        <v>363</v>
      </c>
      <c r="D112">
        <v>12</v>
      </c>
      <c r="Q112">
        <v>906217</v>
      </c>
      <c r="V112" t="s">
        <v>350</v>
      </c>
      <c r="Y112">
        <v>100</v>
      </c>
      <c r="AA112">
        <v>87</v>
      </c>
      <c r="AC112" s="3">
        <v>87.25</v>
      </c>
      <c r="AE112" s="3">
        <v>86.37</v>
      </c>
      <c r="AI112">
        <v>87</v>
      </c>
      <c r="AK112" s="3"/>
      <c r="AV112" t="s">
        <v>407</v>
      </c>
      <c r="AX112" t="s">
        <v>407</v>
      </c>
      <c r="AZ112" t="s">
        <v>407</v>
      </c>
      <c r="BB112" t="s">
        <v>407</v>
      </c>
      <c r="BO112" t="s">
        <v>367</v>
      </c>
      <c r="BT112">
        <v>3</v>
      </c>
      <c r="BU112">
        <v>13</v>
      </c>
      <c r="BV112">
        <v>9</v>
      </c>
      <c r="BX112">
        <v>89</v>
      </c>
      <c r="BZ112">
        <v>86.37</v>
      </c>
      <c r="CB112" t="s">
        <v>410</v>
      </c>
      <c r="CD112" t="s">
        <v>353</v>
      </c>
      <c r="CM112">
        <v>1911</v>
      </c>
    </row>
    <row r="113" spans="1:91" x14ac:dyDescent="0.3">
      <c r="A113" t="s">
        <v>518</v>
      </c>
      <c r="B113">
        <v>47240</v>
      </c>
      <c r="D113">
        <v>12</v>
      </c>
      <c r="Q113">
        <v>500000</v>
      </c>
      <c r="V113" t="s">
        <v>350</v>
      </c>
      <c r="Y113">
        <v>100</v>
      </c>
      <c r="AA113">
        <v>109.5</v>
      </c>
      <c r="AC113" s="3">
        <v>110</v>
      </c>
      <c r="AE113" s="3">
        <v>109.5</v>
      </c>
      <c r="AI113">
        <v>109.5</v>
      </c>
      <c r="AK113" s="3"/>
      <c r="AV113" t="s">
        <v>370</v>
      </c>
      <c r="AX113" t="s">
        <v>370</v>
      </c>
      <c r="AZ113" t="s">
        <v>370</v>
      </c>
      <c r="BB113" t="s">
        <v>370</v>
      </c>
      <c r="BO113" t="s">
        <v>367</v>
      </c>
      <c r="BT113">
        <v>3</v>
      </c>
      <c r="BU113">
        <v>14</v>
      </c>
      <c r="BV113">
        <v>3</v>
      </c>
      <c r="BX113">
        <v>112</v>
      </c>
      <c r="BZ113">
        <v>108</v>
      </c>
      <c r="CC113" t="s">
        <v>385</v>
      </c>
      <c r="CD113" t="s">
        <v>385</v>
      </c>
      <c r="CK113" t="s">
        <v>399</v>
      </c>
      <c r="CM113">
        <v>1911</v>
      </c>
    </row>
    <row r="114" spans="1:91" x14ac:dyDescent="0.3">
      <c r="A114" t="s">
        <v>519</v>
      </c>
      <c r="B114">
        <v>47334</v>
      </c>
      <c r="D114">
        <v>12</v>
      </c>
      <c r="Q114">
        <v>469940</v>
      </c>
      <c r="V114" t="s">
        <v>350</v>
      </c>
      <c r="Y114">
        <v>100</v>
      </c>
      <c r="AA114">
        <v>84</v>
      </c>
      <c r="AC114" s="3">
        <v>84</v>
      </c>
      <c r="AE114" s="3">
        <v>83</v>
      </c>
      <c r="AI114">
        <v>83</v>
      </c>
      <c r="AK114" s="3"/>
      <c r="AV114" t="s">
        <v>394</v>
      </c>
      <c r="AX114" t="s">
        <v>394</v>
      </c>
      <c r="AZ114" t="s">
        <v>394</v>
      </c>
      <c r="BB114" t="s">
        <v>394</v>
      </c>
      <c r="BO114" t="s">
        <v>367</v>
      </c>
      <c r="BT114">
        <v>3</v>
      </c>
      <c r="BU114">
        <v>18</v>
      </c>
      <c r="BV114">
        <v>9</v>
      </c>
      <c r="BX114">
        <v>85.62</v>
      </c>
      <c r="BZ114">
        <v>82.5</v>
      </c>
      <c r="CB114">
        <v>1951</v>
      </c>
      <c r="CD114" t="s">
        <v>353</v>
      </c>
      <c r="CK114" t="s">
        <v>360</v>
      </c>
      <c r="CM114">
        <v>1911</v>
      </c>
    </row>
    <row r="115" spans="1:91" x14ac:dyDescent="0.3">
      <c r="A115" t="s">
        <v>520</v>
      </c>
      <c r="B115">
        <v>47408</v>
      </c>
      <c r="D115">
        <v>12</v>
      </c>
      <c r="Q115">
        <v>209265</v>
      </c>
      <c r="V115" t="s">
        <v>350</v>
      </c>
      <c r="Y115">
        <v>100</v>
      </c>
      <c r="AA115">
        <v>87</v>
      </c>
      <c r="AC115" s="3">
        <v>87</v>
      </c>
      <c r="AE115" s="3">
        <v>87</v>
      </c>
      <c r="AI115">
        <v>87</v>
      </c>
      <c r="AK115" s="3"/>
      <c r="AV115" t="s">
        <v>453</v>
      </c>
      <c r="AX115" t="s">
        <v>453</v>
      </c>
      <c r="AZ115" t="s">
        <v>453</v>
      </c>
      <c r="BB115" t="s">
        <v>453</v>
      </c>
      <c r="BO115" t="s">
        <v>367</v>
      </c>
      <c r="BT115">
        <v>4</v>
      </c>
      <c r="BU115">
        <v>1</v>
      </c>
      <c r="BV115">
        <v>9</v>
      </c>
      <c r="BX115">
        <v>87</v>
      </c>
      <c r="BZ115">
        <v>84</v>
      </c>
      <c r="CB115" t="s">
        <v>521</v>
      </c>
      <c r="CD115" t="s">
        <v>353</v>
      </c>
      <c r="CM115">
        <v>1911</v>
      </c>
    </row>
    <row r="116" spans="1:91" x14ac:dyDescent="0.3">
      <c r="A116" t="s">
        <v>522</v>
      </c>
      <c r="B116">
        <v>47675</v>
      </c>
      <c r="D116">
        <v>12</v>
      </c>
      <c r="Q116" s="2">
        <v>1050060</v>
      </c>
      <c r="V116" t="s">
        <v>350</v>
      </c>
      <c r="Y116">
        <v>100</v>
      </c>
      <c r="AA116">
        <v>86</v>
      </c>
      <c r="AC116" s="3">
        <v>86.5</v>
      </c>
      <c r="AE116" s="3">
        <v>85.5</v>
      </c>
      <c r="AI116">
        <v>86</v>
      </c>
      <c r="AK116" s="3"/>
      <c r="AV116" t="s">
        <v>376</v>
      </c>
      <c r="AX116" t="s">
        <v>376</v>
      </c>
      <c r="AZ116" t="s">
        <v>376</v>
      </c>
      <c r="BB116" t="s">
        <v>376</v>
      </c>
      <c r="BO116" t="s">
        <v>367</v>
      </c>
      <c r="BT116">
        <v>3</v>
      </c>
      <c r="BU116">
        <v>10</v>
      </c>
      <c r="BV116">
        <v>6</v>
      </c>
      <c r="BX116">
        <v>87.5</v>
      </c>
      <c r="BZ116">
        <v>84.5</v>
      </c>
      <c r="CB116">
        <v>1942</v>
      </c>
      <c r="CD116" t="s">
        <v>353</v>
      </c>
      <c r="CK116" t="s">
        <v>360</v>
      </c>
      <c r="CM116">
        <v>1911</v>
      </c>
    </row>
    <row r="117" spans="1:91" x14ac:dyDescent="0.3">
      <c r="A117" t="s">
        <v>522</v>
      </c>
      <c r="B117">
        <v>47679</v>
      </c>
      <c r="C117" t="s">
        <v>523</v>
      </c>
      <c r="D117">
        <v>12</v>
      </c>
      <c r="Q117">
        <v>320247</v>
      </c>
      <c r="V117" t="s">
        <v>350</v>
      </c>
      <c r="Y117">
        <v>100</v>
      </c>
      <c r="AA117">
        <v>75</v>
      </c>
      <c r="AC117" s="3">
        <v>75</v>
      </c>
      <c r="AE117" s="3">
        <v>75</v>
      </c>
      <c r="AI117">
        <v>75</v>
      </c>
      <c r="AK117" s="3"/>
      <c r="AV117" t="s">
        <v>376</v>
      </c>
      <c r="AX117" t="s">
        <v>376</v>
      </c>
      <c r="AZ117" t="s">
        <v>376</v>
      </c>
      <c r="BB117" t="s">
        <v>376</v>
      </c>
      <c r="BO117" t="s">
        <v>367</v>
      </c>
      <c r="BT117">
        <v>4</v>
      </c>
      <c r="BU117">
        <v>0</v>
      </c>
      <c r="BV117">
        <v>6</v>
      </c>
      <c r="BX117">
        <v>77</v>
      </c>
      <c r="BZ117">
        <v>75</v>
      </c>
      <c r="CB117" t="s">
        <v>524</v>
      </c>
      <c r="CD117" t="s">
        <v>353</v>
      </c>
      <c r="CM117">
        <v>1911</v>
      </c>
    </row>
    <row r="118" spans="1:91" x14ac:dyDescent="0.3">
      <c r="A118" t="s">
        <v>525</v>
      </c>
      <c r="B118">
        <v>47689</v>
      </c>
      <c r="D118">
        <v>12</v>
      </c>
      <c r="Q118">
        <v>192800</v>
      </c>
      <c r="V118" t="s">
        <v>350</v>
      </c>
      <c r="Y118">
        <v>100</v>
      </c>
      <c r="AA118">
        <v>91</v>
      </c>
      <c r="AC118" s="3">
        <v>91</v>
      </c>
      <c r="AE118" s="3">
        <v>90.37</v>
      </c>
      <c r="AI118">
        <v>91</v>
      </c>
      <c r="AK118" s="3"/>
      <c r="AV118" t="s">
        <v>526</v>
      </c>
      <c r="AX118" t="s">
        <v>526</v>
      </c>
      <c r="AZ118" t="s">
        <v>526</v>
      </c>
      <c r="BB118" t="s">
        <v>526</v>
      </c>
      <c r="BO118" t="s">
        <v>367</v>
      </c>
      <c r="BT118">
        <v>3</v>
      </c>
      <c r="BU118">
        <v>18</v>
      </c>
      <c r="BV118">
        <v>9</v>
      </c>
      <c r="BY118" t="s">
        <v>385</v>
      </c>
      <c r="CA118" t="s">
        <v>385</v>
      </c>
      <c r="CB118" t="s">
        <v>527</v>
      </c>
      <c r="CD118" t="s">
        <v>353</v>
      </c>
      <c r="CM118">
        <v>1911</v>
      </c>
    </row>
    <row r="119" spans="1:91" x14ac:dyDescent="0.3">
      <c r="A119" t="s">
        <v>528</v>
      </c>
      <c r="B119">
        <v>47721</v>
      </c>
      <c r="D119">
        <v>12</v>
      </c>
      <c r="Q119">
        <v>131045</v>
      </c>
      <c r="V119" t="s">
        <v>350</v>
      </c>
      <c r="Y119">
        <v>100</v>
      </c>
      <c r="AA119">
        <v>99</v>
      </c>
      <c r="AC119" s="3">
        <v>99</v>
      </c>
      <c r="AE119" s="3">
        <v>98</v>
      </c>
      <c r="AI119">
        <v>98</v>
      </c>
      <c r="AK119" s="3"/>
      <c r="AV119" t="s">
        <v>370</v>
      </c>
      <c r="AX119" t="s">
        <v>370</v>
      </c>
      <c r="AZ119" t="s">
        <v>370</v>
      </c>
      <c r="BB119" t="s">
        <v>370</v>
      </c>
      <c r="BO119" t="s">
        <v>367</v>
      </c>
      <c r="BT119">
        <v>4</v>
      </c>
      <c r="BU119">
        <v>6</v>
      </c>
      <c r="BV119">
        <v>0</v>
      </c>
      <c r="BX119">
        <v>99.87</v>
      </c>
      <c r="BZ119">
        <v>97.5</v>
      </c>
      <c r="CB119">
        <v>1916</v>
      </c>
      <c r="CD119" t="s">
        <v>353</v>
      </c>
      <c r="CK119" t="s">
        <v>360</v>
      </c>
      <c r="CM119">
        <v>1911</v>
      </c>
    </row>
    <row r="120" spans="1:91" x14ac:dyDescent="0.3">
      <c r="A120" t="s">
        <v>528</v>
      </c>
      <c r="B120">
        <v>47723</v>
      </c>
      <c r="C120" t="s">
        <v>529</v>
      </c>
      <c r="D120">
        <v>12</v>
      </c>
      <c r="Q120">
        <v>549698</v>
      </c>
      <c r="V120" t="s">
        <v>350</v>
      </c>
      <c r="Y120">
        <v>100</v>
      </c>
      <c r="AA120">
        <v>99</v>
      </c>
      <c r="AC120" s="3">
        <v>99</v>
      </c>
      <c r="AE120" s="3">
        <v>97.87</v>
      </c>
      <c r="AI120">
        <v>98</v>
      </c>
      <c r="AK120" s="3"/>
      <c r="AV120" t="s">
        <v>370</v>
      </c>
      <c r="AX120" t="s">
        <v>370</v>
      </c>
      <c r="AZ120" t="s">
        <v>370</v>
      </c>
      <c r="BB120" t="s">
        <v>370</v>
      </c>
      <c r="BO120" t="s">
        <v>367</v>
      </c>
      <c r="BT120">
        <v>3</v>
      </c>
      <c r="BU120">
        <v>16</v>
      </c>
      <c r="BV120">
        <v>0</v>
      </c>
      <c r="BX120">
        <v>99.5</v>
      </c>
      <c r="BZ120">
        <v>97.5</v>
      </c>
      <c r="CB120" t="s">
        <v>530</v>
      </c>
      <c r="CD120" t="s">
        <v>353</v>
      </c>
      <c r="CM120">
        <v>1911</v>
      </c>
    </row>
    <row r="121" spans="1:91" x14ac:dyDescent="0.3">
      <c r="A121" t="s">
        <v>528</v>
      </c>
      <c r="B121">
        <v>47722</v>
      </c>
      <c r="C121" t="s">
        <v>363</v>
      </c>
      <c r="D121">
        <v>12</v>
      </c>
      <c r="Q121">
        <v>768455</v>
      </c>
      <c r="V121" t="s">
        <v>350</v>
      </c>
      <c r="Y121">
        <v>100</v>
      </c>
      <c r="AA121">
        <v>87</v>
      </c>
      <c r="AC121" s="3">
        <v>87</v>
      </c>
      <c r="AE121" s="3">
        <v>85.75</v>
      </c>
      <c r="AI121">
        <v>86</v>
      </c>
      <c r="AK121" s="3"/>
      <c r="AV121" t="s">
        <v>531</v>
      </c>
      <c r="AX121" t="s">
        <v>531</v>
      </c>
      <c r="AZ121" t="s">
        <v>531</v>
      </c>
      <c r="BB121" t="s">
        <v>531</v>
      </c>
      <c r="BO121" t="s">
        <v>367</v>
      </c>
      <c r="BT121">
        <v>4</v>
      </c>
      <c r="BU121">
        <v>1</v>
      </c>
      <c r="BV121">
        <v>9</v>
      </c>
      <c r="BX121">
        <v>88</v>
      </c>
      <c r="BZ121">
        <v>83.75</v>
      </c>
      <c r="CB121" t="s">
        <v>401</v>
      </c>
      <c r="CD121" t="s">
        <v>353</v>
      </c>
      <c r="CM121">
        <v>1911</v>
      </c>
    </row>
    <row r="122" spans="1:91" x14ac:dyDescent="0.3">
      <c r="A122" t="s">
        <v>528</v>
      </c>
      <c r="B122">
        <v>47724</v>
      </c>
      <c r="C122" t="s">
        <v>532</v>
      </c>
      <c r="D122">
        <v>12</v>
      </c>
      <c r="Q122">
        <v>174442</v>
      </c>
      <c r="V122" t="s">
        <v>350</v>
      </c>
      <c r="Y122">
        <v>100</v>
      </c>
      <c r="AA122">
        <v>74</v>
      </c>
      <c r="AC122" s="3">
        <v>74</v>
      </c>
      <c r="AE122" s="3">
        <v>74</v>
      </c>
      <c r="AI122">
        <v>74</v>
      </c>
      <c r="AK122" s="3"/>
      <c r="AV122" t="s">
        <v>394</v>
      </c>
      <c r="AX122" t="s">
        <v>394</v>
      </c>
      <c r="AZ122" t="s">
        <v>394</v>
      </c>
      <c r="BB122" t="s">
        <v>394</v>
      </c>
      <c r="BO122" t="s">
        <v>367</v>
      </c>
      <c r="BT122">
        <v>4</v>
      </c>
      <c r="BU122">
        <v>4</v>
      </c>
      <c r="BV122">
        <v>9</v>
      </c>
      <c r="BX122">
        <v>76.75</v>
      </c>
      <c r="BZ122">
        <v>74</v>
      </c>
      <c r="CB122" t="s">
        <v>533</v>
      </c>
      <c r="CD122" t="s">
        <v>353</v>
      </c>
      <c r="CM122">
        <v>1911</v>
      </c>
    </row>
    <row r="123" spans="1:91" x14ac:dyDescent="0.3">
      <c r="A123" t="s">
        <v>534</v>
      </c>
      <c r="B123">
        <v>47936</v>
      </c>
      <c r="D123">
        <v>12</v>
      </c>
      <c r="Q123">
        <v>316758</v>
      </c>
      <c r="V123" t="s">
        <v>350</v>
      </c>
      <c r="Y123">
        <v>100</v>
      </c>
      <c r="AA123">
        <v>83</v>
      </c>
      <c r="AC123" s="3">
        <v>83</v>
      </c>
      <c r="AE123" s="3">
        <v>82.75</v>
      </c>
      <c r="AI123">
        <v>83</v>
      </c>
      <c r="AK123" s="3"/>
      <c r="AV123" t="s">
        <v>374</v>
      </c>
      <c r="AX123" t="s">
        <v>374</v>
      </c>
      <c r="AZ123" t="s">
        <v>374</v>
      </c>
      <c r="BB123" t="s">
        <v>374</v>
      </c>
      <c r="BO123" t="s">
        <v>367</v>
      </c>
      <c r="BT123">
        <v>3</v>
      </c>
      <c r="BU123">
        <v>18</v>
      </c>
      <c r="BV123">
        <v>6</v>
      </c>
      <c r="BX123">
        <v>85</v>
      </c>
      <c r="BZ123">
        <v>82.75</v>
      </c>
      <c r="CB123" t="s">
        <v>471</v>
      </c>
      <c r="CD123" t="s">
        <v>353</v>
      </c>
      <c r="CK123" t="s">
        <v>360</v>
      </c>
      <c r="CM123">
        <v>1911</v>
      </c>
    </row>
    <row r="124" spans="1:91" x14ac:dyDescent="0.3">
      <c r="A124" t="s">
        <v>535</v>
      </c>
      <c r="B124">
        <v>47964</v>
      </c>
      <c r="D124">
        <v>12</v>
      </c>
      <c r="Q124">
        <v>471410</v>
      </c>
      <c r="V124" t="s">
        <v>350</v>
      </c>
      <c r="Y124">
        <v>100</v>
      </c>
      <c r="AA124">
        <v>96</v>
      </c>
      <c r="AC124" s="3">
        <v>96</v>
      </c>
      <c r="AE124" s="3">
        <v>96</v>
      </c>
      <c r="AI124">
        <v>96</v>
      </c>
      <c r="AK124" s="3"/>
      <c r="AV124" t="s">
        <v>536</v>
      </c>
      <c r="AX124" t="s">
        <v>536</v>
      </c>
      <c r="AZ124" t="s">
        <v>536</v>
      </c>
      <c r="BB124" t="s">
        <v>536</v>
      </c>
      <c r="BO124" t="s">
        <v>367</v>
      </c>
      <c r="BT124">
        <v>3</v>
      </c>
      <c r="BU124">
        <v>14</v>
      </c>
      <c r="BV124">
        <v>9</v>
      </c>
      <c r="BX124">
        <v>98.75</v>
      </c>
      <c r="BZ124">
        <v>95.5</v>
      </c>
      <c r="CC124" t="s">
        <v>385</v>
      </c>
      <c r="CD124" t="s">
        <v>353</v>
      </c>
      <c r="CK124" t="s">
        <v>360</v>
      </c>
      <c r="CM124">
        <v>1911</v>
      </c>
    </row>
    <row r="125" spans="1:91" x14ac:dyDescent="0.3">
      <c r="A125" t="s">
        <v>535</v>
      </c>
      <c r="B125">
        <v>47965</v>
      </c>
      <c r="C125" t="s">
        <v>483</v>
      </c>
      <c r="D125">
        <v>12</v>
      </c>
      <c r="Q125">
        <v>536947</v>
      </c>
      <c r="V125" t="s">
        <v>350</v>
      </c>
      <c r="Y125">
        <v>100</v>
      </c>
      <c r="AA125">
        <v>84</v>
      </c>
      <c r="AC125" s="3">
        <v>84</v>
      </c>
      <c r="AE125" s="3">
        <v>82.75</v>
      </c>
      <c r="AI125">
        <v>83</v>
      </c>
      <c r="AK125" s="3"/>
      <c r="AV125" t="s">
        <v>370</v>
      </c>
      <c r="AX125" t="s">
        <v>370</v>
      </c>
      <c r="AZ125" t="s">
        <v>370</v>
      </c>
      <c r="BB125" t="s">
        <v>370</v>
      </c>
      <c r="BO125" t="s">
        <v>367</v>
      </c>
      <c r="BT125">
        <v>3</v>
      </c>
      <c r="BU125">
        <v>13</v>
      </c>
      <c r="BV125">
        <v>6</v>
      </c>
      <c r="BX125">
        <v>85</v>
      </c>
      <c r="BZ125">
        <v>82.75</v>
      </c>
      <c r="CB125">
        <v>1962</v>
      </c>
      <c r="CC125" t="s">
        <v>362</v>
      </c>
      <c r="CD125" t="s">
        <v>353</v>
      </c>
      <c r="CM125">
        <v>1911</v>
      </c>
    </row>
    <row r="126" spans="1:91" x14ac:dyDescent="0.3">
      <c r="A126" t="s">
        <v>537</v>
      </c>
      <c r="B126">
        <v>48018</v>
      </c>
      <c r="D126">
        <v>12</v>
      </c>
      <c r="Q126">
        <v>284200</v>
      </c>
      <c r="V126" t="s">
        <v>350</v>
      </c>
      <c r="Y126">
        <v>100</v>
      </c>
      <c r="AA126">
        <v>93</v>
      </c>
      <c r="AC126" s="3">
        <v>93</v>
      </c>
      <c r="AE126" s="3">
        <v>93</v>
      </c>
      <c r="AI126">
        <v>93</v>
      </c>
      <c r="AK126" s="3"/>
      <c r="AV126" t="s">
        <v>382</v>
      </c>
      <c r="AX126" t="s">
        <v>382</v>
      </c>
      <c r="AZ126" t="s">
        <v>382</v>
      </c>
      <c r="BB126" t="s">
        <v>382</v>
      </c>
      <c r="BO126" t="s">
        <v>367</v>
      </c>
      <c r="BT126">
        <v>3</v>
      </c>
      <c r="BU126">
        <v>18</v>
      </c>
      <c r="BV126">
        <v>0</v>
      </c>
      <c r="BY126" t="s">
        <v>385</v>
      </c>
      <c r="CA126" t="s">
        <v>385</v>
      </c>
      <c r="CB126">
        <v>1943</v>
      </c>
      <c r="CD126" t="s">
        <v>353</v>
      </c>
      <c r="CM126">
        <v>1911</v>
      </c>
    </row>
    <row r="127" spans="1:91" x14ac:dyDescent="0.3">
      <c r="A127" t="s">
        <v>538</v>
      </c>
      <c r="B127">
        <v>48024</v>
      </c>
      <c r="D127">
        <v>12</v>
      </c>
      <c r="Q127">
        <v>101000</v>
      </c>
      <c r="V127" t="s">
        <v>350</v>
      </c>
      <c r="Y127">
        <v>100</v>
      </c>
      <c r="AA127">
        <v>93</v>
      </c>
      <c r="AC127" s="3">
        <v>93</v>
      </c>
      <c r="AE127" s="3">
        <v>93</v>
      </c>
      <c r="AI127">
        <v>93</v>
      </c>
      <c r="AK127" s="3"/>
      <c r="AV127" t="s">
        <v>382</v>
      </c>
      <c r="AX127" t="s">
        <v>382</v>
      </c>
      <c r="AZ127" t="s">
        <v>382</v>
      </c>
      <c r="BB127" t="s">
        <v>382</v>
      </c>
      <c r="BO127" t="s">
        <v>367</v>
      </c>
      <c r="BT127">
        <v>3</v>
      </c>
      <c r="BU127">
        <v>17</v>
      </c>
      <c r="BV127">
        <v>3</v>
      </c>
      <c r="BY127" t="s">
        <v>385</v>
      </c>
      <c r="CA127" t="s">
        <v>385</v>
      </c>
      <c r="CB127">
        <v>1953</v>
      </c>
      <c r="CD127" t="s">
        <v>353</v>
      </c>
      <c r="CM127">
        <v>1911</v>
      </c>
    </row>
    <row r="128" spans="1:91" x14ac:dyDescent="0.3">
      <c r="A128" t="s">
        <v>539</v>
      </c>
      <c r="B128">
        <v>48044</v>
      </c>
      <c r="D128">
        <v>12</v>
      </c>
      <c r="Q128">
        <v>238699</v>
      </c>
      <c r="V128" t="s">
        <v>350</v>
      </c>
      <c r="Y128">
        <v>100</v>
      </c>
      <c r="AA128">
        <v>82</v>
      </c>
      <c r="AC128" s="3">
        <v>82</v>
      </c>
      <c r="AE128" s="3">
        <v>81</v>
      </c>
      <c r="AI128">
        <v>81</v>
      </c>
      <c r="AK128" s="3"/>
      <c r="AV128" t="s">
        <v>351</v>
      </c>
      <c r="AX128" t="s">
        <v>351</v>
      </c>
      <c r="AZ128" t="s">
        <v>351</v>
      </c>
      <c r="BB128" t="s">
        <v>351</v>
      </c>
      <c r="BO128" t="s">
        <v>352</v>
      </c>
      <c r="BT128">
        <v>4</v>
      </c>
      <c r="BU128">
        <v>1</v>
      </c>
      <c r="BV128">
        <v>9</v>
      </c>
      <c r="BX128">
        <v>83</v>
      </c>
      <c r="BZ128">
        <v>80</v>
      </c>
      <c r="CB128">
        <v>1942</v>
      </c>
      <c r="CD128" t="s">
        <v>353</v>
      </c>
      <c r="CK128" t="s">
        <v>360</v>
      </c>
      <c r="CM128">
        <v>1911</v>
      </c>
    </row>
    <row r="129" spans="1:91" x14ac:dyDescent="0.3">
      <c r="A129" t="s">
        <v>540</v>
      </c>
      <c r="B129">
        <v>48195</v>
      </c>
      <c r="D129">
        <v>12</v>
      </c>
      <c r="Q129">
        <v>256547</v>
      </c>
      <c r="V129" t="s">
        <v>350</v>
      </c>
      <c r="Y129">
        <v>100</v>
      </c>
      <c r="AA129">
        <v>103</v>
      </c>
      <c r="AC129" s="3">
        <v>103</v>
      </c>
      <c r="AE129" s="3">
        <v>103</v>
      </c>
      <c r="AI129">
        <v>103</v>
      </c>
      <c r="AK129" s="3"/>
      <c r="AV129" t="s">
        <v>373</v>
      </c>
      <c r="AX129" t="s">
        <v>373</v>
      </c>
      <c r="AZ129" t="s">
        <v>373</v>
      </c>
      <c r="BB129" t="s">
        <v>373</v>
      </c>
      <c r="BO129" t="s">
        <v>367</v>
      </c>
      <c r="BT129">
        <v>4</v>
      </c>
      <c r="BU129">
        <v>1</v>
      </c>
      <c r="BV129">
        <v>9</v>
      </c>
      <c r="BX129">
        <v>103</v>
      </c>
      <c r="BZ129">
        <v>103</v>
      </c>
      <c r="CB129">
        <v>1927</v>
      </c>
      <c r="CD129" t="s">
        <v>353</v>
      </c>
      <c r="CK129" t="s">
        <v>541</v>
      </c>
      <c r="CM129">
        <v>1911</v>
      </c>
    </row>
    <row r="130" spans="1:91" x14ac:dyDescent="0.3">
      <c r="A130" t="s">
        <v>542</v>
      </c>
      <c r="B130">
        <v>49110</v>
      </c>
      <c r="D130">
        <v>12</v>
      </c>
      <c r="Q130">
        <v>209870</v>
      </c>
      <c r="V130" t="s">
        <v>350</v>
      </c>
      <c r="Y130">
        <v>100</v>
      </c>
      <c r="AA130">
        <v>82</v>
      </c>
      <c r="AC130" s="3">
        <v>82</v>
      </c>
      <c r="AE130" s="3">
        <v>82</v>
      </c>
      <c r="AI130">
        <v>82</v>
      </c>
      <c r="AK130" s="3"/>
      <c r="AV130" t="s">
        <v>415</v>
      </c>
      <c r="AX130" t="s">
        <v>415</v>
      </c>
      <c r="AZ130" t="s">
        <v>415</v>
      </c>
      <c r="BB130" t="s">
        <v>415</v>
      </c>
      <c r="BO130" t="s">
        <v>367</v>
      </c>
      <c r="BT130">
        <v>3</v>
      </c>
      <c r="BU130">
        <v>19</v>
      </c>
      <c r="BV130">
        <v>3</v>
      </c>
      <c r="BX130">
        <v>84</v>
      </c>
      <c r="BZ130">
        <v>81.75</v>
      </c>
      <c r="CB130" t="s">
        <v>471</v>
      </c>
      <c r="CD130" t="s">
        <v>353</v>
      </c>
      <c r="CK130" t="s">
        <v>360</v>
      </c>
      <c r="CM130">
        <v>1911</v>
      </c>
    </row>
    <row r="131" spans="1:91" x14ac:dyDescent="0.3">
      <c r="A131" t="s">
        <v>543</v>
      </c>
      <c r="B131">
        <v>48447</v>
      </c>
      <c r="D131">
        <v>12</v>
      </c>
      <c r="Q131">
        <v>91067</v>
      </c>
      <c r="V131" t="s">
        <v>350</v>
      </c>
      <c r="Y131">
        <v>100</v>
      </c>
      <c r="AA131">
        <v>83</v>
      </c>
      <c r="AC131" s="3">
        <v>83</v>
      </c>
      <c r="AE131" s="3">
        <v>82</v>
      </c>
      <c r="AI131">
        <v>22</v>
      </c>
      <c r="AK131" s="3"/>
      <c r="AV131" t="s">
        <v>394</v>
      </c>
      <c r="AX131" t="s">
        <v>394</v>
      </c>
      <c r="AZ131" t="s">
        <v>394</v>
      </c>
      <c r="BB131" t="s">
        <v>394</v>
      </c>
      <c r="BO131" t="s">
        <v>367</v>
      </c>
      <c r="BT131">
        <v>4</v>
      </c>
      <c r="BU131">
        <v>0</v>
      </c>
      <c r="BV131">
        <v>3</v>
      </c>
      <c r="BY131" t="s">
        <v>385</v>
      </c>
      <c r="CA131" t="s">
        <v>385</v>
      </c>
      <c r="CB131" t="s">
        <v>544</v>
      </c>
      <c r="CD131" t="s">
        <v>353</v>
      </c>
      <c r="CM131">
        <v>1911</v>
      </c>
    </row>
    <row r="132" spans="1:91" x14ac:dyDescent="0.3">
      <c r="A132" t="s">
        <v>545</v>
      </c>
      <c r="B132">
        <v>48733</v>
      </c>
      <c r="D132">
        <v>12</v>
      </c>
      <c r="Q132">
        <v>348794</v>
      </c>
      <c r="V132" t="s">
        <v>350</v>
      </c>
      <c r="Y132">
        <v>100</v>
      </c>
      <c r="AA132">
        <v>96</v>
      </c>
      <c r="AC132" s="3">
        <v>96.25</v>
      </c>
      <c r="AE132" s="3">
        <v>96</v>
      </c>
      <c r="AI132">
        <v>96</v>
      </c>
      <c r="AK132" s="3"/>
      <c r="AV132" t="s">
        <v>415</v>
      </c>
      <c r="AX132" t="s">
        <v>415</v>
      </c>
      <c r="AZ132" t="s">
        <v>415</v>
      </c>
      <c r="BB132" t="s">
        <v>415</v>
      </c>
      <c r="BO132" t="s">
        <v>367</v>
      </c>
      <c r="BT132">
        <v>3</v>
      </c>
      <c r="BU132">
        <v>17</v>
      </c>
      <c r="BV132">
        <v>3</v>
      </c>
      <c r="BX132">
        <v>97.5</v>
      </c>
      <c r="BZ132">
        <v>95.5</v>
      </c>
      <c r="CB132" t="s">
        <v>546</v>
      </c>
      <c r="CD132" t="s">
        <v>385</v>
      </c>
      <c r="CK132" t="s">
        <v>541</v>
      </c>
      <c r="CM132">
        <v>1911</v>
      </c>
    </row>
    <row r="133" spans="1:91" x14ac:dyDescent="0.3">
      <c r="A133" t="s">
        <v>545</v>
      </c>
      <c r="B133">
        <v>48736</v>
      </c>
      <c r="C133" t="s">
        <v>364</v>
      </c>
      <c r="D133">
        <v>12</v>
      </c>
      <c r="Q133" s="2">
        <v>1500000</v>
      </c>
      <c r="V133" t="s">
        <v>350</v>
      </c>
      <c r="Y133">
        <v>100</v>
      </c>
      <c r="AA133">
        <v>99.5</v>
      </c>
      <c r="AC133" s="3">
        <v>98.5</v>
      </c>
      <c r="AE133" s="3">
        <v>97.5</v>
      </c>
      <c r="AI133">
        <v>97.5</v>
      </c>
      <c r="AJ133" t="s">
        <v>379</v>
      </c>
      <c r="AK133" s="3"/>
      <c r="AV133" t="s">
        <v>421</v>
      </c>
      <c r="AX133" t="s">
        <v>421</v>
      </c>
      <c r="AZ133" t="s">
        <v>421</v>
      </c>
      <c r="BB133" t="s">
        <v>421</v>
      </c>
      <c r="BO133" t="s">
        <v>367</v>
      </c>
      <c r="BT133">
        <v>3</v>
      </c>
      <c r="BU133">
        <v>11</v>
      </c>
      <c r="BV133">
        <v>9</v>
      </c>
      <c r="BX133">
        <v>99.5</v>
      </c>
      <c r="BZ133">
        <v>97</v>
      </c>
      <c r="CB133">
        <v>1968</v>
      </c>
      <c r="CD133" t="s">
        <v>353</v>
      </c>
      <c r="CM133">
        <v>1911</v>
      </c>
    </row>
    <row r="134" spans="1:91" x14ac:dyDescent="0.3">
      <c r="A134" t="s">
        <v>545</v>
      </c>
      <c r="B134">
        <v>48735</v>
      </c>
      <c r="C134" t="s">
        <v>483</v>
      </c>
      <c r="D134">
        <v>12</v>
      </c>
      <c r="Q134" s="2">
        <v>3390650</v>
      </c>
      <c r="V134" t="s">
        <v>350</v>
      </c>
      <c r="Y134">
        <v>100</v>
      </c>
      <c r="AA134">
        <v>91</v>
      </c>
      <c r="AC134" s="3">
        <v>91.25</v>
      </c>
      <c r="AE134" s="3">
        <v>91</v>
      </c>
      <c r="AI134">
        <v>91</v>
      </c>
      <c r="AK134" s="3"/>
      <c r="AV134" t="s">
        <v>415</v>
      </c>
      <c r="AX134" t="s">
        <v>415</v>
      </c>
      <c r="AZ134" t="s">
        <v>415</v>
      </c>
      <c r="BB134" t="s">
        <v>415</v>
      </c>
      <c r="BO134" t="s">
        <v>367</v>
      </c>
      <c r="BT134">
        <v>3</v>
      </c>
      <c r="BU134">
        <v>18</v>
      </c>
      <c r="BV134">
        <v>0</v>
      </c>
      <c r="BX134">
        <v>92</v>
      </c>
      <c r="BZ134">
        <v>88.75</v>
      </c>
      <c r="CB134">
        <v>1925</v>
      </c>
      <c r="CD134" t="s">
        <v>385</v>
      </c>
      <c r="CM134">
        <v>1911</v>
      </c>
    </row>
    <row r="135" spans="1:91" x14ac:dyDescent="0.3">
      <c r="A135" t="s">
        <v>545</v>
      </c>
      <c r="B135">
        <v>48737</v>
      </c>
      <c r="C135" t="s">
        <v>547</v>
      </c>
      <c r="D135">
        <v>12</v>
      </c>
      <c r="Q135">
        <v>4</v>
      </c>
      <c r="R135" t="s">
        <v>548</v>
      </c>
      <c r="Z135" t="s">
        <v>385</v>
      </c>
      <c r="AA135">
        <v>107</v>
      </c>
      <c r="AC135" s="3">
        <v>107</v>
      </c>
      <c r="AE135" s="3">
        <v>107</v>
      </c>
      <c r="AI135">
        <v>107</v>
      </c>
      <c r="AK135" s="3"/>
      <c r="AV135" t="s">
        <v>421</v>
      </c>
      <c r="AX135" t="s">
        <v>421</v>
      </c>
      <c r="AZ135" t="s">
        <v>421</v>
      </c>
      <c r="BB135" t="s">
        <v>421</v>
      </c>
      <c r="BO135" t="s">
        <v>367</v>
      </c>
      <c r="BT135">
        <v>3</v>
      </c>
      <c r="BU135">
        <v>16</v>
      </c>
      <c r="BV135">
        <v>6</v>
      </c>
      <c r="BX135">
        <v>107.5</v>
      </c>
      <c r="BZ135">
        <v>105.5</v>
      </c>
      <c r="CC135" t="s">
        <v>385</v>
      </c>
      <c r="CD135" t="s">
        <v>385</v>
      </c>
      <c r="CM135">
        <v>1911</v>
      </c>
    </row>
    <row r="136" spans="1:91" x14ac:dyDescent="0.3">
      <c r="A136" t="s">
        <v>545</v>
      </c>
      <c r="B136">
        <v>48734</v>
      </c>
      <c r="C136" t="s">
        <v>549</v>
      </c>
      <c r="D136">
        <v>12</v>
      </c>
      <c r="Q136">
        <v>5</v>
      </c>
      <c r="R136" t="s">
        <v>548</v>
      </c>
      <c r="Z136" t="s">
        <v>385</v>
      </c>
      <c r="AA136">
        <v>133</v>
      </c>
      <c r="AC136" s="3">
        <v>133</v>
      </c>
      <c r="AE136" s="3">
        <v>133</v>
      </c>
      <c r="AI136">
        <v>133</v>
      </c>
      <c r="AK136" s="3"/>
      <c r="AV136" t="s">
        <v>421</v>
      </c>
      <c r="AX136" t="s">
        <v>421</v>
      </c>
      <c r="AZ136" t="s">
        <v>421</v>
      </c>
      <c r="BB136" t="s">
        <v>421</v>
      </c>
      <c r="BO136" t="s">
        <v>367</v>
      </c>
      <c r="BT136">
        <v>3</v>
      </c>
      <c r="BU136">
        <v>16</v>
      </c>
      <c r="BV136">
        <v>6</v>
      </c>
      <c r="BX136">
        <v>133</v>
      </c>
      <c r="BZ136">
        <v>129.5</v>
      </c>
      <c r="CC136" t="s">
        <v>385</v>
      </c>
      <c r="CD136" t="s">
        <v>385</v>
      </c>
      <c r="CM136">
        <v>1911</v>
      </c>
    </row>
    <row r="137" spans="1:91" x14ac:dyDescent="0.3">
      <c r="A137" t="s">
        <v>550</v>
      </c>
      <c r="B137">
        <v>48771</v>
      </c>
      <c r="D137">
        <v>12</v>
      </c>
      <c r="Q137">
        <v>92049</v>
      </c>
      <c r="V137" t="s">
        <v>350</v>
      </c>
      <c r="Y137">
        <v>100</v>
      </c>
      <c r="AA137">
        <v>82</v>
      </c>
      <c r="AC137" s="3">
        <v>82</v>
      </c>
      <c r="AE137" s="3">
        <v>82</v>
      </c>
      <c r="AI137">
        <v>82</v>
      </c>
      <c r="AK137" s="3"/>
      <c r="AV137" t="s">
        <v>394</v>
      </c>
      <c r="AX137" t="s">
        <v>394</v>
      </c>
      <c r="AZ137" t="s">
        <v>394</v>
      </c>
      <c r="BB137" t="s">
        <v>394</v>
      </c>
      <c r="BO137" t="s">
        <v>367</v>
      </c>
      <c r="BT137">
        <v>4</v>
      </c>
      <c r="BU137">
        <v>7</v>
      </c>
      <c r="BV137">
        <v>0</v>
      </c>
      <c r="BY137" t="s">
        <v>385</v>
      </c>
      <c r="CA137" t="s">
        <v>385</v>
      </c>
      <c r="CB137" t="s">
        <v>505</v>
      </c>
      <c r="CD137" t="s">
        <v>353</v>
      </c>
      <c r="CM137">
        <v>1911</v>
      </c>
    </row>
    <row r="138" spans="1:91" x14ac:dyDescent="0.3">
      <c r="A138" t="s">
        <v>551</v>
      </c>
      <c r="B138">
        <v>48914</v>
      </c>
      <c r="D138">
        <v>12</v>
      </c>
      <c r="Q138">
        <v>154003</v>
      </c>
      <c r="V138" t="s">
        <v>350</v>
      </c>
      <c r="Y138">
        <v>100</v>
      </c>
      <c r="AA138">
        <v>83</v>
      </c>
      <c r="AC138" s="3">
        <v>83</v>
      </c>
      <c r="AE138" s="3">
        <v>83</v>
      </c>
      <c r="AI138">
        <v>83</v>
      </c>
      <c r="AK138" s="3"/>
      <c r="AV138" t="s">
        <v>407</v>
      </c>
      <c r="AX138" t="s">
        <v>407</v>
      </c>
      <c r="AZ138" t="s">
        <v>407</v>
      </c>
      <c r="BB138" t="s">
        <v>407</v>
      </c>
      <c r="BO138" t="s">
        <v>367</v>
      </c>
      <c r="BT138">
        <v>4</v>
      </c>
      <c r="BU138">
        <v>8</v>
      </c>
      <c r="BV138">
        <v>6</v>
      </c>
      <c r="BX138">
        <v>85</v>
      </c>
      <c r="BZ138">
        <v>83</v>
      </c>
      <c r="CB138" t="s">
        <v>552</v>
      </c>
      <c r="CD138" t="s">
        <v>353</v>
      </c>
      <c r="CK138" t="s">
        <v>553</v>
      </c>
      <c r="CL138" t="s">
        <v>457</v>
      </c>
      <c r="CM138">
        <v>1911</v>
      </c>
    </row>
    <row r="139" spans="1:91" x14ac:dyDescent="0.3">
      <c r="A139" t="s">
        <v>554</v>
      </c>
      <c r="B139">
        <v>49000</v>
      </c>
      <c r="D139">
        <v>12</v>
      </c>
      <c r="Q139">
        <v>132163</v>
      </c>
      <c r="V139" t="s">
        <v>350</v>
      </c>
      <c r="Y139">
        <v>100</v>
      </c>
      <c r="AA139">
        <v>81</v>
      </c>
      <c r="AC139" s="3">
        <v>81</v>
      </c>
      <c r="AE139" s="3">
        <v>80.5</v>
      </c>
      <c r="AI139">
        <v>81</v>
      </c>
      <c r="AK139" s="3"/>
      <c r="AV139" t="s">
        <v>407</v>
      </c>
      <c r="AX139" t="s">
        <v>407</v>
      </c>
      <c r="AZ139" t="s">
        <v>407</v>
      </c>
      <c r="BB139" t="s">
        <v>407</v>
      </c>
      <c r="BO139" t="s">
        <v>367</v>
      </c>
      <c r="BT139">
        <v>4</v>
      </c>
      <c r="BU139">
        <v>1</v>
      </c>
      <c r="BV139">
        <v>9</v>
      </c>
      <c r="BX139">
        <v>83</v>
      </c>
      <c r="BZ139">
        <v>80.5</v>
      </c>
      <c r="CB139" t="s">
        <v>555</v>
      </c>
      <c r="CD139" t="s">
        <v>353</v>
      </c>
      <c r="CK139" t="s">
        <v>556</v>
      </c>
      <c r="CM139">
        <v>1911</v>
      </c>
    </row>
    <row r="140" spans="1:91" x14ac:dyDescent="0.3">
      <c r="A140" t="s">
        <v>557</v>
      </c>
      <c r="B140">
        <v>49012</v>
      </c>
      <c r="D140">
        <v>12</v>
      </c>
      <c r="Q140">
        <v>298375</v>
      </c>
      <c r="V140" t="s">
        <v>350</v>
      </c>
      <c r="Y140">
        <v>100</v>
      </c>
      <c r="AA140">
        <v>77</v>
      </c>
      <c r="AC140" s="3">
        <v>77</v>
      </c>
      <c r="AE140" s="3">
        <v>76</v>
      </c>
      <c r="AI140">
        <v>76</v>
      </c>
      <c r="AK140" s="3"/>
      <c r="AV140" t="s">
        <v>394</v>
      </c>
      <c r="AX140" t="s">
        <v>394</v>
      </c>
      <c r="AZ140" t="s">
        <v>394</v>
      </c>
      <c r="BB140" t="s">
        <v>394</v>
      </c>
      <c r="BO140" t="s">
        <v>367</v>
      </c>
      <c r="BT140">
        <v>4</v>
      </c>
      <c r="BU140">
        <v>2</v>
      </c>
      <c r="BV140">
        <v>6</v>
      </c>
      <c r="BX140">
        <v>77.75</v>
      </c>
      <c r="BZ140">
        <v>76</v>
      </c>
      <c r="CB140" t="s">
        <v>555</v>
      </c>
      <c r="CD140" t="s">
        <v>353</v>
      </c>
      <c r="CK140" t="s">
        <v>558</v>
      </c>
      <c r="CM140">
        <v>1911</v>
      </c>
    </row>
    <row r="141" spans="1:91" x14ac:dyDescent="0.3">
      <c r="A141" t="s">
        <v>557</v>
      </c>
      <c r="B141">
        <v>49014</v>
      </c>
      <c r="C141" t="s">
        <v>483</v>
      </c>
      <c r="D141">
        <v>12</v>
      </c>
      <c r="Q141">
        <v>430080</v>
      </c>
      <c r="V141" t="s">
        <v>350</v>
      </c>
      <c r="Y141">
        <v>100</v>
      </c>
      <c r="AA141">
        <v>84</v>
      </c>
      <c r="AC141" s="3">
        <v>84</v>
      </c>
      <c r="AE141" s="3">
        <v>83</v>
      </c>
      <c r="AI141">
        <v>83</v>
      </c>
      <c r="AK141" s="3"/>
      <c r="AV141" t="s">
        <v>394</v>
      </c>
      <c r="AX141" t="s">
        <v>394</v>
      </c>
      <c r="AZ141" t="s">
        <v>394</v>
      </c>
      <c r="BB141" t="s">
        <v>394</v>
      </c>
      <c r="BO141" t="s">
        <v>367</v>
      </c>
      <c r="BT141">
        <v>3</v>
      </c>
      <c r="BU141">
        <v>17</v>
      </c>
      <c r="BV141">
        <v>6</v>
      </c>
      <c r="BX141">
        <v>85.75</v>
      </c>
      <c r="BZ141">
        <v>83</v>
      </c>
      <c r="CB141" t="s">
        <v>410</v>
      </c>
      <c r="CD141" t="s">
        <v>353</v>
      </c>
      <c r="CM141">
        <v>1911</v>
      </c>
    </row>
    <row r="142" spans="1:91" x14ac:dyDescent="0.3">
      <c r="A142" t="s">
        <v>557</v>
      </c>
      <c r="B142">
        <v>49015</v>
      </c>
      <c r="C142" t="s">
        <v>364</v>
      </c>
      <c r="D142">
        <v>12</v>
      </c>
      <c r="Q142">
        <v>151940</v>
      </c>
      <c r="V142" t="s">
        <v>350</v>
      </c>
      <c r="Y142">
        <v>100</v>
      </c>
      <c r="AA142">
        <v>96</v>
      </c>
      <c r="AC142" s="3">
        <v>96</v>
      </c>
      <c r="AE142" s="3">
        <v>94</v>
      </c>
      <c r="AI142">
        <v>94</v>
      </c>
      <c r="AK142" s="3"/>
      <c r="AV142" t="s">
        <v>370</v>
      </c>
      <c r="AX142" t="s">
        <v>370</v>
      </c>
      <c r="AZ142" t="s">
        <v>370</v>
      </c>
      <c r="BB142" t="s">
        <v>370</v>
      </c>
      <c r="BO142" t="s">
        <v>367</v>
      </c>
      <c r="BT142">
        <v>3</v>
      </c>
      <c r="BU142">
        <v>16</v>
      </c>
      <c r="BV142">
        <v>0</v>
      </c>
      <c r="BX142">
        <v>97.5</v>
      </c>
      <c r="BZ142">
        <v>94</v>
      </c>
      <c r="CB142">
        <v>1945</v>
      </c>
      <c r="CD142" t="s">
        <v>385</v>
      </c>
      <c r="CM142">
        <v>1911</v>
      </c>
    </row>
    <row r="143" spans="1:91" x14ac:dyDescent="0.3">
      <c r="A143" t="s">
        <v>559</v>
      </c>
      <c r="B143">
        <v>49028</v>
      </c>
      <c r="D143">
        <v>12</v>
      </c>
      <c r="Q143">
        <v>212760</v>
      </c>
      <c r="V143" t="s">
        <v>350</v>
      </c>
      <c r="Y143">
        <v>100</v>
      </c>
      <c r="AA143">
        <v>83</v>
      </c>
      <c r="AC143" s="3">
        <v>83</v>
      </c>
      <c r="AE143" s="3">
        <v>82</v>
      </c>
      <c r="AI143">
        <v>82</v>
      </c>
      <c r="AK143" s="3"/>
      <c r="AV143" t="s">
        <v>394</v>
      </c>
      <c r="AX143" t="s">
        <v>394</v>
      </c>
      <c r="AZ143" t="s">
        <v>394</v>
      </c>
      <c r="BB143" t="s">
        <v>394</v>
      </c>
      <c r="BO143" t="s">
        <v>367</v>
      </c>
      <c r="BT143">
        <v>4</v>
      </c>
      <c r="BU143">
        <v>1</v>
      </c>
      <c r="BV143">
        <v>3</v>
      </c>
      <c r="BX143">
        <v>84</v>
      </c>
      <c r="BZ143">
        <v>80</v>
      </c>
      <c r="CB143" t="s">
        <v>377</v>
      </c>
      <c r="CD143" t="s">
        <v>353</v>
      </c>
      <c r="CK143" t="s">
        <v>560</v>
      </c>
      <c r="CL143" t="s">
        <v>457</v>
      </c>
      <c r="CM143">
        <v>1911</v>
      </c>
    </row>
    <row r="144" spans="1:91" x14ac:dyDescent="0.3">
      <c r="A144" t="s">
        <v>561</v>
      </c>
      <c r="B144">
        <v>48920</v>
      </c>
      <c r="D144">
        <v>12</v>
      </c>
      <c r="Q144">
        <v>300000</v>
      </c>
      <c r="V144" t="s">
        <v>350</v>
      </c>
      <c r="Y144">
        <v>100</v>
      </c>
      <c r="AA144">
        <v>94</v>
      </c>
      <c r="AC144" s="3">
        <v>94</v>
      </c>
      <c r="AE144" s="3">
        <v>94</v>
      </c>
      <c r="AI144">
        <v>94</v>
      </c>
      <c r="AK144" s="3"/>
      <c r="AV144" t="s">
        <v>506</v>
      </c>
      <c r="AX144" t="s">
        <v>506</v>
      </c>
      <c r="AZ144" t="s">
        <v>506</v>
      </c>
      <c r="BB144" t="s">
        <v>506</v>
      </c>
      <c r="BO144" t="s">
        <v>367</v>
      </c>
      <c r="BT144">
        <v>3</v>
      </c>
      <c r="BU144">
        <v>16</v>
      </c>
      <c r="BV144">
        <v>0</v>
      </c>
      <c r="BX144">
        <v>96</v>
      </c>
      <c r="BZ144">
        <v>93</v>
      </c>
      <c r="CB144">
        <v>1936</v>
      </c>
      <c r="CD144" t="s">
        <v>385</v>
      </c>
      <c r="CK144" t="s">
        <v>399</v>
      </c>
      <c r="CM144">
        <v>1911</v>
      </c>
    </row>
    <row r="145" spans="1:91" x14ac:dyDescent="0.3">
      <c r="A145" t="s">
        <v>562</v>
      </c>
      <c r="B145">
        <v>49147</v>
      </c>
      <c r="D145">
        <v>12</v>
      </c>
      <c r="Q145">
        <v>218000</v>
      </c>
      <c r="V145" t="s">
        <v>350</v>
      </c>
      <c r="Y145">
        <v>100</v>
      </c>
      <c r="AA145">
        <v>86</v>
      </c>
      <c r="AC145" s="3">
        <v>86.5</v>
      </c>
      <c r="AE145" s="3">
        <v>86</v>
      </c>
      <c r="AI145">
        <v>86</v>
      </c>
      <c r="AK145" s="3"/>
      <c r="AV145" t="s">
        <v>563</v>
      </c>
      <c r="AX145" t="s">
        <v>563</v>
      </c>
      <c r="AZ145" t="s">
        <v>563</v>
      </c>
      <c r="BB145" t="s">
        <v>563</v>
      </c>
      <c r="BO145" t="s">
        <v>367</v>
      </c>
      <c r="BT145">
        <v>3</v>
      </c>
      <c r="BU145">
        <v>19</v>
      </c>
      <c r="BV145">
        <v>9</v>
      </c>
      <c r="BX145">
        <v>87.75</v>
      </c>
      <c r="BZ145">
        <v>85.5</v>
      </c>
      <c r="CB145" t="s">
        <v>505</v>
      </c>
      <c r="CD145" t="s">
        <v>353</v>
      </c>
      <c r="CK145" t="s">
        <v>360</v>
      </c>
      <c r="CL145" t="s">
        <v>457</v>
      </c>
      <c r="CM145">
        <v>1911</v>
      </c>
    </row>
    <row r="146" spans="1:91" x14ac:dyDescent="0.3">
      <c r="A146" t="s">
        <v>564</v>
      </c>
      <c r="B146">
        <v>49271</v>
      </c>
      <c r="D146">
        <v>12</v>
      </c>
      <c r="Q146">
        <v>300540</v>
      </c>
      <c r="V146" t="s">
        <v>350</v>
      </c>
      <c r="Y146">
        <v>100</v>
      </c>
      <c r="AA146">
        <v>82</v>
      </c>
      <c r="AC146" s="3">
        <v>82</v>
      </c>
      <c r="AE146" s="3">
        <v>82</v>
      </c>
      <c r="AI146">
        <v>82</v>
      </c>
      <c r="AK146" s="3"/>
      <c r="AV146" t="s">
        <v>565</v>
      </c>
      <c r="AX146" t="s">
        <v>565</v>
      </c>
      <c r="AZ146" t="s">
        <v>565</v>
      </c>
      <c r="BB146" t="s">
        <v>565</v>
      </c>
      <c r="BO146" t="s">
        <v>367</v>
      </c>
      <c r="BT146">
        <v>3</v>
      </c>
      <c r="BU146">
        <v>17</v>
      </c>
      <c r="BV146">
        <v>6</v>
      </c>
      <c r="BX146">
        <v>83.62</v>
      </c>
      <c r="BZ146">
        <v>82</v>
      </c>
      <c r="CB146" t="s">
        <v>422</v>
      </c>
      <c r="CD146" t="s">
        <v>353</v>
      </c>
      <c r="CK146" t="s">
        <v>566</v>
      </c>
      <c r="CM146">
        <v>1911</v>
      </c>
    </row>
    <row r="147" spans="1:91" x14ac:dyDescent="0.3">
      <c r="A147" t="s">
        <v>567</v>
      </c>
      <c r="B147">
        <v>49267</v>
      </c>
      <c r="D147">
        <v>12</v>
      </c>
      <c r="Q147">
        <v>374255</v>
      </c>
      <c r="V147" t="s">
        <v>350</v>
      </c>
      <c r="Y147">
        <v>100</v>
      </c>
      <c r="AA147">
        <v>85</v>
      </c>
      <c r="AC147" s="3">
        <v>85</v>
      </c>
      <c r="AE147" s="3">
        <v>85</v>
      </c>
      <c r="AI147">
        <v>85</v>
      </c>
      <c r="AK147" s="3"/>
      <c r="AV147" t="s">
        <v>373</v>
      </c>
      <c r="AX147" t="s">
        <v>373</v>
      </c>
      <c r="AZ147" t="s">
        <v>373</v>
      </c>
      <c r="BB147" t="s">
        <v>373</v>
      </c>
      <c r="BO147" t="s">
        <v>367</v>
      </c>
      <c r="BT147">
        <v>4</v>
      </c>
      <c r="BU147">
        <v>3</v>
      </c>
      <c r="BV147">
        <v>6</v>
      </c>
      <c r="BX147">
        <v>86</v>
      </c>
      <c r="BZ147">
        <v>83.75</v>
      </c>
      <c r="CB147">
        <v>1932</v>
      </c>
      <c r="CD147" t="s">
        <v>353</v>
      </c>
      <c r="CK147" t="s">
        <v>360</v>
      </c>
      <c r="CL147" t="s">
        <v>457</v>
      </c>
      <c r="CM147">
        <v>1911</v>
      </c>
    </row>
    <row r="148" spans="1:91" x14ac:dyDescent="0.3">
      <c r="A148" t="s">
        <v>567</v>
      </c>
      <c r="B148">
        <v>49266</v>
      </c>
      <c r="C148" t="s">
        <v>483</v>
      </c>
      <c r="D148">
        <v>12</v>
      </c>
      <c r="Q148">
        <v>216911</v>
      </c>
      <c r="V148" t="s">
        <v>350</v>
      </c>
      <c r="Y148">
        <v>100</v>
      </c>
      <c r="AA148">
        <v>85</v>
      </c>
      <c r="AC148" s="3">
        <v>85</v>
      </c>
      <c r="AE148" s="3">
        <v>85</v>
      </c>
      <c r="AI148">
        <v>85</v>
      </c>
      <c r="AK148" s="3"/>
      <c r="AV148" t="s">
        <v>536</v>
      </c>
      <c r="AX148" t="s">
        <v>536</v>
      </c>
      <c r="AZ148" t="s">
        <v>536</v>
      </c>
      <c r="BB148" t="s">
        <v>536</v>
      </c>
      <c r="BO148" t="s">
        <v>367</v>
      </c>
      <c r="BT148">
        <v>4</v>
      </c>
      <c r="BU148">
        <v>0</v>
      </c>
      <c r="BV148">
        <v>9</v>
      </c>
      <c r="BX148">
        <v>86</v>
      </c>
      <c r="BZ148">
        <v>84</v>
      </c>
      <c r="CB148" t="s">
        <v>505</v>
      </c>
      <c r="CD148" t="s">
        <v>353</v>
      </c>
      <c r="CM148">
        <v>1911</v>
      </c>
    </row>
    <row r="149" spans="1:91" x14ac:dyDescent="0.3">
      <c r="A149" t="s">
        <v>567</v>
      </c>
      <c r="B149">
        <v>49269</v>
      </c>
      <c r="C149" t="s">
        <v>364</v>
      </c>
      <c r="D149">
        <v>12</v>
      </c>
      <c r="Q149">
        <v>294846</v>
      </c>
      <c r="V149" t="s">
        <v>350</v>
      </c>
      <c r="Y149">
        <v>100</v>
      </c>
      <c r="AA149">
        <v>97</v>
      </c>
      <c r="AC149" s="3">
        <v>97</v>
      </c>
      <c r="AE149" s="3">
        <v>95</v>
      </c>
      <c r="AI149">
        <v>96</v>
      </c>
      <c r="AK149" s="3"/>
      <c r="AV149" t="s">
        <v>370</v>
      </c>
      <c r="AX149" t="s">
        <v>370</v>
      </c>
      <c r="AZ149" t="s">
        <v>370</v>
      </c>
      <c r="BB149" t="s">
        <v>370</v>
      </c>
      <c r="BO149" t="s">
        <v>367</v>
      </c>
      <c r="BT149">
        <v>3</v>
      </c>
      <c r="BU149">
        <v>17</v>
      </c>
      <c r="BV149">
        <v>0</v>
      </c>
      <c r="BX149">
        <v>98.75</v>
      </c>
      <c r="BZ149">
        <v>95</v>
      </c>
      <c r="CB149" t="s">
        <v>515</v>
      </c>
      <c r="CD149" t="s">
        <v>353</v>
      </c>
      <c r="CM149">
        <v>1911</v>
      </c>
    </row>
    <row r="150" spans="1:91" x14ac:dyDescent="0.3">
      <c r="A150" t="s">
        <v>568</v>
      </c>
      <c r="B150">
        <v>49272</v>
      </c>
      <c r="D150">
        <v>12</v>
      </c>
      <c r="Q150">
        <v>195833</v>
      </c>
      <c r="V150" t="s">
        <v>350</v>
      </c>
      <c r="Z150" t="s">
        <v>350</v>
      </c>
      <c r="AA150">
        <v>82</v>
      </c>
      <c r="AC150" s="3">
        <v>82.37</v>
      </c>
      <c r="AE150" s="3">
        <v>82</v>
      </c>
      <c r="AI150">
        <v>82</v>
      </c>
      <c r="AK150" s="3"/>
      <c r="AV150" t="s">
        <v>421</v>
      </c>
      <c r="AX150" t="s">
        <v>421</v>
      </c>
      <c r="AZ150" t="s">
        <v>421</v>
      </c>
      <c r="BB150" t="s">
        <v>421</v>
      </c>
      <c r="BO150" t="s">
        <v>367</v>
      </c>
      <c r="BT150">
        <v>4</v>
      </c>
      <c r="BU150">
        <v>2</v>
      </c>
      <c r="BV150">
        <v>6</v>
      </c>
      <c r="BX150">
        <v>84.75</v>
      </c>
      <c r="BZ150">
        <v>81.75</v>
      </c>
      <c r="CB150" t="s">
        <v>569</v>
      </c>
      <c r="CD150" t="s">
        <v>353</v>
      </c>
      <c r="CK150" t="s">
        <v>360</v>
      </c>
      <c r="CM150">
        <v>1911</v>
      </c>
    </row>
    <row r="151" spans="1:91" x14ac:dyDescent="0.3">
      <c r="A151" t="s">
        <v>570</v>
      </c>
      <c r="B151">
        <v>49376</v>
      </c>
      <c r="D151">
        <v>12</v>
      </c>
      <c r="Q151">
        <v>392550</v>
      </c>
      <c r="V151" t="s">
        <v>350</v>
      </c>
      <c r="Y151">
        <v>100</v>
      </c>
      <c r="AA151">
        <v>88</v>
      </c>
      <c r="AC151" s="3">
        <v>88</v>
      </c>
      <c r="AE151" s="3">
        <v>88</v>
      </c>
      <c r="AI151">
        <v>88</v>
      </c>
      <c r="AK151" s="3"/>
      <c r="AV151" t="s">
        <v>382</v>
      </c>
      <c r="AX151" t="s">
        <v>382</v>
      </c>
      <c r="AZ151" t="s">
        <v>382</v>
      </c>
      <c r="BB151" t="s">
        <v>382</v>
      </c>
      <c r="BO151" t="s">
        <v>367</v>
      </c>
      <c r="BT151">
        <v>3</v>
      </c>
      <c r="BU151">
        <v>17</v>
      </c>
      <c r="BV151">
        <v>6</v>
      </c>
      <c r="BX151">
        <v>89.75</v>
      </c>
      <c r="BZ151">
        <v>86.5</v>
      </c>
      <c r="CB151" t="s">
        <v>571</v>
      </c>
      <c r="CD151" t="s">
        <v>353</v>
      </c>
      <c r="CK151" t="s">
        <v>360</v>
      </c>
      <c r="CL151" t="s">
        <v>457</v>
      </c>
      <c r="CM151">
        <v>1911</v>
      </c>
    </row>
    <row r="152" spans="1:91" x14ac:dyDescent="0.3">
      <c r="A152" t="s">
        <v>572</v>
      </c>
      <c r="B152">
        <v>49396</v>
      </c>
      <c r="D152">
        <v>12</v>
      </c>
      <c r="Q152">
        <v>693596</v>
      </c>
      <c r="V152" t="s">
        <v>350</v>
      </c>
      <c r="Y152">
        <v>100</v>
      </c>
      <c r="AA152">
        <v>96</v>
      </c>
      <c r="AC152" s="3">
        <v>96</v>
      </c>
      <c r="AE152" s="3">
        <v>95</v>
      </c>
      <c r="AI152">
        <v>95</v>
      </c>
      <c r="AK152" s="3"/>
      <c r="AV152" t="s">
        <v>370</v>
      </c>
      <c r="AX152" t="s">
        <v>370</v>
      </c>
      <c r="AZ152" t="s">
        <v>370</v>
      </c>
      <c r="BB152" t="s">
        <v>370</v>
      </c>
      <c r="BO152" t="s">
        <v>367</v>
      </c>
      <c r="BT152">
        <v>3</v>
      </c>
      <c r="BU152">
        <v>14</v>
      </c>
      <c r="BV152">
        <v>9</v>
      </c>
      <c r="BX152">
        <v>97.5</v>
      </c>
      <c r="BZ152">
        <v>95</v>
      </c>
      <c r="CC152" t="s">
        <v>385</v>
      </c>
      <c r="CD152" t="s">
        <v>353</v>
      </c>
      <c r="CK152" t="s">
        <v>573</v>
      </c>
      <c r="CM152">
        <v>1911</v>
      </c>
    </row>
    <row r="153" spans="1:91" x14ac:dyDescent="0.3">
      <c r="A153" t="s">
        <v>572</v>
      </c>
      <c r="B153">
        <v>49401</v>
      </c>
      <c r="C153" t="s">
        <v>483</v>
      </c>
      <c r="D153">
        <v>12</v>
      </c>
      <c r="Q153">
        <v>639836</v>
      </c>
      <c r="V153" t="s">
        <v>350</v>
      </c>
      <c r="Y153">
        <v>100</v>
      </c>
      <c r="AA153">
        <v>84</v>
      </c>
      <c r="AC153" s="3">
        <v>84</v>
      </c>
      <c r="AE153" s="3">
        <v>82.5</v>
      </c>
      <c r="AI153">
        <v>83</v>
      </c>
      <c r="AK153" s="3"/>
      <c r="AV153" t="s">
        <v>394</v>
      </c>
      <c r="AX153" t="s">
        <v>394</v>
      </c>
      <c r="AZ153" t="s">
        <v>394</v>
      </c>
      <c r="BB153" t="s">
        <v>394</v>
      </c>
      <c r="BO153" t="s">
        <v>367</v>
      </c>
      <c r="BT153">
        <v>3</v>
      </c>
      <c r="BU153">
        <v>17</v>
      </c>
      <c r="BV153">
        <v>9</v>
      </c>
      <c r="BX153">
        <v>85.62</v>
      </c>
      <c r="BZ153">
        <v>82.5</v>
      </c>
      <c r="CB153">
        <v>1955</v>
      </c>
      <c r="CD153" t="s">
        <v>353</v>
      </c>
      <c r="CM153">
        <v>1911</v>
      </c>
    </row>
    <row r="154" spans="1:91" x14ac:dyDescent="0.3">
      <c r="A154" t="s">
        <v>572</v>
      </c>
      <c r="B154">
        <v>49402</v>
      </c>
      <c r="C154" t="s">
        <v>364</v>
      </c>
      <c r="D154">
        <v>12</v>
      </c>
      <c r="Q154" s="2">
        <v>1011800</v>
      </c>
      <c r="V154" t="s">
        <v>350</v>
      </c>
      <c r="Y154">
        <v>100</v>
      </c>
      <c r="AA154">
        <v>96</v>
      </c>
      <c r="AC154" s="3">
        <v>96.5</v>
      </c>
      <c r="AE154" s="3">
        <v>95.5</v>
      </c>
      <c r="AI154">
        <v>96</v>
      </c>
      <c r="AK154" s="3"/>
      <c r="AV154" t="s">
        <v>415</v>
      </c>
      <c r="AX154" t="s">
        <v>415</v>
      </c>
      <c r="AZ154" t="s">
        <v>415</v>
      </c>
      <c r="BB154" t="s">
        <v>415</v>
      </c>
      <c r="BO154" t="s">
        <v>367</v>
      </c>
      <c r="BT154">
        <v>3</v>
      </c>
      <c r="BU154">
        <v>15</v>
      </c>
      <c r="BV154">
        <v>6</v>
      </c>
      <c r="BX154">
        <v>97.62</v>
      </c>
      <c r="BZ154">
        <v>94.75</v>
      </c>
      <c r="CB154" t="s">
        <v>574</v>
      </c>
      <c r="CD154" t="s">
        <v>353</v>
      </c>
      <c r="CM154">
        <v>1911</v>
      </c>
    </row>
    <row r="155" spans="1:91" x14ac:dyDescent="0.3">
      <c r="A155" t="s">
        <v>575</v>
      </c>
      <c r="B155">
        <v>49504</v>
      </c>
      <c r="D155">
        <v>12</v>
      </c>
      <c r="Q155">
        <v>195844</v>
      </c>
      <c r="V155" t="s">
        <v>350</v>
      </c>
      <c r="Y155">
        <v>100</v>
      </c>
      <c r="AA155">
        <v>80</v>
      </c>
      <c r="AC155" s="3">
        <v>81</v>
      </c>
      <c r="AE155" s="3">
        <v>80</v>
      </c>
      <c r="AI155">
        <v>81</v>
      </c>
      <c r="AK155" s="3"/>
      <c r="AV155" t="s">
        <v>576</v>
      </c>
      <c r="AX155" t="s">
        <v>576</v>
      </c>
      <c r="AZ155" t="s">
        <v>576</v>
      </c>
      <c r="BB155" t="s">
        <v>576</v>
      </c>
      <c r="BO155" t="s">
        <v>367</v>
      </c>
      <c r="BT155">
        <v>4</v>
      </c>
      <c r="BU155">
        <v>2</v>
      </c>
      <c r="BV155">
        <v>0</v>
      </c>
      <c r="BX155">
        <v>82.75</v>
      </c>
      <c r="BZ155">
        <v>80</v>
      </c>
      <c r="CB155" t="s">
        <v>577</v>
      </c>
      <c r="CD155" t="s">
        <v>353</v>
      </c>
      <c r="CK155" t="s">
        <v>360</v>
      </c>
      <c r="CM155">
        <v>1911</v>
      </c>
    </row>
    <row r="156" spans="1:91" x14ac:dyDescent="0.3">
      <c r="A156" t="s">
        <v>578</v>
      </c>
      <c r="B156">
        <v>49648</v>
      </c>
      <c r="D156">
        <v>12</v>
      </c>
      <c r="Q156">
        <v>379757</v>
      </c>
      <c r="V156" t="s">
        <v>350</v>
      </c>
      <c r="Y156">
        <v>100</v>
      </c>
      <c r="AA156">
        <v>82</v>
      </c>
      <c r="AC156" s="3">
        <v>82</v>
      </c>
      <c r="AE156" s="3">
        <v>81</v>
      </c>
      <c r="AI156">
        <v>81</v>
      </c>
      <c r="AK156" s="3"/>
      <c r="AV156" t="s">
        <v>394</v>
      </c>
      <c r="AX156" t="s">
        <v>394</v>
      </c>
      <c r="AZ156" t="s">
        <v>394</v>
      </c>
      <c r="BB156" t="s">
        <v>394</v>
      </c>
      <c r="BO156" t="s">
        <v>367</v>
      </c>
      <c r="BT156">
        <v>4</v>
      </c>
      <c r="BU156">
        <v>3</v>
      </c>
      <c r="BV156">
        <v>3</v>
      </c>
      <c r="BX156">
        <v>83.5</v>
      </c>
      <c r="BZ156">
        <v>80.5</v>
      </c>
      <c r="CB156" t="s">
        <v>417</v>
      </c>
      <c r="CD156" t="s">
        <v>353</v>
      </c>
      <c r="CK156" t="s">
        <v>360</v>
      </c>
      <c r="CM156">
        <v>1911</v>
      </c>
    </row>
    <row r="157" spans="1:91" x14ac:dyDescent="0.3">
      <c r="A157" t="s">
        <v>579</v>
      </c>
      <c r="B157">
        <v>49786</v>
      </c>
      <c r="D157">
        <v>12</v>
      </c>
      <c r="Q157">
        <v>264749</v>
      </c>
      <c r="V157" t="s">
        <v>350</v>
      </c>
      <c r="Y157">
        <v>100</v>
      </c>
      <c r="AA157">
        <v>87</v>
      </c>
      <c r="AC157" s="3">
        <v>87</v>
      </c>
      <c r="AE157" s="3">
        <v>87</v>
      </c>
      <c r="AI157">
        <v>87</v>
      </c>
      <c r="AK157" s="3"/>
      <c r="AV157" t="s">
        <v>373</v>
      </c>
      <c r="AX157" t="s">
        <v>373</v>
      </c>
      <c r="AZ157" t="s">
        <v>373</v>
      </c>
      <c r="BB157" t="s">
        <v>373</v>
      </c>
      <c r="BO157" t="s">
        <v>367</v>
      </c>
      <c r="BT157">
        <v>3</v>
      </c>
      <c r="BU157">
        <v>9</v>
      </c>
      <c r="BV157">
        <v>9</v>
      </c>
      <c r="BX157">
        <v>90</v>
      </c>
      <c r="BZ157">
        <v>87</v>
      </c>
      <c r="CB157">
        <v>1931</v>
      </c>
      <c r="CD157" t="s">
        <v>353</v>
      </c>
      <c r="CK157" t="s">
        <v>360</v>
      </c>
      <c r="CM157">
        <v>1911</v>
      </c>
    </row>
    <row r="158" spans="1:91" x14ac:dyDescent="0.3">
      <c r="A158" t="s">
        <v>580</v>
      </c>
      <c r="B158">
        <v>49796</v>
      </c>
      <c r="D158">
        <v>12</v>
      </c>
      <c r="Q158">
        <v>113783</v>
      </c>
      <c r="V158" t="s">
        <v>350</v>
      </c>
      <c r="Y158">
        <v>100</v>
      </c>
      <c r="AA158">
        <v>97</v>
      </c>
      <c r="AC158" s="3">
        <v>97</v>
      </c>
      <c r="AE158" s="3">
        <v>97</v>
      </c>
      <c r="AI158">
        <v>97</v>
      </c>
      <c r="AK158" s="3"/>
      <c r="AV158" t="s">
        <v>407</v>
      </c>
      <c r="AX158" t="s">
        <v>407</v>
      </c>
      <c r="AZ158" t="s">
        <v>407</v>
      </c>
      <c r="BB158" t="s">
        <v>407</v>
      </c>
      <c r="BO158" t="s">
        <v>367</v>
      </c>
      <c r="BT158">
        <v>3</v>
      </c>
      <c r="BU158">
        <v>3</v>
      </c>
      <c r="BV158">
        <v>3</v>
      </c>
      <c r="BX158">
        <v>98</v>
      </c>
      <c r="BZ158">
        <v>94</v>
      </c>
      <c r="CB158">
        <v>1913</v>
      </c>
      <c r="CD158" t="s">
        <v>353</v>
      </c>
      <c r="CK158" t="s">
        <v>581</v>
      </c>
      <c r="CM158">
        <v>1911</v>
      </c>
    </row>
    <row r="159" spans="1:91" x14ac:dyDescent="0.3">
      <c r="A159" t="s">
        <v>582</v>
      </c>
      <c r="B159">
        <v>50162</v>
      </c>
      <c r="D159">
        <v>12</v>
      </c>
      <c r="Q159">
        <v>250000</v>
      </c>
      <c r="V159" t="s">
        <v>350</v>
      </c>
      <c r="Y159">
        <v>100</v>
      </c>
      <c r="AA159">
        <v>85</v>
      </c>
      <c r="AC159" s="3">
        <v>85</v>
      </c>
      <c r="AE159" s="3">
        <v>85</v>
      </c>
      <c r="AI159">
        <v>85</v>
      </c>
      <c r="AK159" s="3"/>
      <c r="AV159" t="s">
        <v>415</v>
      </c>
      <c r="AX159" t="s">
        <v>415</v>
      </c>
      <c r="AZ159" t="s">
        <v>415</v>
      </c>
      <c r="BB159" t="s">
        <v>415</v>
      </c>
      <c r="BO159" t="s">
        <v>367</v>
      </c>
      <c r="BT159">
        <v>3</v>
      </c>
      <c r="BU159">
        <v>12</v>
      </c>
      <c r="BV159">
        <v>9</v>
      </c>
      <c r="BX159">
        <v>88</v>
      </c>
      <c r="BZ159">
        <v>85</v>
      </c>
      <c r="CB159">
        <v>1929</v>
      </c>
      <c r="CD159" t="s">
        <v>353</v>
      </c>
      <c r="CK159" t="s">
        <v>360</v>
      </c>
      <c r="CM159">
        <v>1911</v>
      </c>
    </row>
    <row r="160" spans="1:91" x14ac:dyDescent="0.3">
      <c r="A160" t="s">
        <v>583</v>
      </c>
      <c r="B160">
        <v>50220</v>
      </c>
      <c r="D160">
        <v>12</v>
      </c>
      <c r="Q160">
        <v>317940</v>
      </c>
      <c r="V160" t="s">
        <v>350</v>
      </c>
      <c r="Y160">
        <v>100</v>
      </c>
      <c r="AA160">
        <v>86</v>
      </c>
      <c r="AC160" s="3">
        <v>86</v>
      </c>
      <c r="AE160" s="3">
        <v>85</v>
      </c>
      <c r="AI160">
        <v>85</v>
      </c>
      <c r="AK160" s="3"/>
      <c r="AV160" t="s">
        <v>394</v>
      </c>
      <c r="AX160" t="s">
        <v>394</v>
      </c>
      <c r="AZ160" t="s">
        <v>394</v>
      </c>
      <c r="BB160" t="s">
        <v>394</v>
      </c>
      <c r="BO160" t="s">
        <v>367</v>
      </c>
      <c r="BT160">
        <v>4</v>
      </c>
      <c r="BU160">
        <v>4</v>
      </c>
      <c r="BV160">
        <v>9</v>
      </c>
      <c r="BX160">
        <v>87</v>
      </c>
      <c r="BZ160">
        <v>85</v>
      </c>
      <c r="CB160">
        <v>1932</v>
      </c>
      <c r="CD160" t="s">
        <v>353</v>
      </c>
      <c r="CK160" t="s">
        <v>584</v>
      </c>
      <c r="CM160">
        <v>1911</v>
      </c>
    </row>
    <row r="161" spans="1:91" x14ac:dyDescent="0.3">
      <c r="A161" t="s">
        <v>585</v>
      </c>
      <c r="B161">
        <v>50386</v>
      </c>
      <c r="D161">
        <v>12</v>
      </c>
      <c r="Q161">
        <v>551389</v>
      </c>
      <c r="V161" t="s">
        <v>350</v>
      </c>
      <c r="Y161">
        <v>100</v>
      </c>
      <c r="AA161">
        <v>86</v>
      </c>
      <c r="AC161" s="3">
        <v>87</v>
      </c>
      <c r="AE161" s="3">
        <v>86</v>
      </c>
      <c r="AI161">
        <v>87</v>
      </c>
      <c r="AK161" s="3"/>
      <c r="AV161" t="s">
        <v>382</v>
      </c>
      <c r="AX161" t="s">
        <v>382</v>
      </c>
      <c r="AZ161" t="s">
        <v>382</v>
      </c>
      <c r="BB161" t="s">
        <v>382</v>
      </c>
      <c r="BO161" t="s">
        <v>367</v>
      </c>
      <c r="BT161">
        <v>4</v>
      </c>
      <c r="BU161">
        <v>0</v>
      </c>
      <c r="BV161">
        <v>3</v>
      </c>
      <c r="BX161">
        <v>88</v>
      </c>
      <c r="BZ161">
        <v>85.75</v>
      </c>
      <c r="CB161">
        <v>1930</v>
      </c>
      <c r="CD161" t="s">
        <v>353</v>
      </c>
      <c r="CK161" t="s">
        <v>584</v>
      </c>
      <c r="CM161">
        <v>1911</v>
      </c>
    </row>
    <row r="162" spans="1:91" x14ac:dyDescent="0.3">
      <c r="A162" t="s">
        <v>586</v>
      </c>
      <c r="B162">
        <v>50398</v>
      </c>
      <c r="D162">
        <v>12</v>
      </c>
      <c r="Q162">
        <v>724050</v>
      </c>
      <c r="V162" t="s">
        <v>350</v>
      </c>
      <c r="Y162">
        <v>100</v>
      </c>
      <c r="AA162">
        <v>90</v>
      </c>
      <c r="AC162" s="3">
        <v>91</v>
      </c>
      <c r="AE162" s="3">
        <v>90</v>
      </c>
      <c r="AI162">
        <v>90</v>
      </c>
      <c r="AK162" s="3"/>
      <c r="AV162" t="s">
        <v>382</v>
      </c>
      <c r="AX162" t="s">
        <v>382</v>
      </c>
      <c r="AZ162" t="s">
        <v>382</v>
      </c>
      <c r="BB162" t="s">
        <v>382</v>
      </c>
      <c r="BO162" t="s">
        <v>367</v>
      </c>
      <c r="BT162">
        <v>3</v>
      </c>
      <c r="BU162">
        <v>14</v>
      </c>
      <c r="BV162">
        <v>3</v>
      </c>
      <c r="BX162">
        <v>92</v>
      </c>
      <c r="BZ162">
        <v>89.5</v>
      </c>
      <c r="CB162">
        <v>1929</v>
      </c>
      <c r="CD162" t="s">
        <v>353</v>
      </c>
      <c r="CK162" t="s">
        <v>360</v>
      </c>
      <c r="CM162">
        <v>1911</v>
      </c>
    </row>
    <row r="163" spans="1:91" x14ac:dyDescent="0.3">
      <c r="A163" t="s">
        <v>586</v>
      </c>
      <c r="B163">
        <v>50399</v>
      </c>
      <c r="C163" t="s">
        <v>483</v>
      </c>
      <c r="D163">
        <v>12</v>
      </c>
      <c r="Q163" s="2">
        <v>1203420</v>
      </c>
      <c r="V163" t="s">
        <v>350</v>
      </c>
      <c r="Y163">
        <v>100</v>
      </c>
      <c r="AA163">
        <v>80</v>
      </c>
      <c r="AC163" s="3">
        <v>80.5</v>
      </c>
      <c r="AE163" s="3">
        <v>79.5</v>
      </c>
      <c r="AI163">
        <v>80</v>
      </c>
      <c r="AK163" s="3"/>
      <c r="AV163" t="s">
        <v>382</v>
      </c>
      <c r="AX163" t="s">
        <v>382</v>
      </c>
      <c r="AZ163" t="s">
        <v>382</v>
      </c>
      <c r="BB163" t="s">
        <v>382</v>
      </c>
      <c r="BO163" t="s">
        <v>367</v>
      </c>
      <c r="BT163">
        <v>3</v>
      </c>
      <c r="BU163">
        <v>17</v>
      </c>
      <c r="BV163">
        <v>3</v>
      </c>
      <c r="BX163">
        <v>81.87</v>
      </c>
      <c r="BZ163">
        <v>79.25</v>
      </c>
      <c r="CB163">
        <v>1945</v>
      </c>
      <c r="CD163" t="s">
        <v>353</v>
      </c>
      <c r="CM163">
        <v>1911</v>
      </c>
    </row>
    <row r="164" spans="1:91" x14ac:dyDescent="0.3">
      <c r="A164" t="s">
        <v>587</v>
      </c>
      <c r="B164">
        <v>50130</v>
      </c>
      <c r="D164">
        <v>12</v>
      </c>
      <c r="Q164">
        <v>208192</v>
      </c>
      <c r="V164" t="s">
        <v>350</v>
      </c>
      <c r="Y164">
        <v>100</v>
      </c>
      <c r="AA164">
        <v>84</v>
      </c>
      <c r="AC164" s="3">
        <v>84</v>
      </c>
      <c r="AE164" s="3">
        <v>84</v>
      </c>
      <c r="AI164">
        <v>84</v>
      </c>
      <c r="AK164" s="3"/>
      <c r="AV164" t="s">
        <v>374</v>
      </c>
      <c r="AX164" t="s">
        <v>374</v>
      </c>
      <c r="AZ164" t="s">
        <v>374</v>
      </c>
      <c r="BB164" t="s">
        <v>374</v>
      </c>
      <c r="BO164" t="s">
        <v>367</v>
      </c>
      <c r="BT164">
        <v>4</v>
      </c>
      <c r="BU164">
        <v>6</v>
      </c>
      <c r="BV164">
        <v>0</v>
      </c>
      <c r="BX164">
        <v>85.87</v>
      </c>
      <c r="BZ164">
        <v>83.75</v>
      </c>
      <c r="CB164" t="s">
        <v>505</v>
      </c>
      <c r="CD164" t="s">
        <v>353</v>
      </c>
      <c r="CK164" t="s">
        <v>360</v>
      </c>
      <c r="CL164" t="s">
        <v>457</v>
      </c>
      <c r="CM164">
        <v>1911</v>
      </c>
    </row>
    <row r="165" spans="1:91" x14ac:dyDescent="0.3">
      <c r="A165" t="s">
        <v>588</v>
      </c>
      <c r="B165">
        <v>50449</v>
      </c>
      <c r="D165">
        <v>12</v>
      </c>
      <c r="Q165">
        <v>168497</v>
      </c>
      <c r="V165" t="s">
        <v>350</v>
      </c>
      <c r="Y165">
        <v>100</v>
      </c>
      <c r="AA165">
        <v>81</v>
      </c>
      <c r="AC165" s="3">
        <v>82</v>
      </c>
      <c r="AE165" s="3">
        <v>81</v>
      </c>
      <c r="AI165">
        <v>82</v>
      </c>
      <c r="AK165" s="3"/>
      <c r="AV165" t="s">
        <v>407</v>
      </c>
      <c r="AX165" t="s">
        <v>407</v>
      </c>
      <c r="AZ165" t="s">
        <v>407</v>
      </c>
      <c r="BB165" t="s">
        <v>407</v>
      </c>
      <c r="BO165" t="s">
        <v>367</v>
      </c>
      <c r="BT165">
        <v>4</v>
      </c>
      <c r="BU165">
        <v>0</v>
      </c>
      <c r="BV165">
        <v>3</v>
      </c>
      <c r="BX165">
        <v>82.5</v>
      </c>
      <c r="BZ165">
        <v>80.5</v>
      </c>
      <c r="CB165" t="s">
        <v>589</v>
      </c>
      <c r="CD165" t="s">
        <v>353</v>
      </c>
      <c r="CK165" t="s">
        <v>384</v>
      </c>
      <c r="CM165">
        <v>1911</v>
      </c>
    </row>
    <row r="166" spans="1:91" x14ac:dyDescent="0.3">
      <c r="A166" t="s">
        <v>590</v>
      </c>
      <c r="B166">
        <v>50456</v>
      </c>
      <c r="D166">
        <v>12</v>
      </c>
      <c r="Q166">
        <v>153416</v>
      </c>
      <c r="V166" t="s">
        <v>350</v>
      </c>
      <c r="Y166">
        <v>100</v>
      </c>
      <c r="AA166">
        <v>82</v>
      </c>
      <c r="AC166" s="3">
        <v>82</v>
      </c>
      <c r="AE166" s="3">
        <v>80.87</v>
      </c>
      <c r="AI166">
        <v>81</v>
      </c>
      <c r="AK166" s="3"/>
      <c r="AV166" t="s">
        <v>394</v>
      </c>
      <c r="AX166" t="s">
        <v>394</v>
      </c>
      <c r="AZ166" t="s">
        <v>394</v>
      </c>
      <c r="BB166" t="s">
        <v>394</v>
      </c>
      <c r="BO166" t="s">
        <v>367</v>
      </c>
      <c r="BT166">
        <v>4</v>
      </c>
      <c r="BU166">
        <v>6</v>
      </c>
      <c r="BV166">
        <v>9</v>
      </c>
      <c r="BX166">
        <v>82.25</v>
      </c>
      <c r="BZ166">
        <v>80.87</v>
      </c>
      <c r="CB166" t="s">
        <v>591</v>
      </c>
      <c r="CD166" t="s">
        <v>353</v>
      </c>
      <c r="CK166" t="s">
        <v>360</v>
      </c>
      <c r="CL166" t="s">
        <v>457</v>
      </c>
      <c r="CM166">
        <v>1911</v>
      </c>
    </row>
    <row r="167" spans="1:91" x14ac:dyDescent="0.3">
      <c r="A167" t="s">
        <v>592</v>
      </c>
      <c r="B167">
        <v>50534</v>
      </c>
      <c r="D167">
        <v>12</v>
      </c>
      <c r="Q167">
        <v>119886</v>
      </c>
      <c r="V167" t="s">
        <v>350</v>
      </c>
      <c r="Y167">
        <v>100</v>
      </c>
      <c r="AA167">
        <v>80</v>
      </c>
      <c r="AC167" s="3">
        <v>81</v>
      </c>
      <c r="AE167" s="3">
        <v>80</v>
      </c>
      <c r="AI167">
        <v>81</v>
      </c>
      <c r="AK167" s="3"/>
      <c r="AV167" t="s">
        <v>407</v>
      </c>
      <c r="AX167" t="s">
        <v>407</v>
      </c>
      <c r="AZ167" t="s">
        <v>407</v>
      </c>
      <c r="BB167" t="s">
        <v>407</v>
      </c>
      <c r="BO167" t="s">
        <v>367</v>
      </c>
      <c r="BT167">
        <v>3</v>
      </c>
      <c r="BU167">
        <v>18</v>
      </c>
      <c r="BV167">
        <v>3</v>
      </c>
      <c r="BX167">
        <v>82</v>
      </c>
      <c r="BZ167">
        <v>80</v>
      </c>
      <c r="CB167" t="s">
        <v>471</v>
      </c>
      <c r="CD167" t="s">
        <v>353</v>
      </c>
      <c r="CK167" t="s">
        <v>360</v>
      </c>
      <c r="CM167">
        <v>1911</v>
      </c>
    </row>
    <row r="168" spans="1:91" x14ac:dyDescent="0.3">
      <c r="A168" t="s">
        <v>593</v>
      </c>
      <c r="B168">
        <v>50535</v>
      </c>
      <c r="D168">
        <v>12</v>
      </c>
      <c r="Q168">
        <v>845890</v>
      </c>
      <c r="V168" t="s">
        <v>350</v>
      </c>
      <c r="Y168">
        <v>100</v>
      </c>
      <c r="AA168">
        <v>82</v>
      </c>
      <c r="AC168" s="3">
        <v>82.5</v>
      </c>
      <c r="AE168" s="3">
        <v>81.5</v>
      </c>
      <c r="AI168">
        <v>82</v>
      </c>
      <c r="AK168" s="3"/>
      <c r="AV168" t="s">
        <v>382</v>
      </c>
      <c r="AX168" t="s">
        <v>382</v>
      </c>
      <c r="AZ168" t="s">
        <v>382</v>
      </c>
      <c r="BB168" t="s">
        <v>382</v>
      </c>
      <c r="BO168" t="s">
        <v>367</v>
      </c>
      <c r="BT168">
        <v>3</v>
      </c>
      <c r="BU168">
        <v>15</v>
      </c>
      <c r="BV168">
        <v>3</v>
      </c>
      <c r="BX168">
        <v>84.87</v>
      </c>
      <c r="BZ168">
        <v>81.5</v>
      </c>
      <c r="CB168">
        <v>1921</v>
      </c>
      <c r="CC168" t="s">
        <v>362</v>
      </c>
      <c r="CD168" t="s">
        <v>353</v>
      </c>
      <c r="CK168" t="s">
        <v>594</v>
      </c>
      <c r="CM168">
        <v>1911</v>
      </c>
    </row>
    <row r="169" spans="1:91" x14ac:dyDescent="0.3">
      <c r="A169" t="s">
        <v>593</v>
      </c>
      <c r="B169">
        <v>50536</v>
      </c>
      <c r="C169" t="s">
        <v>595</v>
      </c>
      <c r="D169">
        <v>12</v>
      </c>
      <c r="Q169">
        <v>200000</v>
      </c>
      <c r="U169">
        <v>100</v>
      </c>
      <c r="Y169">
        <v>100</v>
      </c>
      <c r="AA169">
        <v>97</v>
      </c>
      <c r="AC169" s="3">
        <v>98</v>
      </c>
      <c r="AE169" s="3">
        <v>97</v>
      </c>
      <c r="AI169">
        <v>98</v>
      </c>
      <c r="AK169" s="3"/>
      <c r="AV169" t="s">
        <v>382</v>
      </c>
      <c r="AX169" t="s">
        <v>382</v>
      </c>
      <c r="AZ169" t="s">
        <v>382</v>
      </c>
      <c r="BB169" t="s">
        <v>382</v>
      </c>
      <c r="BO169" t="s">
        <v>367</v>
      </c>
      <c r="BT169">
        <v>4</v>
      </c>
      <c r="BU169">
        <v>6</v>
      </c>
      <c r="BV169">
        <v>0</v>
      </c>
      <c r="BY169" t="s">
        <v>385</v>
      </c>
      <c r="CA169" t="s">
        <v>385</v>
      </c>
      <c r="CB169">
        <v>1915</v>
      </c>
      <c r="CD169" t="s">
        <v>385</v>
      </c>
      <c r="CM169">
        <v>1911</v>
      </c>
    </row>
    <row r="170" spans="1:91" x14ac:dyDescent="0.3">
      <c r="A170" t="s">
        <v>596</v>
      </c>
      <c r="B170">
        <v>50573</v>
      </c>
      <c r="D170">
        <v>12</v>
      </c>
      <c r="Q170">
        <v>149081</v>
      </c>
      <c r="V170" t="s">
        <v>350</v>
      </c>
      <c r="Y170">
        <v>100</v>
      </c>
      <c r="AA170">
        <v>81</v>
      </c>
      <c r="AC170" s="3">
        <v>81</v>
      </c>
      <c r="AE170" s="3">
        <v>81</v>
      </c>
      <c r="AI170">
        <v>81</v>
      </c>
      <c r="AK170" s="3"/>
      <c r="AV170" t="s">
        <v>382</v>
      </c>
      <c r="AX170" t="s">
        <v>382</v>
      </c>
      <c r="AZ170" t="s">
        <v>382</v>
      </c>
      <c r="BB170" t="s">
        <v>382</v>
      </c>
      <c r="BO170" t="s">
        <v>367</v>
      </c>
      <c r="BT170">
        <v>4</v>
      </c>
      <c r="BU170">
        <v>7</v>
      </c>
      <c r="BV170">
        <v>6</v>
      </c>
      <c r="BX170">
        <v>83</v>
      </c>
      <c r="BZ170">
        <v>80.75</v>
      </c>
      <c r="CB170" t="s">
        <v>597</v>
      </c>
      <c r="CD170" t="s">
        <v>353</v>
      </c>
      <c r="CK170" t="s">
        <v>360</v>
      </c>
      <c r="CM170">
        <v>1911</v>
      </c>
    </row>
    <row r="171" spans="1:91" x14ac:dyDescent="0.3">
      <c r="A171" t="s">
        <v>598</v>
      </c>
      <c r="B171">
        <v>50593</v>
      </c>
      <c r="D171">
        <v>12</v>
      </c>
      <c r="Q171">
        <v>99079</v>
      </c>
      <c r="V171" t="s">
        <v>350</v>
      </c>
      <c r="Y171">
        <v>100</v>
      </c>
      <c r="AA171">
        <v>91</v>
      </c>
      <c r="AC171" s="3">
        <v>91</v>
      </c>
      <c r="AE171" s="3">
        <v>91</v>
      </c>
      <c r="AI171">
        <v>91</v>
      </c>
      <c r="AK171" s="3"/>
      <c r="AV171" t="s">
        <v>382</v>
      </c>
      <c r="AX171" t="s">
        <v>382</v>
      </c>
      <c r="AZ171" t="s">
        <v>382</v>
      </c>
      <c r="BB171" t="s">
        <v>382</v>
      </c>
      <c r="BO171" t="s">
        <v>367</v>
      </c>
      <c r="BT171">
        <v>3</v>
      </c>
      <c r="BU171">
        <v>19</v>
      </c>
      <c r="BV171">
        <v>9</v>
      </c>
      <c r="BY171" t="s">
        <v>385</v>
      </c>
      <c r="CA171" t="s">
        <v>385</v>
      </c>
      <c r="CB171">
        <v>1947</v>
      </c>
      <c r="CD171" t="s">
        <v>353</v>
      </c>
      <c r="CM171">
        <v>1911</v>
      </c>
    </row>
    <row r="172" spans="1:91" x14ac:dyDescent="0.3">
      <c r="A172" t="s">
        <v>599</v>
      </c>
      <c r="B172">
        <v>50615</v>
      </c>
      <c r="D172">
        <v>12</v>
      </c>
      <c r="Q172">
        <v>585098</v>
      </c>
      <c r="V172" t="s">
        <v>350</v>
      </c>
      <c r="Y172">
        <v>100</v>
      </c>
      <c r="AA172">
        <v>97</v>
      </c>
      <c r="AC172" s="3">
        <v>97.75</v>
      </c>
      <c r="AE172" s="3">
        <v>97</v>
      </c>
      <c r="AI172">
        <v>97</v>
      </c>
      <c r="AK172" s="3"/>
      <c r="AV172" t="s">
        <v>415</v>
      </c>
      <c r="AX172" t="s">
        <v>415</v>
      </c>
      <c r="AZ172" t="s">
        <v>415</v>
      </c>
      <c r="BB172" t="s">
        <v>415</v>
      </c>
      <c r="BO172" t="s">
        <v>367</v>
      </c>
      <c r="BT172">
        <v>3</v>
      </c>
      <c r="BU172">
        <v>14</v>
      </c>
      <c r="BV172">
        <v>3</v>
      </c>
      <c r="BX172">
        <v>99</v>
      </c>
      <c r="BZ172">
        <v>96.25</v>
      </c>
      <c r="CB172">
        <v>1932</v>
      </c>
      <c r="CD172" t="s">
        <v>353</v>
      </c>
      <c r="CK172" t="s">
        <v>360</v>
      </c>
      <c r="CM172">
        <v>1911</v>
      </c>
    </row>
    <row r="173" spans="1:91" x14ac:dyDescent="0.3">
      <c r="A173" t="s">
        <v>599</v>
      </c>
      <c r="B173">
        <v>50616</v>
      </c>
      <c r="C173" t="s">
        <v>483</v>
      </c>
      <c r="D173">
        <v>12</v>
      </c>
      <c r="Q173">
        <v>387100</v>
      </c>
      <c r="V173" t="s">
        <v>350</v>
      </c>
      <c r="Y173">
        <v>100</v>
      </c>
      <c r="AA173">
        <v>84</v>
      </c>
      <c r="AC173" s="3">
        <v>84</v>
      </c>
      <c r="AE173" s="3">
        <v>83.62</v>
      </c>
      <c r="AI173">
        <v>84</v>
      </c>
      <c r="AK173" s="3"/>
      <c r="AV173" t="s">
        <v>415</v>
      </c>
      <c r="AX173" t="s">
        <v>415</v>
      </c>
      <c r="AZ173" t="s">
        <v>415</v>
      </c>
      <c r="BB173" t="s">
        <v>415</v>
      </c>
      <c r="BO173" t="s">
        <v>367</v>
      </c>
      <c r="BT173">
        <v>3</v>
      </c>
      <c r="BU173">
        <v>18</v>
      </c>
      <c r="BV173">
        <v>0</v>
      </c>
      <c r="BX173">
        <v>85.5</v>
      </c>
      <c r="BZ173">
        <v>83</v>
      </c>
      <c r="CB173" t="s">
        <v>600</v>
      </c>
      <c r="CD173" t="s">
        <v>353</v>
      </c>
      <c r="CM173">
        <v>1911</v>
      </c>
    </row>
    <row r="174" spans="1:91" x14ac:dyDescent="0.3">
      <c r="A174" t="s">
        <v>601</v>
      </c>
      <c r="B174">
        <v>50635</v>
      </c>
      <c r="D174">
        <v>12</v>
      </c>
      <c r="Q174">
        <v>189375</v>
      </c>
      <c r="V174" t="s">
        <v>350</v>
      </c>
      <c r="Y174">
        <v>100</v>
      </c>
      <c r="AA174">
        <v>87</v>
      </c>
      <c r="AC174" s="3">
        <v>87</v>
      </c>
      <c r="AE174" s="3">
        <v>87</v>
      </c>
      <c r="AI174">
        <v>87</v>
      </c>
      <c r="AK174" s="3"/>
      <c r="AV174" t="s">
        <v>602</v>
      </c>
      <c r="AX174" t="s">
        <v>602</v>
      </c>
      <c r="AZ174" t="s">
        <v>602</v>
      </c>
      <c r="BB174" t="s">
        <v>602</v>
      </c>
      <c r="BO174" t="s">
        <v>367</v>
      </c>
      <c r="BT174">
        <v>3</v>
      </c>
      <c r="BU174">
        <v>15</v>
      </c>
      <c r="BV174">
        <v>3</v>
      </c>
      <c r="BX174">
        <v>89</v>
      </c>
      <c r="BZ174">
        <v>85</v>
      </c>
      <c r="CB174">
        <v>1950</v>
      </c>
      <c r="CD174" t="s">
        <v>385</v>
      </c>
      <c r="CK174" t="s">
        <v>360</v>
      </c>
      <c r="CM174">
        <v>1911</v>
      </c>
    </row>
    <row r="175" spans="1:91" x14ac:dyDescent="0.3">
      <c r="A175" t="s">
        <v>603</v>
      </c>
      <c r="B175">
        <v>50672</v>
      </c>
      <c r="D175">
        <v>12</v>
      </c>
      <c r="Q175">
        <v>380323</v>
      </c>
      <c r="V175" t="s">
        <v>350</v>
      </c>
      <c r="Y175">
        <v>100</v>
      </c>
      <c r="AA175">
        <v>85</v>
      </c>
      <c r="AC175" s="3">
        <v>85</v>
      </c>
      <c r="AE175" s="3">
        <v>84</v>
      </c>
      <c r="AI175">
        <v>84</v>
      </c>
      <c r="AK175" s="3"/>
      <c r="AV175" t="s">
        <v>394</v>
      </c>
      <c r="AX175" t="s">
        <v>394</v>
      </c>
      <c r="AZ175" t="s">
        <v>394</v>
      </c>
      <c r="BB175" t="s">
        <v>394</v>
      </c>
      <c r="BO175" t="s">
        <v>367</v>
      </c>
      <c r="BT175">
        <v>4</v>
      </c>
      <c r="BU175">
        <v>0</v>
      </c>
      <c r="BV175">
        <v>9</v>
      </c>
      <c r="BX175">
        <v>86.75</v>
      </c>
      <c r="BZ175">
        <v>84</v>
      </c>
      <c r="CB175" t="s">
        <v>604</v>
      </c>
      <c r="CD175" t="s">
        <v>353</v>
      </c>
      <c r="CK175" t="s">
        <v>605</v>
      </c>
      <c r="CM175">
        <v>1911</v>
      </c>
    </row>
    <row r="176" spans="1:91" x14ac:dyDescent="0.3">
      <c r="A176" t="s">
        <v>606</v>
      </c>
      <c r="B176">
        <v>40932</v>
      </c>
      <c r="D176">
        <v>12</v>
      </c>
      <c r="Q176">
        <v>554000</v>
      </c>
      <c r="V176" t="s">
        <v>350</v>
      </c>
      <c r="Y176">
        <v>100</v>
      </c>
      <c r="AA176">
        <v>90.75</v>
      </c>
      <c r="AC176" s="3">
        <v>90.75</v>
      </c>
      <c r="AE176" s="3">
        <v>90.75</v>
      </c>
      <c r="AI176">
        <v>90.75</v>
      </c>
      <c r="AK176" s="3"/>
      <c r="AV176" t="s">
        <v>536</v>
      </c>
      <c r="AX176" t="s">
        <v>536</v>
      </c>
      <c r="AZ176" t="s">
        <v>536</v>
      </c>
      <c r="BB176" t="s">
        <v>536</v>
      </c>
      <c r="BO176" t="s">
        <v>367</v>
      </c>
      <c r="BT176">
        <v>4</v>
      </c>
      <c r="BU176">
        <v>2</v>
      </c>
      <c r="BV176">
        <v>0</v>
      </c>
      <c r="BX176">
        <v>94.5</v>
      </c>
      <c r="BZ176">
        <v>90.75</v>
      </c>
      <c r="CB176">
        <v>1938</v>
      </c>
      <c r="CD176" t="s">
        <v>385</v>
      </c>
      <c r="CK176" t="s">
        <v>607</v>
      </c>
      <c r="CM176">
        <v>1911</v>
      </c>
    </row>
    <row r="177" spans="1:91" x14ac:dyDescent="0.3">
      <c r="A177" t="s">
        <v>606</v>
      </c>
      <c r="B177">
        <v>40933</v>
      </c>
      <c r="C177" t="s">
        <v>483</v>
      </c>
      <c r="D177">
        <v>12</v>
      </c>
      <c r="Q177">
        <v>675000</v>
      </c>
      <c r="V177" t="s">
        <v>350</v>
      </c>
      <c r="Y177">
        <v>100</v>
      </c>
      <c r="AA177">
        <v>77.5</v>
      </c>
      <c r="AC177" s="3">
        <v>77.5</v>
      </c>
      <c r="AE177" s="3">
        <v>77.5</v>
      </c>
      <c r="AI177">
        <v>77.5</v>
      </c>
      <c r="AK177" s="3"/>
      <c r="AV177" t="s">
        <v>394</v>
      </c>
      <c r="AX177" t="s">
        <v>394</v>
      </c>
      <c r="AZ177" t="s">
        <v>394</v>
      </c>
      <c r="BB177" t="s">
        <v>394</v>
      </c>
      <c r="BO177" t="s">
        <v>367</v>
      </c>
      <c r="BT177">
        <v>4</v>
      </c>
      <c r="BU177">
        <v>3</v>
      </c>
      <c r="BV177">
        <v>6</v>
      </c>
      <c r="BX177">
        <v>81</v>
      </c>
      <c r="BZ177">
        <v>77.5</v>
      </c>
      <c r="CB177" t="s">
        <v>608</v>
      </c>
      <c r="CD177" t="s">
        <v>385</v>
      </c>
      <c r="CM177">
        <v>1911</v>
      </c>
    </row>
    <row r="178" spans="1:91" x14ac:dyDescent="0.3">
      <c r="A178" t="s">
        <v>609</v>
      </c>
      <c r="B178">
        <v>42555</v>
      </c>
      <c r="D178">
        <v>12</v>
      </c>
      <c r="Q178">
        <v>518183</v>
      </c>
      <c r="V178" t="s">
        <v>350</v>
      </c>
      <c r="Y178">
        <v>100</v>
      </c>
      <c r="AA178">
        <v>100</v>
      </c>
      <c r="AC178" s="3">
        <v>100.5</v>
      </c>
      <c r="AE178" s="3">
        <v>100</v>
      </c>
      <c r="AI178">
        <v>100</v>
      </c>
      <c r="AK178" s="3"/>
      <c r="AV178" t="s">
        <v>366</v>
      </c>
      <c r="AX178" t="s">
        <v>366</v>
      </c>
      <c r="AZ178" t="s">
        <v>366</v>
      </c>
      <c r="BB178" t="s">
        <v>366</v>
      </c>
      <c r="BO178" t="s">
        <v>367</v>
      </c>
      <c r="BT178">
        <v>4</v>
      </c>
      <c r="BU178">
        <v>0</v>
      </c>
      <c r="BV178">
        <v>6</v>
      </c>
      <c r="BX178">
        <v>102</v>
      </c>
      <c r="BZ178">
        <v>98.5</v>
      </c>
      <c r="CC178" t="s">
        <v>385</v>
      </c>
      <c r="CD178" t="s">
        <v>385</v>
      </c>
      <c r="CK178" t="s">
        <v>610</v>
      </c>
      <c r="CM178">
        <v>1911</v>
      </c>
    </row>
    <row r="179" spans="1:91" x14ac:dyDescent="0.3">
      <c r="A179" t="s">
        <v>611</v>
      </c>
      <c r="B179">
        <v>44314</v>
      </c>
      <c r="D179">
        <v>12</v>
      </c>
      <c r="Q179">
        <v>398245</v>
      </c>
      <c r="V179" t="s">
        <v>350</v>
      </c>
      <c r="Y179">
        <v>100</v>
      </c>
      <c r="AA179">
        <v>70.25</v>
      </c>
      <c r="AC179" s="3">
        <v>70.25</v>
      </c>
      <c r="AE179" s="3">
        <v>70.25</v>
      </c>
      <c r="AI179">
        <v>70.25</v>
      </c>
      <c r="AK179" s="3"/>
      <c r="BG179">
        <v>3.5</v>
      </c>
      <c r="BH179">
        <v>3.5</v>
      </c>
      <c r="BI179">
        <v>3.5</v>
      </c>
      <c r="BJ179">
        <v>3.5</v>
      </c>
      <c r="BK179" s="4">
        <v>3774</v>
      </c>
      <c r="BL179" s="4">
        <v>3958</v>
      </c>
      <c r="BM179" s="4">
        <v>4139</v>
      </c>
      <c r="BN179" s="4">
        <v>4323</v>
      </c>
      <c r="BT179">
        <v>5</v>
      </c>
      <c r="BU179">
        <v>0</v>
      </c>
      <c r="BV179">
        <v>0</v>
      </c>
      <c r="BX179">
        <v>72</v>
      </c>
      <c r="BZ179">
        <v>67.75</v>
      </c>
      <c r="CC179" t="s">
        <v>385</v>
      </c>
      <c r="CD179" t="s">
        <v>385</v>
      </c>
      <c r="CK179" t="s">
        <v>461</v>
      </c>
      <c r="CM179">
        <v>1911</v>
      </c>
    </row>
    <row r="180" spans="1:91" x14ac:dyDescent="0.3">
      <c r="A180" t="s">
        <v>611</v>
      </c>
      <c r="B180">
        <v>44315</v>
      </c>
      <c r="C180" t="s">
        <v>612</v>
      </c>
      <c r="D180">
        <v>12</v>
      </c>
      <c r="Q180" s="2">
        <v>1102690</v>
      </c>
      <c r="V180" t="s">
        <v>350</v>
      </c>
      <c r="Y180">
        <v>100</v>
      </c>
      <c r="AA180">
        <v>21.12</v>
      </c>
      <c r="AC180" s="3">
        <v>24.5</v>
      </c>
      <c r="AE180" s="3">
        <v>21.12</v>
      </c>
      <c r="AI180">
        <v>24.5</v>
      </c>
      <c r="AK180" s="3"/>
      <c r="BG180">
        <v>1</v>
      </c>
      <c r="BH180">
        <v>2</v>
      </c>
      <c r="BI180">
        <v>1.25</v>
      </c>
      <c r="BJ180">
        <v>1.75</v>
      </c>
      <c r="BK180" s="4">
        <v>3774</v>
      </c>
      <c r="BL180" s="4">
        <v>3958</v>
      </c>
      <c r="BM180" s="4">
        <v>4139</v>
      </c>
      <c r="BN180" s="4">
        <v>4323</v>
      </c>
      <c r="BT180">
        <v>6</v>
      </c>
      <c r="BU180">
        <v>2</v>
      </c>
      <c r="BV180">
        <v>6</v>
      </c>
      <c r="BX180">
        <v>24.62</v>
      </c>
      <c r="BZ180">
        <v>20.12</v>
      </c>
      <c r="CC180" t="s">
        <v>385</v>
      </c>
      <c r="CD180" t="s">
        <v>385</v>
      </c>
      <c r="CM180">
        <v>1911</v>
      </c>
    </row>
    <row r="181" spans="1:91" x14ac:dyDescent="0.3">
      <c r="A181" t="s">
        <v>613</v>
      </c>
      <c r="B181">
        <v>46231</v>
      </c>
      <c r="D181">
        <v>12</v>
      </c>
      <c r="R181" t="s">
        <v>614</v>
      </c>
      <c r="U181">
        <v>3.62</v>
      </c>
      <c r="Z181" t="s">
        <v>615</v>
      </c>
      <c r="AA181">
        <v>90</v>
      </c>
      <c r="AC181" s="3">
        <v>90</v>
      </c>
      <c r="AE181" s="3">
        <v>90</v>
      </c>
      <c r="AI181">
        <v>90</v>
      </c>
      <c r="AK181" s="3"/>
      <c r="AV181" t="s">
        <v>385</v>
      </c>
      <c r="AX181" t="s">
        <v>370</v>
      </c>
      <c r="BT181">
        <v>4</v>
      </c>
      <c r="BU181">
        <v>2</v>
      </c>
      <c r="BV181">
        <v>0</v>
      </c>
      <c r="BX181">
        <v>91.5</v>
      </c>
      <c r="BZ181">
        <v>89.25</v>
      </c>
      <c r="CC181" t="s">
        <v>385</v>
      </c>
      <c r="CD181" t="s">
        <v>385</v>
      </c>
      <c r="CK181" t="s">
        <v>616</v>
      </c>
      <c r="CM181">
        <v>1911</v>
      </c>
    </row>
    <row r="182" spans="1:91" x14ac:dyDescent="0.3">
      <c r="A182" t="s">
        <v>613</v>
      </c>
      <c r="B182">
        <v>46230</v>
      </c>
      <c r="D182">
        <v>12</v>
      </c>
      <c r="R182" t="s">
        <v>614</v>
      </c>
      <c r="U182">
        <v>3.62</v>
      </c>
      <c r="Z182" t="s">
        <v>615</v>
      </c>
      <c r="AA182">
        <v>88.75</v>
      </c>
      <c r="AC182" s="3">
        <v>88.75</v>
      </c>
      <c r="AE182" s="3">
        <v>88.75</v>
      </c>
      <c r="AI182">
        <v>88.75</v>
      </c>
      <c r="AK182" s="3"/>
      <c r="AV182" t="s">
        <v>385</v>
      </c>
      <c r="AX182" t="s">
        <v>536</v>
      </c>
      <c r="BT182">
        <v>4</v>
      </c>
      <c r="BU182">
        <v>2</v>
      </c>
      <c r="BV182">
        <v>9</v>
      </c>
      <c r="BX182">
        <v>91.5</v>
      </c>
      <c r="BZ182">
        <v>88.75</v>
      </c>
      <c r="CC182" t="s">
        <v>385</v>
      </c>
      <c r="CD182" t="s">
        <v>385</v>
      </c>
      <c r="CM182">
        <v>1911</v>
      </c>
    </row>
    <row r="183" spans="1:91" x14ac:dyDescent="0.3">
      <c r="A183" t="s">
        <v>613</v>
      </c>
      <c r="B183">
        <v>46232</v>
      </c>
      <c r="D183">
        <v>12</v>
      </c>
      <c r="R183" t="s">
        <v>614</v>
      </c>
      <c r="U183">
        <v>3.75</v>
      </c>
      <c r="Z183" t="s">
        <v>615</v>
      </c>
      <c r="AA183">
        <v>94.25</v>
      </c>
      <c r="AC183" s="3">
        <v>94.25</v>
      </c>
      <c r="AE183" s="3">
        <v>94.25</v>
      </c>
      <c r="AI183">
        <v>94.25</v>
      </c>
      <c r="AK183" s="3"/>
      <c r="AV183" t="s">
        <v>385</v>
      </c>
      <c r="AX183" t="s">
        <v>370</v>
      </c>
      <c r="BT183">
        <v>4</v>
      </c>
      <c r="BU183">
        <v>1</v>
      </c>
      <c r="BV183">
        <v>3</v>
      </c>
      <c r="BX183">
        <v>95.12</v>
      </c>
      <c r="BZ183">
        <v>92.37</v>
      </c>
      <c r="CC183" t="s">
        <v>385</v>
      </c>
      <c r="CD183" t="s">
        <v>385</v>
      </c>
      <c r="CM183">
        <v>1911</v>
      </c>
    </row>
    <row r="184" spans="1:91" x14ac:dyDescent="0.3">
      <c r="A184" t="s">
        <v>613</v>
      </c>
      <c r="B184">
        <v>46233</v>
      </c>
      <c r="D184">
        <v>12</v>
      </c>
      <c r="R184" t="s">
        <v>614</v>
      </c>
      <c r="U184">
        <v>3.75</v>
      </c>
      <c r="Z184" t="s">
        <v>615</v>
      </c>
      <c r="AA184">
        <v>93.5</v>
      </c>
      <c r="AC184" s="3">
        <v>93.75</v>
      </c>
      <c r="AE184" s="3">
        <v>93.5</v>
      </c>
      <c r="AI184">
        <v>93.5</v>
      </c>
      <c r="AK184" s="3"/>
      <c r="AV184" t="s">
        <v>385</v>
      </c>
      <c r="AX184" t="s">
        <v>536</v>
      </c>
      <c r="BT184">
        <v>4</v>
      </c>
      <c r="BU184">
        <v>0</v>
      </c>
      <c r="BV184">
        <v>9</v>
      </c>
      <c r="BX184">
        <v>95.75</v>
      </c>
      <c r="BZ184">
        <v>92.12</v>
      </c>
      <c r="CC184" t="s">
        <v>385</v>
      </c>
      <c r="CD184" t="s">
        <v>385</v>
      </c>
      <c r="CM184">
        <v>1911</v>
      </c>
    </row>
    <row r="185" spans="1:91" x14ac:dyDescent="0.3">
      <c r="A185" t="s">
        <v>613</v>
      </c>
      <c r="B185">
        <v>46234</v>
      </c>
      <c r="C185" t="s">
        <v>364</v>
      </c>
      <c r="D185">
        <v>12</v>
      </c>
      <c r="Q185" s="2">
        <v>4500000</v>
      </c>
      <c r="V185" t="s">
        <v>350</v>
      </c>
      <c r="Y185">
        <v>100</v>
      </c>
      <c r="AA185">
        <v>91.75</v>
      </c>
      <c r="AC185" s="3">
        <v>92.25</v>
      </c>
      <c r="AE185" s="3">
        <v>90.75</v>
      </c>
      <c r="AI185">
        <v>92</v>
      </c>
      <c r="AK185" s="3"/>
      <c r="AV185" t="s">
        <v>370</v>
      </c>
      <c r="AX185" t="s">
        <v>370</v>
      </c>
      <c r="AZ185" t="s">
        <v>370</v>
      </c>
      <c r="BB185" t="s">
        <v>370</v>
      </c>
      <c r="BO185" t="s">
        <v>367</v>
      </c>
      <c r="BT185">
        <v>3</v>
      </c>
      <c r="BU185">
        <v>19</v>
      </c>
      <c r="BV185">
        <v>3</v>
      </c>
      <c r="BX185">
        <v>94.5</v>
      </c>
      <c r="BZ185">
        <v>89.62</v>
      </c>
      <c r="CB185" t="s">
        <v>617</v>
      </c>
      <c r="CD185" t="s">
        <v>353</v>
      </c>
      <c r="CM185">
        <v>1911</v>
      </c>
    </row>
    <row r="186" spans="1:91" x14ac:dyDescent="0.3">
      <c r="A186" t="s">
        <v>618</v>
      </c>
      <c r="B186">
        <v>46264</v>
      </c>
      <c r="D186">
        <v>12</v>
      </c>
      <c r="Q186" s="2">
        <v>35454700</v>
      </c>
      <c r="V186" t="s">
        <v>350</v>
      </c>
      <c r="Y186">
        <v>100</v>
      </c>
      <c r="AA186">
        <v>84</v>
      </c>
      <c r="AC186" s="3">
        <v>84</v>
      </c>
      <c r="AE186" s="3">
        <v>82.75</v>
      </c>
      <c r="AI186">
        <v>83</v>
      </c>
      <c r="AK186" s="3"/>
      <c r="AV186" t="s">
        <v>415</v>
      </c>
      <c r="AX186" t="s">
        <v>415</v>
      </c>
      <c r="AZ186" t="s">
        <v>415</v>
      </c>
      <c r="BB186" t="s">
        <v>415</v>
      </c>
      <c r="BO186" t="s">
        <v>367</v>
      </c>
      <c r="BT186">
        <v>3</v>
      </c>
      <c r="BU186">
        <v>13</v>
      </c>
      <c r="BV186">
        <v>0</v>
      </c>
      <c r="BX186">
        <v>87.75</v>
      </c>
      <c r="BZ186">
        <v>81.75</v>
      </c>
      <c r="CB186" t="s">
        <v>619</v>
      </c>
      <c r="CD186" t="s">
        <v>353</v>
      </c>
      <c r="CM186">
        <v>1911</v>
      </c>
    </row>
    <row r="187" spans="1:91" x14ac:dyDescent="0.3">
      <c r="A187" t="s">
        <v>618</v>
      </c>
      <c r="B187">
        <v>46287</v>
      </c>
      <c r="C187" t="s">
        <v>620</v>
      </c>
      <c r="D187">
        <v>12</v>
      </c>
      <c r="Q187" s="2">
        <v>6060160</v>
      </c>
      <c r="V187" t="s">
        <v>350</v>
      </c>
      <c r="Y187">
        <v>100</v>
      </c>
      <c r="AA187">
        <v>83</v>
      </c>
      <c r="AC187" s="3">
        <v>83.5</v>
      </c>
      <c r="AE187" s="3">
        <v>82.5</v>
      </c>
      <c r="AI187">
        <v>83</v>
      </c>
      <c r="AK187" s="3"/>
      <c r="AV187" t="s">
        <v>382</v>
      </c>
      <c r="AX187" t="s">
        <v>382</v>
      </c>
      <c r="AZ187" t="s">
        <v>382</v>
      </c>
      <c r="BB187" t="s">
        <v>382</v>
      </c>
      <c r="BO187" t="s">
        <v>367</v>
      </c>
      <c r="BT187">
        <v>3</v>
      </c>
      <c r="BU187">
        <v>12</v>
      </c>
      <c r="BV187">
        <v>6</v>
      </c>
      <c r="BX187">
        <v>85.5</v>
      </c>
      <c r="BZ187">
        <v>81.25</v>
      </c>
      <c r="CB187">
        <v>1963</v>
      </c>
      <c r="CC187" t="s">
        <v>362</v>
      </c>
      <c r="CD187" t="s">
        <v>385</v>
      </c>
      <c r="CM187">
        <v>1911</v>
      </c>
    </row>
    <row r="188" spans="1:91" x14ac:dyDescent="0.3">
      <c r="A188" t="s">
        <v>621</v>
      </c>
      <c r="B188">
        <v>43376</v>
      </c>
      <c r="D188">
        <v>12</v>
      </c>
      <c r="Q188" s="2">
        <v>1596430</v>
      </c>
      <c r="V188" t="s">
        <v>350</v>
      </c>
      <c r="Y188">
        <v>100</v>
      </c>
      <c r="AA188">
        <v>82</v>
      </c>
      <c r="AC188" s="3">
        <v>82.5</v>
      </c>
      <c r="AE188" s="3">
        <v>80.75</v>
      </c>
      <c r="AI188">
        <v>81</v>
      </c>
      <c r="AK188" s="3"/>
      <c r="AV188" t="s">
        <v>370</v>
      </c>
      <c r="AX188" t="s">
        <v>370</v>
      </c>
      <c r="AZ188" t="s">
        <v>370</v>
      </c>
      <c r="BB188" t="s">
        <v>370</v>
      </c>
      <c r="BO188" t="s">
        <v>367</v>
      </c>
      <c r="BT188">
        <v>3</v>
      </c>
      <c r="BU188">
        <v>15</v>
      </c>
      <c r="BV188">
        <v>0</v>
      </c>
      <c r="BX188">
        <v>83</v>
      </c>
      <c r="BZ188">
        <v>80</v>
      </c>
      <c r="CC188" t="s">
        <v>385</v>
      </c>
      <c r="CD188" t="s">
        <v>385</v>
      </c>
      <c r="CK188" t="s">
        <v>360</v>
      </c>
      <c r="CM188">
        <v>1911</v>
      </c>
    </row>
    <row r="189" spans="1:91" x14ac:dyDescent="0.3">
      <c r="A189" t="s">
        <v>622</v>
      </c>
      <c r="B189">
        <v>45151</v>
      </c>
      <c r="D189">
        <v>12</v>
      </c>
      <c r="Q189">
        <v>139300</v>
      </c>
      <c r="V189" t="s">
        <v>350</v>
      </c>
      <c r="Y189">
        <v>100</v>
      </c>
      <c r="AA189">
        <v>79.5</v>
      </c>
      <c r="AC189" s="3">
        <v>79.5</v>
      </c>
      <c r="AE189" s="3">
        <v>79.5</v>
      </c>
      <c r="AI189">
        <v>79.5</v>
      </c>
      <c r="AK189" s="3"/>
      <c r="AV189" t="s">
        <v>421</v>
      </c>
      <c r="AX189" t="s">
        <v>421</v>
      </c>
      <c r="AZ189" t="s">
        <v>421</v>
      </c>
      <c r="BB189" t="s">
        <v>421</v>
      </c>
      <c r="BO189" t="s">
        <v>367</v>
      </c>
      <c r="BT189">
        <v>3</v>
      </c>
      <c r="BU189">
        <v>17</v>
      </c>
      <c r="BV189">
        <v>3</v>
      </c>
      <c r="BX189">
        <v>83</v>
      </c>
      <c r="BZ189">
        <v>79</v>
      </c>
      <c r="CC189" t="s">
        <v>385</v>
      </c>
      <c r="CD189" t="s">
        <v>385</v>
      </c>
      <c r="CM189">
        <v>1911</v>
      </c>
    </row>
    <row r="190" spans="1:91" x14ac:dyDescent="0.3">
      <c r="A190" t="s">
        <v>623</v>
      </c>
      <c r="B190">
        <v>45257</v>
      </c>
      <c r="D190">
        <v>12</v>
      </c>
      <c r="Q190">
        <v>672895</v>
      </c>
      <c r="V190" t="s">
        <v>350</v>
      </c>
      <c r="Y190">
        <v>100</v>
      </c>
      <c r="AA190">
        <v>80</v>
      </c>
      <c r="AC190" s="3">
        <v>80</v>
      </c>
      <c r="AE190" s="3">
        <v>79.5</v>
      </c>
      <c r="AI190">
        <v>80</v>
      </c>
      <c r="AK190" s="3"/>
      <c r="AV190" t="s">
        <v>536</v>
      </c>
      <c r="AX190" t="s">
        <v>536</v>
      </c>
      <c r="AZ190" t="s">
        <v>536</v>
      </c>
      <c r="BB190" t="s">
        <v>536</v>
      </c>
      <c r="BO190" t="s">
        <v>367</v>
      </c>
      <c r="BT190">
        <v>3</v>
      </c>
      <c r="BU190">
        <v>15</v>
      </c>
      <c r="BV190">
        <v>9</v>
      </c>
      <c r="BX190">
        <v>83</v>
      </c>
      <c r="BZ190">
        <v>79.5</v>
      </c>
      <c r="CC190" t="s">
        <v>385</v>
      </c>
      <c r="CD190" t="s">
        <v>385</v>
      </c>
      <c r="CK190" t="s">
        <v>360</v>
      </c>
      <c r="CM190">
        <v>1911</v>
      </c>
    </row>
    <row r="191" spans="1:91" x14ac:dyDescent="0.3">
      <c r="A191" t="s">
        <v>624</v>
      </c>
      <c r="B191">
        <v>46906</v>
      </c>
      <c r="D191">
        <v>12</v>
      </c>
      <c r="Q191">
        <v>340000</v>
      </c>
      <c r="V191" t="s">
        <v>350</v>
      </c>
      <c r="Y191">
        <v>100</v>
      </c>
      <c r="AA191">
        <v>80</v>
      </c>
      <c r="AC191" s="3">
        <v>80</v>
      </c>
      <c r="AE191" s="3">
        <v>80</v>
      </c>
      <c r="AI191">
        <v>80</v>
      </c>
      <c r="AK191" s="3"/>
      <c r="AV191" t="s">
        <v>506</v>
      </c>
      <c r="AX191" t="s">
        <v>506</v>
      </c>
      <c r="AZ191" t="s">
        <v>506</v>
      </c>
      <c r="BB191" t="s">
        <v>506</v>
      </c>
      <c r="BO191" t="s">
        <v>367</v>
      </c>
      <c r="BT191">
        <v>3</v>
      </c>
      <c r="BU191">
        <v>17</v>
      </c>
      <c r="BV191">
        <v>3</v>
      </c>
      <c r="BX191">
        <v>83</v>
      </c>
      <c r="BZ191">
        <v>80</v>
      </c>
      <c r="CC191" t="s">
        <v>385</v>
      </c>
      <c r="CD191" t="s">
        <v>385</v>
      </c>
      <c r="CK191" t="s">
        <v>360</v>
      </c>
      <c r="CM191">
        <v>1911</v>
      </c>
    </row>
    <row r="192" spans="1:91" x14ac:dyDescent="0.3">
      <c r="A192" t="s">
        <v>624</v>
      </c>
      <c r="B192">
        <v>46907</v>
      </c>
      <c r="C192" t="s">
        <v>625</v>
      </c>
      <c r="D192">
        <v>12</v>
      </c>
      <c r="Q192">
        <v>850000</v>
      </c>
      <c r="V192" t="s">
        <v>350</v>
      </c>
      <c r="Y192">
        <v>100</v>
      </c>
      <c r="AA192">
        <v>81</v>
      </c>
      <c r="AC192" s="3">
        <v>81</v>
      </c>
      <c r="AE192" s="3">
        <v>81</v>
      </c>
      <c r="AI192">
        <v>81</v>
      </c>
      <c r="AK192" s="3"/>
      <c r="AV192" t="s">
        <v>506</v>
      </c>
      <c r="AX192" t="s">
        <v>506</v>
      </c>
      <c r="AZ192" t="s">
        <v>506</v>
      </c>
      <c r="BB192" t="s">
        <v>506</v>
      </c>
      <c r="BO192" t="s">
        <v>367</v>
      </c>
      <c r="BT192">
        <v>3</v>
      </c>
      <c r="BU192">
        <v>15</v>
      </c>
      <c r="BV192">
        <v>0</v>
      </c>
      <c r="BX192">
        <v>83</v>
      </c>
      <c r="BZ192">
        <v>80</v>
      </c>
      <c r="CC192" t="s">
        <v>385</v>
      </c>
      <c r="CD192" t="s">
        <v>385</v>
      </c>
      <c r="CK192" t="s">
        <v>360</v>
      </c>
      <c r="CM192">
        <v>1911</v>
      </c>
    </row>
    <row r="193" spans="1:91" x14ac:dyDescent="0.3">
      <c r="A193" t="s">
        <v>626</v>
      </c>
      <c r="B193">
        <v>48282</v>
      </c>
      <c r="D193">
        <v>12</v>
      </c>
      <c r="Q193" s="2">
        <v>1011850</v>
      </c>
      <c r="V193" t="s">
        <v>350</v>
      </c>
      <c r="Y193">
        <v>100</v>
      </c>
      <c r="AA193">
        <v>81</v>
      </c>
      <c r="AC193" s="3">
        <v>81.5</v>
      </c>
      <c r="AE193" s="3">
        <v>81</v>
      </c>
      <c r="AI193">
        <v>81</v>
      </c>
      <c r="AK193" s="3"/>
      <c r="AV193" t="s">
        <v>536</v>
      </c>
      <c r="AX193" t="s">
        <v>536</v>
      </c>
      <c r="AZ193" t="s">
        <v>536</v>
      </c>
      <c r="BB193" t="s">
        <v>536</v>
      </c>
      <c r="BO193" t="s">
        <v>367</v>
      </c>
      <c r="BT193">
        <v>3</v>
      </c>
      <c r="BU193">
        <v>17</v>
      </c>
      <c r="BV193">
        <v>0</v>
      </c>
      <c r="BX193">
        <v>84</v>
      </c>
      <c r="BZ193">
        <v>79.5</v>
      </c>
      <c r="CC193" t="s">
        <v>385</v>
      </c>
      <c r="CD193" t="s">
        <v>385</v>
      </c>
      <c r="CM193">
        <v>1911</v>
      </c>
    </row>
    <row r="194" spans="1:91" x14ac:dyDescent="0.3">
      <c r="A194" t="s">
        <v>626</v>
      </c>
      <c r="B194">
        <v>48283</v>
      </c>
      <c r="C194" t="s">
        <v>627</v>
      </c>
      <c r="D194">
        <v>12</v>
      </c>
      <c r="Q194">
        <v>456545</v>
      </c>
      <c r="V194" t="s">
        <v>350</v>
      </c>
      <c r="Y194">
        <v>100</v>
      </c>
      <c r="AA194">
        <v>81</v>
      </c>
      <c r="AC194" s="3">
        <v>81</v>
      </c>
      <c r="AE194" s="3">
        <v>81</v>
      </c>
      <c r="AI194">
        <v>81</v>
      </c>
      <c r="AK194" s="3"/>
      <c r="AV194" t="s">
        <v>536</v>
      </c>
      <c r="AX194" t="s">
        <v>536</v>
      </c>
      <c r="AZ194" t="s">
        <v>536</v>
      </c>
      <c r="BB194" t="s">
        <v>536</v>
      </c>
      <c r="BO194" t="s">
        <v>367</v>
      </c>
      <c r="BT194">
        <v>4</v>
      </c>
      <c r="BU194">
        <v>19</v>
      </c>
      <c r="BV194">
        <v>0</v>
      </c>
      <c r="BX194">
        <v>84</v>
      </c>
      <c r="BZ194">
        <v>75.5</v>
      </c>
      <c r="CC194" t="s">
        <v>385</v>
      </c>
      <c r="CD194" t="s">
        <v>385</v>
      </c>
      <c r="CK194" t="s">
        <v>360</v>
      </c>
      <c r="CM194">
        <v>1911</v>
      </c>
    </row>
    <row r="195" spans="1:91" x14ac:dyDescent="0.3">
      <c r="A195" t="s">
        <v>628</v>
      </c>
      <c r="B195">
        <v>49149</v>
      </c>
      <c r="D195">
        <v>12</v>
      </c>
      <c r="Q195" s="2">
        <v>1226700</v>
      </c>
      <c r="V195" t="s">
        <v>350</v>
      </c>
      <c r="Y195">
        <v>100</v>
      </c>
      <c r="AA195">
        <v>82</v>
      </c>
      <c r="AC195" s="3">
        <v>82</v>
      </c>
      <c r="AE195" s="3">
        <v>81</v>
      </c>
      <c r="AI195">
        <v>82</v>
      </c>
      <c r="AK195" s="3"/>
      <c r="AV195" t="s">
        <v>370</v>
      </c>
      <c r="AX195" t="s">
        <v>370</v>
      </c>
      <c r="AZ195" t="s">
        <v>370</v>
      </c>
      <c r="BB195" t="s">
        <v>370</v>
      </c>
      <c r="BO195" t="s">
        <v>367</v>
      </c>
      <c r="BT195">
        <v>3</v>
      </c>
      <c r="BU195">
        <v>16</v>
      </c>
      <c r="BV195">
        <v>0</v>
      </c>
      <c r="BX195">
        <v>83.25</v>
      </c>
      <c r="BZ195">
        <v>80</v>
      </c>
      <c r="CC195" t="s">
        <v>385</v>
      </c>
      <c r="CD195" t="s">
        <v>385</v>
      </c>
      <c r="CK195" t="s">
        <v>360</v>
      </c>
      <c r="CM195">
        <v>1911</v>
      </c>
    </row>
    <row r="196" spans="1:91" x14ac:dyDescent="0.3">
      <c r="A196" t="s">
        <v>629</v>
      </c>
      <c r="B196">
        <v>50128</v>
      </c>
      <c r="D196">
        <v>12</v>
      </c>
      <c r="Q196">
        <v>550000</v>
      </c>
      <c r="V196" t="s">
        <v>350</v>
      </c>
      <c r="Y196">
        <v>100</v>
      </c>
      <c r="AA196">
        <v>81</v>
      </c>
      <c r="AC196" s="3">
        <v>81</v>
      </c>
      <c r="AE196" s="3">
        <v>81</v>
      </c>
      <c r="AI196">
        <v>81</v>
      </c>
      <c r="AK196" s="3"/>
      <c r="AV196" t="s">
        <v>536</v>
      </c>
      <c r="AX196" t="s">
        <v>536</v>
      </c>
      <c r="AZ196" t="s">
        <v>536</v>
      </c>
      <c r="BB196" t="s">
        <v>536</v>
      </c>
      <c r="BO196" t="s">
        <v>367</v>
      </c>
      <c r="BT196">
        <v>3</v>
      </c>
      <c r="BU196">
        <v>16</v>
      </c>
      <c r="BV196">
        <v>9</v>
      </c>
      <c r="BX196">
        <v>84</v>
      </c>
      <c r="BZ196">
        <v>79.5</v>
      </c>
      <c r="CC196" t="s">
        <v>385</v>
      </c>
      <c r="CD196" t="s">
        <v>385</v>
      </c>
      <c r="CM196">
        <v>1911</v>
      </c>
    </row>
    <row r="197" spans="1:91" x14ac:dyDescent="0.3">
      <c r="A197" t="s">
        <v>630</v>
      </c>
      <c r="B197">
        <v>47705</v>
      </c>
      <c r="D197">
        <v>12</v>
      </c>
      <c r="Q197" s="2">
        <v>9379750</v>
      </c>
      <c r="V197" t="s">
        <v>350</v>
      </c>
      <c r="Y197">
        <v>100</v>
      </c>
      <c r="AA197">
        <v>79</v>
      </c>
      <c r="AC197" s="3">
        <v>79</v>
      </c>
      <c r="AE197" s="3">
        <v>75.5</v>
      </c>
      <c r="AI197">
        <v>76</v>
      </c>
      <c r="AJ197" t="s">
        <v>379</v>
      </c>
      <c r="AK197" s="3"/>
      <c r="AV197" t="s">
        <v>394</v>
      </c>
      <c r="AX197" t="s">
        <v>394</v>
      </c>
      <c r="AZ197" t="s">
        <v>394</v>
      </c>
      <c r="BB197" t="s">
        <v>394</v>
      </c>
      <c r="BO197" t="s">
        <v>367</v>
      </c>
      <c r="BT197">
        <v>3</v>
      </c>
      <c r="BU197">
        <v>17</v>
      </c>
      <c r="BV197">
        <v>6</v>
      </c>
      <c r="BX197">
        <v>81</v>
      </c>
      <c r="BZ197">
        <v>75.5</v>
      </c>
      <c r="CB197" t="s">
        <v>631</v>
      </c>
      <c r="CC197" t="s">
        <v>632</v>
      </c>
      <c r="CD197" t="s">
        <v>385</v>
      </c>
      <c r="CM197">
        <v>1911</v>
      </c>
    </row>
    <row r="198" spans="1:91" x14ac:dyDescent="0.3">
      <c r="A198" t="s">
        <v>630</v>
      </c>
      <c r="B198">
        <v>47706</v>
      </c>
      <c r="C198" t="s">
        <v>633</v>
      </c>
      <c r="D198">
        <v>12</v>
      </c>
      <c r="Q198" s="2">
        <v>13210700</v>
      </c>
      <c r="V198" t="s">
        <v>350</v>
      </c>
      <c r="Y198">
        <v>100</v>
      </c>
      <c r="AA198">
        <v>101.25</v>
      </c>
      <c r="AC198" s="3">
        <v>101.75</v>
      </c>
      <c r="AE198" s="3">
        <v>100.62</v>
      </c>
      <c r="AI198">
        <v>101.25</v>
      </c>
      <c r="AK198" s="3"/>
      <c r="AV198" t="s">
        <v>374</v>
      </c>
      <c r="AX198" t="s">
        <v>374</v>
      </c>
      <c r="AZ198" t="s">
        <v>374</v>
      </c>
      <c r="BB198" t="s">
        <v>374</v>
      </c>
      <c r="BO198" t="s">
        <v>367</v>
      </c>
      <c r="BT198">
        <v>3</v>
      </c>
      <c r="BU198">
        <v>18</v>
      </c>
      <c r="BV198">
        <v>9</v>
      </c>
      <c r="BX198">
        <v>104</v>
      </c>
      <c r="BZ198">
        <v>99.5</v>
      </c>
      <c r="CB198" t="s">
        <v>631</v>
      </c>
      <c r="CC198" t="s">
        <v>632</v>
      </c>
      <c r="CD198" t="s">
        <v>353</v>
      </c>
      <c r="CM198">
        <v>1911</v>
      </c>
    </row>
    <row r="199" spans="1:91" x14ac:dyDescent="0.3">
      <c r="A199" t="s">
        <v>630</v>
      </c>
      <c r="B199">
        <v>47708</v>
      </c>
      <c r="C199" t="s">
        <v>634</v>
      </c>
      <c r="D199">
        <v>12</v>
      </c>
      <c r="Q199" s="2">
        <v>2000000</v>
      </c>
      <c r="V199" t="s">
        <v>350</v>
      </c>
      <c r="Y199">
        <v>100</v>
      </c>
      <c r="AA199">
        <v>88.5</v>
      </c>
      <c r="AC199" s="3">
        <v>88.75</v>
      </c>
      <c r="AE199" s="3">
        <v>88.25</v>
      </c>
      <c r="AI199">
        <v>88.5</v>
      </c>
      <c r="AK199" s="3"/>
      <c r="AV199" t="s">
        <v>536</v>
      </c>
      <c r="AX199" t="s">
        <v>536</v>
      </c>
      <c r="AZ199" t="s">
        <v>536</v>
      </c>
      <c r="BB199" t="s">
        <v>536</v>
      </c>
      <c r="BO199" t="s">
        <v>367</v>
      </c>
      <c r="BT199">
        <v>3</v>
      </c>
      <c r="BU199">
        <v>19</v>
      </c>
      <c r="BV199">
        <v>3</v>
      </c>
      <c r="BX199">
        <v>89.5</v>
      </c>
      <c r="BZ199">
        <v>86.5</v>
      </c>
      <c r="CB199" t="s">
        <v>635</v>
      </c>
      <c r="CD199" t="s">
        <v>385</v>
      </c>
      <c r="CM199">
        <v>1911</v>
      </c>
    </row>
    <row r="200" spans="1:91" x14ac:dyDescent="0.3">
      <c r="A200" t="s">
        <v>636</v>
      </c>
      <c r="B200">
        <v>43264</v>
      </c>
      <c r="D200">
        <v>12</v>
      </c>
      <c r="Q200" s="2">
        <v>1000000</v>
      </c>
      <c r="V200" t="s">
        <v>350</v>
      </c>
      <c r="Y200">
        <v>100</v>
      </c>
      <c r="AA200">
        <v>97</v>
      </c>
      <c r="AC200" s="3">
        <v>97</v>
      </c>
      <c r="AE200" s="3">
        <v>96.75</v>
      </c>
      <c r="AI200">
        <v>97</v>
      </c>
      <c r="AK200" s="3"/>
      <c r="AV200" t="s">
        <v>536</v>
      </c>
      <c r="AX200" t="s">
        <v>536</v>
      </c>
      <c r="AZ200" t="s">
        <v>536</v>
      </c>
      <c r="BB200" t="s">
        <v>536</v>
      </c>
      <c r="BO200" t="s">
        <v>367</v>
      </c>
      <c r="BT200">
        <v>3</v>
      </c>
      <c r="BU200">
        <v>17</v>
      </c>
      <c r="BV200">
        <v>3</v>
      </c>
      <c r="BY200" t="s">
        <v>385</v>
      </c>
      <c r="CA200" t="s">
        <v>385</v>
      </c>
      <c r="CB200">
        <v>1974</v>
      </c>
      <c r="CD200" t="s">
        <v>385</v>
      </c>
      <c r="CM200">
        <v>1911</v>
      </c>
    </row>
    <row r="201" spans="1:91" x14ac:dyDescent="0.3">
      <c r="A201" t="s">
        <v>637</v>
      </c>
      <c r="B201">
        <v>49412</v>
      </c>
      <c r="D201">
        <v>12</v>
      </c>
      <c r="Q201" s="2">
        <v>1459530</v>
      </c>
      <c r="V201" t="s">
        <v>350</v>
      </c>
      <c r="Y201">
        <v>100</v>
      </c>
      <c r="AA201">
        <v>101</v>
      </c>
      <c r="AC201" s="3">
        <v>101</v>
      </c>
      <c r="AE201" s="3">
        <v>101</v>
      </c>
      <c r="AI201">
        <v>101</v>
      </c>
      <c r="AK201" s="3"/>
      <c r="AV201" t="s">
        <v>421</v>
      </c>
      <c r="AX201" t="s">
        <v>421</v>
      </c>
      <c r="AZ201" t="s">
        <v>421</v>
      </c>
      <c r="BB201" t="s">
        <v>421</v>
      </c>
      <c r="BO201" t="s">
        <v>367</v>
      </c>
      <c r="BT201">
        <v>4</v>
      </c>
      <c r="BU201">
        <v>2</v>
      </c>
      <c r="BV201">
        <v>0</v>
      </c>
      <c r="BX201">
        <v>102</v>
      </c>
      <c r="BZ201">
        <v>99</v>
      </c>
      <c r="CB201">
        <v>1946</v>
      </c>
      <c r="CD201" t="s">
        <v>385</v>
      </c>
      <c r="CK201" t="s">
        <v>638</v>
      </c>
      <c r="CM201">
        <v>1911</v>
      </c>
    </row>
    <row r="202" spans="1:91" x14ac:dyDescent="0.3">
      <c r="A202" t="s">
        <v>637</v>
      </c>
      <c r="B202">
        <v>49413</v>
      </c>
      <c r="C202" t="s">
        <v>639</v>
      </c>
      <c r="D202">
        <v>12</v>
      </c>
      <c r="Q202" s="2">
        <v>1973850</v>
      </c>
      <c r="V202" t="s">
        <v>350</v>
      </c>
      <c r="Y202">
        <v>100</v>
      </c>
      <c r="AA202">
        <v>100</v>
      </c>
      <c r="AC202" s="3">
        <v>100</v>
      </c>
      <c r="AE202" s="3">
        <v>98</v>
      </c>
      <c r="AI202">
        <v>98</v>
      </c>
      <c r="AK202" s="3"/>
      <c r="AV202" t="s">
        <v>394</v>
      </c>
      <c r="AX202" t="s">
        <v>394</v>
      </c>
      <c r="AZ202" t="s">
        <v>394</v>
      </c>
      <c r="BB202" t="s">
        <v>394</v>
      </c>
      <c r="BO202" t="s">
        <v>367</v>
      </c>
      <c r="BT202">
        <v>4</v>
      </c>
      <c r="BU202">
        <v>3</v>
      </c>
      <c r="BV202">
        <v>9</v>
      </c>
      <c r="BY202" t="s">
        <v>385</v>
      </c>
      <c r="CA202" t="s">
        <v>385</v>
      </c>
      <c r="CB202" t="s">
        <v>640</v>
      </c>
      <c r="CD202" t="s">
        <v>353</v>
      </c>
      <c r="CM202">
        <v>1911</v>
      </c>
    </row>
    <row r="203" spans="1:91" x14ac:dyDescent="0.3">
      <c r="A203" t="s">
        <v>641</v>
      </c>
      <c r="B203">
        <v>49512</v>
      </c>
      <c r="D203">
        <v>12</v>
      </c>
      <c r="Q203">
        <v>458213</v>
      </c>
      <c r="V203" t="s">
        <v>350</v>
      </c>
      <c r="Y203">
        <v>100</v>
      </c>
      <c r="AA203">
        <v>80</v>
      </c>
      <c r="AC203" s="3">
        <v>80</v>
      </c>
      <c r="AE203" s="3">
        <v>80</v>
      </c>
      <c r="AI203">
        <v>80</v>
      </c>
      <c r="AK203" s="3"/>
      <c r="AV203" t="s">
        <v>642</v>
      </c>
      <c r="AX203" t="s">
        <v>642</v>
      </c>
      <c r="AZ203" t="s">
        <v>642</v>
      </c>
      <c r="BB203" t="s">
        <v>642</v>
      </c>
      <c r="BO203" t="s">
        <v>367</v>
      </c>
      <c r="BT203">
        <v>3</v>
      </c>
      <c r="BU203">
        <v>15</v>
      </c>
      <c r="BV203">
        <v>6</v>
      </c>
      <c r="BX203">
        <v>82.25</v>
      </c>
      <c r="BZ203">
        <v>79.87</v>
      </c>
      <c r="CB203">
        <v>1947</v>
      </c>
      <c r="CD203" t="s">
        <v>353</v>
      </c>
      <c r="CK203" t="s">
        <v>360</v>
      </c>
      <c r="CM203">
        <v>1911</v>
      </c>
    </row>
    <row r="204" spans="1:91" x14ac:dyDescent="0.3">
      <c r="A204" t="s">
        <v>641</v>
      </c>
      <c r="B204">
        <v>49515</v>
      </c>
      <c r="C204" t="s">
        <v>364</v>
      </c>
      <c r="D204">
        <v>12</v>
      </c>
      <c r="Q204">
        <v>197806</v>
      </c>
      <c r="V204" t="s">
        <v>350</v>
      </c>
      <c r="Y204">
        <v>100</v>
      </c>
      <c r="AA204">
        <v>90</v>
      </c>
      <c r="AC204" s="3">
        <v>90</v>
      </c>
      <c r="AE204" s="3">
        <v>80</v>
      </c>
      <c r="AI204">
        <v>90</v>
      </c>
      <c r="AK204" s="3"/>
      <c r="AV204" t="s">
        <v>642</v>
      </c>
      <c r="AX204" t="s">
        <v>642</v>
      </c>
      <c r="AZ204" t="s">
        <v>642</v>
      </c>
      <c r="BB204" t="s">
        <v>642</v>
      </c>
      <c r="BO204" t="s">
        <v>367</v>
      </c>
      <c r="BT204">
        <v>3</v>
      </c>
      <c r="BU204">
        <v>13</v>
      </c>
      <c r="BV204">
        <v>3</v>
      </c>
      <c r="BX204">
        <v>93.62</v>
      </c>
      <c r="BZ204">
        <v>89.75</v>
      </c>
      <c r="CB204">
        <v>1947</v>
      </c>
      <c r="CD204" t="s">
        <v>353</v>
      </c>
      <c r="CM204">
        <v>1911</v>
      </c>
    </row>
    <row r="205" spans="1:91" x14ac:dyDescent="0.3">
      <c r="A205" t="s">
        <v>643</v>
      </c>
      <c r="B205">
        <v>49554</v>
      </c>
      <c r="D205">
        <v>12</v>
      </c>
      <c r="Q205">
        <v>110000</v>
      </c>
      <c r="V205" t="s">
        <v>350</v>
      </c>
      <c r="Y205">
        <v>100</v>
      </c>
      <c r="AA205">
        <v>75</v>
      </c>
      <c r="AC205" s="3">
        <v>75</v>
      </c>
      <c r="AE205" s="3">
        <v>73</v>
      </c>
      <c r="AI205">
        <v>73</v>
      </c>
      <c r="AK205" s="3"/>
      <c r="AV205" t="s">
        <v>394</v>
      </c>
      <c r="AX205" t="s">
        <v>394</v>
      </c>
      <c r="AZ205" t="s">
        <v>394</v>
      </c>
      <c r="BB205" t="s">
        <v>394</v>
      </c>
      <c r="BO205" t="s">
        <v>367</v>
      </c>
      <c r="BT205">
        <v>4</v>
      </c>
      <c r="BU205">
        <v>9</v>
      </c>
      <c r="BV205">
        <v>6</v>
      </c>
      <c r="BX205">
        <v>76</v>
      </c>
      <c r="BZ205">
        <v>73</v>
      </c>
      <c r="CB205">
        <v>1954</v>
      </c>
      <c r="CD205" t="s">
        <v>353</v>
      </c>
      <c r="CK205" t="s">
        <v>360</v>
      </c>
      <c r="CM205">
        <v>1911</v>
      </c>
    </row>
    <row r="206" spans="1:91" x14ac:dyDescent="0.3">
      <c r="A206" t="s">
        <v>644</v>
      </c>
      <c r="B206">
        <v>49793</v>
      </c>
      <c r="D206">
        <v>12</v>
      </c>
      <c r="Q206">
        <v>500000</v>
      </c>
      <c r="V206" t="s">
        <v>350</v>
      </c>
      <c r="Y206">
        <v>100</v>
      </c>
      <c r="AA206">
        <v>91</v>
      </c>
      <c r="AC206" s="3">
        <v>91</v>
      </c>
      <c r="AE206" s="3">
        <v>89</v>
      </c>
      <c r="AI206">
        <v>90</v>
      </c>
      <c r="AK206" s="3"/>
      <c r="AV206" t="s">
        <v>394</v>
      </c>
      <c r="AX206" t="s">
        <v>394</v>
      </c>
      <c r="AZ206" t="s">
        <v>394</v>
      </c>
      <c r="BB206" t="s">
        <v>394</v>
      </c>
      <c r="BO206" t="s">
        <v>367</v>
      </c>
      <c r="BT206">
        <v>4</v>
      </c>
      <c r="BU206">
        <v>3</v>
      </c>
      <c r="BV206">
        <v>6</v>
      </c>
      <c r="BX206">
        <v>92.75</v>
      </c>
      <c r="BZ206">
        <v>89</v>
      </c>
      <c r="CB206" t="s">
        <v>645</v>
      </c>
      <c r="CD206" t="s">
        <v>385</v>
      </c>
      <c r="CK206" t="s">
        <v>646</v>
      </c>
      <c r="CM206">
        <v>1911</v>
      </c>
    </row>
    <row r="207" spans="1:91" x14ac:dyDescent="0.3">
      <c r="A207" t="s">
        <v>647</v>
      </c>
      <c r="B207">
        <v>40674</v>
      </c>
      <c r="D207">
        <v>12</v>
      </c>
      <c r="Q207">
        <v>150000</v>
      </c>
      <c r="U207">
        <v>100</v>
      </c>
      <c r="Y207">
        <v>100</v>
      </c>
      <c r="AA207">
        <v>102</v>
      </c>
      <c r="AC207" s="3">
        <v>102</v>
      </c>
      <c r="AE207" s="3">
        <v>102</v>
      </c>
      <c r="AI207">
        <v>102</v>
      </c>
      <c r="AK207" s="3"/>
      <c r="AV207" t="s">
        <v>648</v>
      </c>
      <c r="AX207" t="s">
        <v>648</v>
      </c>
      <c r="AZ207" t="s">
        <v>648</v>
      </c>
      <c r="BB207" t="s">
        <v>648</v>
      </c>
      <c r="BO207" t="s">
        <v>367</v>
      </c>
      <c r="BT207">
        <v>4</v>
      </c>
      <c r="BU207">
        <v>13</v>
      </c>
      <c r="BV207">
        <v>3</v>
      </c>
      <c r="BX207">
        <v>105.75</v>
      </c>
      <c r="BZ207">
        <v>102</v>
      </c>
      <c r="CB207">
        <v>1917</v>
      </c>
      <c r="CD207" t="s">
        <v>385</v>
      </c>
      <c r="CK207" t="s">
        <v>360</v>
      </c>
      <c r="CM207">
        <v>1911</v>
      </c>
    </row>
    <row r="208" spans="1:91" x14ac:dyDescent="0.3">
      <c r="A208" t="s">
        <v>647</v>
      </c>
      <c r="B208">
        <v>40676</v>
      </c>
      <c r="C208" t="s">
        <v>649</v>
      </c>
      <c r="D208">
        <v>12</v>
      </c>
      <c r="Q208">
        <v>250000</v>
      </c>
      <c r="U208">
        <v>100</v>
      </c>
      <c r="Y208">
        <v>100</v>
      </c>
      <c r="AA208">
        <v>102</v>
      </c>
      <c r="AC208" s="3">
        <v>103.25</v>
      </c>
      <c r="AE208" s="3">
        <v>102</v>
      </c>
      <c r="AI208">
        <v>103</v>
      </c>
      <c r="AK208" s="3"/>
      <c r="AV208" t="s">
        <v>412</v>
      </c>
      <c r="AX208" t="s">
        <v>412</v>
      </c>
      <c r="AZ208" t="s">
        <v>412</v>
      </c>
      <c r="BB208" t="s">
        <v>412</v>
      </c>
      <c r="BO208" t="s">
        <v>367</v>
      </c>
      <c r="BT208">
        <v>4</v>
      </c>
      <c r="BU208">
        <v>8</v>
      </c>
      <c r="BV208">
        <v>3</v>
      </c>
      <c r="BY208" t="s">
        <v>385</v>
      </c>
      <c r="CA208" t="s">
        <v>385</v>
      </c>
      <c r="CB208">
        <v>1929</v>
      </c>
      <c r="CD208" t="s">
        <v>385</v>
      </c>
      <c r="CM208">
        <v>1911</v>
      </c>
    </row>
    <row r="209" spans="1:91" x14ac:dyDescent="0.3">
      <c r="A209" t="s">
        <v>650</v>
      </c>
      <c r="B209">
        <v>40655</v>
      </c>
      <c r="D209">
        <v>12</v>
      </c>
      <c r="Q209">
        <v>182300</v>
      </c>
      <c r="U209">
        <v>100</v>
      </c>
      <c r="Y209">
        <v>100</v>
      </c>
      <c r="AA209">
        <v>117</v>
      </c>
      <c r="AC209" s="3">
        <v>117.25</v>
      </c>
      <c r="AE209" s="3">
        <v>117</v>
      </c>
      <c r="AI209">
        <v>117</v>
      </c>
      <c r="AK209" s="3"/>
      <c r="AV209" t="s">
        <v>407</v>
      </c>
      <c r="AX209" t="s">
        <v>407</v>
      </c>
      <c r="AZ209" t="s">
        <v>407</v>
      </c>
      <c r="BB209" t="s">
        <v>407</v>
      </c>
      <c r="BO209" t="s">
        <v>367</v>
      </c>
      <c r="BT209">
        <v>4</v>
      </c>
      <c r="BU209">
        <v>14</v>
      </c>
      <c r="BV209">
        <v>0</v>
      </c>
      <c r="BX209">
        <v>120.87</v>
      </c>
      <c r="BZ209">
        <v>117</v>
      </c>
      <c r="CB209">
        <v>1930</v>
      </c>
      <c r="CD209" t="s">
        <v>385</v>
      </c>
      <c r="CK209" t="s">
        <v>360</v>
      </c>
      <c r="CM209">
        <v>1911</v>
      </c>
    </row>
    <row r="210" spans="1:91" x14ac:dyDescent="0.3">
      <c r="A210" t="s">
        <v>650</v>
      </c>
      <c r="B210">
        <v>40656</v>
      </c>
      <c r="C210" t="s">
        <v>651</v>
      </c>
      <c r="D210">
        <v>12</v>
      </c>
      <c r="Q210">
        <v>200000</v>
      </c>
      <c r="U210">
        <v>100</v>
      </c>
      <c r="Y210">
        <v>100</v>
      </c>
      <c r="AA210">
        <v>108</v>
      </c>
      <c r="AC210" s="3">
        <v>108</v>
      </c>
      <c r="AE210" s="3">
        <v>108</v>
      </c>
      <c r="AI210">
        <v>108</v>
      </c>
      <c r="AK210" s="3"/>
      <c r="AV210" t="s">
        <v>407</v>
      </c>
      <c r="AX210" t="s">
        <v>407</v>
      </c>
      <c r="AZ210" t="s">
        <v>407</v>
      </c>
      <c r="BB210" t="s">
        <v>407</v>
      </c>
      <c r="BO210" t="s">
        <v>367</v>
      </c>
      <c r="BT210">
        <v>4</v>
      </c>
      <c r="BU210">
        <v>12</v>
      </c>
      <c r="BV210">
        <v>3</v>
      </c>
      <c r="BX210">
        <v>110</v>
      </c>
      <c r="BZ210">
        <v>106.5</v>
      </c>
      <c r="CB210" t="s">
        <v>652</v>
      </c>
      <c r="CD210" t="s">
        <v>385</v>
      </c>
      <c r="CM210">
        <v>1911</v>
      </c>
    </row>
    <row r="211" spans="1:91" x14ac:dyDescent="0.3">
      <c r="A211" t="s">
        <v>650</v>
      </c>
      <c r="B211">
        <v>40659</v>
      </c>
      <c r="C211" t="s">
        <v>653</v>
      </c>
      <c r="D211">
        <v>12</v>
      </c>
      <c r="Q211">
        <v>309700</v>
      </c>
      <c r="U211">
        <v>100</v>
      </c>
      <c r="Y211">
        <v>100</v>
      </c>
      <c r="AA211">
        <v>100</v>
      </c>
      <c r="AC211" s="3">
        <v>101</v>
      </c>
      <c r="AE211" s="3">
        <v>100</v>
      </c>
      <c r="AI211">
        <v>101</v>
      </c>
      <c r="AK211" s="3"/>
      <c r="AV211" t="s">
        <v>394</v>
      </c>
      <c r="AX211" t="s">
        <v>394</v>
      </c>
      <c r="AZ211" t="s">
        <v>394</v>
      </c>
      <c r="BB211" t="s">
        <v>394</v>
      </c>
      <c r="BO211" t="s">
        <v>367</v>
      </c>
      <c r="BT211">
        <v>4</v>
      </c>
      <c r="BU211">
        <v>0</v>
      </c>
      <c r="BV211">
        <v>0</v>
      </c>
      <c r="BY211" t="s">
        <v>385</v>
      </c>
      <c r="CA211" t="s">
        <v>385</v>
      </c>
      <c r="CB211">
        <v>1931</v>
      </c>
      <c r="CD211" t="s">
        <v>353</v>
      </c>
      <c r="CM211">
        <v>1911</v>
      </c>
    </row>
    <row r="212" spans="1:91" x14ac:dyDescent="0.3">
      <c r="A212" t="s">
        <v>654</v>
      </c>
      <c r="B212">
        <v>41177</v>
      </c>
      <c r="D212">
        <v>12</v>
      </c>
      <c r="Q212">
        <v>763000</v>
      </c>
      <c r="V212" t="s">
        <v>350</v>
      </c>
      <c r="Y212">
        <v>100</v>
      </c>
      <c r="AA212">
        <v>100</v>
      </c>
      <c r="AC212" s="3">
        <v>100</v>
      </c>
      <c r="AE212" s="3">
        <v>98</v>
      </c>
      <c r="AI212">
        <v>98</v>
      </c>
      <c r="AK212" s="3"/>
      <c r="AV212" t="s">
        <v>394</v>
      </c>
      <c r="AX212" t="s">
        <v>394</v>
      </c>
      <c r="AZ212" t="s">
        <v>394</v>
      </c>
      <c r="BB212" t="s">
        <v>394</v>
      </c>
      <c r="BO212" t="s">
        <v>367</v>
      </c>
      <c r="BT212">
        <v>4</v>
      </c>
      <c r="BU212">
        <v>4</v>
      </c>
      <c r="BV212">
        <v>0</v>
      </c>
      <c r="BX212">
        <v>100.75</v>
      </c>
      <c r="BZ212">
        <v>97</v>
      </c>
      <c r="CB212">
        <v>1954</v>
      </c>
      <c r="CD212" t="s">
        <v>385</v>
      </c>
      <c r="CK212" t="s">
        <v>360</v>
      </c>
      <c r="CM212">
        <v>1911</v>
      </c>
    </row>
    <row r="213" spans="1:91" x14ac:dyDescent="0.3">
      <c r="A213" t="s">
        <v>655</v>
      </c>
      <c r="B213">
        <v>41220</v>
      </c>
      <c r="D213">
        <v>12</v>
      </c>
      <c r="Q213" s="2">
        <v>5000000</v>
      </c>
      <c r="R213" t="s">
        <v>656</v>
      </c>
      <c r="V213" t="s">
        <v>350</v>
      </c>
      <c r="Y213">
        <v>100</v>
      </c>
      <c r="AA213">
        <v>99</v>
      </c>
      <c r="AC213" s="3">
        <v>99</v>
      </c>
      <c r="AE213" s="3">
        <v>99</v>
      </c>
      <c r="AI213">
        <v>99</v>
      </c>
      <c r="AK213" s="3"/>
      <c r="AV213" t="s">
        <v>407</v>
      </c>
      <c r="AX213" t="s">
        <v>407</v>
      </c>
      <c r="AZ213" t="s">
        <v>407</v>
      </c>
      <c r="BB213" t="s">
        <v>407</v>
      </c>
      <c r="BO213" t="s">
        <v>367</v>
      </c>
      <c r="BT213">
        <v>4</v>
      </c>
      <c r="BU213">
        <v>3</v>
      </c>
      <c r="BV213">
        <v>9</v>
      </c>
      <c r="BX213">
        <v>99.87</v>
      </c>
      <c r="BZ213">
        <v>98</v>
      </c>
      <c r="CB213">
        <v>1959</v>
      </c>
      <c r="CD213" t="s">
        <v>385</v>
      </c>
      <c r="CK213" t="s">
        <v>360</v>
      </c>
      <c r="CM213">
        <v>1911</v>
      </c>
    </row>
    <row r="214" spans="1:91" x14ac:dyDescent="0.3">
      <c r="A214" t="s">
        <v>657</v>
      </c>
      <c r="B214">
        <v>41213</v>
      </c>
      <c r="D214">
        <v>12</v>
      </c>
      <c r="Q214" s="2">
        <v>1000000</v>
      </c>
      <c r="U214">
        <v>100</v>
      </c>
      <c r="Y214">
        <v>100</v>
      </c>
      <c r="AA214">
        <v>99.5</v>
      </c>
      <c r="AC214" s="3">
        <v>100.5</v>
      </c>
      <c r="AE214" s="3">
        <v>99.5</v>
      </c>
      <c r="AI214">
        <v>100</v>
      </c>
      <c r="AK214" s="3"/>
      <c r="AV214" t="s">
        <v>394</v>
      </c>
      <c r="AX214" t="s">
        <v>394</v>
      </c>
      <c r="AZ214" t="s">
        <v>394</v>
      </c>
      <c r="BB214" t="s">
        <v>394</v>
      </c>
      <c r="BO214" t="s">
        <v>367</v>
      </c>
      <c r="BT214">
        <v>4</v>
      </c>
      <c r="BU214">
        <v>2</v>
      </c>
      <c r="BV214">
        <v>6</v>
      </c>
      <c r="BX214">
        <v>100.5</v>
      </c>
      <c r="BZ214">
        <v>97.5</v>
      </c>
      <c r="CB214">
        <v>1939</v>
      </c>
      <c r="CD214" t="s">
        <v>385</v>
      </c>
      <c r="CM214">
        <v>1911</v>
      </c>
    </row>
    <row r="215" spans="1:91" x14ac:dyDescent="0.3">
      <c r="A215" t="s">
        <v>658</v>
      </c>
      <c r="B215">
        <v>41964</v>
      </c>
      <c r="D215">
        <v>12</v>
      </c>
      <c r="Q215">
        <v>500000</v>
      </c>
      <c r="U215">
        <v>100</v>
      </c>
      <c r="Y215">
        <v>100</v>
      </c>
      <c r="AA215">
        <v>99</v>
      </c>
      <c r="AC215" s="3">
        <v>99.25</v>
      </c>
      <c r="AE215" s="3">
        <v>99.5</v>
      </c>
      <c r="AI215">
        <v>99</v>
      </c>
      <c r="AK215" s="3"/>
      <c r="AV215" t="s">
        <v>407</v>
      </c>
      <c r="AX215" t="s">
        <v>407</v>
      </c>
      <c r="AZ215" t="s">
        <v>407</v>
      </c>
      <c r="BB215" t="s">
        <v>407</v>
      </c>
      <c r="BO215" t="s">
        <v>367</v>
      </c>
      <c r="BT215">
        <v>4</v>
      </c>
      <c r="BU215">
        <v>1</v>
      </c>
      <c r="BV215">
        <v>9</v>
      </c>
      <c r="BX215">
        <v>100</v>
      </c>
      <c r="BZ215">
        <v>97</v>
      </c>
      <c r="CB215">
        <v>1938</v>
      </c>
      <c r="CD215" t="s">
        <v>385</v>
      </c>
      <c r="CM215">
        <v>1911</v>
      </c>
    </row>
    <row r="216" spans="1:91" x14ac:dyDescent="0.3">
      <c r="A216" t="s">
        <v>658</v>
      </c>
      <c r="B216">
        <v>41965</v>
      </c>
      <c r="C216" t="s">
        <v>659</v>
      </c>
      <c r="D216">
        <v>12</v>
      </c>
      <c r="Q216">
        <v>700000</v>
      </c>
      <c r="U216">
        <v>100</v>
      </c>
      <c r="Y216">
        <v>100</v>
      </c>
      <c r="AA216">
        <v>99.5</v>
      </c>
      <c r="AC216" s="3">
        <v>100</v>
      </c>
      <c r="AE216" s="3">
        <v>99.5</v>
      </c>
      <c r="AI216">
        <v>99.5</v>
      </c>
      <c r="AK216" s="3"/>
      <c r="AV216" t="s">
        <v>394</v>
      </c>
      <c r="AX216" t="s">
        <v>394</v>
      </c>
      <c r="AZ216" t="s">
        <v>394</v>
      </c>
      <c r="BB216" t="s">
        <v>394</v>
      </c>
      <c r="BO216" t="s">
        <v>367</v>
      </c>
      <c r="BT216">
        <v>4</v>
      </c>
      <c r="BU216">
        <v>3</v>
      </c>
      <c r="BV216">
        <v>0</v>
      </c>
      <c r="BY216" t="s">
        <v>385</v>
      </c>
      <c r="CA216" t="s">
        <v>385</v>
      </c>
      <c r="CB216">
        <v>1939</v>
      </c>
      <c r="CD216" t="s">
        <v>385</v>
      </c>
      <c r="CM216">
        <v>1911</v>
      </c>
    </row>
    <row r="217" spans="1:91" x14ac:dyDescent="0.3">
      <c r="A217" t="s">
        <v>660</v>
      </c>
      <c r="B217">
        <v>41982</v>
      </c>
      <c r="D217">
        <v>12</v>
      </c>
      <c r="Q217">
        <v>888400</v>
      </c>
      <c r="U217">
        <v>100</v>
      </c>
      <c r="Y217">
        <v>100</v>
      </c>
      <c r="AA217">
        <v>104</v>
      </c>
      <c r="AC217" s="3">
        <v>105.5</v>
      </c>
      <c r="AE217" s="3">
        <v>104</v>
      </c>
      <c r="AI217">
        <v>105</v>
      </c>
      <c r="AK217" s="3"/>
      <c r="AV217" t="s">
        <v>394</v>
      </c>
      <c r="AX217" t="s">
        <v>394</v>
      </c>
      <c r="AZ217" t="s">
        <v>394</v>
      </c>
      <c r="BB217" t="s">
        <v>394</v>
      </c>
      <c r="BO217" t="s">
        <v>367</v>
      </c>
      <c r="BT217">
        <v>4</v>
      </c>
      <c r="BU217">
        <v>5</v>
      </c>
      <c r="BV217">
        <v>6</v>
      </c>
      <c r="BX217">
        <v>106</v>
      </c>
      <c r="BZ217">
        <v>103</v>
      </c>
      <c r="CB217" t="s">
        <v>661</v>
      </c>
      <c r="CD217" t="s">
        <v>385</v>
      </c>
      <c r="CM217">
        <v>1911</v>
      </c>
    </row>
    <row r="218" spans="1:91" x14ac:dyDescent="0.3">
      <c r="A218" t="s">
        <v>662</v>
      </c>
      <c r="B218">
        <v>42386</v>
      </c>
      <c r="D218">
        <v>12</v>
      </c>
      <c r="Q218">
        <v>200000</v>
      </c>
      <c r="U218">
        <v>100</v>
      </c>
      <c r="Y218">
        <v>100</v>
      </c>
      <c r="AA218">
        <v>118</v>
      </c>
      <c r="AC218" s="3">
        <v>118</v>
      </c>
      <c r="AE218" s="3">
        <v>118</v>
      </c>
      <c r="AI218">
        <v>118</v>
      </c>
      <c r="AK218" s="3"/>
      <c r="AV218" t="s">
        <v>663</v>
      </c>
      <c r="AX218" t="s">
        <v>663</v>
      </c>
      <c r="AZ218" t="s">
        <v>663</v>
      </c>
      <c r="BB218" t="s">
        <v>663</v>
      </c>
      <c r="BO218" t="s">
        <v>367</v>
      </c>
      <c r="BT218">
        <v>4</v>
      </c>
      <c r="BU218">
        <v>10</v>
      </c>
      <c r="BV218">
        <v>3</v>
      </c>
      <c r="BX218">
        <v>120</v>
      </c>
      <c r="BZ218">
        <v>117.25</v>
      </c>
      <c r="CB218">
        <v>1926</v>
      </c>
      <c r="CD218" t="s">
        <v>385</v>
      </c>
      <c r="CK218" t="s">
        <v>360</v>
      </c>
      <c r="CM218">
        <v>1911</v>
      </c>
    </row>
    <row r="219" spans="1:91" x14ac:dyDescent="0.3">
      <c r="A219" t="s">
        <v>664</v>
      </c>
      <c r="B219">
        <v>42116</v>
      </c>
      <c r="D219">
        <v>12</v>
      </c>
      <c r="Q219">
        <v>431800</v>
      </c>
      <c r="U219">
        <v>100</v>
      </c>
      <c r="Y219">
        <v>100</v>
      </c>
      <c r="AA219">
        <v>101</v>
      </c>
      <c r="AC219" s="3">
        <v>101.75</v>
      </c>
      <c r="AE219" s="3">
        <v>101</v>
      </c>
      <c r="AI219">
        <v>101</v>
      </c>
      <c r="AK219" s="3"/>
      <c r="AV219" t="s">
        <v>394</v>
      </c>
      <c r="AX219" t="s">
        <v>394</v>
      </c>
      <c r="AZ219" t="s">
        <v>394</v>
      </c>
      <c r="BB219" t="s">
        <v>394</v>
      </c>
      <c r="BO219" t="s">
        <v>367</v>
      </c>
      <c r="BT219">
        <v>4</v>
      </c>
      <c r="BU219">
        <v>0</v>
      </c>
      <c r="BV219">
        <v>6</v>
      </c>
      <c r="BX219">
        <v>102</v>
      </c>
      <c r="BZ219">
        <v>100</v>
      </c>
      <c r="CB219">
        <v>1943</v>
      </c>
      <c r="CD219" t="s">
        <v>385</v>
      </c>
      <c r="CK219" t="s">
        <v>360</v>
      </c>
      <c r="CM219">
        <v>1911</v>
      </c>
    </row>
    <row r="220" spans="1:91" x14ac:dyDescent="0.3">
      <c r="A220" t="s">
        <v>664</v>
      </c>
      <c r="B220">
        <v>42117</v>
      </c>
      <c r="C220" t="s">
        <v>665</v>
      </c>
      <c r="D220">
        <v>12</v>
      </c>
      <c r="Q220">
        <v>428100</v>
      </c>
      <c r="U220">
        <v>100</v>
      </c>
      <c r="Y220">
        <v>100</v>
      </c>
      <c r="AA220">
        <v>90</v>
      </c>
      <c r="AC220" s="3">
        <v>90</v>
      </c>
      <c r="AE220" s="3">
        <v>90</v>
      </c>
      <c r="AI220">
        <v>90</v>
      </c>
      <c r="AK220" s="3"/>
      <c r="AV220" t="s">
        <v>376</v>
      </c>
      <c r="AX220" t="s">
        <v>376</v>
      </c>
      <c r="AZ220" t="s">
        <v>376</v>
      </c>
      <c r="BB220" t="s">
        <v>376</v>
      </c>
      <c r="BO220" t="s">
        <v>367</v>
      </c>
      <c r="BT220">
        <v>4</v>
      </c>
      <c r="BU220">
        <v>1</v>
      </c>
      <c r="BV220">
        <v>6</v>
      </c>
      <c r="BX220">
        <v>92</v>
      </c>
      <c r="BZ220">
        <v>88.25</v>
      </c>
      <c r="CB220">
        <v>1948</v>
      </c>
      <c r="CD220" t="s">
        <v>385</v>
      </c>
      <c r="CM220">
        <v>1911</v>
      </c>
    </row>
    <row r="221" spans="1:91" x14ac:dyDescent="0.3">
      <c r="A221" t="s">
        <v>664</v>
      </c>
      <c r="B221">
        <v>42118</v>
      </c>
      <c r="C221" t="s">
        <v>666</v>
      </c>
      <c r="D221">
        <v>12</v>
      </c>
      <c r="Q221" s="2">
        <v>1856750</v>
      </c>
      <c r="V221" t="s">
        <v>350</v>
      </c>
      <c r="Y221">
        <v>100</v>
      </c>
      <c r="AA221">
        <v>102</v>
      </c>
      <c r="AC221" s="3">
        <v>102</v>
      </c>
      <c r="AE221" s="3">
        <v>99.75</v>
      </c>
      <c r="AI221">
        <v>100</v>
      </c>
      <c r="AK221" s="3"/>
      <c r="AV221" t="s">
        <v>394</v>
      </c>
      <c r="AX221" t="s">
        <v>394</v>
      </c>
      <c r="AZ221" t="s">
        <v>394</v>
      </c>
      <c r="BB221" t="s">
        <v>394</v>
      </c>
      <c r="BO221" t="s">
        <v>367</v>
      </c>
      <c r="BT221">
        <v>4</v>
      </c>
      <c r="BU221">
        <v>2</v>
      </c>
      <c r="BV221">
        <v>0</v>
      </c>
      <c r="BX221">
        <v>102.87</v>
      </c>
      <c r="BZ221">
        <v>99.75</v>
      </c>
      <c r="CB221">
        <v>1953</v>
      </c>
      <c r="CD221" t="s">
        <v>385</v>
      </c>
      <c r="CM221">
        <v>1911</v>
      </c>
    </row>
    <row r="222" spans="1:91" x14ac:dyDescent="0.3">
      <c r="A222" t="s">
        <v>664</v>
      </c>
      <c r="B222">
        <v>42119</v>
      </c>
      <c r="C222" t="s">
        <v>667</v>
      </c>
      <c r="D222">
        <v>12</v>
      </c>
      <c r="Q222">
        <v>350000</v>
      </c>
      <c r="V222" t="s">
        <v>350</v>
      </c>
      <c r="Y222">
        <v>100</v>
      </c>
      <c r="AA222">
        <v>100</v>
      </c>
      <c r="AC222" s="3">
        <v>100</v>
      </c>
      <c r="AE222" s="3">
        <v>99</v>
      </c>
      <c r="AI222">
        <v>99</v>
      </c>
      <c r="AK222" s="3"/>
      <c r="AV222" t="s">
        <v>663</v>
      </c>
      <c r="AX222" t="s">
        <v>663</v>
      </c>
      <c r="AZ222" t="s">
        <v>663</v>
      </c>
      <c r="BB222" t="s">
        <v>663</v>
      </c>
      <c r="BO222" t="s">
        <v>367</v>
      </c>
      <c r="BT222">
        <v>4</v>
      </c>
      <c r="BU222">
        <v>3</v>
      </c>
      <c r="BV222">
        <v>0</v>
      </c>
      <c r="BX222">
        <v>101.37</v>
      </c>
      <c r="BZ222">
        <v>98.5</v>
      </c>
      <c r="CB222">
        <v>1951</v>
      </c>
      <c r="CD222" t="s">
        <v>385</v>
      </c>
      <c r="CM222">
        <v>1911</v>
      </c>
    </row>
    <row r="223" spans="1:91" x14ac:dyDescent="0.3">
      <c r="A223" t="s">
        <v>668</v>
      </c>
      <c r="B223">
        <v>43353</v>
      </c>
      <c r="D223">
        <v>12</v>
      </c>
      <c r="Q223">
        <v>300000</v>
      </c>
      <c r="U223">
        <v>100</v>
      </c>
      <c r="Y223">
        <v>100</v>
      </c>
      <c r="AA223">
        <v>89</v>
      </c>
      <c r="AC223" s="3">
        <v>89</v>
      </c>
      <c r="AE223" s="3">
        <v>88</v>
      </c>
      <c r="AI223">
        <v>88</v>
      </c>
      <c r="AK223" s="3"/>
      <c r="AV223" t="s">
        <v>663</v>
      </c>
      <c r="AX223" t="s">
        <v>663</v>
      </c>
      <c r="AZ223" t="s">
        <v>663</v>
      </c>
      <c r="BB223" t="s">
        <v>663</v>
      </c>
      <c r="BO223" t="s">
        <v>367</v>
      </c>
      <c r="BT223">
        <v>3</v>
      </c>
      <c r="BU223">
        <v>4</v>
      </c>
      <c r="BV223">
        <v>6</v>
      </c>
      <c r="BX223">
        <v>90.5</v>
      </c>
      <c r="BZ223">
        <v>88</v>
      </c>
      <c r="CB223">
        <v>1949</v>
      </c>
      <c r="CD223" t="s">
        <v>385</v>
      </c>
      <c r="CK223" t="s">
        <v>360</v>
      </c>
      <c r="CM223">
        <v>1911</v>
      </c>
    </row>
    <row r="224" spans="1:91" x14ac:dyDescent="0.3">
      <c r="A224" t="s">
        <v>668</v>
      </c>
      <c r="B224">
        <v>43355</v>
      </c>
      <c r="C224" t="s">
        <v>669</v>
      </c>
      <c r="D224">
        <v>12</v>
      </c>
      <c r="Q224">
        <v>850000</v>
      </c>
      <c r="V224" t="s">
        <v>350</v>
      </c>
      <c r="Y224">
        <v>100</v>
      </c>
      <c r="AA224">
        <v>101</v>
      </c>
      <c r="AC224" s="3">
        <v>101</v>
      </c>
      <c r="AE224" s="3">
        <v>99.5</v>
      </c>
      <c r="AI224">
        <v>100</v>
      </c>
      <c r="AK224" s="3"/>
      <c r="AV224" t="s">
        <v>663</v>
      </c>
      <c r="AX224" t="s">
        <v>663</v>
      </c>
      <c r="AZ224" t="s">
        <v>663</v>
      </c>
      <c r="BB224" t="s">
        <v>663</v>
      </c>
      <c r="BO224" t="s">
        <v>367</v>
      </c>
      <c r="BT224">
        <v>4</v>
      </c>
      <c r="BU224">
        <v>0</v>
      </c>
      <c r="BV224">
        <v>0</v>
      </c>
      <c r="BX224">
        <v>102</v>
      </c>
      <c r="BZ224">
        <v>99</v>
      </c>
      <c r="CB224" t="s">
        <v>670</v>
      </c>
      <c r="CD224" t="s">
        <v>385</v>
      </c>
      <c r="CM224">
        <v>1911</v>
      </c>
    </row>
    <row r="225" spans="1:91" x14ac:dyDescent="0.3">
      <c r="A225" t="s">
        <v>671</v>
      </c>
      <c r="B225">
        <v>43426</v>
      </c>
      <c r="D225">
        <v>12</v>
      </c>
      <c r="Q225">
        <v>350000</v>
      </c>
      <c r="V225" t="s">
        <v>350</v>
      </c>
      <c r="Y225">
        <v>100</v>
      </c>
      <c r="AA225">
        <v>100</v>
      </c>
      <c r="AC225" s="3">
        <v>100</v>
      </c>
      <c r="AE225" s="3">
        <v>99</v>
      </c>
      <c r="AI225">
        <v>99</v>
      </c>
      <c r="AK225" s="3"/>
      <c r="AV225" t="s">
        <v>663</v>
      </c>
      <c r="AX225" t="s">
        <v>663</v>
      </c>
      <c r="AZ225" t="s">
        <v>663</v>
      </c>
      <c r="BB225" t="s">
        <v>663</v>
      </c>
      <c r="BO225" t="s">
        <v>367</v>
      </c>
      <c r="BT225">
        <v>5</v>
      </c>
      <c r="BU225">
        <v>3</v>
      </c>
      <c r="BV225">
        <v>0</v>
      </c>
      <c r="BX225">
        <v>101</v>
      </c>
      <c r="BZ225">
        <v>98</v>
      </c>
      <c r="CB225">
        <v>1954</v>
      </c>
      <c r="CD225" t="s">
        <v>385</v>
      </c>
      <c r="CK225" t="s">
        <v>360</v>
      </c>
      <c r="CM225">
        <v>1911</v>
      </c>
    </row>
    <row r="226" spans="1:91" x14ac:dyDescent="0.3">
      <c r="A226" t="s">
        <v>672</v>
      </c>
      <c r="B226">
        <v>43577</v>
      </c>
      <c r="D226">
        <v>12</v>
      </c>
      <c r="Q226">
        <v>354500</v>
      </c>
      <c r="U226">
        <v>100</v>
      </c>
      <c r="Y226">
        <v>100</v>
      </c>
      <c r="AA226">
        <v>105</v>
      </c>
      <c r="AC226" s="3">
        <v>106.25</v>
      </c>
      <c r="AE226" s="3">
        <v>105</v>
      </c>
      <c r="AI226">
        <v>105</v>
      </c>
      <c r="AK226" s="3"/>
      <c r="AV226" t="s">
        <v>382</v>
      </c>
      <c r="AX226" t="s">
        <v>382</v>
      </c>
      <c r="AZ226" t="s">
        <v>382</v>
      </c>
      <c r="BB226" t="s">
        <v>382</v>
      </c>
      <c r="BO226" t="s">
        <v>367</v>
      </c>
      <c r="BT226">
        <v>4</v>
      </c>
      <c r="BU226">
        <v>19</v>
      </c>
      <c r="BV226">
        <v>0</v>
      </c>
      <c r="BX226">
        <v>110</v>
      </c>
      <c r="BZ226">
        <v>105</v>
      </c>
      <c r="CB226" t="s">
        <v>673</v>
      </c>
      <c r="CD226" t="s">
        <v>385</v>
      </c>
      <c r="CK226" t="s">
        <v>360</v>
      </c>
      <c r="CM226">
        <v>1911</v>
      </c>
    </row>
    <row r="227" spans="1:91" x14ac:dyDescent="0.3">
      <c r="A227" t="s">
        <v>672</v>
      </c>
      <c r="B227">
        <v>43578</v>
      </c>
      <c r="C227" t="s">
        <v>674</v>
      </c>
      <c r="D227">
        <v>12</v>
      </c>
      <c r="Q227">
        <v>636900</v>
      </c>
      <c r="U227">
        <v>100</v>
      </c>
      <c r="Y227">
        <v>100</v>
      </c>
      <c r="AA227">
        <v>104</v>
      </c>
      <c r="AC227" s="3">
        <v>104.75</v>
      </c>
      <c r="AE227" s="3">
        <v>104</v>
      </c>
      <c r="AI227">
        <v>104</v>
      </c>
      <c r="AK227" s="3"/>
      <c r="AV227" t="s">
        <v>394</v>
      </c>
      <c r="AX227" t="s">
        <v>394</v>
      </c>
      <c r="AZ227" t="s">
        <v>394</v>
      </c>
      <c r="BB227" t="s">
        <v>394</v>
      </c>
      <c r="BO227" t="s">
        <v>367</v>
      </c>
      <c r="BT227">
        <v>4</v>
      </c>
      <c r="BU227">
        <v>2</v>
      </c>
      <c r="BV227">
        <v>3</v>
      </c>
      <c r="BY227" t="s">
        <v>385</v>
      </c>
      <c r="CA227" t="s">
        <v>385</v>
      </c>
      <c r="CB227" t="s">
        <v>675</v>
      </c>
      <c r="CD227" t="s">
        <v>385</v>
      </c>
      <c r="CM227">
        <v>1911</v>
      </c>
    </row>
    <row r="228" spans="1:91" x14ac:dyDescent="0.3">
      <c r="A228" t="s">
        <v>676</v>
      </c>
      <c r="B228">
        <v>44090</v>
      </c>
      <c r="D228">
        <v>12</v>
      </c>
      <c r="Q228">
        <v>200000</v>
      </c>
      <c r="V228" t="s">
        <v>350</v>
      </c>
      <c r="Y228">
        <v>100</v>
      </c>
      <c r="AA228">
        <v>100</v>
      </c>
      <c r="AC228" s="3">
        <v>100</v>
      </c>
      <c r="AE228" s="3">
        <v>100</v>
      </c>
      <c r="AI228">
        <v>100</v>
      </c>
      <c r="AK228" s="3"/>
      <c r="AV228" t="s">
        <v>407</v>
      </c>
      <c r="AX228" t="s">
        <v>407</v>
      </c>
      <c r="AZ228" t="s">
        <v>407</v>
      </c>
      <c r="BB228" t="s">
        <v>407</v>
      </c>
      <c r="BO228" t="s">
        <v>367</v>
      </c>
      <c r="BT228">
        <v>4</v>
      </c>
      <c r="BU228">
        <v>0</v>
      </c>
      <c r="BV228">
        <v>6</v>
      </c>
      <c r="BX228">
        <v>103</v>
      </c>
      <c r="BZ228">
        <v>100</v>
      </c>
      <c r="CB228">
        <v>1915</v>
      </c>
      <c r="CD228" t="s">
        <v>385</v>
      </c>
      <c r="CK228" t="s">
        <v>360</v>
      </c>
      <c r="CM228">
        <v>1911</v>
      </c>
    </row>
    <row r="229" spans="1:91" x14ac:dyDescent="0.3">
      <c r="A229" t="s">
        <v>677</v>
      </c>
      <c r="B229">
        <v>44420</v>
      </c>
      <c r="D229">
        <v>12</v>
      </c>
      <c r="Q229">
        <v>482800</v>
      </c>
      <c r="U229">
        <v>100</v>
      </c>
      <c r="Y229">
        <v>100</v>
      </c>
      <c r="AA229">
        <v>99</v>
      </c>
      <c r="AC229" s="3">
        <v>99</v>
      </c>
      <c r="AE229" s="3">
        <v>99</v>
      </c>
      <c r="AI229">
        <v>99</v>
      </c>
      <c r="AK229" s="3"/>
      <c r="AV229" t="s">
        <v>382</v>
      </c>
      <c r="AX229" t="s">
        <v>382</v>
      </c>
      <c r="AZ229" t="s">
        <v>382</v>
      </c>
      <c r="BB229" t="s">
        <v>382</v>
      </c>
      <c r="BO229" t="s">
        <v>367</v>
      </c>
      <c r="BT229">
        <v>4</v>
      </c>
      <c r="BU229">
        <v>1</v>
      </c>
      <c r="BV229">
        <v>9</v>
      </c>
      <c r="BX229">
        <v>102</v>
      </c>
      <c r="BZ229">
        <v>97.5</v>
      </c>
      <c r="CB229">
        <v>1934</v>
      </c>
      <c r="CD229" t="s">
        <v>385</v>
      </c>
      <c r="CK229" t="s">
        <v>360</v>
      </c>
      <c r="CM229">
        <v>1911</v>
      </c>
    </row>
    <row r="230" spans="1:91" x14ac:dyDescent="0.3">
      <c r="A230" t="s">
        <v>678</v>
      </c>
      <c r="B230">
        <v>45041</v>
      </c>
      <c r="D230">
        <v>12</v>
      </c>
      <c r="Q230" s="2">
        <v>5500000</v>
      </c>
      <c r="V230" t="s">
        <v>350</v>
      </c>
      <c r="Y230">
        <v>100</v>
      </c>
      <c r="AA230">
        <v>100</v>
      </c>
      <c r="AC230" s="3">
        <v>100.12</v>
      </c>
      <c r="AE230" s="3">
        <v>99.5</v>
      </c>
      <c r="AI230">
        <v>100</v>
      </c>
      <c r="AK230" s="3"/>
      <c r="AV230" t="s">
        <v>382</v>
      </c>
      <c r="AX230" t="s">
        <v>382</v>
      </c>
      <c r="AZ230" t="s">
        <v>382</v>
      </c>
      <c r="BB230" t="s">
        <v>382</v>
      </c>
      <c r="BO230" t="s">
        <v>367</v>
      </c>
      <c r="BT230">
        <v>4</v>
      </c>
      <c r="BU230">
        <v>1</v>
      </c>
      <c r="BV230">
        <v>0</v>
      </c>
      <c r="BX230">
        <v>101</v>
      </c>
      <c r="BZ230">
        <v>98</v>
      </c>
      <c r="CB230" t="s">
        <v>679</v>
      </c>
      <c r="CD230" t="s">
        <v>385</v>
      </c>
      <c r="CK230" t="s">
        <v>360</v>
      </c>
      <c r="CM230">
        <v>1911</v>
      </c>
    </row>
    <row r="231" spans="1:91" x14ac:dyDescent="0.3">
      <c r="A231" t="s">
        <v>680</v>
      </c>
      <c r="B231">
        <v>45872</v>
      </c>
      <c r="D231">
        <v>12</v>
      </c>
      <c r="Q231">
        <v>200000</v>
      </c>
      <c r="U231">
        <v>100</v>
      </c>
      <c r="Y231">
        <v>100</v>
      </c>
      <c r="AA231">
        <v>118.5</v>
      </c>
      <c r="AC231" s="3">
        <v>118.5</v>
      </c>
      <c r="AE231" s="3">
        <v>118.5</v>
      </c>
      <c r="AI231">
        <v>118.5</v>
      </c>
      <c r="AK231" s="3"/>
      <c r="AV231" t="s">
        <v>394</v>
      </c>
      <c r="AX231" t="s">
        <v>394</v>
      </c>
      <c r="AZ231" t="s">
        <v>394</v>
      </c>
      <c r="BB231" t="s">
        <v>394</v>
      </c>
      <c r="BO231" t="s">
        <v>367</v>
      </c>
      <c r="BS231" t="s">
        <v>385</v>
      </c>
      <c r="BT231">
        <v>4</v>
      </c>
      <c r="BU231">
        <v>12</v>
      </c>
      <c r="BV231">
        <v>9</v>
      </c>
      <c r="BX231">
        <v>121</v>
      </c>
      <c r="BZ231">
        <v>118</v>
      </c>
      <c r="CB231">
        <v>1929</v>
      </c>
      <c r="CK231" t="s">
        <v>360</v>
      </c>
      <c r="CM231">
        <v>1911</v>
      </c>
    </row>
    <row r="232" spans="1:91" x14ac:dyDescent="0.3">
      <c r="A232" t="s">
        <v>681</v>
      </c>
      <c r="B232">
        <v>46178</v>
      </c>
      <c r="D232">
        <v>12</v>
      </c>
      <c r="Q232" s="2">
        <v>1000000</v>
      </c>
      <c r="U232">
        <v>100</v>
      </c>
      <c r="Y232">
        <v>100</v>
      </c>
      <c r="AA232">
        <v>100</v>
      </c>
      <c r="AC232" s="3">
        <v>100.5</v>
      </c>
      <c r="AE232" s="3">
        <v>100</v>
      </c>
      <c r="AI232">
        <v>100</v>
      </c>
      <c r="AK232" s="3"/>
      <c r="AV232" t="s">
        <v>382</v>
      </c>
      <c r="AX232" t="s">
        <v>382</v>
      </c>
      <c r="AZ232" t="s">
        <v>382</v>
      </c>
      <c r="BB232" t="s">
        <v>382</v>
      </c>
      <c r="BO232" t="s">
        <v>367</v>
      </c>
      <c r="BT232">
        <v>4</v>
      </c>
      <c r="BU232">
        <v>1</v>
      </c>
      <c r="BV232">
        <v>0</v>
      </c>
      <c r="BX232">
        <v>102.75</v>
      </c>
      <c r="BZ232">
        <v>99.25</v>
      </c>
      <c r="CB232">
        <v>1921</v>
      </c>
      <c r="CD232" t="s">
        <v>385</v>
      </c>
      <c r="CK232" t="s">
        <v>360</v>
      </c>
      <c r="CM232">
        <v>1911</v>
      </c>
    </row>
    <row r="233" spans="1:91" x14ac:dyDescent="0.3">
      <c r="A233" t="s">
        <v>682</v>
      </c>
      <c r="B233">
        <v>46159</v>
      </c>
      <c r="D233">
        <v>12</v>
      </c>
      <c r="Q233">
        <v>160000</v>
      </c>
      <c r="U233">
        <v>100</v>
      </c>
      <c r="Y233">
        <v>100</v>
      </c>
      <c r="AA233">
        <v>102.5</v>
      </c>
      <c r="AC233" s="3">
        <v>102.5</v>
      </c>
      <c r="AE233" s="3">
        <v>102.5</v>
      </c>
      <c r="AI233">
        <v>102.5</v>
      </c>
      <c r="AK233" s="3"/>
      <c r="AV233" t="s">
        <v>407</v>
      </c>
      <c r="AX233" t="s">
        <v>407</v>
      </c>
      <c r="AZ233" t="s">
        <v>407</v>
      </c>
      <c r="BB233" t="s">
        <v>407</v>
      </c>
      <c r="BO233" t="s">
        <v>367</v>
      </c>
      <c r="BT233">
        <v>4</v>
      </c>
      <c r="BU233">
        <v>8</v>
      </c>
      <c r="BV233">
        <v>3</v>
      </c>
      <c r="BX233">
        <v>104.5</v>
      </c>
      <c r="BZ233">
        <v>100.75</v>
      </c>
      <c r="CB233" t="s">
        <v>683</v>
      </c>
      <c r="CD233" t="s">
        <v>385</v>
      </c>
      <c r="CK233" t="s">
        <v>360</v>
      </c>
      <c r="CM233">
        <v>1911</v>
      </c>
    </row>
    <row r="234" spans="1:91" x14ac:dyDescent="0.3">
      <c r="A234" t="s">
        <v>682</v>
      </c>
      <c r="B234">
        <v>46160</v>
      </c>
      <c r="C234" t="s">
        <v>684</v>
      </c>
      <c r="D234">
        <v>12</v>
      </c>
      <c r="Q234">
        <v>850000</v>
      </c>
      <c r="U234">
        <v>100</v>
      </c>
      <c r="Y234">
        <v>100</v>
      </c>
      <c r="AA234">
        <v>100</v>
      </c>
      <c r="AC234" s="3">
        <v>100.75</v>
      </c>
      <c r="AE234" s="3">
        <v>100</v>
      </c>
      <c r="AI234">
        <v>100</v>
      </c>
      <c r="AK234" s="3"/>
      <c r="AV234" t="s">
        <v>407</v>
      </c>
      <c r="AX234" t="s">
        <v>407</v>
      </c>
      <c r="AZ234" t="s">
        <v>407</v>
      </c>
      <c r="BB234" t="s">
        <v>407</v>
      </c>
      <c r="BO234" t="s">
        <v>367</v>
      </c>
      <c r="BT234">
        <v>4</v>
      </c>
      <c r="BU234">
        <v>1</v>
      </c>
      <c r="BV234">
        <v>0</v>
      </c>
      <c r="BX234">
        <v>102</v>
      </c>
      <c r="BZ234">
        <v>99.5</v>
      </c>
      <c r="CB234" t="s">
        <v>685</v>
      </c>
      <c r="CD234" t="s">
        <v>385</v>
      </c>
      <c r="CM234">
        <v>1911</v>
      </c>
    </row>
    <row r="235" spans="1:91" x14ac:dyDescent="0.3">
      <c r="A235" t="s">
        <v>686</v>
      </c>
      <c r="B235">
        <v>46165</v>
      </c>
      <c r="D235">
        <v>12</v>
      </c>
      <c r="Q235">
        <v>250000</v>
      </c>
      <c r="U235">
        <v>100</v>
      </c>
      <c r="Y235">
        <v>100</v>
      </c>
      <c r="AA235">
        <v>102</v>
      </c>
      <c r="AC235" s="3">
        <v>102</v>
      </c>
      <c r="AE235" s="3">
        <v>102</v>
      </c>
      <c r="AI235">
        <v>102</v>
      </c>
      <c r="AK235" s="3"/>
      <c r="AV235" t="s">
        <v>394</v>
      </c>
      <c r="AX235" t="s">
        <v>394</v>
      </c>
      <c r="AZ235" t="s">
        <v>394</v>
      </c>
      <c r="BB235" t="s">
        <v>394</v>
      </c>
      <c r="BO235" t="s">
        <v>367</v>
      </c>
      <c r="BT235">
        <v>4</v>
      </c>
      <c r="BU235">
        <v>7</v>
      </c>
      <c r="BV235">
        <v>9</v>
      </c>
      <c r="BX235">
        <v>102.25</v>
      </c>
      <c r="BZ235">
        <v>100</v>
      </c>
      <c r="CB235">
        <v>1915</v>
      </c>
      <c r="CD235" t="s">
        <v>385</v>
      </c>
      <c r="CK235" t="s">
        <v>360</v>
      </c>
      <c r="CM235">
        <v>1911</v>
      </c>
    </row>
    <row r="236" spans="1:91" x14ac:dyDescent="0.3">
      <c r="A236" t="s">
        <v>686</v>
      </c>
      <c r="B236">
        <v>46166</v>
      </c>
      <c r="C236" t="s">
        <v>687</v>
      </c>
      <c r="D236">
        <v>12</v>
      </c>
      <c r="Q236" s="2">
        <v>1250000</v>
      </c>
      <c r="U236">
        <v>100</v>
      </c>
      <c r="Y236">
        <v>100</v>
      </c>
      <c r="AA236">
        <v>100</v>
      </c>
      <c r="AC236" s="3">
        <v>102</v>
      </c>
      <c r="AE236" s="3">
        <v>100</v>
      </c>
      <c r="AI236">
        <v>101</v>
      </c>
      <c r="AK236" s="3"/>
      <c r="AV236" t="s">
        <v>394</v>
      </c>
      <c r="AX236" t="s">
        <v>394</v>
      </c>
      <c r="AZ236" t="s">
        <v>394</v>
      </c>
      <c r="BB236" t="s">
        <v>394</v>
      </c>
      <c r="BO236" t="s">
        <v>367</v>
      </c>
      <c r="BT236">
        <v>4</v>
      </c>
      <c r="BU236">
        <v>3</v>
      </c>
      <c r="BV236">
        <v>3</v>
      </c>
      <c r="BX236">
        <v>102.5</v>
      </c>
      <c r="BZ236">
        <v>99.25</v>
      </c>
      <c r="CB236" t="s">
        <v>688</v>
      </c>
      <c r="CD236" t="s">
        <v>385</v>
      </c>
      <c r="CM236">
        <v>1911</v>
      </c>
    </row>
    <row r="237" spans="1:91" x14ac:dyDescent="0.3">
      <c r="A237" t="s">
        <v>686</v>
      </c>
      <c r="B237">
        <v>46164</v>
      </c>
      <c r="C237" t="s">
        <v>689</v>
      </c>
      <c r="D237">
        <v>12</v>
      </c>
      <c r="Q237" s="2">
        <v>1650000</v>
      </c>
      <c r="U237">
        <v>100</v>
      </c>
      <c r="Y237">
        <v>100</v>
      </c>
      <c r="AA237">
        <v>102</v>
      </c>
      <c r="AC237" s="3">
        <v>103</v>
      </c>
      <c r="AE237" s="3">
        <v>101.75</v>
      </c>
      <c r="AI237">
        <v>103</v>
      </c>
      <c r="AK237" s="3"/>
      <c r="AV237" t="s">
        <v>394</v>
      </c>
      <c r="AX237" t="s">
        <v>394</v>
      </c>
      <c r="AZ237" t="s">
        <v>394</v>
      </c>
      <c r="BB237" t="s">
        <v>394</v>
      </c>
      <c r="BO237" t="s">
        <v>367</v>
      </c>
      <c r="BT237">
        <v>3</v>
      </c>
      <c r="BU237">
        <v>16</v>
      </c>
      <c r="BV237">
        <v>3</v>
      </c>
      <c r="BX237">
        <v>104.12</v>
      </c>
      <c r="BZ237">
        <v>100</v>
      </c>
      <c r="CB237" t="s">
        <v>690</v>
      </c>
      <c r="CD237" t="s">
        <v>385</v>
      </c>
      <c r="CM237">
        <v>1911</v>
      </c>
    </row>
    <row r="238" spans="1:91" x14ac:dyDescent="0.3">
      <c r="A238" t="s">
        <v>691</v>
      </c>
      <c r="B238">
        <v>46554</v>
      </c>
      <c r="D238">
        <v>12</v>
      </c>
      <c r="Q238">
        <v>150000</v>
      </c>
      <c r="U238">
        <v>100</v>
      </c>
      <c r="Y238">
        <v>100</v>
      </c>
      <c r="AA238">
        <v>90</v>
      </c>
      <c r="AC238" s="3">
        <v>90</v>
      </c>
      <c r="AE238" s="3">
        <v>90</v>
      </c>
      <c r="AI238">
        <v>90</v>
      </c>
      <c r="AK238" s="3"/>
      <c r="AV238" t="s">
        <v>407</v>
      </c>
      <c r="AX238" t="s">
        <v>407</v>
      </c>
      <c r="AZ238" t="s">
        <v>407</v>
      </c>
      <c r="BB238" t="s">
        <v>407</v>
      </c>
      <c r="BO238" t="s">
        <v>367</v>
      </c>
      <c r="BT238">
        <v>4</v>
      </c>
      <c r="BU238">
        <v>4</v>
      </c>
      <c r="BV238">
        <v>9</v>
      </c>
      <c r="BX238">
        <v>92.75</v>
      </c>
      <c r="BZ238">
        <v>90</v>
      </c>
      <c r="CB238">
        <v>1933</v>
      </c>
      <c r="CD238" t="s">
        <v>385</v>
      </c>
      <c r="CK238" t="s">
        <v>360</v>
      </c>
      <c r="CM238">
        <v>1911</v>
      </c>
    </row>
    <row r="239" spans="1:91" x14ac:dyDescent="0.3">
      <c r="A239" t="s">
        <v>691</v>
      </c>
      <c r="B239">
        <v>46551</v>
      </c>
      <c r="C239" t="s">
        <v>692</v>
      </c>
      <c r="D239">
        <v>12</v>
      </c>
      <c r="Q239" s="2">
        <v>1440000</v>
      </c>
      <c r="V239" t="s">
        <v>350</v>
      </c>
      <c r="Y239">
        <v>100</v>
      </c>
      <c r="AA239">
        <v>78</v>
      </c>
      <c r="AC239" s="3">
        <v>78.5</v>
      </c>
      <c r="AE239" s="3">
        <v>77.5</v>
      </c>
      <c r="AI239">
        <v>78</v>
      </c>
      <c r="AK239" s="3"/>
      <c r="AV239" t="s">
        <v>407</v>
      </c>
      <c r="AX239" t="s">
        <v>407</v>
      </c>
      <c r="AZ239" t="s">
        <v>407</v>
      </c>
      <c r="BB239" t="s">
        <v>407</v>
      </c>
      <c r="BO239" t="s">
        <v>367</v>
      </c>
      <c r="BT239">
        <v>3</v>
      </c>
      <c r="BU239">
        <v>19</v>
      </c>
      <c r="BV239">
        <v>0</v>
      </c>
      <c r="BX239">
        <v>80.75</v>
      </c>
      <c r="BZ239">
        <v>77.5</v>
      </c>
      <c r="CC239" t="s">
        <v>385</v>
      </c>
      <c r="CD239" t="s">
        <v>385</v>
      </c>
      <c r="CM239">
        <v>1911</v>
      </c>
    </row>
    <row r="240" spans="1:91" x14ac:dyDescent="0.3">
      <c r="A240" t="s">
        <v>691</v>
      </c>
      <c r="B240">
        <v>46553</v>
      </c>
      <c r="C240" t="s">
        <v>693</v>
      </c>
      <c r="D240">
        <v>12</v>
      </c>
      <c r="Q240" s="2">
        <v>1821920</v>
      </c>
      <c r="V240" t="s">
        <v>350</v>
      </c>
      <c r="Y240">
        <v>100</v>
      </c>
      <c r="AA240">
        <v>101</v>
      </c>
      <c r="AC240" s="3">
        <v>102</v>
      </c>
      <c r="AE240" s="3">
        <v>101</v>
      </c>
      <c r="AI240">
        <v>102</v>
      </c>
      <c r="AK240" s="3"/>
      <c r="AV240" t="s">
        <v>407</v>
      </c>
      <c r="AX240" t="s">
        <v>407</v>
      </c>
      <c r="AZ240" t="s">
        <v>407</v>
      </c>
      <c r="BB240" t="s">
        <v>407</v>
      </c>
      <c r="BO240" t="s">
        <v>367</v>
      </c>
      <c r="BT240">
        <v>3</v>
      </c>
      <c r="BU240">
        <v>17</v>
      </c>
      <c r="BV240">
        <v>3</v>
      </c>
      <c r="BX240">
        <v>104</v>
      </c>
      <c r="BZ240">
        <v>99.75</v>
      </c>
      <c r="CB240">
        <v>1932</v>
      </c>
      <c r="CD240" t="s">
        <v>385</v>
      </c>
      <c r="CM240">
        <v>1911</v>
      </c>
    </row>
    <row r="241" spans="1:91" x14ac:dyDescent="0.3">
      <c r="A241" t="s">
        <v>691</v>
      </c>
      <c r="B241">
        <v>46548</v>
      </c>
      <c r="C241" t="s">
        <v>694</v>
      </c>
      <c r="D241">
        <v>12</v>
      </c>
      <c r="Q241">
        <v>410959</v>
      </c>
      <c r="V241" t="s">
        <v>350</v>
      </c>
      <c r="Y241">
        <v>100</v>
      </c>
      <c r="AA241">
        <v>90</v>
      </c>
      <c r="AC241" s="3">
        <v>90.5</v>
      </c>
      <c r="AE241" s="3">
        <v>89.5</v>
      </c>
      <c r="AI241">
        <v>90</v>
      </c>
      <c r="AK241" s="3"/>
      <c r="AV241" t="s">
        <v>407</v>
      </c>
      <c r="AX241" t="s">
        <v>407</v>
      </c>
      <c r="AZ241" t="s">
        <v>407</v>
      </c>
      <c r="BB241" t="s">
        <v>407</v>
      </c>
      <c r="BO241" t="s">
        <v>367</v>
      </c>
      <c r="BT241">
        <v>4</v>
      </c>
      <c r="BU241">
        <v>3</v>
      </c>
      <c r="BV241">
        <v>9</v>
      </c>
      <c r="BX241">
        <v>92.75</v>
      </c>
      <c r="BZ241">
        <v>89.5</v>
      </c>
      <c r="CB241">
        <v>1942</v>
      </c>
      <c r="CD241" t="s">
        <v>385</v>
      </c>
      <c r="CM241">
        <v>1911</v>
      </c>
    </row>
    <row r="242" spans="1:91" x14ac:dyDescent="0.3">
      <c r="A242" t="s">
        <v>691</v>
      </c>
      <c r="B242">
        <v>46558</v>
      </c>
      <c r="C242" t="s">
        <v>695</v>
      </c>
      <c r="D242">
        <v>12</v>
      </c>
      <c r="Q242" s="2">
        <v>2400000</v>
      </c>
      <c r="V242" t="s">
        <v>350</v>
      </c>
      <c r="Y242">
        <v>100</v>
      </c>
      <c r="AA242">
        <v>101</v>
      </c>
      <c r="AC242" s="3">
        <v>102.25</v>
      </c>
      <c r="AE242" s="3">
        <v>100.75</v>
      </c>
      <c r="AI242">
        <v>102</v>
      </c>
      <c r="AK242" s="3"/>
      <c r="AV242" t="s">
        <v>407</v>
      </c>
      <c r="AX242" t="s">
        <v>407</v>
      </c>
      <c r="AZ242" t="s">
        <v>407</v>
      </c>
      <c r="BB242" t="s">
        <v>407</v>
      </c>
      <c r="BO242" t="s">
        <v>367</v>
      </c>
      <c r="BT242">
        <v>3</v>
      </c>
      <c r="BU242">
        <v>18</v>
      </c>
      <c r="BV242">
        <v>0</v>
      </c>
      <c r="BX242">
        <v>103.75</v>
      </c>
      <c r="BZ242">
        <v>99.75</v>
      </c>
      <c r="CB242">
        <v>1948</v>
      </c>
      <c r="CD242" t="s">
        <v>385</v>
      </c>
      <c r="CM242">
        <v>1911</v>
      </c>
    </row>
    <row r="243" spans="1:91" x14ac:dyDescent="0.3">
      <c r="A243" t="s">
        <v>696</v>
      </c>
      <c r="B243">
        <v>46744</v>
      </c>
      <c r="D243">
        <v>12</v>
      </c>
      <c r="Q243">
        <v>300000</v>
      </c>
      <c r="U243">
        <v>100</v>
      </c>
      <c r="Y243">
        <v>100</v>
      </c>
      <c r="AA243">
        <v>105</v>
      </c>
      <c r="AC243" s="3">
        <v>105</v>
      </c>
      <c r="AE243" s="3">
        <v>105</v>
      </c>
      <c r="AI243">
        <v>105</v>
      </c>
      <c r="AK243" s="3"/>
      <c r="AV243" t="s">
        <v>394</v>
      </c>
      <c r="AX243" t="s">
        <v>394</v>
      </c>
      <c r="AZ243" t="s">
        <v>394</v>
      </c>
      <c r="BB243" t="s">
        <v>394</v>
      </c>
      <c r="BO243" t="s">
        <v>367</v>
      </c>
      <c r="BT243">
        <v>4</v>
      </c>
      <c r="BU243">
        <v>10</v>
      </c>
      <c r="BV243">
        <v>9</v>
      </c>
      <c r="BX243">
        <v>106.5</v>
      </c>
      <c r="BZ243">
        <v>103</v>
      </c>
      <c r="CB243">
        <v>1920</v>
      </c>
      <c r="CD243" t="s">
        <v>385</v>
      </c>
      <c r="CK243" t="s">
        <v>360</v>
      </c>
      <c r="CM243">
        <v>1911</v>
      </c>
    </row>
    <row r="244" spans="1:91" x14ac:dyDescent="0.3">
      <c r="A244" t="s">
        <v>697</v>
      </c>
      <c r="B244">
        <v>47306</v>
      </c>
      <c r="D244">
        <v>12</v>
      </c>
      <c r="Q244">
        <v>103500</v>
      </c>
      <c r="U244">
        <v>100</v>
      </c>
      <c r="Y244">
        <v>100</v>
      </c>
      <c r="AA244">
        <v>104</v>
      </c>
      <c r="AC244" s="3">
        <v>104</v>
      </c>
      <c r="AE244" s="3">
        <v>104</v>
      </c>
      <c r="AI244">
        <v>104</v>
      </c>
      <c r="AK244" s="3"/>
      <c r="AV244" t="s">
        <v>394</v>
      </c>
      <c r="AX244" t="s">
        <v>394</v>
      </c>
      <c r="AZ244" t="s">
        <v>394</v>
      </c>
      <c r="BB244" t="s">
        <v>394</v>
      </c>
      <c r="BO244" t="s">
        <v>367</v>
      </c>
      <c r="BT244">
        <v>4</v>
      </c>
      <c r="BU244">
        <v>12</v>
      </c>
      <c r="BV244">
        <v>0</v>
      </c>
      <c r="BX244">
        <v>105</v>
      </c>
      <c r="BZ244">
        <v>103</v>
      </c>
      <c r="CB244">
        <v>1921</v>
      </c>
      <c r="CD244" t="s">
        <v>385</v>
      </c>
      <c r="CK244" t="s">
        <v>360</v>
      </c>
      <c r="CM244">
        <v>1911</v>
      </c>
    </row>
    <row r="245" spans="1:91" x14ac:dyDescent="0.3">
      <c r="A245" t="s">
        <v>697</v>
      </c>
      <c r="B245">
        <v>47307</v>
      </c>
      <c r="C245" t="s">
        <v>698</v>
      </c>
      <c r="D245">
        <v>12</v>
      </c>
      <c r="Q245">
        <v>443100</v>
      </c>
      <c r="U245">
        <v>100</v>
      </c>
      <c r="Y245">
        <v>100</v>
      </c>
      <c r="AA245">
        <v>106</v>
      </c>
      <c r="AC245" s="3">
        <v>106</v>
      </c>
      <c r="AE245" s="3">
        <v>106</v>
      </c>
      <c r="AI245">
        <v>106</v>
      </c>
      <c r="AK245" s="3"/>
      <c r="AV245" t="s">
        <v>394</v>
      </c>
      <c r="AX245" t="s">
        <v>394</v>
      </c>
      <c r="AZ245" t="s">
        <v>394</v>
      </c>
      <c r="BB245" t="s">
        <v>394</v>
      </c>
      <c r="BO245" t="s">
        <v>367</v>
      </c>
      <c r="BT245">
        <v>4</v>
      </c>
      <c r="BU245">
        <v>13</v>
      </c>
      <c r="BV245">
        <v>6</v>
      </c>
      <c r="BX245">
        <v>108</v>
      </c>
      <c r="BZ245">
        <v>104</v>
      </c>
      <c r="CB245">
        <v>1934</v>
      </c>
      <c r="CD245" t="s">
        <v>385</v>
      </c>
      <c r="CM245">
        <v>1911</v>
      </c>
    </row>
    <row r="246" spans="1:91" x14ac:dyDescent="0.3">
      <c r="A246" t="s">
        <v>699</v>
      </c>
      <c r="B246">
        <v>47316</v>
      </c>
      <c r="D246">
        <v>12</v>
      </c>
      <c r="Q246">
        <v>253000</v>
      </c>
      <c r="U246">
        <v>100</v>
      </c>
      <c r="Y246">
        <v>100</v>
      </c>
      <c r="AA246">
        <v>101</v>
      </c>
      <c r="AC246" s="3">
        <v>101</v>
      </c>
      <c r="AE246" s="3">
        <v>101</v>
      </c>
      <c r="AI246">
        <v>101</v>
      </c>
      <c r="AK246" s="3"/>
      <c r="AV246" t="s">
        <v>394</v>
      </c>
      <c r="AX246" t="s">
        <v>394</v>
      </c>
      <c r="AZ246" t="s">
        <v>394</v>
      </c>
      <c r="BB246" t="s">
        <v>394</v>
      </c>
      <c r="BO246" t="s">
        <v>367</v>
      </c>
      <c r="BT246">
        <v>4</v>
      </c>
      <c r="BU246">
        <v>0</v>
      </c>
      <c r="BV246">
        <v>6</v>
      </c>
      <c r="BY246" t="s">
        <v>385</v>
      </c>
      <c r="CA246" t="s">
        <v>385</v>
      </c>
      <c r="CB246" t="s">
        <v>451</v>
      </c>
      <c r="CD246" t="s">
        <v>385</v>
      </c>
      <c r="CM246">
        <v>1911</v>
      </c>
    </row>
    <row r="247" spans="1:91" x14ac:dyDescent="0.3">
      <c r="A247" t="s">
        <v>700</v>
      </c>
      <c r="B247">
        <v>47648</v>
      </c>
      <c r="D247">
        <v>12</v>
      </c>
      <c r="Q247">
        <v>200000</v>
      </c>
      <c r="V247" t="s">
        <v>350</v>
      </c>
      <c r="Y247">
        <v>100</v>
      </c>
      <c r="AA247">
        <v>87</v>
      </c>
      <c r="AC247" s="3">
        <v>87</v>
      </c>
      <c r="AE247" s="3">
        <v>85.75</v>
      </c>
      <c r="AI247">
        <v>86</v>
      </c>
      <c r="AK247" s="3"/>
      <c r="AV247" t="s">
        <v>663</v>
      </c>
      <c r="AX247" t="s">
        <v>663</v>
      </c>
      <c r="AZ247" t="s">
        <v>663</v>
      </c>
      <c r="BB247" t="s">
        <v>663</v>
      </c>
      <c r="BO247" t="s">
        <v>367</v>
      </c>
      <c r="BT247">
        <v>4</v>
      </c>
      <c r="BU247">
        <v>10</v>
      </c>
      <c r="BV247">
        <v>0</v>
      </c>
      <c r="BX247">
        <v>90</v>
      </c>
      <c r="BZ247">
        <v>85.75</v>
      </c>
      <c r="CB247">
        <v>1939</v>
      </c>
      <c r="CD247" t="s">
        <v>385</v>
      </c>
      <c r="CK247" t="s">
        <v>360</v>
      </c>
      <c r="CM247">
        <v>1911</v>
      </c>
    </row>
    <row r="248" spans="1:91" x14ac:dyDescent="0.3">
      <c r="A248" t="s">
        <v>700</v>
      </c>
      <c r="B248">
        <v>47649</v>
      </c>
      <c r="C248" t="s">
        <v>701</v>
      </c>
      <c r="D248">
        <v>12</v>
      </c>
      <c r="Q248">
        <v>825000</v>
      </c>
      <c r="V248" t="s">
        <v>350</v>
      </c>
      <c r="Y248">
        <v>100</v>
      </c>
      <c r="AA248">
        <v>100</v>
      </c>
      <c r="AC248" s="3">
        <v>100</v>
      </c>
      <c r="AE248" s="3">
        <v>98</v>
      </c>
      <c r="AI248">
        <v>98</v>
      </c>
      <c r="AK248" s="3"/>
      <c r="AV248" t="s">
        <v>663</v>
      </c>
      <c r="AX248" t="s">
        <v>663</v>
      </c>
      <c r="AZ248" t="s">
        <v>663</v>
      </c>
      <c r="BB248" t="s">
        <v>663</v>
      </c>
      <c r="BO248" t="s">
        <v>367</v>
      </c>
      <c r="BT248">
        <v>4</v>
      </c>
      <c r="BU248">
        <v>4</v>
      </c>
      <c r="BV248">
        <v>3</v>
      </c>
      <c r="BX248">
        <v>100.5</v>
      </c>
      <c r="BZ248">
        <v>97.5</v>
      </c>
      <c r="CB248" t="s">
        <v>702</v>
      </c>
      <c r="CD248" t="s">
        <v>385</v>
      </c>
      <c r="CM248">
        <v>1911</v>
      </c>
    </row>
    <row r="249" spans="1:91" x14ac:dyDescent="0.3">
      <c r="A249" t="s">
        <v>703</v>
      </c>
      <c r="B249">
        <v>50736</v>
      </c>
      <c r="D249">
        <v>12</v>
      </c>
      <c r="Q249">
        <v>336998</v>
      </c>
      <c r="V249" t="s">
        <v>350</v>
      </c>
      <c r="Y249">
        <v>100</v>
      </c>
      <c r="AA249">
        <v>100</v>
      </c>
      <c r="AC249" s="3">
        <v>100</v>
      </c>
      <c r="AE249" s="3">
        <v>99</v>
      </c>
      <c r="AI249">
        <v>99</v>
      </c>
      <c r="AK249" s="3"/>
      <c r="AV249" t="s">
        <v>663</v>
      </c>
      <c r="AX249" t="s">
        <v>663</v>
      </c>
      <c r="AZ249" t="s">
        <v>663</v>
      </c>
      <c r="BB249" t="s">
        <v>663</v>
      </c>
      <c r="BO249" t="s">
        <v>367</v>
      </c>
      <c r="BT249">
        <v>4</v>
      </c>
      <c r="BU249">
        <v>3</v>
      </c>
      <c r="BV249">
        <v>0</v>
      </c>
      <c r="BX249">
        <v>100.75</v>
      </c>
      <c r="BZ249">
        <v>98.5</v>
      </c>
      <c r="CB249">
        <v>1953</v>
      </c>
      <c r="CD249" t="s">
        <v>385</v>
      </c>
      <c r="CK249" t="s">
        <v>360</v>
      </c>
      <c r="CM249">
        <v>1911</v>
      </c>
    </row>
    <row r="250" spans="1:91" x14ac:dyDescent="0.3">
      <c r="A250" t="s">
        <v>703</v>
      </c>
      <c r="B250">
        <v>50737</v>
      </c>
      <c r="C250" t="s">
        <v>666</v>
      </c>
      <c r="D250">
        <v>12</v>
      </c>
      <c r="Q250">
        <v>369968</v>
      </c>
      <c r="V250" t="s">
        <v>350</v>
      </c>
      <c r="Y250">
        <v>100</v>
      </c>
      <c r="AA250">
        <v>100</v>
      </c>
      <c r="AC250" s="3">
        <v>100</v>
      </c>
      <c r="AE250" s="3">
        <v>98.75</v>
      </c>
      <c r="AI250">
        <v>99</v>
      </c>
      <c r="AK250" s="3"/>
      <c r="AV250" t="s">
        <v>663</v>
      </c>
      <c r="AX250" t="s">
        <v>663</v>
      </c>
      <c r="AZ250" t="s">
        <v>663</v>
      </c>
      <c r="BB250" t="s">
        <v>663</v>
      </c>
      <c r="BO250" t="s">
        <v>367</v>
      </c>
      <c r="BT250">
        <v>4</v>
      </c>
      <c r="BU250">
        <v>2</v>
      </c>
      <c r="BV250">
        <v>9</v>
      </c>
      <c r="BX250">
        <v>100.75</v>
      </c>
      <c r="BZ250">
        <v>98</v>
      </c>
      <c r="CB250">
        <v>1964</v>
      </c>
      <c r="CD250" t="s">
        <v>385</v>
      </c>
      <c r="CM250">
        <v>1911</v>
      </c>
    </row>
    <row r="251" spans="1:91" x14ac:dyDescent="0.3">
      <c r="A251" t="s">
        <v>704</v>
      </c>
      <c r="B251">
        <v>47703</v>
      </c>
      <c r="D251">
        <v>12</v>
      </c>
      <c r="Q251">
        <v>113200</v>
      </c>
      <c r="U251">
        <v>100</v>
      </c>
      <c r="Y251">
        <v>100</v>
      </c>
      <c r="AA251">
        <v>102</v>
      </c>
      <c r="AC251" s="3">
        <v>102</v>
      </c>
      <c r="AE251" s="3">
        <v>102</v>
      </c>
      <c r="AI251">
        <v>102</v>
      </c>
      <c r="AK251" s="3"/>
      <c r="AV251" t="s">
        <v>663</v>
      </c>
      <c r="AX251" t="s">
        <v>663</v>
      </c>
      <c r="AZ251" t="s">
        <v>663</v>
      </c>
      <c r="BB251" t="s">
        <v>663</v>
      </c>
      <c r="BO251" t="s">
        <v>367</v>
      </c>
      <c r="BT251">
        <v>5</v>
      </c>
      <c r="BU251">
        <v>0</v>
      </c>
      <c r="BV251">
        <v>6</v>
      </c>
      <c r="BX251">
        <v>103.75</v>
      </c>
      <c r="BZ251">
        <v>101</v>
      </c>
      <c r="CB251">
        <v>1934</v>
      </c>
      <c r="CD251" t="s">
        <v>385</v>
      </c>
      <c r="CM251">
        <v>1911</v>
      </c>
    </row>
    <row r="252" spans="1:91" x14ac:dyDescent="0.3">
      <c r="A252" t="s">
        <v>705</v>
      </c>
      <c r="B252">
        <v>47770</v>
      </c>
      <c r="D252">
        <v>12</v>
      </c>
      <c r="Q252" s="2">
        <v>1000000</v>
      </c>
      <c r="U252">
        <v>100</v>
      </c>
      <c r="Y252">
        <v>100</v>
      </c>
      <c r="AA252">
        <v>101</v>
      </c>
      <c r="AC252" s="3">
        <v>101</v>
      </c>
      <c r="AE252" s="3">
        <v>98.5</v>
      </c>
      <c r="AI252">
        <v>98.5</v>
      </c>
      <c r="AK252" s="3"/>
      <c r="AV252" t="s">
        <v>394</v>
      </c>
      <c r="AX252" t="s">
        <v>394</v>
      </c>
      <c r="AZ252" t="s">
        <v>394</v>
      </c>
      <c r="BB252" t="s">
        <v>394</v>
      </c>
      <c r="BO252" t="s">
        <v>367</v>
      </c>
      <c r="BT252">
        <v>4</v>
      </c>
      <c r="BU252">
        <v>3</v>
      </c>
      <c r="BV252">
        <v>9</v>
      </c>
      <c r="BX252">
        <v>101.25</v>
      </c>
      <c r="BZ252">
        <v>97</v>
      </c>
      <c r="CB252">
        <v>1939</v>
      </c>
      <c r="CD252" t="s">
        <v>353</v>
      </c>
      <c r="CM252">
        <v>1911</v>
      </c>
    </row>
    <row r="253" spans="1:91" x14ac:dyDescent="0.3">
      <c r="A253" t="s">
        <v>706</v>
      </c>
      <c r="B253">
        <v>47859</v>
      </c>
      <c r="D253">
        <v>12</v>
      </c>
      <c r="Q253">
        <v>385000</v>
      </c>
      <c r="U253">
        <v>100</v>
      </c>
      <c r="Y253">
        <v>100</v>
      </c>
      <c r="AA253">
        <v>101</v>
      </c>
      <c r="AC253" s="3">
        <v>101.87</v>
      </c>
      <c r="AE253" s="3">
        <v>101</v>
      </c>
      <c r="AI253">
        <v>101</v>
      </c>
      <c r="AK253" s="3"/>
      <c r="AV253" t="s">
        <v>394</v>
      </c>
      <c r="AX253" t="s">
        <v>394</v>
      </c>
      <c r="AZ253" t="s">
        <v>394</v>
      </c>
      <c r="BB253" t="s">
        <v>394</v>
      </c>
      <c r="BO253" t="s">
        <v>367</v>
      </c>
      <c r="BT253">
        <v>4</v>
      </c>
      <c r="BU253">
        <v>2</v>
      </c>
      <c r="BV253">
        <v>0</v>
      </c>
      <c r="BX253">
        <v>103</v>
      </c>
      <c r="BZ253">
        <v>99.75</v>
      </c>
      <c r="CB253">
        <v>1923</v>
      </c>
      <c r="CD253" t="s">
        <v>385</v>
      </c>
      <c r="CK253" t="s">
        <v>360</v>
      </c>
      <c r="CM253">
        <v>1911</v>
      </c>
    </row>
    <row r="254" spans="1:91" x14ac:dyDescent="0.3">
      <c r="A254" t="s">
        <v>706</v>
      </c>
      <c r="B254">
        <v>47858</v>
      </c>
      <c r="C254" t="s">
        <v>707</v>
      </c>
      <c r="D254">
        <v>12</v>
      </c>
      <c r="Q254">
        <v>522774</v>
      </c>
      <c r="U254">
        <v>100</v>
      </c>
      <c r="Y254">
        <v>100</v>
      </c>
      <c r="AA254">
        <v>91</v>
      </c>
      <c r="AC254" s="3">
        <v>91.62</v>
      </c>
      <c r="AE254" s="3">
        <v>90</v>
      </c>
      <c r="AI254">
        <v>90</v>
      </c>
      <c r="AK254" s="3"/>
      <c r="AV254" t="s">
        <v>394</v>
      </c>
      <c r="AX254" t="s">
        <v>394</v>
      </c>
      <c r="AZ254" t="s">
        <v>394</v>
      </c>
      <c r="BB254" t="s">
        <v>394</v>
      </c>
      <c r="BO254" t="s">
        <v>367</v>
      </c>
      <c r="BT254">
        <v>3</v>
      </c>
      <c r="BU254">
        <v>19</v>
      </c>
      <c r="BV254">
        <v>0</v>
      </c>
      <c r="BX254">
        <v>92.5</v>
      </c>
      <c r="BZ254">
        <v>90</v>
      </c>
      <c r="CC254" t="s">
        <v>708</v>
      </c>
      <c r="CD254" t="s">
        <v>385</v>
      </c>
      <c r="CM254">
        <v>1911</v>
      </c>
    </row>
    <row r="255" spans="1:91" x14ac:dyDescent="0.3">
      <c r="A255" t="s">
        <v>709</v>
      </c>
      <c r="B255">
        <v>47941</v>
      </c>
      <c r="D255">
        <v>12</v>
      </c>
      <c r="Q255" s="2">
        <v>3400000</v>
      </c>
      <c r="V255" t="s">
        <v>350</v>
      </c>
      <c r="Y255">
        <v>100</v>
      </c>
      <c r="AA255">
        <v>101</v>
      </c>
      <c r="AC255" s="3">
        <v>101</v>
      </c>
      <c r="AE255" s="3">
        <v>98.5</v>
      </c>
      <c r="AI255">
        <v>99</v>
      </c>
      <c r="AK255" s="3"/>
      <c r="AV255" t="s">
        <v>394</v>
      </c>
      <c r="AX255" t="s">
        <v>394</v>
      </c>
      <c r="AZ255" t="s">
        <v>394</v>
      </c>
      <c r="BB255" t="s">
        <v>394</v>
      </c>
      <c r="BO255" t="s">
        <v>367</v>
      </c>
      <c r="BT255">
        <v>4</v>
      </c>
      <c r="BU255">
        <v>4</v>
      </c>
      <c r="BV255">
        <v>0</v>
      </c>
      <c r="BX255">
        <v>101.87</v>
      </c>
      <c r="BZ255">
        <v>98.5</v>
      </c>
      <c r="CB255">
        <v>1935</v>
      </c>
      <c r="CD255" t="s">
        <v>353</v>
      </c>
      <c r="CK255" t="s">
        <v>360</v>
      </c>
      <c r="CM255">
        <v>1911</v>
      </c>
    </row>
    <row r="256" spans="1:91" x14ac:dyDescent="0.3">
      <c r="A256" t="s">
        <v>710</v>
      </c>
      <c r="B256">
        <v>47945</v>
      </c>
      <c r="D256">
        <v>12</v>
      </c>
      <c r="Q256">
        <v>500000</v>
      </c>
      <c r="U256">
        <v>100</v>
      </c>
      <c r="Y256">
        <v>100</v>
      </c>
      <c r="AA256">
        <v>98.5</v>
      </c>
      <c r="AC256" s="3">
        <v>98.5</v>
      </c>
      <c r="AE256" s="3">
        <v>98</v>
      </c>
      <c r="AI256">
        <v>98.5</v>
      </c>
      <c r="AK256" s="3"/>
      <c r="AV256" t="s">
        <v>394</v>
      </c>
      <c r="AX256" t="s">
        <v>394</v>
      </c>
      <c r="AZ256" t="s">
        <v>394</v>
      </c>
      <c r="BB256" t="s">
        <v>394</v>
      </c>
      <c r="BO256" t="s">
        <v>367</v>
      </c>
      <c r="BT256">
        <v>4</v>
      </c>
      <c r="BU256">
        <v>3</v>
      </c>
      <c r="BV256">
        <v>0</v>
      </c>
      <c r="BX256">
        <v>99</v>
      </c>
      <c r="BZ256">
        <v>95.5</v>
      </c>
      <c r="CB256">
        <v>1908</v>
      </c>
      <c r="CD256" t="s">
        <v>385</v>
      </c>
      <c r="CM256">
        <v>1911</v>
      </c>
    </row>
    <row r="257" spans="1:91" x14ac:dyDescent="0.3">
      <c r="A257" t="s">
        <v>711</v>
      </c>
      <c r="B257">
        <v>47989</v>
      </c>
      <c r="D257">
        <v>12</v>
      </c>
      <c r="Q257">
        <v>143700</v>
      </c>
      <c r="U257">
        <v>100</v>
      </c>
      <c r="Y257">
        <v>100</v>
      </c>
      <c r="AA257">
        <v>105.5</v>
      </c>
      <c r="AC257" s="3">
        <v>108.5</v>
      </c>
      <c r="AE257" s="3">
        <v>105.5</v>
      </c>
      <c r="AI257">
        <v>107.5</v>
      </c>
      <c r="AK257" s="3"/>
      <c r="AV257" t="s">
        <v>415</v>
      </c>
      <c r="AX257" t="s">
        <v>415</v>
      </c>
      <c r="AZ257" t="s">
        <v>415</v>
      </c>
      <c r="BB257" t="s">
        <v>415</v>
      </c>
      <c r="BO257" t="s">
        <v>367</v>
      </c>
      <c r="BT257">
        <v>4</v>
      </c>
      <c r="BU257">
        <v>5</v>
      </c>
      <c r="BV257">
        <v>0</v>
      </c>
      <c r="BX257">
        <v>108.5</v>
      </c>
      <c r="BZ257">
        <v>104.5</v>
      </c>
      <c r="CB257" t="s">
        <v>712</v>
      </c>
      <c r="CD257" t="s">
        <v>385</v>
      </c>
      <c r="CM257">
        <v>1911</v>
      </c>
    </row>
    <row r="258" spans="1:91" x14ac:dyDescent="0.3">
      <c r="A258" t="s">
        <v>713</v>
      </c>
      <c r="B258">
        <v>48286</v>
      </c>
      <c r="D258">
        <v>12</v>
      </c>
      <c r="Q258">
        <v>108400</v>
      </c>
      <c r="U258">
        <v>100</v>
      </c>
      <c r="Y258">
        <v>100</v>
      </c>
      <c r="AA258">
        <v>99</v>
      </c>
      <c r="AC258" s="3">
        <v>99</v>
      </c>
      <c r="AE258" s="3">
        <v>99</v>
      </c>
      <c r="AI258">
        <v>99</v>
      </c>
      <c r="AK258" s="3"/>
      <c r="AV258" t="s">
        <v>415</v>
      </c>
      <c r="AX258" t="s">
        <v>415</v>
      </c>
      <c r="AZ258" t="s">
        <v>415</v>
      </c>
      <c r="BB258" t="s">
        <v>415</v>
      </c>
      <c r="BO258" t="s">
        <v>367</v>
      </c>
      <c r="BT258">
        <v>4</v>
      </c>
      <c r="BU258">
        <v>2</v>
      </c>
      <c r="BV258">
        <v>9</v>
      </c>
      <c r="BX258">
        <v>101</v>
      </c>
      <c r="BZ258">
        <v>98.25</v>
      </c>
      <c r="CB258">
        <v>1934</v>
      </c>
      <c r="CD258" t="s">
        <v>385</v>
      </c>
      <c r="CK258" t="s">
        <v>360</v>
      </c>
      <c r="CL258" t="s">
        <v>457</v>
      </c>
      <c r="CM258">
        <v>1911</v>
      </c>
    </row>
    <row r="259" spans="1:91" x14ac:dyDescent="0.3">
      <c r="A259" t="s">
        <v>714</v>
      </c>
      <c r="B259">
        <v>48426</v>
      </c>
      <c r="D259">
        <v>12</v>
      </c>
      <c r="Q259">
        <v>100000</v>
      </c>
      <c r="U259">
        <v>100</v>
      </c>
      <c r="Y259">
        <v>100</v>
      </c>
      <c r="AA259">
        <v>108</v>
      </c>
      <c r="AC259" s="3">
        <v>108.75</v>
      </c>
      <c r="AE259" s="3">
        <v>107.75</v>
      </c>
      <c r="AI259">
        <v>108</v>
      </c>
      <c r="AK259" s="3"/>
      <c r="AV259" t="s">
        <v>394</v>
      </c>
      <c r="AX259" t="s">
        <v>394</v>
      </c>
      <c r="AZ259" t="s">
        <v>394</v>
      </c>
      <c r="BB259" t="s">
        <v>394</v>
      </c>
      <c r="BO259" t="s">
        <v>367</v>
      </c>
      <c r="BT259">
        <v>4</v>
      </c>
      <c r="BU259">
        <v>12</v>
      </c>
      <c r="BV259">
        <v>0</v>
      </c>
      <c r="BX259">
        <v>108.87</v>
      </c>
      <c r="BZ259">
        <v>105</v>
      </c>
      <c r="CB259">
        <v>1938</v>
      </c>
      <c r="CD259" t="s">
        <v>385</v>
      </c>
      <c r="CM259">
        <v>1911</v>
      </c>
    </row>
    <row r="260" spans="1:91" x14ac:dyDescent="0.3">
      <c r="A260" t="s">
        <v>715</v>
      </c>
      <c r="B260">
        <v>48769</v>
      </c>
      <c r="D260">
        <v>12</v>
      </c>
      <c r="Q260">
        <v>102700</v>
      </c>
      <c r="U260">
        <v>100</v>
      </c>
      <c r="Y260">
        <v>100</v>
      </c>
      <c r="AA260">
        <v>101</v>
      </c>
      <c r="AC260" s="3">
        <v>101</v>
      </c>
      <c r="AE260" s="3">
        <v>101</v>
      </c>
      <c r="AI260">
        <v>101</v>
      </c>
      <c r="AK260" s="3"/>
      <c r="AV260" t="s">
        <v>407</v>
      </c>
      <c r="AX260" t="s">
        <v>407</v>
      </c>
      <c r="AZ260" t="s">
        <v>407</v>
      </c>
      <c r="BB260" t="s">
        <v>407</v>
      </c>
      <c r="BO260" t="s">
        <v>367</v>
      </c>
      <c r="BT260">
        <v>4</v>
      </c>
      <c r="BU260">
        <v>12</v>
      </c>
      <c r="BV260">
        <v>0</v>
      </c>
      <c r="BX260">
        <v>102</v>
      </c>
      <c r="BZ260">
        <v>100</v>
      </c>
      <c r="CB260">
        <v>1933</v>
      </c>
      <c r="CD260" t="s">
        <v>385</v>
      </c>
      <c r="CM260">
        <v>1911</v>
      </c>
    </row>
    <row r="261" spans="1:91" x14ac:dyDescent="0.3">
      <c r="A261" t="s">
        <v>716</v>
      </c>
      <c r="B261">
        <v>48808</v>
      </c>
      <c r="D261">
        <v>12</v>
      </c>
      <c r="Q261">
        <v>640000</v>
      </c>
      <c r="U261">
        <v>100</v>
      </c>
      <c r="Y261">
        <v>100</v>
      </c>
      <c r="AA261">
        <v>102</v>
      </c>
      <c r="AC261" s="3">
        <v>102</v>
      </c>
      <c r="AE261" s="3">
        <v>102</v>
      </c>
      <c r="AI261">
        <v>102</v>
      </c>
      <c r="AK261" s="3"/>
      <c r="AV261" t="s">
        <v>394</v>
      </c>
      <c r="AX261" t="s">
        <v>394</v>
      </c>
      <c r="AZ261" t="s">
        <v>394</v>
      </c>
      <c r="BB261" t="s">
        <v>394</v>
      </c>
      <c r="BO261" t="s">
        <v>367</v>
      </c>
      <c r="BT261">
        <v>4</v>
      </c>
      <c r="BU261">
        <v>0</v>
      </c>
      <c r="BV261">
        <v>6</v>
      </c>
      <c r="BX261">
        <v>102</v>
      </c>
      <c r="BZ261">
        <v>99.87</v>
      </c>
      <c r="CB261" t="s">
        <v>717</v>
      </c>
      <c r="CD261" t="s">
        <v>385</v>
      </c>
      <c r="CM261">
        <v>1911</v>
      </c>
    </row>
    <row r="262" spans="1:91" x14ac:dyDescent="0.3">
      <c r="A262" t="s">
        <v>716</v>
      </c>
      <c r="B262">
        <v>48809</v>
      </c>
      <c r="C262" t="s">
        <v>718</v>
      </c>
      <c r="D262">
        <v>12</v>
      </c>
      <c r="Q262">
        <v>300000</v>
      </c>
      <c r="U262">
        <v>100</v>
      </c>
      <c r="Y262">
        <v>100</v>
      </c>
      <c r="AA262">
        <v>102</v>
      </c>
      <c r="AC262" s="3">
        <v>102</v>
      </c>
      <c r="AE262" s="3">
        <v>102</v>
      </c>
      <c r="AI262">
        <v>102</v>
      </c>
      <c r="AK262" s="3"/>
      <c r="AV262" t="s">
        <v>394</v>
      </c>
      <c r="AX262" t="s">
        <v>394</v>
      </c>
      <c r="AZ262" t="s">
        <v>394</v>
      </c>
      <c r="BB262" t="s">
        <v>394</v>
      </c>
      <c r="BO262" t="s">
        <v>367</v>
      </c>
      <c r="BT262">
        <v>4</v>
      </c>
      <c r="BU262">
        <v>0</v>
      </c>
      <c r="BV262">
        <v>6</v>
      </c>
      <c r="BX262">
        <v>102.25</v>
      </c>
      <c r="BZ262">
        <v>100</v>
      </c>
      <c r="CB262">
        <v>1919</v>
      </c>
      <c r="CD262" t="s">
        <v>385</v>
      </c>
      <c r="CK262" t="s">
        <v>360</v>
      </c>
      <c r="CL262" t="s">
        <v>457</v>
      </c>
      <c r="CM262">
        <v>1911</v>
      </c>
    </row>
    <row r="263" spans="1:91" x14ac:dyDescent="0.3">
      <c r="A263" t="s">
        <v>719</v>
      </c>
      <c r="B263">
        <v>49640</v>
      </c>
      <c r="D263">
        <v>12</v>
      </c>
      <c r="Q263">
        <v>136700</v>
      </c>
      <c r="U263">
        <v>100</v>
      </c>
      <c r="Y263">
        <v>100</v>
      </c>
      <c r="AA263">
        <v>107</v>
      </c>
      <c r="AC263" s="3">
        <v>107</v>
      </c>
      <c r="AE263" s="3">
        <v>107</v>
      </c>
      <c r="AI263">
        <v>107</v>
      </c>
      <c r="AK263" s="3"/>
      <c r="AV263" t="s">
        <v>394</v>
      </c>
      <c r="AX263" t="s">
        <v>394</v>
      </c>
      <c r="AZ263" t="s">
        <v>394</v>
      </c>
      <c r="BB263" t="s">
        <v>394</v>
      </c>
      <c r="BO263" t="s">
        <v>367</v>
      </c>
      <c r="BT263">
        <v>4</v>
      </c>
      <c r="BU263">
        <v>5</v>
      </c>
      <c r="BV263">
        <v>9</v>
      </c>
      <c r="BX263">
        <v>107</v>
      </c>
      <c r="BZ263">
        <v>104</v>
      </c>
      <c r="CB263" t="s">
        <v>720</v>
      </c>
      <c r="CD263" t="s">
        <v>385</v>
      </c>
      <c r="CK263" t="s">
        <v>360</v>
      </c>
      <c r="CM263">
        <v>1911</v>
      </c>
    </row>
    <row r="264" spans="1:91" x14ac:dyDescent="0.3">
      <c r="A264" t="s">
        <v>721</v>
      </c>
      <c r="B264">
        <v>49638</v>
      </c>
      <c r="C264" t="s">
        <v>722</v>
      </c>
      <c r="D264">
        <v>12</v>
      </c>
      <c r="Q264">
        <v>300910</v>
      </c>
      <c r="U264">
        <v>100</v>
      </c>
      <c r="Y264">
        <v>100</v>
      </c>
      <c r="AA264">
        <v>100</v>
      </c>
      <c r="AC264" s="3">
        <v>100.5</v>
      </c>
      <c r="AE264" s="3">
        <v>100</v>
      </c>
      <c r="AI264">
        <v>100</v>
      </c>
      <c r="AK264" s="3"/>
      <c r="AV264" t="s">
        <v>394</v>
      </c>
      <c r="AX264" t="s">
        <v>394</v>
      </c>
      <c r="AZ264" t="s">
        <v>394</v>
      </c>
      <c r="BB264" t="s">
        <v>394</v>
      </c>
      <c r="BO264" t="s">
        <v>367</v>
      </c>
      <c r="BT264">
        <v>4</v>
      </c>
      <c r="BU264">
        <v>2</v>
      </c>
      <c r="BV264">
        <v>6</v>
      </c>
      <c r="BX264">
        <v>101.75</v>
      </c>
      <c r="BZ264">
        <v>99</v>
      </c>
      <c r="CB264" t="s">
        <v>723</v>
      </c>
      <c r="CD264" t="s">
        <v>385</v>
      </c>
      <c r="CM264">
        <v>1911</v>
      </c>
    </row>
    <row r="265" spans="1:91" x14ac:dyDescent="0.3">
      <c r="A265" t="s">
        <v>721</v>
      </c>
      <c r="B265">
        <v>49637</v>
      </c>
      <c r="C265" t="s">
        <v>724</v>
      </c>
      <c r="D265">
        <v>12</v>
      </c>
      <c r="Q265">
        <v>429103</v>
      </c>
      <c r="U265">
        <v>100</v>
      </c>
      <c r="Y265">
        <v>100</v>
      </c>
      <c r="AA265">
        <v>100</v>
      </c>
      <c r="AC265" s="3">
        <v>100.5</v>
      </c>
      <c r="AE265" s="3">
        <v>100</v>
      </c>
      <c r="AI265">
        <v>100</v>
      </c>
      <c r="AK265" s="3"/>
      <c r="AV265" t="s">
        <v>394</v>
      </c>
      <c r="AX265" t="s">
        <v>394</v>
      </c>
      <c r="AZ265" t="s">
        <v>394</v>
      </c>
      <c r="BB265" t="s">
        <v>394</v>
      </c>
      <c r="BO265" t="s">
        <v>367</v>
      </c>
      <c r="BT265">
        <v>4</v>
      </c>
      <c r="BU265">
        <v>2</v>
      </c>
      <c r="BV265">
        <v>6</v>
      </c>
      <c r="BX265">
        <v>101</v>
      </c>
      <c r="BZ265">
        <v>100</v>
      </c>
      <c r="CB265" t="s">
        <v>725</v>
      </c>
      <c r="CD265" t="s">
        <v>385</v>
      </c>
      <c r="CM265">
        <v>1911</v>
      </c>
    </row>
    <row r="266" spans="1:91" x14ac:dyDescent="0.3">
      <c r="A266" t="s">
        <v>721</v>
      </c>
      <c r="B266">
        <v>49639</v>
      </c>
      <c r="C266" t="s">
        <v>726</v>
      </c>
      <c r="D266">
        <v>12</v>
      </c>
      <c r="Q266" s="2">
        <v>1169840</v>
      </c>
      <c r="U266">
        <v>100</v>
      </c>
      <c r="Y266">
        <v>100</v>
      </c>
      <c r="AA266">
        <v>93</v>
      </c>
      <c r="AC266" s="3">
        <v>93.75</v>
      </c>
      <c r="AE266" s="3">
        <v>92.37</v>
      </c>
      <c r="AI266">
        <v>93</v>
      </c>
      <c r="AK266" s="3"/>
      <c r="AV266" t="s">
        <v>394</v>
      </c>
      <c r="AX266" t="s">
        <v>394</v>
      </c>
      <c r="AZ266" t="s">
        <v>394</v>
      </c>
      <c r="BB266" t="s">
        <v>394</v>
      </c>
      <c r="BO266" t="s">
        <v>367</v>
      </c>
      <c r="BT266">
        <v>4</v>
      </c>
      <c r="BU266">
        <v>3</v>
      </c>
      <c r="BV266">
        <v>6</v>
      </c>
      <c r="BX266">
        <v>94</v>
      </c>
      <c r="BZ266">
        <v>91</v>
      </c>
      <c r="CB266">
        <v>1929</v>
      </c>
      <c r="CD266" t="s">
        <v>385</v>
      </c>
      <c r="CM266">
        <v>1911</v>
      </c>
    </row>
    <row r="267" spans="1:91" x14ac:dyDescent="0.3">
      <c r="A267" t="s">
        <v>727</v>
      </c>
      <c r="B267">
        <v>50043</v>
      </c>
      <c r="D267">
        <v>12</v>
      </c>
      <c r="Q267">
        <v>121200</v>
      </c>
      <c r="U267">
        <v>100</v>
      </c>
      <c r="Y267">
        <v>100</v>
      </c>
      <c r="AA267">
        <v>101</v>
      </c>
      <c r="AC267" s="3">
        <v>101</v>
      </c>
      <c r="AE267" s="3">
        <v>100.62</v>
      </c>
      <c r="AI267">
        <v>101</v>
      </c>
      <c r="AK267" s="3"/>
      <c r="AV267" t="s">
        <v>382</v>
      </c>
      <c r="AX267" t="s">
        <v>382</v>
      </c>
      <c r="AZ267" t="s">
        <v>382</v>
      </c>
      <c r="BB267" t="s">
        <v>382</v>
      </c>
      <c r="BO267" t="s">
        <v>367</v>
      </c>
      <c r="BT267">
        <v>3</v>
      </c>
      <c r="BU267">
        <v>18</v>
      </c>
      <c r="BV267">
        <v>9</v>
      </c>
      <c r="BX267">
        <v>102</v>
      </c>
      <c r="BZ267">
        <v>99.5</v>
      </c>
      <c r="CB267">
        <v>1931</v>
      </c>
      <c r="CD267" t="s">
        <v>385</v>
      </c>
      <c r="CK267" t="s">
        <v>360</v>
      </c>
      <c r="CM267">
        <v>1911</v>
      </c>
    </row>
    <row r="268" spans="1:91" x14ac:dyDescent="0.3">
      <c r="A268" t="s">
        <v>727</v>
      </c>
      <c r="B268">
        <v>50045</v>
      </c>
      <c r="C268" t="s">
        <v>728</v>
      </c>
      <c r="D268">
        <v>12</v>
      </c>
      <c r="Q268">
        <v>244900</v>
      </c>
      <c r="U268">
        <v>100</v>
      </c>
      <c r="Y268">
        <v>100</v>
      </c>
      <c r="AA268">
        <v>101</v>
      </c>
      <c r="AC268" s="3">
        <v>101.37</v>
      </c>
      <c r="AE268" s="3">
        <v>101</v>
      </c>
      <c r="AI268">
        <v>101</v>
      </c>
      <c r="AK268" s="3"/>
      <c r="AV268" t="s">
        <v>374</v>
      </c>
      <c r="AX268" t="s">
        <v>374</v>
      </c>
      <c r="AZ268" t="s">
        <v>374</v>
      </c>
      <c r="BB268" t="s">
        <v>374</v>
      </c>
      <c r="BO268" t="s">
        <v>367</v>
      </c>
      <c r="BT268">
        <v>4</v>
      </c>
      <c r="BU268">
        <v>0</v>
      </c>
      <c r="BV268">
        <v>6</v>
      </c>
      <c r="BX268">
        <v>102</v>
      </c>
      <c r="BZ268">
        <v>99.75</v>
      </c>
      <c r="CB268" t="s">
        <v>729</v>
      </c>
      <c r="CD268" t="s">
        <v>385</v>
      </c>
      <c r="CM268">
        <v>1911</v>
      </c>
    </row>
    <row r="269" spans="1:91" x14ac:dyDescent="0.3">
      <c r="A269" t="s">
        <v>727</v>
      </c>
      <c r="B269">
        <v>50046</v>
      </c>
      <c r="C269" t="s">
        <v>684</v>
      </c>
      <c r="D269">
        <v>12</v>
      </c>
      <c r="Q269">
        <v>815500</v>
      </c>
      <c r="U269">
        <v>100</v>
      </c>
      <c r="Y269">
        <v>100</v>
      </c>
      <c r="AA269">
        <v>101</v>
      </c>
      <c r="AC269" s="3">
        <v>101.62</v>
      </c>
      <c r="AE269" s="3">
        <v>101</v>
      </c>
      <c r="AI269">
        <v>101</v>
      </c>
      <c r="AK269" s="3"/>
      <c r="AV269" t="s">
        <v>374</v>
      </c>
      <c r="AX269" t="s">
        <v>374</v>
      </c>
      <c r="AZ269" t="s">
        <v>374</v>
      </c>
      <c r="BB269" t="s">
        <v>374</v>
      </c>
      <c r="BO269" t="s">
        <v>367</v>
      </c>
      <c r="BT269">
        <v>4</v>
      </c>
      <c r="BU269">
        <v>0</v>
      </c>
      <c r="BV269">
        <v>6</v>
      </c>
      <c r="BX269">
        <v>102.87</v>
      </c>
      <c r="BZ269">
        <v>100</v>
      </c>
      <c r="CB269" t="s">
        <v>730</v>
      </c>
      <c r="CD269" t="s">
        <v>385</v>
      </c>
      <c r="CM269">
        <v>1911</v>
      </c>
    </row>
    <row r="270" spans="1:91" x14ac:dyDescent="0.3">
      <c r="A270" t="s">
        <v>727</v>
      </c>
      <c r="B270">
        <v>50047</v>
      </c>
      <c r="C270" t="s">
        <v>701</v>
      </c>
      <c r="D270">
        <v>12</v>
      </c>
      <c r="Q270">
        <v>579000</v>
      </c>
      <c r="V270" t="s">
        <v>350</v>
      </c>
      <c r="Y270">
        <v>100</v>
      </c>
      <c r="AA270">
        <v>101</v>
      </c>
      <c r="AC270" s="3">
        <v>101</v>
      </c>
      <c r="AE270" s="3">
        <v>101</v>
      </c>
      <c r="AI270">
        <v>101</v>
      </c>
      <c r="AK270" s="3"/>
      <c r="AV270" t="s">
        <v>374</v>
      </c>
      <c r="AX270" t="s">
        <v>374</v>
      </c>
      <c r="AZ270" t="s">
        <v>374</v>
      </c>
      <c r="BB270" t="s">
        <v>374</v>
      </c>
      <c r="BO270" t="s">
        <v>367</v>
      </c>
      <c r="BT270">
        <v>4</v>
      </c>
      <c r="BU270">
        <v>0</v>
      </c>
      <c r="BV270">
        <v>6</v>
      </c>
      <c r="BY270" t="s">
        <v>385</v>
      </c>
      <c r="CA270" t="s">
        <v>385</v>
      </c>
      <c r="CB270">
        <v>1951</v>
      </c>
      <c r="CD270" t="s">
        <v>385</v>
      </c>
      <c r="CM270">
        <v>1911</v>
      </c>
    </row>
    <row r="271" spans="1:91" x14ac:dyDescent="0.3">
      <c r="A271" t="s">
        <v>731</v>
      </c>
      <c r="B271">
        <v>50089</v>
      </c>
      <c r="D271">
        <v>12</v>
      </c>
      <c r="Q271">
        <v>315100</v>
      </c>
      <c r="U271">
        <v>100</v>
      </c>
      <c r="Y271">
        <v>100</v>
      </c>
      <c r="AA271">
        <v>100</v>
      </c>
      <c r="AC271" s="3">
        <v>100.75</v>
      </c>
      <c r="AE271" s="3">
        <v>99.62</v>
      </c>
      <c r="AI271">
        <v>101</v>
      </c>
      <c r="AK271" s="3"/>
      <c r="AV271" t="s">
        <v>732</v>
      </c>
      <c r="AX271" t="s">
        <v>732</v>
      </c>
      <c r="AZ271" t="s">
        <v>732</v>
      </c>
      <c r="BB271" t="s">
        <v>732</v>
      </c>
      <c r="BO271" t="s">
        <v>367</v>
      </c>
      <c r="BT271">
        <v>4</v>
      </c>
      <c r="BU271">
        <v>2</v>
      </c>
      <c r="BV271">
        <v>6</v>
      </c>
      <c r="BX271">
        <v>101.75</v>
      </c>
      <c r="BZ271">
        <v>99</v>
      </c>
      <c r="CB271" t="s">
        <v>410</v>
      </c>
      <c r="CD271" t="s">
        <v>385</v>
      </c>
      <c r="CK271" t="s">
        <v>360</v>
      </c>
      <c r="CM271">
        <v>1911</v>
      </c>
    </row>
    <row r="272" spans="1:91" x14ac:dyDescent="0.3">
      <c r="A272" t="s">
        <v>733</v>
      </c>
      <c r="B272">
        <v>50332</v>
      </c>
      <c r="D272">
        <v>12</v>
      </c>
      <c r="Q272">
        <v>100000</v>
      </c>
      <c r="U272">
        <v>100</v>
      </c>
      <c r="Y272">
        <v>100</v>
      </c>
      <c r="AA272">
        <v>106.5</v>
      </c>
      <c r="AC272" s="3">
        <v>106.5</v>
      </c>
      <c r="AE272" s="3">
        <v>106.5</v>
      </c>
      <c r="AI272">
        <v>106.5</v>
      </c>
      <c r="AK272" s="3"/>
      <c r="AV272" t="s">
        <v>663</v>
      </c>
      <c r="AX272" t="s">
        <v>663</v>
      </c>
      <c r="AZ272" t="s">
        <v>663</v>
      </c>
      <c r="BB272" t="s">
        <v>663</v>
      </c>
      <c r="BO272" t="s">
        <v>367</v>
      </c>
      <c r="BT272">
        <v>4</v>
      </c>
      <c r="BU272">
        <v>11</v>
      </c>
      <c r="BV272">
        <v>3</v>
      </c>
      <c r="BX272">
        <v>108.75</v>
      </c>
      <c r="BZ272">
        <v>105</v>
      </c>
      <c r="CB272" t="s">
        <v>521</v>
      </c>
      <c r="CD272" t="s">
        <v>385</v>
      </c>
      <c r="CK272" t="s">
        <v>360</v>
      </c>
      <c r="CM272">
        <v>1911</v>
      </c>
    </row>
    <row r="273" spans="1:91" x14ac:dyDescent="0.3">
      <c r="A273" t="s">
        <v>733</v>
      </c>
      <c r="B273">
        <v>50335</v>
      </c>
      <c r="C273" t="s">
        <v>734</v>
      </c>
      <c r="D273">
        <v>12</v>
      </c>
      <c r="Q273">
        <v>130000</v>
      </c>
      <c r="U273">
        <v>100</v>
      </c>
      <c r="Y273">
        <v>100</v>
      </c>
      <c r="AA273">
        <v>122.5</v>
      </c>
      <c r="AC273" s="3">
        <v>122.5</v>
      </c>
      <c r="AE273" s="3">
        <v>122</v>
      </c>
      <c r="AI273">
        <v>122.5</v>
      </c>
      <c r="AK273" s="3"/>
      <c r="AV273" t="s">
        <v>415</v>
      </c>
      <c r="AX273" t="s">
        <v>415</v>
      </c>
      <c r="AZ273" t="s">
        <v>415</v>
      </c>
      <c r="BB273" t="s">
        <v>415</v>
      </c>
      <c r="BO273" t="s">
        <v>367</v>
      </c>
      <c r="BT273">
        <v>4</v>
      </c>
      <c r="BU273">
        <v>7</v>
      </c>
      <c r="BV273">
        <v>6</v>
      </c>
      <c r="BX273">
        <v>122.5</v>
      </c>
      <c r="BZ273">
        <v>116</v>
      </c>
      <c r="CB273">
        <v>1929</v>
      </c>
      <c r="CD273" t="s">
        <v>385</v>
      </c>
      <c r="CK273" t="s">
        <v>360</v>
      </c>
      <c r="CM273">
        <v>1911</v>
      </c>
    </row>
    <row r="274" spans="1:91" x14ac:dyDescent="0.3">
      <c r="A274" t="s">
        <v>733</v>
      </c>
      <c r="B274">
        <v>50336</v>
      </c>
      <c r="C274" t="s">
        <v>735</v>
      </c>
      <c r="D274">
        <v>12</v>
      </c>
      <c r="Q274">
        <v>165000</v>
      </c>
      <c r="U274">
        <v>100</v>
      </c>
      <c r="Y274">
        <v>100</v>
      </c>
      <c r="AA274">
        <v>104</v>
      </c>
      <c r="AC274" s="3">
        <v>104</v>
      </c>
      <c r="AE274" s="3">
        <v>104</v>
      </c>
      <c r="AI274">
        <v>104</v>
      </c>
      <c r="AK274" s="3"/>
      <c r="AV274" t="s">
        <v>407</v>
      </c>
      <c r="AX274" t="s">
        <v>407</v>
      </c>
      <c r="AZ274" t="s">
        <v>407</v>
      </c>
      <c r="BB274" t="s">
        <v>407</v>
      </c>
      <c r="BO274" t="s">
        <v>367</v>
      </c>
      <c r="BT274">
        <v>4</v>
      </c>
      <c r="BU274">
        <v>8</v>
      </c>
      <c r="BV274">
        <v>9</v>
      </c>
      <c r="BX274">
        <v>105</v>
      </c>
      <c r="BZ274">
        <v>102.75</v>
      </c>
      <c r="CB274">
        <v>1933</v>
      </c>
      <c r="CD274" t="s">
        <v>385</v>
      </c>
      <c r="CM274">
        <v>1911</v>
      </c>
    </row>
    <row r="275" spans="1:91" x14ac:dyDescent="0.3">
      <c r="A275" t="s">
        <v>733</v>
      </c>
      <c r="B275">
        <v>50337</v>
      </c>
      <c r="C275" t="s">
        <v>718</v>
      </c>
      <c r="D275">
        <v>12</v>
      </c>
      <c r="Q275">
        <v>330000</v>
      </c>
      <c r="U275">
        <v>100</v>
      </c>
      <c r="Y275">
        <v>100</v>
      </c>
      <c r="AA275">
        <v>101</v>
      </c>
      <c r="AC275" s="3">
        <v>101.5</v>
      </c>
      <c r="AE275" s="3">
        <v>101</v>
      </c>
      <c r="AI275">
        <v>101</v>
      </c>
      <c r="AK275" s="3"/>
      <c r="AV275" t="s">
        <v>415</v>
      </c>
      <c r="AX275" t="s">
        <v>415</v>
      </c>
      <c r="AZ275" t="s">
        <v>415</v>
      </c>
      <c r="BB275" t="s">
        <v>415</v>
      </c>
      <c r="BO275" t="s">
        <v>367</v>
      </c>
      <c r="BT275">
        <v>4</v>
      </c>
      <c r="BU275">
        <v>1</v>
      </c>
      <c r="BV275">
        <v>0</v>
      </c>
      <c r="BX275">
        <v>102.62</v>
      </c>
      <c r="BZ275">
        <v>99.62</v>
      </c>
      <c r="CB275">
        <v>1932</v>
      </c>
      <c r="CD275" t="s">
        <v>385</v>
      </c>
      <c r="CM275">
        <v>1911</v>
      </c>
    </row>
    <row r="276" spans="1:91" x14ac:dyDescent="0.3">
      <c r="A276" t="s">
        <v>736</v>
      </c>
      <c r="B276">
        <v>50575</v>
      </c>
      <c r="D276">
        <v>12</v>
      </c>
      <c r="Q276">
        <v>138000</v>
      </c>
      <c r="U276">
        <v>100</v>
      </c>
      <c r="Y276">
        <v>100</v>
      </c>
      <c r="AA276">
        <v>103</v>
      </c>
      <c r="AC276" s="3">
        <v>103</v>
      </c>
      <c r="AE276" s="3">
        <v>103</v>
      </c>
      <c r="AI276">
        <v>103</v>
      </c>
      <c r="AK276" s="3"/>
      <c r="AV276" t="s">
        <v>407</v>
      </c>
      <c r="AX276" t="s">
        <v>407</v>
      </c>
      <c r="AZ276" t="s">
        <v>407</v>
      </c>
      <c r="BB276" t="s">
        <v>407</v>
      </c>
      <c r="BO276" t="s">
        <v>367</v>
      </c>
      <c r="BT276">
        <v>4</v>
      </c>
      <c r="BU276">
        <v>7</v>
      </c>
      <c r="BV276">
        <v>6</v>
      </c>
      <c r="BX276">
        <v>105</v>
      </c>
      <c r="BZ276">
        <v>102</v>
      </c>
      <c r="CB276">
        <v>1914</v>
      </c>
      <c r="CD276" t="s">
        <v>385</v>
      </c>
      <c r="CK276" t="s">
        <v>360</v>
      </c>
      <c r="CM276">
        <v>1911</v>
      </c>
    </row>
    <row r="277" spans="1:91" x14ac:dyDescent="0.3">
      <c r="A277" t="s">
        <v>736</v>
      </c>
      <c r="B277">
        <v>50579</v>
      </c>
      <c r="C277" t="s">
        <v>728</v>
      </c>
      <c r="D277">
        <v>12</v>
      </c>
      <c r="Q277">
        <v>308700</v>
      </c>
      <c r="U277">
        <v>100</v>
      </c>
      <c r="Y277">
        <v>100</v>
      </c>
      <c r="AA277">
        <v>101</v>
      </c>
      <c r="AC277" s="3">
        <v>101.75</v>
      </c>
      <c r="AE277" s="3">
        <v>101</v>
      </c>
      <c r="AI277">
        <v>101</v>
      </c>
      <c r="AK277" s="3"/>
      <c r="AV277" t="s">
        <v>407</v>
      </c>
      <c r="AX277" t="s">
        <v>407</v>
      </c>
      <c r="AZ277" t="s">
        <v>407</v>
      </c>
      <c r="BB277" t="s">
        <v>407</v>
      </c>
      <c r="BO277" t="s">
        <v>367</v>
      </c>
      <c r="BT277">
        <v>4</v>
      </c>
      <c r="BU277">
        <v>2</v>
      </c>
      <c r="BV277">
        <v>0</v>
      </c>
      <c r="BX277">
        <v>103</v>
      </c>
      <c r="BZ277">
        <v>99</v>
      </c>
      <c r="CB277" t="s">
        <v>737</v>
      </c>
      <c r="CD277" t="s">
        <v>385</v>
      </c>
      <c r="CM277">
        <v>1911</v>
      </c>
    </row>
    <row r="278" spans="1:91" x14ac:dyDescent="0.3">
      <c r="A278" t="s">
        <v>736</v>
      </c>
      <c r="B278">
        <v>50578</v>
      </c>
      <c r="C278" t="s">
        <v>738</v>
      </c>
      <c r="D278">
        <v>12</v>
      </c>
      <c r="Q278" s="2">
        <v>2500000</v>
      </c>
      <c r="U278">
        <v>100</v>
      </c>
      <c r="Y278">
        <v>100</v>
      </c>
      <c r="AA278">
        <v>102</v>
      </c>
      <c r="AC278" s="3">
        <v>102.5</v>
      </c>
      <c r="AE278" s="3">
        <v>102</v>
      </c>
      <c r="AI278">
        <v>102</v>
      </c>
      <c r="AK278" s="3"/>
      <c r="AV278" t="s">
        <v>382</v>
      </c>
      <c r="AX278" t="s">
        <v>382</v>
      </c>
      <c r="AZ278" t="s">
        <v>382</v>
      </c>
      <c r="BB278" t="s">
        <v>382</v>
      </c>
      <c r="BO278" t="s">
        <v>367</v>
      </c>
      <c r="BT278">
        <v>3</v>
      </c>
      <c r="BU278">
        <v>18</v>
      </c>
      <c r="BV278">
        <v>0</v>
      </c>
      <c r="BX278">
        <v>103.5</v>
      </c>
      <c r="BZ278">
        <v>100.75</v>
      </c>
      <c r="CB278">
        <v>1940</v>
      </c>
      <c r="CD278" t="s">
        <v>385</v>
      </c>
      <c r="CM278">
        <v>1911</v>
      </c>
    </row>
    <row r="279" spans="1:91" x14ac:dyDescent="0.3">
      <c r="A279" t="s">
        <v>736</v>
      </c>
      <c r="B279">
        <v>50581</v>
      </c>
      <c r="C279" t="s">
        <v>739</v>
      </c>
      <c r="D279">
        <v>12</v>
      </c>
      <c r="Q279">
        <v>900000</v>
      </c>
      <c r="V279" t="s">
        <v>350</v>
      </c>
      <c r="Y279">
        <v>100</v>
      </c>
      <c r="AA279">
        <v>102</v>
      </c>
      <c r="AC279" s="3">
        <v>102.5</v>
      </c>
      <c r="AE279" s="3">
        <v>102</v>
      </c>
      <c r="AI279">
        <v>102</v>
      </c>
      <c r="AK279" s="3"/>
      <c r="AV279" t="s">
        <v>415</v>
      </c>
      <c r="AX279" t="s">
        <v>415</v>
      </c>
      <c r="AZ279" t="s">
        <v>415</v>
      </c>
      <c r="BB279" t="s">
        <v>415</v>
      </c>
      <c r="BO279" t="s">
        <v>367</v>
      </c>
      <c r="BT279">
        <v>3</v>
      </c>
      <c r="BU279">
        <v>19</v>
      </c>
      <c r="BV279">
        <v>0</v>
      </c>
      <c r="BY279" t="s">
        <v>385</v>
      </c>
      <c r="CA279" t="s">
        <v>385</v>
      </c>
      <c r="CB279" t="s">
        <v>430</v>
      </c>
      <c r="CD279" t="s">
        <v>385</v>
      </c>
      <c r="CM279">
        <v>1911</v>
      </c>
    </row>
    <row r="280" spans="1:91" x14ac:dyDescent="0.3">
      <c r="A280" t="s">
        <v>740</v>
      </c>
      <c r="B280">
        <v>50630</v>
      </c>
      <c r="D280">
        <v>12</v>
      </c>
      <c r="Q280">
        <v>238400</v>
      </c>
      <c r="V280" t="s">
        <v>350</v>
      </c>
      <c r="Y280">
        <v>100</v>
      </c>
      <c r="AA280">
        <v>98</v>
      </c>
      <c r="AC280" s="3">
        <v>98</v>
      </c>
      <c r="AE280" s="3">
        <v>97</v>
      </c>
      <c r="AI280">
        <v>97</v>
      </c>
      <c r="AK280" s="3"/>
      <c r="AV280" t="s">
        <v>394</v>
      </c>
      <c r="AX280" t="s">
        <v>394</v>
      </c>
      <c r="AZ280" t="s">
        <v>394</v>
      </c>
      <c r="BB280" t="s">
        <v>394</v>
      </c>
      <c r="BO280" t="s">
        <v>367</v>
      </c>
      <c r="BT280">
        <v>4</v>
      </c>
      <c r="BU280">
        <v>5</v>
      </c>
      <c r="BV280">
        <v>0</v>
      </c>
      <c r="BX280">
        <v>99</v>
      </c>
      <c r="BZ280">
        <v>96</v>
      </c>
      <c r="CB280">
        <v>1955</v>
      </c>
      <c r="CD280" t="s">
        <v>385</v>
      </c>
      <c r="CK280" t="s">
        <v>360</v>
      </c>
      <c r="CM280">
        <v>1911</v>
      </c>
    </row>
    <row r="281" spans="1:91" x14ac:dyDescent="0.3">
      <c r="A281" t="s">
        <v>741</v>
      </c>
      <c r="B281">
        <v>40032</v>
      </c>
      <c r="D281">
        <v>12</v>
      </c>
      <c r="Q281">
        <v>489300</v>
      </c>
      <c r="V281" t="s">
        <v>350</v>
      </c>
      <c r="Z281" t="s">
        <v>385</v>
      </c>
      <c r="AA281">
        <v>96</v>
      </c>
      <c r="AC281" s="3">
        <v>96</v>
      </c>
      <c r="AE281" s="3">
        <v>94</v>
      </c>
      <c r="AI281">
        <v>95</v>
      </c>
      <c r="AK281" s="3"/>
      <c r="AV281" t="s">
        <v>576</v>
      </c>
      <c r="AX281" t="s">
        <v>576</v>
      </c>
      <c r="AZ281" t="s">
        <v>576</v>
      </c>
      <c r="BB281" t="s">
        <v>576</v>
      </c>
      <c r="BO281" t="s">
        <v>367</v>
      </c>
      <c r="BT281">
        <v>4</v>
      </c>
      <c r="BU281">
        <v>4</v>
      </c>
      <c r="BV281">
        <v>3</v>
      </c>
      <c r="BX281">
        <v>97</v>
      </c>
      <c r="BZ281">
        <v>92.62</v>
      </c>
      <c r="CC281" t="s">
        <v>742</v>
      </c>
      <c r="CD281" t="s">
        <v>385</v>
      </c>
      <c r="CK281" t="s">
        <v>360</v>
      </c>
      <c r="CM281">
        <v>1911</v>
      </c>
    </row>
    <row r="282" spans="1:91" x14ac:dyDescent="0.3">
      <c r="A282" t="s">
        <v>743</v>
      </c>
      <c r="B282">
        <v>50718</v>
      </c>
      <c r="D282">
        <v>12</v>
      </c>
      <c r="Q282">
        <v>502000</v>
      </c>
      <c r="U282">
        <v>100</v>
      </c>
      <c r="Y282">
        <v>100</v>
      </c>
      <c r="AA282">
        <v>101.5</v>
      </c>
      <c r="AC282" s="3">
        <v>101.75</v>
      </c>
      <c r="AE282" s="3">
        <v>101.25</v>
      </c>
      <c r="AI282">
        <v>101.5</v>
      </c>
      <c r="AK282" s="3"/>
      <c r="AV282" t="s">
        <v>394</v>
      </c>
      <c r="AX282" t="s">
        <v>394</v>
      </c>
      <c r="AZ282" t="s">
        <v>394</v>
      </c>
      <c r="BB282" t="s">
        <v>394</v>
      </c>
      <c r="BO282" t="s">
        <v>367</v>
      </c>
      <c r="BT282">
        <v>4</v>
      </c>
      <c r="BU282">
        <v>0</v>
      </c>
      <c r="BV282">
        <v>0</v>
      </c>
      <c r="BX282">
        <v>102</v>
      </c>
      <c r="BZ282">
        <v>99.75</v>
      </c>
      <c r="CC282" t="s">
        <v>742</v>
      </c>
      <c r="CD282" t="s">
        <v>385</v>
      </c>
      <c r="CM282">
        <v>1911</v>
      </c>
    </row>
    <row r="283" spans="1:91" x14ac:dyDescent="0.3">
      <c r="A283" t="s">
        <v>744</v>
      </c>
      <c r="B283">
        <v>40268</v>
      </c>
      <c r="D283">
        <v>12</v>
      </c>
      <c r="Q283" s="2">
        <v>10312000</v>
      </c>
      <c r="R283" t="s">
        <v>745</v>
      </c>
      <c r="V283" t="s">
        <v>350</v>
      </c>
      <c r="Y283">
        <v>100</v>
      </c>
      <c r="AA283">
        <v>91.5</v>
      </c>
      <c r="AC283" s="3">
        <v>93</v>
      </c>
      <c r="AE283" s="3">
        <v>89.5</v>
      </c>
      <c r="AI283">
        <v>89.5</v>
      </c>
      <c r="AK283" s="3"/>
      <c r="AV283" t="s">
        <v>382</v>
      </c>
      <c r="AX283" t="s">
        <v>382</v>
      </c>
      <c r="AZ283" t="s">
        <v>382</v>
      </c>
      <c r="BB283" t="s">
        <v>382</v>
      </c>
      <c r="BO283" t="s">
        <v>367</v>
      </c>
      <c r="BT283">
        <v>3</v>
      </c>
      <c r="BU283">
        <v>7</v>
      </c>
      <c r="BV283">
        <v>0</v>
      </c>
      <c r="BX283">
        <v>93</v>
      </c>
      <c r="BZ283">
        <v>89.5</v>
      </c>
      <c r="CC283" t="s">
        <v>742</v>
      </c>
      <c r="CD283" t="s">
        <v>385</v>
      </c>
      <c r="CM283">
        <v>1911</v>
      </c>
    </row>
    <row r="284" spans="1:91" x14ac:dyDescent="0.3">
      <c r="A284" t="s">
        <v>746</v>
      </c>
      <c r="B284">
        <v>40730</v>
      </c>
      <c r="D284">
        <v>12</v>
      </c>
      <c r="Q284">
        <v>500000</v>
      </c>
      <c r="V284" t="s">
        <v>385</v>
      </c>
      <c r="Z284" t="s">
        <v>385</v>
      </c>
      <c r="AA284">
        <v>93</v>
      </c>
      <c r="AC284" s="3">
        <v>93.25</v>
      </c>
      <c r="AE284" s="3">
        <v>92.75</v>
      </c>
      <c r="AI284">
        <v>93</v>
      </c>
      <c r="AK284" s="3"/>
      <c r="AV284" t="s">
        <v>415</v>
      </c>
      <c r="AX284" t="s">
        <v>415</v>
      </c>
      <c r="AZ284" t="s">
        <v>415</v>
      </c>
      <c r="BB284" t="s">
        <v>415</v>
      </c>
      <c r="BO284" t="s">
        <v>367</v>
      </c>
      <c r="BT284">
        <v>5</v>
      </c>
      <c r="BU284">
        <v>7</v>
      </c>
      <c r="BV284">
        <v>9</v>
      </c>
      <c r="BX284">
        <v>96.37</v>
      </c>
      <c r="BZ284">
        <v>91.75</v>
      </c>
      <c r="CB284" t="s">
        <v>747</v>
      </c>
      <c r="CD284" t="s">
        <v>385</v>
      </c>
      <c r="CM284">
        <v>1911</v>
      </c>
    </row>
    <row r="285" spans="1:91" x14ac:dyDescent="0.3">
      <c r="A285" t="s">
        <v>748</v>
      </c>
      <c r="B285">
        <v>40755</v>
      </c>
      <c r="D285">
        <v>12</v>
      </c>
      <c r="Q285">
        <v>800000</v>
      </c>
      <c r="U285">
        <v>100</v>
      </c>
      <c r="Y285">
        <v>100</v>
      </c>
      <c r="AA285">
        <v>97.5</v>
      </c>
      <c r="AC285" s="3">
        <v>98</v>
      </c>
      <c r="AE285" s="3">
        <v>97.12</v>
      </c>
      <c r="AI285">
        <v>98</v>
      </c>
      <c r="AK285" s="3"/>
      <c r="AV285" t="s">
        <v>476</v>
      </c>
      <c r="AX285" t="s">
        <v>476</v>
      </c>
      <c r="AZ285" t="s">
        <v>476</v>
      </c>
      <c r="BB285" t="s">
        <v>476</v>
      </c>
      <c r="BO285" t="s">
        <v>367</v>
      </c>
      <c r="BT285">
        <v>5</v>
      </c>
      <c r="BU285">
        <v>3</v>
      </c>
      <c r="BV285">
        <v>0</v>
      </c>
      <c r="BX285">
        <v>98.5</v>
      </c>
      <c r="BZ285">
        <v>94.75</v>
      </c>
      <c r="CC285" t="s">
        <v>742</v>
      </c>
      <c r="CD285" t="s">
        <v>385</v>
      </c>
      <c r="CM285">
        <v>1911</v>
      </c>
    </row>
    <row r="286" spans="1:91" x14ac:dyDescent="0.3">
      <c r="A286" t="s">
        <v>749</v>
      </c>
      <c r="B286">
        <v>40950</v>
      </c>
      <c r="D286">
        <v>12</v>
      </c>
      <c r="Q286">
        <v>221640</v>
      </c>
      <c r="V286" t="s">
        <v>385</v>
      </c>
      <c r="Z286" t="s">
        <v>385</v>
      </c>
      <c r="AA286">
        <v>104</v>
      </c>
      <c r="AC286" s="3">
        <v>105.25</v>
      </c>
      <c r="AE286" s="3">
        <v>104</v>
      </c>
      <c r="AI286">
        <v>105</v>
      </c>
      <c r="AK286" s="3"/>
      <c r="AV286" t="s">
        <v>376</v>
      </c>
      <c r="AX286" t="s">
        <v>376</v>
      </c>
      <c r="AZ286" t="s">
        <v>376</v>
      </c>
      <c r="BB286" t="s">
        <v>376</v>
      </c>
      <c r="BO286" t="s">
        <v>367</v>
      </c>
      <c r="BT286">
        <v>5</v>
      </c>
      <c r="BU286">
        <v>14</v>
      </c>
      <c r="BV286">
        <v>3</v>
      </c>
      <c r="BX286">
        <v>105.5</v>
      </c>
      <c r="BZ286">
        <v>101</v>
      </c>
      <c r="CC286" t="s">
        <v>742</v>
      </c>
      <c r="CD286" t="s">
        <v>385</v>
      </c>
      <c r="CM286">
        <v>1911</v>
      </c>
    </row>
    <row r="287" spans="1:91" x14ac:dyDescent="0.3">
      <c r="A287" t="s">
        <v>750</v>
      </c>
      <c r="B287">
        <v>41016</v>
      </c>
      <c r="D287">
        <v>12</v>
      </c>
      <c r="Q287">
        <v>254000</v>
      </c>
      <c r="U287">
        <v>100</v>
      </c>
      <c r="Y287">
        <v>100</v>
      </c>
      <c r="AA287">
        <v>99</v>
      </c>
      <c r="AC287" s="3">
        <v>99</v>
      </c>
      <c r="AE287" s="3">
        <v>99</v>
      </c>
      <c r="AI287">
        <v>99</v>
      </c>
      <c r="AK287" s="3"/>
      <c r="AV287" t="s">
        <v>663</v>
      </c>
      <c r="AX287" t="s">
        <v>663</v>
      </c>
      <c r="AZ287" t="s">
        <v>663</v>
      </c>
      <c r="BB287" t="s">
        <v>663</v>
      </c>
      <c r="BO287" t="s">
        <v>367</v>
      </c>
      <c r="BT287">
        <v>4</v>
      </c>
      <c r="BU287">
        <v>1</v>
      </c>
      <c r="BV287">
        <v>3</v>
      </c>
      <c r="BX287">
        <v>99.75</v>
      </c>
      <c r="BZ287">
        <v>97</v>
      </c>
      <c r="CC287" t="s">
        <v>742</v>
      </c>
      <c r="CD287" t="s">
        <v>385</v>
      </c>
      <c r="CM287">
        <v>1911</v>
      </c>
    </row>
    <row r="288" spans="1:91" x14ac:dyDescent="0.3">
      <c r="A288" t="s">
        <v>750</v>
      </c>
      <c r="B288">
        <v>41017</v>
      </c>
      <c r="C288" t="s">
        <v>751</v>
      </c>
      <c r="D288">
        <v>12</v>
      </c>
      <c r="Q288">
        <v>366400</v>
      </c>
      <c r="U288">
        <v>100</v>
      </c>
      <c r="Y288">
        <v>100</v>
      </c>
      <c r="AA288">
        <v>97</v>
      </c>
      <c r="AC288" s="3">
        <v>98</v>
      </c>
      <c r="AE288" s="3">
        <v>97</v>
      </c>
      <c r="AI288">
        <v>97</v>
      </c>
      <c r="AK288" s="3"/>
      <c r="AV288" t="s">
        <v>376</v>
      </c>
      <c r="AX288" t="s">
        <v>376</v>
      </c>
      <c r="AZ288" t="s">
        <v>376</v>
      </c>
      <c r="BB288" t="s">
        <v>376</v>
      </c>
      <c r="BO288" t="s">
        <v>367</v>
      </c>
      <c r="BT288">
        <v>4</v>
      </c>
      <c r="BU288">
        <v>3</v>
      </c>
      <c r="BV288">
        <v>6</v>
      </c>
      <c r="BX288">
        <v>100</v>
      </c>
      <c r="BZ288">
        <v>96</v>
      </c>
      <c r="CC288" t="s">
        <v>742</v>
      </c>
      <c r="CD288" t="s">
        <v>385</v>
      </c>
      <c r="CM288">
        <v>1911</v>
      </c>
    </row>
    <row r="289" spans="1:91" x14ac:dyDescent="0.3">
      <c r="A289" t="s">
        <v>752</v>
      </c>
      <c r="B289">
        <v>41833</v>
      </c>
      <c r="D289">
        <v>12</v>
      </c>
      <c r="Q289" s="2">
        <v>1980400</v>
      </c>
      <c r="U289">
        <v>100</v>
      </c>
      <c r="Y289">
        <v>100</v>
      </c>
      <c r="AA289">
        <v>90.5</v>
      </c>
      <c r="AC289" s="3">
        <v>91.37</v>
      </c>
      <c r="AE289" s="3">
        <v>90.25</v>
      </c>
      <c r="AI289">
        <v>90.5</v>
      </c>
      <c r="AK289" s="3"/>
      <c r="AV289" t="s">
        <v>374</v>
      </c>
      <c r="AX289" t="s">
        <v>374</v>
      </c>
      <c r="AZ289" t="s">
        <v>374</v>
      </c>
      <c r="BB289" t="s">
        <v>374</v>
      </c>
      <c r="BO289" t="s">
        <v>367</v>
      </c>
      <c r="BT289">
        <v>4</v>
      </c>
      <c r="BU289">
        <v>8</v>
      </c>
      <c r="BV289">
        <v>9</v>
      </c>
      <c r="BX289">
        <v>92.87</v>
      </c>
      <c r="BZ289">
        <v>89.25</v>
      </c>
      <c r="CC289" t="s">
        <v>742</v>
      </c>
      <c r="CD289" t="s">
        <v>385</v>
      </c>
      <c r="CM289">
        <v>1911</v>
      </c>
    </row>
    <row r="290" spans="1:91" x14ac:dyDescent="0.3">
      <c r="A290" t="s">
        <v>753</v>
      </c>
      <c r="B290">
        <v>41839</v>
      </c>
      <c r="D290">
        <v>12</v>
      </c>
      <c r="Q290">
        <v>796500</v>
      </c>
      <c r="U290">
        <v>100</v>
      </c>
      <c r="Y290">
        <v>100</v>
      </c>
      <c r="AA290">
        <v>97</v>
      </c>
      <c r="AC290" s="3">
        <v>97</v>
      </c>
      <c r="AE290" s="3">
        <v>95</v>
      </c>
      <c r="AI290">
        <v>97</v>
      </c>
      <c r="AK290" s="3"/>
      <c r="AV290" t="s">
        <v>421</v>
      </c>
      <c r="AX290" t="s">
        <v>421</v>
      </c>
      <c r="AZ290" t="s">
        <v>421</v>
      </c>
      <c r="BB290" t="s">
        <v>421</v>
      </c>
      <c r="BO290" t="s">
        <v>367</v>
      </c>
      <c r="BT290">
        <v>4</v>
      </c>
      <c r="BU290">
        <v>13</v>
      </c>
      <c r="BV290">
        <v>0</v>
      </c>
      <c r="BX290">
        <v>100.5</v>
      </c>
      <c r="BZ290">
        <v>93.5</v>
      </c>
      <c r="CC290" t="s">
        <v>742</v>
      </c>
      <c r="CD290" t="s">
        <v>385</v>
      </c>
      <c r="CK290" t="s">
        <v>360</v>
      </c>
      <c r="CM290">
        <v>1911</v>
      </c>
    </row>
    <row r="291" spans="1:91" x14ac:dyDescent="0.3">
      <c r="A291" t="s">
        <v>753</v>
      </c>
      <c r="B291">
        <v>41842</v>
      </c>
      <c r="C291" t="s">
        <v>754</v>
      </c>
      <c r="D291">
        <v>12</v>
      </c>
      <c r="Q291" s="2">
        <v>1465840</v>
      </c>
      <c r="U291">
        <v>100</v>
      </c>
      <c r="Y291">
        <v>100</v>
      </c>
      <c r="AA291">
        <v>102.5</v>
      </c>
      <c r="AC291" s="3">
        <v>102.87</v>
      </c>
      <c r="AE291" s="3">
        <v>102</v>
      </c>
      <c r="AI291">
        <v>102.5</v>
      </c>
      <c r="AK291" s="3"/>
      <c r="AV291" t="s">
        <v>370</v>
      </c>
      <c r="AX291" t="s">
        <v>370</v>
      </c>
      <c r="AZ291" t="s">
        <v>370</v>
      </c>
      <c r="BB291" t="s">
        <v>370</v>
      </c>
      <c r="BO291" t="s">
        <v>367</v>
      </c>
      <c r="BT291">
        <v>4</v>
      </c>
      <c r="BU291">
        <v>19</v>
      </c>
      <c r="BV291">
        <v>3</v>
      </c>
      <c r="BX291">
        <v>103.5</v>
      </c>
      <c r="BZ291">
        <v>100.25</v>
      </c>
      <c r="CC291" t="s">
        <v>742</v>
      </c>
      <c r="CD291" t="s">
        <v>385</v>
      </c>
      <c r="CM291">
        <v>1911</v>
      </c>
    </row>
    <row r="292" spans="1:91" x14ac:dyDescent="0.3">
      <c r="A292" t="s">
        <v>755</v>
      </c>
      <c r="B292">
        <v>42388</v>
      </c>
      <c r="D292">
        <v>12</v>
      </c>
      <c r="Q292">
        <v>899800</v>
      </c>
      <c r="V292" t="s">
        <v>350</v>
      </c>
      <c r="Y292">
        <v>100</v>
      </c>
      <c r="AA292">
        <v>101</v>
      </c>
      <c r="AC292" s="3">
        <v>101</v>
      </c>
      <c r="AE292" s="3">
        <v>101</v>
      </c>
      <c r="AI292">
        <v>101</v>
      </c>
      <c r="AK292" s="3"/>
      <c r="AV292" t="s">
        <v>374</v>
      </c>
      <c r="AX292" t="s">
        <v>374</v>
      </c>
      <c r="AZ292" t="s">
        <v>374</v>
      </c>
      <c r="BB292" t="s">
        <v>374</v>
      </c>
      <c r="BO292" t="s">
        <v>367</v>
      </c>
      <c r="BT292">
        <v>4</v>
      </c>
      <c r="BU292">
        <v>0</v>
      </c>
      <c r="BV292">
        <v>0</v>
      </c>
      <c r="BX292">
        <v>102.5</v>
      </c>
      <c r="BZ292">
        <v>99.5</v>
      </c>
      <c r="CC292" t="s">
        <v>742</v>
      </c>
      <c r="CD292" t="s">
        <v>385</v>
      </c>
      <c r="CM292">
        <v>1911</v>
      </c>
    </row>
    <row r="293" spans="1:91" x14ac:dyDescent="0.3">
      <c r="A293" t="s">
        <v>756</v>
      </c>
      <c r="B293">
        <v>42729</v>
      </c>
      <c r="D293">
        <v>12</v>
      </c>
      <c r="Q293">
        <v>996260</v>
      </c>
      <c r="U293">
        <v>100</v>
      </c>
      <c r="Y293">
        <v>100</v>
      </c>
      <c r="AA293">
        <v>102</v>
      </c>
      <c r="AC293" s="3">
        <v>102.5</v>
      </c>
      <c r="AE293" s="3">
        <v>99</v>
      </c>
      <c r="AI293">
        <v>99.5</v>
      </c>
      <c r="AK293" s="3"/>
      <c r="AV293" t="s">
        <v>757</v>
      </c>
      <c r="AX293" t="s">
        <v>757</v>
      </c>
      <c r="AZ293" t="s">
        <v>757</v>
      </c>
      <c r="BB293" t="s">
        <v>757</v>
      </c>
      <c r="BO293" t="s">
        <v>367</v>
      </c>
      <c r="BT293">
        <v>5</v>
      </c>
      <c r="BU293">
        <v>0</v>
      </c>
      <c r="BV293">
        <v>6</v>
      </c>
      <c r="BX293">
        <v>104.25</v>
      </c>
      <c r="BZ293">
        <v>98</v>
      </c>
      <c r="CC293" t="s">
        <v>742</v>
      </c>
      <c r="CD293" t="s">
        <v>385</v>
      </c>
      <c r="CM293">
        <v>1911</v>
      </c>
    </row>
    <row r="294" spans="1:91" x14ac:dyDescent="0.3">
      <c r="A294" t="s">
        <v>758</v>
      </c>
      <c r="B294">
        <v>42759</v>
      </c>
      <c r="D294">
        <v>12</v>
      </c>
      <c r="Q294">
        <v>763800</v>
      </c>
      <c r="V294" t="s">
        <v>350</v>
      </c>
      <c r="Y294">
        <v>100</v>
      </c>
      <c r="AA294">
        <v>90</v>
      </c>
      <c r="AC294" s="3">
        <v>90.25</v>
      </c>
      <c r="AE294" s="3">
        <v>90</v>
      </c>
      <c r="AI294">
        <v>90</v>
      </c>
      <c r="AK294" s="3"/>
      <c r="AV294" t="s">
        <v>759</v>
      </c>
      <c r="AX294" t="s">
        <v>759</v>
      </c>
      <c r="AZ294" t="s">
        <v>759</v>
      </c>
      <c r="BB294" t="s">
        <v>759</v>
      </c>
      <c r="BO294" t="s">
        <v>367</v>
      </c>
      <c r="BT294">
        <v>4</v>
      </c>
      <c r="BU294">
        <v>1</v>
      </c>
      <c r="BV294">
        <v>0</v>
      </c>
      <c r="BX294">
        <v>90.75</v>
      </c>
      <c r="BZ294">
        <v>90</v>
      </c>
      <c r="CC294" t="s">
        <v>742</v>
      </c>
      <c r="CD294" t="s">
        <v>385</v>
      </c>
      <c r="CK294" t="s">
        <v>360</v>
      </c>
      <c r="CM294">
        <v>1911</v>
      </c>
    </row>
    <row r="295" spans="1:91" x14ac:dyDescent="0.3">
      <c r="A295" t="s">
        <v>758</v>
      </c>
      <c r="B295">
        <v>42761</v>
      </c>
      <c r="C295" t="s">
        <v>760</v>
      </c>
      <c r="D295">
        <v>12</v>
      </c>
      <c r="Q295" s="2">
        <v>1012700</v>
      </c>
      <c r="U295">
        <v>100</v>
      </c>
      <c r="Y295">
        <v>100</v>
      </c>
      <c r="AA295">
        <v>98</v>
      </c>
      <c r="AC295" s="3">
        <v>99</v>
      </c>
      <c r="AE295" s="3">
        <v>98</v>
      </c>
      <c r="AI295">
        <v>98</v>
      </c>
      <c r="AK295" s="3"/>
      <c r="AV295" t="s">
        <v>761</v>
      </c>
      <c r="AX295" t="s">
        <v>761</v>
      </c>
      <c r="AZ295" t="s">
        <v>761</v>
      </c>
      <c r="BB295" t="s">
        <v>761</v>
      </c>
      <c r="BO295" t="s">
        <v>367</v>
      </c>
      <c r="BT295">
        <v>4</v>
      </c>
      <c r="BU295">
        <v>2</v>
      </c>
      <c r="BV295">
        <v>0</v>
      </c>
      <c r="BX295">
        <v>101</v>
      </c>
      <c r="BZ295">
        <v>98</v>
      </c>
      <c r="CC295" t="s">
        <v>742</v>
      </c>
      <c r="CD295" t="s">
        <v>385</v>
      </c>
      <c r="CM295">
        <v>1911</v>
      </c>
    </row>
    <row r="296" spans="1:91" x14ac:dyDescent="0.3">
      <c r="A296" t="s">
        <v>758</v>
      </c>
      <c r="B296">
        <v>42762</v>
      </c>
      <c r="C296" t="s">
        <v>762</v>
      </c>
      <c r="D296">
        <v>12</v>
      </c>
      <c r="Q296" s="2">
        <v>2171000</v>
      </c>
      <c r="U296">
        <v>100</v>
      </c>
      <c r="Y296">
        <v>100</v>
      </c>
      <c r="AA296">
        <v>98</v>
      </c>
      <c r="AC296" s="3">
        <v>99</v>
      </c>
      <c r="AE296" s="3">
        <v>98</v>
      </c>
      <c r="AI296">
        <v>98.5</v>
      </c>
      <c r="AK296" s="3"/>
      <c r="AV296" t="s">
        <v>407</v>
      </c>
      <c r="AX296" t="s">
        <v>407</v>
      </c>
      <c r="AZ296" t="s">
        <v>407</v>
      </c>
      <c r="BB296" t="s">
        <v>407</v>
      </c>
      <c r="BO296" t="s">
        <v>367</v>
      </c>
      <c r="BT296">
        <v>4</v>
      </c>
      <c r="BU296">
        <v>1</v>
      </c>
      <c r="BV296">
        <v>3</v>
      </c>
      <c r="BX296">
        <v>101</v>
      </c>
      <c r="BZ296">
        <v>97.62</v>
      </c>
      <c r="CC296" t="s">
        <v>742</v>
      </c>
      <c r="CD296" t="s">
        <v>385</v>
      </c>
      <c r="CM296">
        <v>1911</v>
      </c>
    </row>
    <row r="297" spans="1:91" x14ac:dyDescent="0.3">
      <c r="A297" t="s">
        <v>758</v>
      </c>
      <c r="B297">
        <v>42764</v>
      </c>
      <c r="C297" t="s">
        <v>763</v>
      </c>
      <c r="D297">
        <v>12</v>
      </c>
      <c r="Q297" s="2">
        <v>2190700</v>
      </c>
      <c r="U297">
        <v>100</v>
      </c>
      <c r="Y297">
        <v>100</v>
      </c>
      <c r="AA297">
        <v>99</v>
      </c>
      <c r="AC297" s="3">
        <v>99.62</v>
      </c>
      <c r="AE297" s="3">
        <v>98.75</v>
      </c>
      <c r="AI297">
        <v>99.5</v>
      </c>
      <c r="AK297" s="3"/>
      <c r="AV297" t="s">
        <v>470</v>
      </c>
      <c r="AX297" t="s">
        <v>470</v>
      </c>
      <c r="AZ297" t="s">
        <v>470</v>
      </c>
      <c r="BB297" t="s">
        <v>470</v>
      </c>
      <c r="BO297" t="s">
        <v>367</v>
      </c>
      <c r="BT297">
        <v>4</v>
      </c>
      <c r="BU297">
        <v>0</v>
      </c>
      <c r="BV297">
        <v>6</v>
      </c>
      <c r="BX297">
        <v>100</v>
      </c>
      <c r="BZ297">
        <v>97.25</v>
      </c>
      <c r="CC297" t="s">
        <v>742</v>
      </c>
      <c r="CD297" t="s">
        <v>385</v>
      </c>
      <c r="CM297">
        <v>1911</v>
      </c>
    </row>
    <row r="298" spans="1:91" x14ac:dyDescent="0.3">
      <c r="A298" t="s">
        <v>764</v>
      </c>
      <c r="B298">
        <v>44204</v>
      </c>
      <c r="D298">
        <v>12</v>
      </c>
      <c r="Q298">
        <v>857400</v>
      </c>
      <c r="U298">
        <v>100</v>
      </c>
      <c r="Y298">
        <v>100</v>
      </c>
      <c r="AA298">
        <v>97</v>
      </c>
      <c r="AC298" s="3">
        <v>97</v>
      </c>
      <c r="AE298" s="3">
        <v>97</v>
      </c>
      <c r="AI298">
        <v>97</v>
      </c>
      <c r="AK298" s="3"/>
      <c r="AV298" t="s">
        <v>642</v>
      </c>
      <c r="AX298" t="s">
        <v>642</v>
      </c>
      <c r="AZ298" t="s">
        <v>642</v>
      </c>
      <c r="BB298" t="s">
        <v>642</v>
      </c>
      <c r="BO298" t="s">
        <v>367</v>
      </c>
      <c r="BT298">
        <v>4</v>
      </c>
      <c r="BU298">
        <v>2</v>
      </c>
      <c r="BV298">
        <v>3</v>
      </c>
      <c r="BX298">
        <v>99</v>
      </c>
      <c r="BZ298">
        <v>96</v>
      </c>
      <c r="CC298" t="s">
        <v>742</v>
      </c>
      <c r="CD298" t="s">
        <v>385</v>
      </c>
      <c r="CM298">
        <v>1911</v>
      </c>
    </row>
    <row r="299" spans="1:91" x14ac:dyDescent="0.3">
      <c r="A299" t="s">
        <v>765</v>
      </c>
      <c r="B299">
        <v>44527</v>
      </c>
      <c r="D299">
        <v>12</v>
      </c>
      <c r="Q299">
        <v>633400</v>
      </c>
      <c r="U299">
        <v>100</v>
      </c>
      <c r="Y299">
        <v>100</v>
      </c>
      <c r="AA299">
        <v>98</v>
      </c>
      <c r="AC299" s="3">
        <v>98.5</v>
      </c>
      <c r="AE299" s="3">
        <v>97.75</v>
      </c>
      <c r="AI299">
        <v>98</v>
      </c>
      <c r="AK299" s="3"/>
      <c r="AV299" t="s">
        <v>407</v>
      </c>
      <c r="AX299" t="s">
        <v>407</v>
      </c>
      <c r="AZ299" t="s">
        <v>407</v>
      </c>
      <c r="BB299" t="s">
        <v>407</v>
      </c>
      <c r="BO299" t="s">
        <v>367</v>
      </c>
      <c r="BT299">
        <v>4</v>
      </c>
      <c r="BU299">
        <v>12</v>
      </c>
      <c r="BV299">
        <v>0</v>
      </c>
      <c r="BX299">
        <v>100.12</v>
      </c>
      <c r="BZ299">
        <v>97</v>
      </c>
      <c r="CC299" t="s">
        <v>742</v>
      </c>
      <c r="CD299" t="s">
        <v>385</v>
      </c>
      <c r="CM299">
        <v>1911</v>
      </c>
    </row>
    <row r="300" spans="1:91" x14ac:dyDescent="0.3">
      <c r="A300" t="s">
        <v>766</v>
      </c>
      <c r="B300">
        <v>45932</v>
      </c>
      <c r="D300">
        <v>12</v>
      </c>
      <c r="Q300">
        <v>322820</v>
      </c>
      <c r="U300">
        <v>100</v>
      </c>
      <c r="Y300">
        <v>100</v>
      </c>
      <c r="AA300">
        <v>95</v>
      </c>
      <c r="AC300" s="3">
        <v>99</v>
      </c>
      <c r="AE300" s="3">
        <v>95</v>
      </c>
      <c r="AI300">
        <v>99</v>
      </c>
      <c r="AK300" s="3"/>
      <c r="AV300" t="s">
        <v>407</v>
      </c>
      <c r="AX300" t="s">
        <v>407</v>
      </c>
      <c r="AZ300" t="s">
        <v>407</v>
      </c>
      <c r="BB300" t="s">
        <v>407</v>
      </c>
      <c r="BO300" t="s">
        <v>367</v>
      </c>
      <c r="BT300">
        <v>5</v>
      </c>
      <c r="BU300">
        <v>11</v>
      </c>
      <c r="BV300">
        <v>0</v>
      </c>
      <c r="BX300">
        <v>101</v>
      </c>
      <c r="BZ300">
        <v>94</v>
      </c>
      <c r="CC300" t="s">
        <v>742</v>
      </c>
      <c r="CD300" t="s">
        <v>385</v>
      </c>
      <c r="CM300">
        <v>1911</v>
      </c>
    </row>
    <row r="301" spans="1:91" x14ac:dyDescent="0.3">
      <c r="A301" t="s">
        <v>767</v>
      </c>
      <c r="B301">
        <v>46365</v>
      </c>
      <c r="D301">
        <v>12</v>
      </c>
      <c r="Q301" s="2">
        <v>1599100</v>
      </c>
      <c r="V301" t="s">
        <v>350</v>
      </c>
      <c r="Y301">
        <v>100</v>
      </c>
      <c r="AA301">
        <v>102</v>
      </c>
      <c r="AC301" s="3">
        <v>103.5</v>
      </c>
      <c r="AE301" s="3">
        <v>102</v>
      </c>
      <c r="AI301">
        <v>103</v>
      </c>
      <c r="AK301" s="3"/>
      <c r="AV301" t="s">
        <v>351</v>
      </c>
      <c r="AX301" t="s">
        <v>351</v>
      </c>
      <c r="AZ301" t="s">
        <v>351</v>
      </c>
      <c r="BB301" t="s">
        <v>351</v>
      </c>
      <c r="BO301" t="s">
        <v>352</v>
      </c>
      <c r="BT301">
        <v>4</v>
      </c>
      <c r="BU301">
        <v>17</v>
      </c>
      <c r="BV301">
        <v>0</v>
      </c>
      <c r="BX301">
        <v>103.5</v>
      </c>
      <c r="BZ301">
        <v>99.25</v>
      </c>
      <c r="CC301" t="s">
        <v>742</v>
      </c>
      <c r="CD301" t="s">
        <v>385</v>
      </c>
      <c r="CK301" t="s">
        <v>360</v>
      </c>
      <c r="CM301">
        <v>1911</v>
      </c>
    </row>
    <row r="302" spans="1:91" x14ac:dyDescent="0.3">
      <c r="A302" t="s">
        <v>768</v>
      </c>
      <c r="B302">
        <v>46534</v>
      </c>
      <c r="D302">
        <v>12</v>
      </c>
      <c r="Q302" s="2">
        <v>1063390</v>
      </c>
      <c r="U302">
        <v>100</v>
      </c>
      <c r="Y302">
        <v>100</v>
      </c>
      <c r="AA302">
        <v>102</v>
      </c>
      <c r="AC302" s="3">
        <v>102</v>
      </c>
      <c r="AE302" s="3">
        <v>98.5</v>
      </c>
      <c r="AI302">
        <v>99</v>
      </c>
      <c r="AK302" s="3"/>
      <c r="BG302">
        <v>5</v>
      </c>
      <c r="BH302">
        <v>5</v>
      </c>
      <c r="BI302">
        <v>5</v>
      </c>
      <c r="BJ302">
        <v>5</v>
      </c>
      <c r="BK302" s="4">
        <v>3654</v>
      </c>
      <c r="BL302" s="4">
        <v>3988</v>
      </c>
      <c r="BM302" s="4">
        <v>4019</v>
      </c>
      <c r="BN302" s="4">
        <v>4353</v>
      </c>
      <c r="BT302">
        <v>5</v>
      </c>
      <c r="BU302">
        <v>1</v>
      </c>
      <c r="BV302">
        <v>0</v>
      </c>
      <c r="BX302">
        <v>103</v>
      </c>
      <c r="BZ302">
        <v>97</v>
      </c>
      <c r="CC302" t="s">
        <v>385</v>
      </c>
      <c r="CD302" t="s">
        <v>385</v>
      </c>
      <c r="CK302" t="s">
        <v>360</v>
      </c>
      <c r="CM302">
        <v>1911</v>
      </c>
    </row>
    <row r="303" spans="1:91" x14ac:dyDescent="0.3">
      <c r="A303" t="s">
        <v>769</v>
      </c>
      <c r="B303">
        <v>46608</v>
      </c>
      <c r="D303">
        <v>12</v>
      </c>
      <c r="Q303" s="2">
        <v>1859540</v>
      </c>
      <c r="U303">
        <v>100</v>
      </c>
      <c r="Y303">
        <v>100</v>
      </c>
      <c r="AA303">
        <v>103</v>
      </c>
      <c r="AC303" s="3">
        <v>103.5</v>
      </c>
      <c r="AE303" s="3">
        <v>102</v>
      </c>
      <c r="AI303">
        <v>103</v>
      </c>
      <c r="AK303" s="3"/>
      <c r="AV303" t="s">
        <v>770</v>
      </c>
      <c r="AX303" t="s">
        <v>770</v>
      </c>
      <c r="AZ303" t="s">
        <v>770</v>
      </c>
      <c r="BB303" t="s">
        <v>770</v>
      </c>
      <c r="BO303" t="s">
        <v>367</v>
      </c>
      <c r="BT303">
        <v>4</v>
      </c>
      <c r="BU303">
        <v>18</v>
      </c>
      <c r="BV303">
        <v>6</v>
      </c>
      <c r="BX303">
        <v>105</v>
      </c>
      <c r="BZ303">
        <v>101.5</v>
      </c>
      <c r="CC303" t="s">
        <v>742</v>
      </c>
      <c r="CD303" t="s">
        <v>385</v>
      </c>
      <c r="CM303">
        <v>1911</v>
      </c>
    </row>
    <row r="304" spans="1:91" x14ac:dyDescent="0.3">
      <c r="A304" t="s">
        <v>771</v>
      </c>
      <c r="B304">
        <v>46730</v>
      </c>
      <c r="D304">
        <v>12</v>
      </c>
      <c r="Q304">
        <v>800000</v>
      </c>
      <c r="U304">
        <v>100</v>
      </c>
      <c r="Y304">
        <v>100</v>
      </c>
      <c r="AA304">
        <v>98.5</v>
      </c>
      <c r="AC304" s="3">
        <v>99</v>
      </c>
      <c r="AE304" s="3">
        <v>97.5</v>
      </c>
      <c r="AI304">
        <v>98.5</v>
      </c>
      <c r="AK304" s="3"/>
      <c r="AV304" t="s">
        <v>376</v>
      </c>
      <c r="AX304" t="s">
        <v>376</v>
      </c>
      <c r="AZ304" t="s">
        <v>376</v>
      </c>
      <c r="BB304" t="s">
        <v>376</v>
      </c>
      <c r="BO304" t="s">
        <v>367</v>
      </c>
      <c r="BT304">
        <v>5</v>
      </c>
      <c r="BU304">
        <v>1</v>
      </c>
      <c r="BV304">
        <v>9</v>
      </c>
      <c r="BX304">
        <v>102</v>
      </c>
      <c r="BZ304">
        <v>97.5</v>
      </c>
      <c r="CC304" t="s">
        <v>742</v>
      </c>
      <c r="CD304" t="s">
        <v>385</v>
      </c>
      <c r="CM304">
        <v>1911</v>
      </c>
    </row>
    <row r="305" spans="1:91" x14ac:dyDescent="0.3">
      <c r="A305" t="s">
        <v>772</v>
      </c>
      <c r="B305">
        <v>46926</v>
      </c>
      <c r="D305">
        <v>12</v>
      </c>
      <c r="Q305" s="2">
        <v>35000000</v>
      </c>
      <c r="R305" t="s">
        <v>773</v>
      </c>
      <c r="V305" t="s">
        <v>350</v>
      </c>
      <c r="Y305">
        <v>100</v>
      </c>
      <c r="AA305">
        <v>112</v>
      </c>
      <c r="AC305" s="3">
        <v>112</v>
      </c>
      <c r="AE305" s="3">
        <v>112</v>
      </c>
      <c r="AI305">
        <v>112</v>
      </c>
      <c r="AK305" s="3"/>
      <c r="AV305" t="s">
        <v>407</v>
      </c>
      <c r="AX305" t="s">
        <v>407</v>
      </c>
      <c r="AZ305" t="s">
        <v>407</v>
      </c>
      <c r="BB305" t="s">
        <v>407</v>
      </c>
      <c r="BO305" t="s">
        <v>367</v>
      </c>
      <c r="BT305">
        <v>3</v>
      </c>
      <c r="BU305">
        <v>19</v>
      </c>
      <c r="BV305">
        <v>0</v>
      </c>
      <c r="BX305">
        <v>115</v>
      </c>
      <c r="BZ305">
        <v>111.5</v>
      </c>
      <c r="CB305">
        <v>1957</v>
      </c>
      <c r="CD305" t="s">
        <v>385</v>
      </c>
      <c r="CM305">
        <v>1911</v>
      </c>
    </row>
    <row r="306" spans="1:91" x14ac:dyDescent="0.3">
      <c r="A306" t="s">
        <v>774</v>
      </c>
      <c r="B306">
        <v>47301</v>
      </c>
      <c r="D306">
        <v>12</v>
      </c>
      <c r="Q306" s="2">
        <v>3084940</v>
      </c>
      <c r="U306">
        <v>100</v>
      </c>
      <c r="Y306">
        <v>100</v>
      </c>
      <c r="AA306">
        <v>99.5</v>
      </c>
      <c r="AC306" s="3">
        <v>99.62</v>
      </c>
      <c r="AE306" s="3">
        <v>98.5</v>
      </c>
      <c r="AI306">
        <v>99.5</v>
      </c>
      <c r="AK306" s="3"/>
      <c r="AV306" t="s">
        <v>407</v>
      </c>
      <c r="AX306" t="s">
        <v>407</v>
      </c>
      <c r="AZ306" t="s">
        <v>407</v>
      </c>
      <c r="BB306" t="s">
        <v>407</v>
      </c>
      <c r="BO306" t="s">
        <v>367</v>
      </c>
      <c r="BT306">
        <v>5</v>
      </c>
      <c r="BU306">
        <v>1</v>
      </c>
      <c r="BV306">
        <v>0</v>
      </c>
      <c r="BX306">
        <v>103</v>
      </c>
      <c r="BZ306">
        <v>98.5</v>
      </c>
      <c r="CB306" t="s">
        <v>775</v>
      </c>
      <c r="CD306" t="s">
        <v>385</v>
      </c>
      <c r="CM306">
        <v>1911</v>
      </c>
    </row>
    <row r="307" spans="1:91" x14ac:dyDescent="0.3">
      <c r="A307" t="s">
        <v>776</v>
      </c>
      <c r="B307">
        <v>47436</v>
      </c>
      <c r="D307">
        <v>12</v>
      </c>
      <c r="Q307">
        <v>348480</v>
      </c>
      <c r="U307">
        <v>100</v>
      </c>
      <c r="Y307">
        <v>100</v>
      </c>
      <c r="AA307">
        <v>92</v>
      </c>
      <c r="AC307" s="3">
        <v>93</v>
      </c>
      <c r="AE307" s="3">
        <v>91.25</v>
      </c>
      <c r="AI307">
        <v>92</v>
      </c>
      <c r="AK307" s="3"/>
      <c r="AV307" t="s">
        <v>394</v>
      </c>
      <c r="AX307" t="s">
        <v>394</v>
      </c>
      <c r="AZ307" t="s">
        <v>394</v>
      </c>
      <c r="BB307" t="s">
        <v>394</v>
      </c>
      <c r="BO307" t="s">
        <v>367</v>
      </c>
      <c r="BT307">
        <v>5</v>
      </c>
      <c r="BU307">
        <v>15</v>
      </c>
      <c r="BV307">
        <v>6</v>
      </c>
      <c r="BX307">
        <v>95.5</v>
      </c>
      <c r="BZ307">
        <v>88</v>
      </c>
      <c r="CC307" t="s">
        <v>742</v>
      </c>
      <c r="CD307" t="s">
        <v>385</v>
      </c>
      <c r="CM307">
        <v>1911</v>
      </c>
    </row>
    <row r="308" spans="1:91" x14ac:dyDescent="0.3">
      <c r="A308" t="s">
        <v>777</v>
      </c>
      <c r="B308">
        <v>47440</v>
      </c>
      <c r="D308">
        <v>12</v>
      </c>
      <c r="Q308">
        <v>654700</v>
      </c>
      <c r="U308">
        <v>100</v>
      </c>
      <c r="Y308">
        <v>100</v>
      </c>
      <c r="AA308">
        <v>97.5</v>
      </c>
      <c r="AC308" s="3">
        <v>98.5</v>
      </c>
      <c r="AE308" s="3">
        <v>97.25</v>
      </c>
      <c r="AI308">
        <v>97.5</v>
      </c>
      <c r="AK308" s="3"/>
      <c r="AV308" t="s">
        <v>370</v>
      </c>
      <c r="AX308" t="s">
        <v>370</v>
      </c>
      <c r="AZ308" t="s">
        <v>370</v>
      </c>
      <c r="BB308" t="s">
        <v>370</v>
      </c>
      <c r="BO308" t="s">
        <v>367</v>
      </c>
      <c r="BT308">
        <v>5</v>
      </c>
      <c r="BU308">
        <v>3</v>
      </c>
      <c r="BV308">
        <v>3</v>
      </c>
      <c r="BX308">
        <v>98.75</v>
      </c>
      <c r="BZ308">
        <v>91.5</v>
      </c>
      <c r="CB308">
        <v>1957</v>
      </c>
      <c r="CD308" t="s">
        <v>385</v>
      </c>
      <c r="CM308">
        <v>1911</v>
      </c>
    </row>
    <row r="309" spans="1:91" x14ac:dyDescent="0.3">
      <c r="A309" t="s">
        <v>778</v>
      </c>
      <c r="B309">
        <v>47592</v>
      </c>
      <c r="D309">
        <v>12</v>
      </c>
      <c r="Q309">
        <v>400000</v>
      </c>
      <c r="U309">
        <v>100</v>
      </c>
      <c r="Y309">
        <v>100</v>
      </c>
      <c r="AA309">
        <v>95</v>
      </c>
      <c r="AC309" s="3">
        <v>95</v>
      </c>
      <c r="AE309" s="3">
        <v>94.25</v>
      </c>
      <c r="AI309">
        <v>95</v>
      </c>
      <c r="AK309" s="3"/>
      <c r="AV309" t="s">
        <v>407</v>
      </c>
      <c r="AX309" t="s">
        <v>407</v>
      </c>
      <c r="AZ309" t="s">
        <v>407</v>
      </c>
      <c r="BB309" t="s">
        <v>407</v>
      </c>
      <c r="BO309" t="s">
        <v>367</v>
      </c>
      <c r="BT309">
        <v>5</v>
      </c>
      <c r="BU309">
        <v>5</v>
      </c>
      <c r="BV309">
        <v>3</v>
      </c>
      <c r="BX309">
        <v>98.75</v>
      </c>
      <c r="BZ309">
        <v>93.5</v>
      </c>
      <c r="CC309" t="s">
        <v>742</v>
      </c>
      <c r="CD309" t="s">
        <v>385</v>
      </c>
      <c r="CM309">
        <v>1911</v>
      </c>
    </row>
    <row r="310" spans="1:91" x14ac:dyDescent="0.3">
      <c r="A310" t="s">
        <v>779</v>
      </c>
      <c r="B310">
        <v>47719</v>
      </c>
      <c r="D310">
        <v>12</v>
      </c>
      <c r="Q310">
        <v>586000</v>
      </c>
      <c r="U310">
        <v>100</v>
      </c>
      <c r="Y310">
        <v>100</v>
      </c>
      <c r="AA310">
        <v>98.5</v>
      </c>
      <c r="AC310" s="3">
        <v>98.5</v>
      </c>
      <c r="AE310" s="3">
        <v>95</v>
      </c>
      <c r="AI310">
        <v>96</v>
      </c>
      <c r="AK310" s="3"/>
      <c r="AV310" t="s">
        <v>780</v>
      </c>
      <c r="AX310" t="s">
        <v>780</v>
      </c>
      <c r="AZ310" t="s">
        <v>780</v>
      </c>
      <c r="BB310" t="s">
        <v>780</v>
      </c>
      <c r="BO310" t="s">
        <v>367</v>
      </c>
      <c r="BT310">
        <v>5</v>
      </c>
      <c r="BU310">
        <v>4</v>
      </c>
      <c r="BV310">
        <v>3</v>
      </c>
      <c r="BX310">
        <v>99.5</v>
      </c>
      <c r="BZ310">
        <v>94.25</v>
      </c>
      <c r="CC310" t="s">
        <v>742</v>
      </c>
      <c r="CD310" t="s">
        <v>385</v>
      </c>
      <c r="CM310">
        <v>1911</v>
      </c>
    </row>
    <row r="311" spans="1:91" x14ac:dyDescent="0.3">
      <c r="A311" t="s">
        <v>781</v>
      </c>
      <c r="B311">
        <v>48059</v>
      </c>
      <c r="D311">
        <v>12</v>
      </c>
      <c r="Q311" s="2">
        <v>3863960</v>
      </c>
      <c r="U311">
        <v>100</v>
      </c>
      <c r="Y311">
        <v>100</v>
      </c>
      <c r="AA311">
        <v>99</v>
      </c>
      <c r="AC311" s="3">
        <v>100</v>
      </c>
      <c r="AE311" s="3">
        <v>98.5</v>
      </c>
      <c r="AI311">
        <v>99.5</v>
      </c>
      <c r="AK311" s="3"/>
      <c r="AV311" t="s">
        <v>382</v>
      </c>
      <c r="AX311" t="s">
        <v>382</v>
      </c>
      <c r="AZ311" t="s">
        <v>382</v>
      </c>
      <c r="BB311" t="s">
        <v>382</v>
      </c>
      <c r="BO311" t="s">
        <v>367</v>
      </c>
      <c r="BT311">
        <v>5</v>
      </c>
      <c r="BU311">
        <v>0</v>
      </c>
      <c r="BV311">
        <v>6</v>
      </c>
      <c r="BX311">
        <v>103</v>
      </c>
      <c r="BZ311">
        <v>96.5</v>
      </c>
      <c r="CC311" t="s">
        <v>742</v>
      </c>
      <c r="CD311" t="s">
        <v>385</v>
      </c>
      <c r="CM311">
        <v>1911</v>
      </c>
    </row>
    <row r="312" spans="1:91" x14ac:dyDescent="0.3">
      <c r="A312" t="s">
        <v>781</v>
      </c>
      <c r="B312">
        <v>48060</v>
      </c>
      <c r="C312" t="s">
        <v>782</v>
      </c>
      <c r="D312">
        <v>12</v>
      </c>
      <c r="Q312" s="2">
        <v>1918000</v>
      </c>
      <c r="U312">
        <v>100</v>
      </c>
      <c r="Y312">
        <v>100</v>
      </c>
      <c r="AA312">
        <v>103</v>
      </c>
      <c r="AC312" s="3">
        <v>103</v>
      </c>
      <c r="AE312" s="3">
        <v>100</v>
      </c>
      <c r="AI312">
        <v>101</v>
      </c>
      <c r="AK312" s="3"/>
      <c r="AV312" t="s">
        <v>576</v>
      </c>
      <c r="AX312" t="s">
        <v>576</v>
      </c>
      <c r="AZ312" t="s">
        <v>576</v>
      </c>
      <c r="BB312" t="s">
        <v>576</v>
      </c>
      <c r="BO312" t="s">
        <v>367</v>
      </c>
      <c r="BT312">
        <v>4</v>
      </c>
      <c r="BU312">
        <v>19</v>
      </c>
      <c r="BV312">
        <v>0</v>
      </c>
      <c r="BX312">
        <v>104</v>
      </c>
      <c r="BZ312">
        <v>100</v>
      </c>
      <c r="CC312" t="s">
        <v>742</v>
      </c>
      <c r="CD312" t="s">
        <v>385</v>
      </c>
      <c r="CM312">
        <v>1911</v>
      </c>
    </row>
    <row r="313" spans="1:91" x14ac:dyDescent="0.3">
      <c r="A313" t="s">
        <v>783</v>
      </c>
      <c r="B313">
        <v>48077</v>
      </c>
      <c r="D313">
        <v>12</v>
      </c>
      <c r="Q313">
        <v>369900</v>
      </c>
      <c r="U313">
        <v>100</v>
      </c>
      <c r="Y313">
        <v>100</v>
      </c>
      <c r="AA313">
        <v>96</v>
      </c>
      <c r="AC313" s="3">
        <v>96</v>
      </c>
      <c r="AE313" s="3">
        <v>96</v>
      </c>
      <c r="AI313">
        <v>96</v>
      </c>
      <c r="AK313" s="3"/>
      <c r="AV313" t="s">
        <v>374</v>
      </c>
      <c r="AX313" t="s">
        <v>374</v>
      </c>
      <c r="AZ313" t="s">
        <v>374</v>
      </c>
      <c r="BB313" t="s">
        <v>374</v>
      </c>
      <c r="BO313" t="s">
        <v>367</v>
      </c>
      <c r="BT313">
        <v>4</v>
      </c>
      <c r="BU313">
        <v>3</v>
      </c>
      <c r="BV313">
        <v>9</v>
      </c>
      <c r="BX313">
        <v>99</v>
      </c>
      <c r="BZ313">
        <v>94.5</v>
      </c>
      <c r="CC313" t="s">
        <v>742</v>
      </c>
      <c r="CD313" t="s">
        <v>385</v>
      </c>
      <c r="CK313" t="s">
        <v>360</v>
      </c>
      <c r="CM313">
        <v>1911</v>
      </c>
    </row>
    <row r="314" spans="1:91" x14ac:dyDescent="0.3">
      <c r="A314" t="s">
        <v>784</v>
      </c>
      <c r="B314">
        <v>48174</v>
      </c>
      <c r="D314">
        <v>12</v>
      </c>
      <c r="Q314" s="2">
        <v>1958220</v>
      </c>
      <c r="U314">
        <v>100</v>
      </c>
      <c r="Y314">
        <v>100</v>
      </c>
      <c r="AA314">
        <v>64</v>
      </c>
      <c r="AC314" s="3">
        <v>65.5</v>
      </c>
      <c r="AE314" s="3">
        <v>64</v>
      </c>
      <c r="AI314">
        <v>65</v>
      </c>
      <c r="AK314" s="3"/>
      <c r="AV314" t="s">
        <v>785</v>
      </c>
      <c r="BW314" t="s">
        <v>385</v>
      </c>
      <c r="BX314">
        <v>67</v>
      </c>
      <c r="BZ314">
        <v>60</v>
      </c>
      <c r="CC314" t="s">
        <v>742</v>
      </c>
      <c r="CD314" t="s">
        <v>385</v>
      </c>
      <c r="CK314" t="s">
        <v>360</v>
      </c>
      <c r="CM314">
        <v>1911</v>
      </c>
    </row>
    <row r="315" spans="1:91" x14ac:dyDescent="0.3">
      <c r="A315" t="s">
        <v>786</v>
      </c>
      <c r="B315">
        <v>48412</v>
      </c>
      <c r="D315">
        <v>12</v>
      </c>
      <c r="Q315">
        <v>956560</v>
      </c>
      <c r="U315">
        <v>100</v>
      </c>
      <c r="Y315">
        <v>100</v>
      </c>
      <c r="AA315">
        <v>103</v>
      </c>
      <c r="AC315" s="3">
        <v>103</v>
      </c>
      <c r="AE315" s="3">
        <v>101.5</v>
      </c>
      <c r="AI315">
        <v>102</v>
      </c>
      <c r="AK315" s="3"/>
      <c r="AV315" t="s">
        <v>787</v>
      </c>
      <c r="AX315" t="s">
        <v>787</v>
      </c>
      <c r="AZ315" t="s">
        <v>787</v>
      </c>
      <c r="BB315" t="s">
        <v>787</v>
      </c>
      <c r="BO315" t="s">
        <v>367</v>
      </c>
      <c r="BT315">
        <v>5</v>
      </c>
      <c r="BU315">
        <v>17</v>
      </c>
      <c r="BV315">
        <v>9</v>
      </c>
      <c r="BX315">
        <v>105.5</v>
      </c>
      <c r="BZ315">
        <v>101.5</v>
      </c>
      <c r="CC315" t="s">
        <v>742</v>
      </c>
      <c r="CD315" t="s">
        <v>385</v>
      </c>
      <c r="CM315">
        <v>1911</v>
      </c>
    </row>
    <row r="316" spans="1:91" x14ac:dyDescent="0.3">
      <c r="A316" t="s">
        <v>788</v>
      </c>
      <c r="B316">
        <v>48417</v>
      </c>
      <c r="D316">
        <v>12</v>
      </c>
      <c r="Q316">
        <v>734550</v>
      </c>
      <c r="U316">
        <v>100</v>
      </c>
      <c r="Y316">
        <v>100</v>
      </c>
      <c r="AA316">
        <v>106</v>
      </c>
      <c r="AC316" s="3">
        <v>107.5</v>
      </c>
      <c r="AE316" s="3">
        <v>106</v>
      </c>
      <c r="AI316">
        <v>107</v>
      </c>
      <c r="AK316" s="3"/>
      <c r="AV316" t="s">
        <v>394</v>
      </c>
      <c r="AX316" t="s">
        <v>394</v>
      </c>
      <c r="AZ316" t="s">
        <v>394</v>
      </c>
      <c r="BB316" t="s">
        <v>394</v>
      </c>
      <c r="BO316" t="s">
        <v>367</v>
      </c>
      <c r="BT316">
        <v>5</v>
      </c>
      <c r="BU316">
        <v>12</v>
      </c>
      <c r="BV316">
        <v>3</v>
      </c>
      <c r="BX316">
        <v>108.5</v>
      </c>
      <c r="BZ316">
        <v>103.25</v>
      </c>
      <c r="CC316" t="s">
        <v>742</v>
      </c>
      <c r="CD316" t="s">
        <v>385</v>
      </c>
      <c r="CM316">
        <v>1911</v>
      </c>
    </row>
    <row r="317" spans="1:91" x14ac:dyDescent="0.3">
      <c r="A317" t="s">
        <v>789</v>
      </c>
      <c r="B317">
        <v>48423</v>
      </c>
      <c r="D317">
        <v>12</v>
      </c>
      <c r="Q317">
        <v>402939</v>
      </c>
      <c r="U317">
        <v>100</v>
      </c>
      <c r="Y317">
        <v>100</v>
      </c>
      <c r="AA317">
        <v>100.5</v>
      </c>
      <c r="AC317" s="3">
        <v>100.87</v>
      </c>
      <c r="AE317" s="3">
        <v>100.12</v>
      </c>
      <c r="AI317">
        <v>100.5</v>
      </c>
      <c r="AK317" s="3"/>
      <c r="AV317" t="s">
        <v>370</v>
      </c>
      <c r="AX317" t="s">
        <v>370</v>
      </c>
      <c r="AZ317" t="s">
        <v>370</v>
      </c>
      <c r="BB317" t="s">
        <v>370</v>
      </c>
      <c r="BO317" t="s">
        <v>367</v>
      </c>
      <c r="BT317">
        <v>5</v>
      </c>
      <c r="BU317">
        <v>0</v>
      </c>
      <c r="BV317">
        <v>3</v>
      </c>
      <c r="BX317">
        <v>101</v>
      </c>
      <c r="BZ317">
        <v>97.12</v>
      </c>
      <c r="CC317" t="s">
        <v>742</v>
      </c>
      <c r="CD317" t="s">
        <v>385</v>
      </c>
      <c r="CM317">
        <v>1911</v>
      </c>
    </row>
    <row r="318" spans="1:91" x14ac:dyDescent="0.3">
      <c r="A318" t="s">
        <v>790</v>
      </c>
      <c r="B318">
        <v>49261</v>
      </c>
      <c r="D318">
        <v>12</v>
      </c>
      <c r="Q318" s="2">
        <v>1231350</v>
      </c>
      <c r="U318">
        <v>100</v>
      </c>
      <c r="Y318">
        <v>100</v>
      </c>
      <c r="AA318">
        <v>102</v>
      </c>
      <c r="AC318" s="3">
        <v>102.25</v>
      </c>
      <c r="AE318" s="3">
        <v>102</v>
      </c>
      <c r="AI318">
        <v>102</v>
      </c>
      <c r="AK318" s="3"/>
      <c r="AV318" t="s">
        <v>791</v>
      </c>
      <c r="AX318" t="s">
        <v>791</v>
      </c>
      <c r="AZ318" t="s">
        <v>791</v>
      </c>
      <c r="BB318" t="s">
        <v>791</v>
      </c>
      <c r="BO318" t="s">
        <v>367</v>
      </c>
      <c r="BT318">
        <v>3</v>
      </c>
      <c r="BU318">
        <v>19</v>
      </c>
      <c r="BV318">
        <v>6</v>
      </c>
      <c r="BX318">
        <v>102.5</v>
      </c>
      <c r="BZ318">
        <v>99</v>
      </c>
      <c r="CC318" t="s">
        <v>742</v>
      </c>
      <c r="CD318" t="s">
        <v>385</v>
      </c>
      <c r="CK318" t="s">
        <v>360</v>
      </c>
      <c r="CM318">
        <v>1911</v>
      </c>
    </row>
    <row r="319" spans="1:91" x14ac:dyDescent="0.3">
      <c r="A319" t="s">
        <v>792</v>
      </c>
      <c r="B319">
        <v>49454</v>
      </c>
      <c r="D319">
        <v>12</v>
      </c>
      <c r="Q319">
        <v>117900</v>
      </c>
      <c r="U319">
        <v>100</v>
      </c>
      <c r="Y319">
        <v>100</v>
      </c>
      <c r="AA319">
        <v>98</v>
      </c>
      <c r="AC319" s="3">
        <v>98.87</v>
      </c>
      <c r="AE319" s="3">
        <v>98</v>
      </c>
      <c r="AI319">
        <v>98.5</v>
      </c>
      <c r="AK319" s="3"/>
      <c r="AV319" t="s">
        <v>373</v>
      </c>
      <c r="AX319" t="s">
        <v>373</v>
      </c>
      <c r="AZ319" t="s">
        <v>373</v>
      </c>
      <c r="BB319" t="s">
        <v>373</v>
      </c>
      <c r="BO319" t="s">
        <v>367</v>
      </c>
      <c r="BT319">
        <v>4</v>
      </c>
      <c r="BU319">
        <v>11</v>
      </c>
      <c r="BV319">
        <v>9</v>
      </c>
      <c r="BX319">
        <v>98.87</v>
      </c>
      <c r="BZ319">
        <v>95.5</v>
      </c>
      <c r="CC319" t="s">
        <v>742</v>
      </c>
      <c r="CD319" t="s">
        <v>385</v>
      </c>
      <c r="CM319">
        <v>1911</v>
      </c>
    </row>
    <row r="320" spans="1:91" x14ac:dyDescent="0.3">
      <c r="A320" t="s">
        <v>793</v>
      </c>
      <c r="B320">
        <v>49621</v>
      </c>
      <c r="D320">
        <v>12</v>
      </c>
      <c r="Q320" s="2">
        <v>1500000</v>
      </c>
      <c r="U320">
        <v>100</v>
      </c>
      <c r="Y320">
        <v>100</v>
      </c>
      <c r="AA320">
        <v>102</v>
      </c>
      <c r="AC320" s="3">
        <v>102</v>
      </c>
      <c r="AE320" s="3">
        <v>100</v>
      </c>
      <c r="AI320">
        <v>101</v>
      </c>
      <c r="AK320" s="3"/>
      <c r="AV320" t="s">
        <v>374</v>
      </c>
      <c r="AX320" t="s">
        <v>374</v>
      </c>
      <c r="AZ320" t="s">
        <v>374</v>
      </c>
      <c r="BB320" t="s">
        <v>374</v>
      </c>
      <c r="BO320" t="s">
        <v>367</v>
      </c>
      <c r="BT320">
        <v>4</v>
      </c>
      <c r="BU320">
        <v>19</v>
      </c>
      <c r="BV320">
        <v>0</v>
      </c>
      <c r="BX320">
        <v>104.75</v>
      </c>
      <c r="BZ320">
        <v>100</v>
      </c>
      <c r="CB320" t="s">
        <v>477</v>
      </c>
      <c r="CD320" t="s">
        <v>385</v>
      </c>
      <c r="CM320">
        <v>1911</v>
      </c>
    </row>
    <row r="321" spans="1:91" x14ac:dyDescent="0.3">
      <c r="A321" t="s">
        <v>794</v>
      </c>
      <c r="B321">
        <v>50026</v>
      </c>
      <c r="D321">
        <v>12</v>
      </c>
      <c r="Q321">
        <v>99600</v>
      </c>
      <c r="U321">
        <v>100</v>
      </c>
      <c r="Y321">
        <v>100</v>
      </c>
      <c r="AA321">
        <v>104</v>
      </c>
      <c r="AC321" s="3">
        <v>104.75</v>
      </c>
      <c r="AE321" s="3">
        <v>104</v>
      </c>
      <c r="AI321">
        <v>104</v>
      </c>
      <c r="AK321" s="3"/>
      <c r="AV321" t="s">
        <v>394</v>
      </c>
      <c r="AX321" t="s">
        <v>394</v>
      </c>
      <c r="AZ321" t="s">
        <v>394</v>
      </c>
      <c r="BB321" t="s">
        <v>394</v>
      </c>
      <c r="BO321" t="s">
        <v>367</v>
      </c>
      <c r="BT321">
        <v>5</v>
      </c>
      <c r="BU321">
        <v>7</v>
      </c>
      <c r="BV321">
        <v>0</v>
      </c>
      <c r="BX321">
        <v>105</v>
      </c>
      <c r="BZ321">
        <v>101.5</v>
      </c>
      <c r="CC321" t="s">
        <v>742</v>
      </c>
      <c r="CD321" t="s">
        <v>385</v>
      </c>
      <c r="CK321" t="s">
        <v>360</v>
      </c>
      <c r="CM321">
        <v>1911</v>
      </c>
    </row>
    <row r="322" spans="1:91" x14ac:dyDescent="0.3">
      <c r="A322" t="s">
        <v>795</v>
      </c>
      <c r="B322">
        <v>50667</v>
      </c>
      <c r="D322">
        <v>12</v>
      </c>
      <c r="Q322">
        <v>317000</v>
      </c>
      <c r="U322">
        <v>100</v>
      </c>
      <c r="Y322">
        <v>100</v>
      </c>
      <c r="AA322">
        <v>102</v>
      </c>
      <c r="AC322" s="3">
        <v>102</v>
      </c>
      <c r="AE322" s="3">
        <v>101</v>
      </c>
      <c r="AI322">
        <v>102</v>
      </c>
      <c r="AK322" s="3"/>
      <c r="AV322" t="s">
        <v>374</v>
      </c>
      <c r="AX322" t="s">
        <v>374</v>
      </c>
      <c r="AZ322" t="s">
        <v>374</v>
      </c>
      <c r="BB322" t="s">
        <v>374</v>
      </c>
      <c r="BO322" t="s">
        <v>367</v>
      </c>
      <c r="BT322">
        <v>4</v>
      </c>
      <c r="BU322">
        <v>19</v>
      </c>
      <c r="BV322">
        <v>0</v>
      </c>
      <c r="BX322">
        <v>104.25</v>
      </c>
      <c r="BZ322">
        <v>101</v>
      </c>
      <c r="CB322" t="s">
        <v>796</v>
      </c>
      <c r="CD322" t="s">
        <v>385</v>
      </c>
      <c r="CM322">
        <v>1911</v>
      </c>
    </row>
    <row r="323" spans="1:91" x14ac:dyDescent="0.3">
      <c r="A323" t="s">
        <v>795</v>
      </c>
      <c r="B323">
        <v>50668</v>
      </c>
      <c r="C323" t="s">
        <v>797</v>
      </c>
      <c r="D323">
        <v>12</v>
      </c>
      <c r="Q323">
        <v>716500</v>
      </c>
      <c r="U323">
        <v>100</v>
      </c>
      <c r="Y323">
        <v>100</v>
      </c>
      <c r="AA323">
        <v>103</v>
      </c>
      <c r="AC323" s="3">
        <v>103</v>
      </c>
      <c r="AE323" s="3">
        <v>101</v>
      </c>
      <c r="AI323">
        <v>102</v>
      </c>
      <c r="AK323" s="3"/>
      <c r="AV323" t="s">
        <v>798</v>
      </c>
      <c r="AX323" t="s">
        <v>798</v>
      </c>
      <c r="AZ323" t="s">
        <v>798</v>
      </c>
      <c r="BB323" t="s">
        <v>798</v>
      </c>
      <c r="BO323" t="s">
        <v>367</v>
      </c>
      <c r="BT323">
        <v>4</v>
      </c>
      <c r="BU323">
        <v>19</v>
      </c>
      <c r="BV323">
        <v>6</v>
      </c>
      <c r="BX323">
        <v>104.5</v>
      </c>
      <c r="BZ323">
        <v>101</v>
      </c>
      <c r="CB323">
        <v>1954</v>
      </c>
      <c r="CD323" t="s">
        <v>385</v>
      </c>
      <c r="CM323">
        <v>1911</v>
      </c>
    </row>
    <row r="324" spans="1:91" x14ac:dyDescent="0.3">
      <c r="A324" t="s">
        <v>799</v>
      </c>
      <c r="B324">
        <v>40184</v>
      </c>
      <c r="D324">
        <v>12</v>
      </c>
      <c r="I324">
        <v>770000</v>
      </c>
      <c r="J324" t="s">
        <v>800</v>
      </c>
      <c r="V324" t="s">
        <v>350</v>
      </c>
      <c r="Y324">
        <v>100</v>
      </c>
      <c r="AA324">
        <v>2</v>
      </c>
      <c r="AC324" s="3">
        <v>2.25</v>
      </c>
      <c r="AE324" s="3">
        <v>2</v>
      </c>
      <c r="AI324">
        <v>2</v>
      </c>
      <c r="AK324" s="3"/>
      <c r="AV324" t="s">
        <v>385</v>
      </c>
      <c r="AX324" t="s">
        <v>385</v>
      </c>
      <c r="AZ324" t="s">
        <v>385</v>
      </c>
      <c r="BB324" t="s">
        <v>385</v>
      </c>
      <c r="BR324" s="2">
        <v>1149780</v>
      </c>
      <c r="BS324" t="s">
        <v>801</v>
      </c>
      <c r="BW324" t="s">
        <v>802</v>
      </c>
      <c r="BX324">
        <v>8.5</v>
      </c>
      <c r="BZ324">
        <v>1.5</v>
      </c>
      <c r="CK324" t="s">
        <v>360</v>
      </c>
      <c r="CM324">
        <v>1911</v>
      </c>
    </row>
    <row r="325" spans="1:91" x14ac:dyDescent="0.3">
      <c r="A325" t="s">
        <v>799</v>
      </c>
      <c r="B325">
        <v>40186</v>
      </c>
      <c r="C325" t="s">
        <v>803</v>
      </c>
      <c r="D325">
        <v>12</v>
      </c>
      <c r="I325" s="2">
        <v>1100000</v>
      </c>
      <c r="J325" t="s">
        <v>800</v>
      </c>
      <c r="V325" t="s">
        <v>350</v>
      </c>
      <c r="Y325">
        <v>100</v>
      </c>
      <c r="AA325">
        <v>3.5</v>
      </c>
      <c r="AC325" s="3">
        <v>3.75</v>
      </c>
      <c r="AE325" s="3">
        <v>3.5</v>
      </c>
      <c r="AI325">
        <v>3.5</v>
      </c>
      <c r="AK325" s="3"/>
      <c r="AV325" t="s">
        <v>804</v>
      </c>
      <c r="BR325" s="2">
        <v>1149780</v>
      </c>
      <c r="BS325" t="s">
        <v>801</v>
      </c>
      <c r="BW325" t="s">
        <v>802</v>
      </c>
      <c r="BX325">
        <v>11.5</v>
      </c>
      <c r="BZ325">
        <v>2.5</v>
      </c>
      <c r="CM325">
        <v>1911</v>
      </c>
    </row>
    <row r="326" spans="1:91" x14ac:dyDescent="0.3">
      <c r="A326" t="s">
        <v>799</v>
      </c>
      <c r="B326">
        <v>40185</v>
      </c>
      <c r="C326" t="s">
        <v>805</v>
      </c>
      <c r="D326">
        <v>12</v>
      </c>
      <c r="I326" s="2">
        <v>1100000</v>
      </c>
      <c r="J326" t="s">
        <v>800</v>
      </c>
      <c r="V326" t="s">
        <v>350</v>
      </c>
      <c r="Y326">
        <v>100</v>
      </c>
      <c r="AA326">
        <v>55.5</v>
      </c>
      <c r="AC326" s="3">
        <v>55.5</v>
      </c>
      <c r="AE326" s="3">
        <v>49.5</v>
      </c>
      <c r="AI326">
        <v>51.5</v>
      </c>
      <c r="AK326" s="3"/>
      <c r="BG326">
        <v>4.5</v>
      </c>
      <c r="BH326">
        <v>4.5</v>
      </c>
      <c r="BI326">
        <v>4.5</v>
      </c>
      <c r="BJ326">
        <v>4.5</v>
      </c>
      <c r="BK326" s="4">
        <v>3654</v>
      </c>
      <c r="BL326" s="4">
        <v>3835</v>
      </c>
      <c r="BM326" s="4">
        <v>4019</v>
      </c>
      <c r="BN326" s="4">
        <v>4200</v>
      </c>
      <c r="BR326" s="2">
        <v>1149780</v>
      </c>
      <c r="BS326" t="s">
        <v>801</v>
      </c>
      <c r="BT326">
        <v>8</v>
      </c>
      <c r="BU326">
        <v>14</v>
      </c>
      <c r="BV326">
        <v>9</v>
      </c>
      <c r="BX326">
        <v>79</v>
      </c>
      <c r="BZ326">
        <v>49.5</v>
      </c>
      <c r="CM326">
        <v>1911</v>
      </c>
    </row>
    <row r="327" spans="1:91" x14ac:dyDescent="0.3">
      <c r="A327" t="s">
        <v>799</v>
      </c>
      <c r="B327">
        <v>40189</v>
      </c>
      <c r="C327" t="s">
        <v>806</v>
      </c>
      <c r="D327">
        <v>12</v>
      </c>
      <c r="I327" s="2">
        <v>1100000</v>
      </c>
      <c r="J327" t="s">
        <v>800</v>
      </c>
      <c r="V327" t="s">
        <v>350</v>
      </c>
      <c r="Y327">
        <v>100</v>
      </c>
      <c r="AA327">
        <v>22.5</v>
      </c>
      <c r="AC327" s="3">
        <v>22.5</v>
      </c>
      <c r="AE327" s="3">
        <v>21</v>
      </c>
      <c r="AI327">
        <v>21.5</v>
      </c>
      <c r="AK327" s="3"/>
      <c r="BG327">
        <v>3.5</v>
      </c>
      <c r="BH327">
        <v>3.5</v>
      </c>
      <c r="BI327">
        <v>3.5</v>
      </c>
      <c r="BJ327">
        <v>3.5</v>
      </c>
      <c r="BK327" s="4">
        <v>3654</v>
      </c>
      <c r="BL327" s="4">
        <v>3835</v>
      </c>
      <c r="BM327" s="4">
        <v>4019</v>
      </c>
      <c r="BN327" s="4">
        <v>4200</v>
      </c>
      <c r="BR327" s="2">
        <v>1149780</v>
      </c>
      <c r="BS327" t="s">
        <v>801</v>
      </c>
      <c r="BT327">
        <v>16</v>
      </c>
      <c r="BU327">
        <v>5</v>
      </c>
      <c r="BV327">
        <v>6</v>
      </c>
      <c r="BX327">
        <v>41</v>
      </c>
      <c r="BZ327">
        <v>20</v>
      </c>
      <c r="CM327">
        <v>1911</v>
      </c>
    </row>
    <row r="328" spans="1:91" x14ac:dyDescent="0.3">
      <c r="A328" t="s">
        <v>799</v>
      </c>
      <c r="B328">
        <v>40194</v>
      </c>
      <c r="C328" t="s">
        <v>807</v>
      </c>
      <c r="D328">
        <v>12</v>
      </c>
      <c r="I328">
        <v>937100</v>
      </c>
      <c r="J328" t="s">
        <v>800</v>
      </c>
      <c r="V328" t="s">
        <v>350</v>
      </c>
      <c r="Y328">
        <v>100</v>
      </c>
      <c r="AA328">
        <v>9.5</v>
      </c>
      <c r="AC328" s="3">
        <v>9.5</v>
      </c>
      <c r="AE328" s="3">
        <v>6</v>
      </c>
      <c r="AI328">
        <v>8.5</v>
      </c>
      <c r="AK328" s="3"/>
      <c r="AV328" t="s">
        <v>385</v>
      </c>
      <c r="AX328" t="s">
        <v>385</v>
      </c>
      <c r="AZ328" t="s">
        <v>385</v>
      </c>
      <c r="BB328" t="s">
        <v>385</v>
      </c>
      <c r="BR328" s="2">
        <v>1149780</v>
      </c>
      <c r="BS328" t="s">
        <v>801</v>
      </c>
      <c r="BW328" t="s">
        <v>802</v>
      </c>
      <c r="BX328">
        <v>13</v>
      </c>
      <c r="BZ328">
        <v>6</v>
      </c>
      <c r="CM328">
        <v>1911</v>
      </c>
    </row>
    <row r="329" spans="1:91" x14ac:dyDescent="0.3">
      <c r="A329" t="s">
        <v>808</v>
      </c>
      <c r="B329">
        <v>40478</v>
      </c>
      <c r="D329">
        <v>12</v>
      </c>
      <c r="I329">
        <v>20000</v>
      </c>
      <c r="U329">
        <v>10</v>
      </c>
      <c r="Y329">
        <v>10</v>
      </c>
      <c r="AA329">
        <v>2</v>
      </c>
      <c r="AC329" s="3">
        <v>2</v>
      </c>
      <c r="AE329" s="3">
        <v>1.87</v>
      </c>
      <c r="AI329">
        <v>2</v>
      </c>
      <c r="AK329" s="3"/>
      <c r="BG329">
        <v>4</v>
      </c>
      <c r="BH329">
        <v>4</v>
      </c>
      <c r="BI329">
        <v>4</v>
      </c>
      <c r="BK329" s="4">
        <v>3562</v>
      </c>
      <c r="BL329" s="4">
        <v>3744</v>
      </c>
      <c r="BM329" s="4">
        <v>3927</v>
      </c>
      <c r="BN329" s="4">
        <v>4109</v>
      </c>
      <c r="BR329">
        <v>6268</v>
      </c>
      <c r="BT329">
        <v>10</v>
      </c>
      <c r="BU329">
        <v>0</v>
      </c>
      <c r="BV329">
        <v>0</v>
      </c>
      <c r="BX329">
        <v>2.75</v>
      </c>
      <c r="BZ329">
        <v>1.75</v>
      </c>
      <c r="CK329" t="s">
        <v>384</v>
      </c>
      <c r="CM329">
        <v>1911</v>
      </c>
    </row>
    <row r="330" spans="1:91" x14ac:dyDescent="0.3">
      <c r="A330" t="s">
        <v>809</v>
      </c>
      <c r="B330">
        <v>40487</v>
      </c>
      <c r="D330">
        <v>12</v>
      </c>
      <c r="I330">
        <v>30000</v>
      </c>
      <c r="U330">
        <v>10</v>
      </c>
      <c r="Y330">
        <v>10</v>
      </c>
      <c r="AA330">
        <v>0.75</v>
      </c>
      <c r="AC330" s="3">
        <v>0.75</v>
      </c>
      <c r="AE330" s="3">
        <v>0.75</v>
      </c>
      <c r="AI330">
        <v>0.75</v>
      </c>
      <c r="AK330" s="3"/>
      <c r="BB330" t="s">
        <v>810</v>
      </c>
      <c r="BG330">
        <v>5.5</v>
      </c>
      <c r="BH330">
        <v>5.5</v>
      </c>
      <c r="BI330">
        <v>5.5</v>
      </c>
      <c r="BK330" s="4">
        <v>2101</v>
      </c>
      <c r="BL330" s="4">
        <v>2283</v>
      </c>
      <c r="BM330" s="4">
        <v>2466</v>
      </c>
      <c r="BN330" t="s">
        <v>811</v>
      </c>
      <c r="BR330">
        <v>14155</v>
      </c>
      <c r="BS330" t="s">
        <v>812</v>
      </c>
      <c r="BW330" t="s">
        <v>802</v>
      </c>
      <c r="BX330">
        <v>0.75</v>
      </c>
      <c r="BZ330">
        <v>0.53</v>
      </c>
      <c r="CK330" t="s">
        <v>360</v>
      </c>
      <c r="CM330">
        <v>1911</v>
      </c>
    </row>
    <row r="331" spans="1:91" x14ac:dyDescent="0.3">
      <c r="A331" t="s">
        <v>809</v>
      </c>
      <c r="B331">
        <v>40488</v>
      </c>
      <c r="C331" t="s">
        <v>813</v>
      </c>
      <c r="D331">
        <v>12</v>
      </c>
      <c r="I331">
        <v>200000</v>
      </c>
      <c r="J331" t="s">
        <v>800</v>
      </c>
      <c r="V331" t="s">
        <v>350</v>
      </c>
      <c r="Y331">
        <v>100</v>
      </c>
      <c r="AA331">
        <v>53</v>
      </c>
      <c r="AC331" s="3">
        <v>53</v>
      </c>
      <c r="AE331" s="3">
        <v>53</v>
      </c>
      <c r="AI331">
        <v>53</v>
      </c>
      <c r="AK331" s="3"/>
      <c r="AV331" t="s">
        <v>536</v>
      </c>
      <c r="AX331" t="s">
        <v>536</v>
      </c>
      <c r="AZ331" t="s">
        <v>536</v>
      </c>
      <c r="BB331" t="s">
        <v>536</v>
      </c>
      <c r="BO331" t="s">
        <v>367</v>
      </c>
      <c r="BR331">
        <v>14155</v>
      </c>
      <c r="BS331" t="s">
        <v>812</v>
      </c>
      <c r="BT331">
        <v>8</v>
      </c>
      <c r="BU331">
        <v>9</v>
      </c>
      <c r="BV331">
        <v>6</v>
      </c>
      <c r="BX331">
        <v>55</v>
      </c>
      <c r="BZ331">
        <v>39.25</v>
      </c>
      <c r="CM331">
        <v>1911</v>
      </c>
    </row>
    <row r="332" spans="1:91" x14ac:dyDescent="0.3">
      <c r="A332" t="s">
        <v>814</v>
      </c>
      <c r="B332">
        <v>40515</v>
      </c>
      <c r="D332">
        <v>12</v>
      </c>
      <c r="I332">
        <v>20000</v>
      </c>
      <c r="U332">
        <v>10</v>
      </c>
      <c r="Y332">
        <v>10</v>
      </c>
      <c r="AA332">
        <v>5</v>
      </c>
      <c r="AC332" s="3">
        <v>5</v>
      </c>
      <c r="AE332" s="3">
        <v>4.25</v>
      </c>
      <c r="AI332">
        <v>4.25</v>
      </c>
      <c r="AK332" s="3"/>
      <c r="AV332" t="s">
        <v>815</v>
      </c>
      <c r="AX332" t="s">
        <v>815</v>
      </c>
      <c r="AZ332" t="s">
        <v>815</v>
      </c>
      <c r="BB332" t="s">
        <v>815</v>
      </c>
      <c r="BG332">
        <v>4</v>
      </c>
      <c r="BH332">
        <v>5</v>
      </c>
      <c r="BI332">
        <v>5</v>
      </c>
      <c r="BJ332">
        <v>5</v>
      </c>
      <c r="BK332" s="4">
        <v>3258</v>
      </c>
      <c r="BL332" s="4">
        <v>3623</v>
      </c>
      <c r="BM332" s="4">
        <v>3988</v>
      </c>
      <c r="BN332" s="4">
        <v>4353</v>
      </c>
      <c r="BR332">
        <v>22634</v>
      </c>
      <c r="BS332" t="s">
        <v>816</v>
      </c>
      <c r="BT332">
        <v>11</v>
      </c>
      <c r="BU332">
        <v>15</v>
      </c>
      <c r="BV332">
        <v>3</v>
      </c>
      <c r="BX332">
        <v>5.87</v>
      </c>
      <c r="BZ332">
        <v>4.25</v>
      </c>
      <c r="CK332" t="s">
        <v>360</v>
      </c>
      <c r="CM332">
        <v>1911</v>
      </c>
    </row>
    <row r="333" spans="1:91" x14ac:dyDescent="0.3">
      <c r="A333" t="s">
        <v>814</v>
      </c>
      <c r="B333">
        <v>40517</v>
      </c>
      <c r="C333" t="s">
        <v>817</v>
      </c>
      <c r="D333">
        <v>12</v>
      </c>
      <c r="I333">
        <v>15000</v>
      </c>
      <c r="U333">
        <v>10</v>
      </c>
      <c r="Y333">
        <v>10</v>
      </c>
      <c r="AA333">
        <v>6</v>
      </c>
      <c r="AC333" s="3">
        <v>6</v>
      </c>
      <c r="AE333" s="3">
        <v>6</v>
      </c>
      <c r="AI333">
        <v>6</v>
      </c>
      <c r="AJ333" t="s">
        <v>379</v>
      </c>
      <c r="AK333" s="3"/>
      <c r="AV333" t="s">
        <v>370</v>
      </c>
      <c r="AX333" t="s">
        <v>370</v>
      </c>
      <c r="AZ333" t="s">
        <v>370</v>
      </c>
      <c r="BB333" t="s">
        <v>370</v>
      </c>
      <c r="BO333" t="s">
        <v>367</v>
      </c>
      <c r="BR333">
        <v>22634</v>
      </c>
      <c r="BS333" t="s">
        <v>816</v>
      </c>
      <c r="BT333">
        <v>8</v>
      </c>
      <c r="BU333">
        <v>6</v>
      </c>
      <c r="BV333">
        <v>9</v>
      </c>
      <c r="BX333">
        <v>7.5</v>
      </c>
      <c r="BZ333">
        <v>5.75</v>
      </c>
      <c r="CM333">
        <v>1911</v>
      </c>
    </row>
    <row r="334" spans="1:91" x14ac:dyDescent="0.3">
      <c r="A334" t="s">
        <v>814</v>
      </c>
      <c r="B334">
        <v>40516</v>
      </c>
      <c r="C334" t="s">
        <v>818</v>
      </c>
      <c r="D334">
        <v>12</v>
      </c>
      <c r="I334">
        <v>215000</v>
      </c>
      <c r="J334" t="s">
        <v>800</v>
      </c>
      <c r="V334" t="s">
        <v>350</v>
      </c>
      <c r="Y334">
        <v>100</v>
      </c>
      <c r="AA334">
        <v>72</v>
      </c>
      <c r="AC334" s="3">
        <v>73</v>
      </c>
      <c r="AE334" s="3">
        <v>71</v>
      </c>
      <c r="AI334">
        <v>71</v>
      </c>
      <c r="AJ334" t="s">
        <v>379</v>
      </c>
      <c r="AK334" s="3"/>
      <c r="AV334" t="s">
        <v>370</v>
      </c>
      <c r="AX334" t="s">
        <v>370</v>
      </c>
      <c r="AZ334" t="s">
        <v>370</v>
      </c>
      <c r="BB334" t="s">
        <v>370</v>
      </c>
      <c r="BO334" t="s">
        <v>367</v>
      </c>
      <c r="BR334">
        <v>22634</v>
      </c>
      <c r="BS334" t="s">
        <v>816</v>
      </c>
      <c r="BT334">
        <v>5</v>
      </c>
      <c r="BU334">
        <v>12</v>
      </c>
      <c r="BV334">
        <v>9</v>
      </c>
      <c r="BX334">
        <v>75</v>
      </c>
      <c r="BZ334">
        <v>70.5</v>
      </c>
      <c r="CM334">
        <v>1911</v>
      </c>
    </row>
    <row r="335" spans="1:91" x14ac:dyDescent="0.3">
      <c r="A335" t="s">
        <v>819</v>
      </c>
      <c r="B335">
        <v>40803</v>
      </c>
      <c r="D335">
        <v>12</v>
      </c>
      <c r="I335">
        <v>180000</v>
      </c>
      <c r="U335">
        <v>4</v>
      </c>
      <c r="Y335">
        <v>4</v>
      </c>
      <c r="AA335">
        <v>3</v>
      </c>
      <c r="AC335" s="3">
        <v>3</v>
      </c>
      <c r="AE335" s="3">
        <v>2.75</v>
      </c>
      <c r="AI335">
        <v>2.87</v>
      </c>
      <c r="AK335" s="3"/>
      <c r="BB335" t="s">
        <v>810</v>
      </c>
      <c r="BG335">
        <v>4</v>
      </c>
      <c r="BH335">
        <v>4</v>
      </c>
      <c r="BI335">
        <v>4</v>
      </c>
      <c r="BK335" s="4">
        <v>3470</v>
      </c>
      <c r="BL335" s="4">
        <v>3654</v>
      </c>
      <c r="BM335" s="4">
        <v>3835</v>
      </c>
      <c r="BN335" t="s">
        <v>811</v>
      </c>
      <c r="BR335">
        <v>239550</v>
      </c>
      <c r="BS335" t="s">
        <v>820</v>
      </c>
      <c r="BW335" t="s">
        <v>385</v>
      </c>
      <c r="BX335">
        <v>4.12</v>
      </c>
      <c r="BZ335">
        <v>2.75</v>
      </c>
      <c r="CK335" t="s">
        <v>360</v>
      </c>
      <c r="CM335">
        <v>1911</v>
      </c>
    </row>
    <row r="336" spans="1:91" x14ac:dyDescent="0.3">
      <c r="A336" t="s">
        <v>819</v>
      </c>
      <c r="B336">
        <v>40804</v>
      </c>
      <c r="C336" t="s">
        <v>821</v>
      </c>
      <c r="D336">
        <v>12</v>
      </c>
      <c r="I336" s="2">
        <v>1450000</v>
      </c>
      <c r="J336" t="s">
        <v>800</v>
      </c>
      <c r="V336" t="s">
        <v>350</v>
      </c>
      <c r="Y336">
        <v>100</v>
      </c>
      <c r="AA336">
        <v>65.5</v>
      </c>
      <c r="AC336" s="3">
        <v>65.5</v>
      </c>
      <c r="AE336" s="3">
        <v>63.5</v>
      </c>
      <c r="AI336">
        <v>63.5</v>
      </c>
      <c r="AJ336" t="s">
        <v>379</v>
      </c>
      <c r="AK336" s="3"/>
      <c r="AV336" t="s">
        <v>370</v>
      </c>
      <c r="AX336" t="s">
        <v>370</v>
      </c>
      <c r="AZ336" t="s">
        <v>370</v>
      </c>
      <c r="BB336" t="s">
        <v>370</v>
      </c>
      <c r="BO336" t="s">
        <v>367</v>
      </c>
      <c r="BR336">
        <v>239550</v>
      </c>
      <c r="BS336" t="s">
        <v>820</v>
      </c>
      <c r="BT336">
        <v>5</v>
      </c>
      <c r="BU336">
        <v>10</v>
      </c>
      <c r="BV336">
        <v>3</v>
      </c>
      <c r="BX336">
        <v>70</v>
      </c>
      <c r="BZ336">
        <v>63</v>
      </c>
      <c r="CM336">
        <v>1911</v>
      </c>
    </row>
    <row r="337" spans="1:91" x14ac:dyDescent="0.3">
      <c r="A337" t="s">
        <v>822</v>
      </c>
      <c r="B337">
        <v>40823</v>
      </c>
      <c r="D337">
        <v>12</v>
      </c>
      <c r="I337">
        <v>10000</v>
      </c>
      <c r="U337">
        <v>10</v>
      </c>
      <c r="Y337">
        <v>10</v>
      </c>
      <c r="AA337">
        <v>10.5</v>
      </c>
      <c r="AC337" s="3">
        <v>10.5</v>
      </c>
      <c r="AE337" s="3">
        <v>10.5</v>
      </c>
      <c r="AI337">
        <v>10.5</v>
      </c>
      <c r="AK337" s="3"/>
      <c r="AV337" t="s">
        <v>823</v>
      </c>
      <c r="AZ337" t="s">
        <v>823</v>
      </c>
      <c r="BG337">
        <v>6</v>
      </c>
      <c r="BH337">
        <v>14</v>
      </c>
      <c r="BI337">
        <v>6</v>
      </c>
      <c r="BJ337">
        <v>14</v>
      </c>
      <c r="BK337" s="4">
        <v>3713</v>
      </c>
      <c r="BL337" s="4">
        <v>3897</v>
      </c>
      <c r="BM337" s="4">
        <v>4078</v>
      </c>
      <c r="BN337" s="4">
        <v>4262</v>
      </c>
      <c r="BR337">
        <v>100527</v>
      </c>
      <c r="BS337" t="s">
        <v>824</v>
      </c>
      <c r="BT337">
        <v>9</v>
      </c>
      <c r="BU337">
        <v>10</v>
      </c>
      <c r="BV337">
        <v>6</v>
      </c>
      <c r="BX337">
        <v>11</v>
      </c>
      <c r="BZ337">
        <v>10.25</v>
      </c>
      <c r="CK337" t="s">
        <v>435</v>
      </c>
      <c r="CM337">
        <v>1911</v>
      </c>
    </row>
    <row r="338" spans="1:91" x14ac:dyDescent="0.3">
      <c r="A338" t="s">
        <v>822</v>
      </c>
      <c r="B338">
        <v>40824</v>
      </c>
      <c r="C338" t="s">
        <v>825</v>
      </c>
      <c r="D338">
        <v>12</v>
      </c>
      <c r="I338">
        <v>11000</v>
      </c>
      <c r="U338">
        <v>10</v>
      </c>
      <c r="Y338">
        <v>10</v>
      </c>
      <c r="AA338">
        <v>10</v>
      </c>
      <c r="AC338" s="3">
        <v>10</v>
      </c>
      <c r="AE338" s="3">
        <v>10</v>
      </c>
      <c r="AI338">
        <v>10</v>
      </c>
      <c r="AK338" s="3"/>
      <c r="AV338" t="s">
        <v>373</v>
      </c>
      <c r="AX338" t="s">
        <v>373</v>
      </c>
      <c r="AZ338" t="s">
        <v>373</v>
      </c>
      <c r="BB338" t="s">
        <v>373</v>
      </c>
      <c r="BO338" t="s">
        <v>367</v>
      </c>
      <c r="BR338">
        <v>100527</v>
      </c>
      <c r="BS338" t="s">
        <v>824</v>
      </c>
      <c r="BT338">
        <v>6</v>
      </c>
      <c r="BU338">
        <v>0</v>
      </c>
      <c r="BV338">
        <v>0</v>
      </c>
      <c r="BX338">
        <v>10.25</v>
      </c>
      <c r="BZ338">
        <v>9.25</v>
      </c>
      <c r="CM338">
        <v>1911</v>
      </c>
    </row>
    <row r="339" spans="1:91" x14ac:dyDescent="0.3">
      <c r="A339" t="s">
        <v>826</v>
      </c>
      <c r="B339">
        <v>40848</v>
      </c>
      <c r="D339">
        <v>12</v>
      </c>
      <c r="I339">
        <v>37200</v>
      </c>
      <c r="U339">
        <v>10</v>
      </c>
      <c r="Y339">
        <v>10</v>
      </c>
      <c r="AA339">
        <v>5.87</v>
      </c>
      <c r="AC339" s="3">
        <v>6</v>
      </c>
      <c r="AE339" s="3">
        <v>5.12</v>
      </c>
      <c r="AI339">
        <v>5.37</v>
      </c>
      <c r="AK339" s="3"/>
      <c r="AV339" t="s">
        <v>815</v>
      </c>
      <c r="AX339" t="s">
        <v>815</v>
      </c>
      <c r="AZ339" t="s">
        <v>823</v>
      </c>
      <c r="BB339" t="s">
        <v>815</v>
      </c>
      <c r="BG339">
        <v>5</v>
      </c>
      <c r="BH339">
        <v>5.5</v>
      </c>
      <c r="BI339">
        <v>4</v>
      </c>
      <c r="BJ339">
        <v>9</v>
      </c>
      <c r="BK339" s="4">
        <v>3623</v>
      </c>
      <c r="BL339" s="4">
        <v>3988</v>
      </c>
      <c r="BM339" s="4">
        <v>4200</v>
      </c>
      <c r="BN339" s="4">
        <v>4353</v>
      </c>
      <c r="BR339">
        <v>12081</v>
      </c>
      <c r="BS339" t="s">
        <v>827</v>
      </c>
      <c r="BT339">
        <v>20</v>
      </c>
      <c r="BU339">
        <v>9</v>
      </c>
      <c r="BV339">
        <v>3</v>
      </c>
      <c r="BX339">
        <v>6.06</v>
      </c>
      <c r="BZ339">
        <v>3.78</v>
      </c>
      <c r="CK339" t="s">
        <v>360</v>
      </c>
      <c r="CM339">
        <v>1911</v>
      </c>
    </row>
    <row r="340" spans="1:91" x14ac:dyDescent="0.3">
      <c r="A340" t="s">
        <v>826</v>
      </c>
      <c r="B340">
        <v>40849</v>
      </c>
      <c r="C340" t="s">
        <v>828</v>
      </c>
      <c r="D340">
        <v>12</v>
      </c>
      <c r="I340">
        <v>342060</v>
      </c>
      <c r="J340" t="s">
        <v>800</v>
      </c>
      <c r="U340">
        <v>100</v>
      </c>
      <c r="Y340">
        <v>100</v>
      </c>
      <c r="AA340">
        <v>83.5</v>
      </c>
      <c r="AC340" s="3">
        <v>84</v>
      </c>
      <c r="AE340" s="3">
        <v>81</v>
      </c>
      <c r="AI340">
        <v>81.5</v>
      </c>
      <c r="AK340" s="3"/>
      <c r="BG340">
        <v>6</v>
      </c>
      <c r="BH340">
        <v>6</v>
      </c>
      <c r="BI340">
        <v>6</v>
      </c>
      <c r="BJ340">
        <v>6</v>
      </c>
      <c r="BK340" s="4">
        <v>3744</v>
      </c>
      <c r="BL340" s="4">
        <v>3927</v>
      </c>
      <c r="BM340" s="4">
        <v>4109</v>
      </c>
      <c r="BN340" s="4">
        <v>4292</v>
      </c>
      <c r="BR340">
        <v>12081</v>
      </c>
      <c r="BS340" t="s">
        <v>827</v>
      </c>
      <c r="BT340">
        <v>7</v>
      </c>
      <c r="BU340">
        <v>7</v>
      </c>
      <c r="BV340">
        <v>3</v>
      </c>
      <c r="BX340">
        <v>84</v>
      </c>
      <c r="BZ340">
        <v>72.5</v>
      </c>
      <c r="CM340">
        <v>1911</v>
      </c>
    </row>
    <row r="341" spans="1:91" x14ac:dyDescent="0.3">
      <c r="A341" t="s">
        <v>829</v>
      </c>
      <c r="B341">
        <v>40859</v>
      </c>
      <c r="D341">
        <v>12</v>
      </c>
      <c r="I341" s="2">
        <v>1360000</v>
      </c>
      <c r="J341" t="s">
        <v>800</v>
      </c>
      <c r="V341" t="s">
        <v>350</v>
      </c>
      <c r="Y341">
        <v>100</v>
      </c>
      <c r="AA341">
        <v>98.5</v>
      </c>
      <c r="AC341" s="3">
        <v>99.75</v>
      </c>
      <c r="AE341" s="3">
        <v>96</v>
      </c>
      <c r="AI341">
        <v>96.5</v>
      </c>
      <c r="AJ341" t="s">
        <v>379</v>
      </c>
      <c r="AK341" s="3"/>
      <c r="AV341" t="s">
        <v>370</v>
      </c>
      <c r="AX341" t="s">
        <v>370</v>
      </c>
      <c r="AZ341" t="s">
        <v>370</v>
      </c>
      <c r="BB341" t="s">
        <v>370</v>
      </c>
      <c r="BO341" t="s">
        <v>367</v>
      </c>
      <c r="BR341">
        <v>417861</v>
      </c>
      <c r="BS341" t="s">
        <v>830</v>
      </c>
      <c r="BT341">
        <v>5</v>
      </c>
      <c r="BU341">
        <v>3</v>
      </c>
      <c r="BV341">
        <v>9</v>
      </c>
      <c r="BX341">
        <v>99.75</v>
      </c>
      <c r="BZ341">
        <v>89.87</v>
      </c>
      <c r="CK341" t="s">
        <v>360</v>
      </c>
      <c r="CM341">
        <v>1911</v>
      </c>
    </row>
    <row r="342" spans="1:91" x14ac:dyDescent="0.3">
      <c r="A342" t="s">
        <v>829</v>
      </c>
      <c r="B342">
        <v>40857</v>
      </c>
      <c r="C342" t="s">
        <v>831</v>
      </c>
      <c r="D342">
        <v>12</v>
      </c>
      <c r="I342" s="2">
        <v>1360000</v>
      </c>
      <c r="J342" t="s">
        <v>800</v>
      </c>
      <c r="V342" t="s">
        <v>350</v>
      </c>
      <c r="Y342">
        <v>100</v>
      </c>
      <c r="AA342">
        <v>103</v>
      </c>
      <c r="AC342" s="3">
        <v>104.5</v>
      </c>
      <c r="AE342" s="3">
        <v>101</v>
      </c>
      <c r="AI342">
        <v>101</v>
      </c>
      <c r="AJ342" t="s">
        <v>379</v>
      </c>
      <c r="AK342" s="3"/>
      <c r="AV342" t="s">
        <v>370</v>
      </c>
      <c r="AX342" t="s">
        <v>370</v>
      </c>
      <c r="AZ342" t="s">
        <v>370</v>
      </c>
      <c r="BB342" t="s">
        <v>370</v>
      </c>
      <c r="BO342" t="s">
        <v>367</v>
      </c>
      <c r="BR342">
        <v>417861</v>
      </c>
      <c r="BS342" t="s">
        <v>830</v>
      </c>
      <c r="BT342">
        <v>4</v>
      </c>
      <c r="BU342">
        <v>9</v>
      </c>
      <c r="BV342">
        <v>0</v>
      </c>
      <c r="BX342">
        <v>105.5</v>
      </c>
      <c r="BZ342">
        <v>98</v>
      </c>
      <c r="CM342">
        <v>1911</v>
      </c>
    </row>
    <row r="343" spans="1:91" x14ac:dyDescent="0.3">
      <c r="A343" t="s">
        <v>829</v>
      </c>
      <c r="B343">
        <v>40860</v>
      </c>
      <c r="C343" t="s">
        <v>832</v>
      </c>
      <c r="D343">
        <v>12</v>
      </c>
      <c r="I343">
        <v>560000</v>
      </c>
      <c r="J343" t="s">
        <v>800</v>
      </c>
      <c r="V343" t="s">
        <v>350</v>
      </c>
      <c r="Y343">
        <v>100</v>
      </c>
      <c r="AA343">
        <v>77</v>
      </c>
      <c r="AC343" s="3">
        <v>78</v>
      </c>
      <c r="AE343" s="3">
        <v>75</v>
      </c>
      <c r="AI343">
        <v>75</v>
      </c>
      <c r="AJ343" t="s">
        <v>379</v>
      </c>
      <c r="AK343" s="3"/>
      <c r="AV343" t="s">
        <v>370</v>
      </c>
      <c r="AX343" t="s">
        <v>370</v>
      </c>
      <c r="AZ343" t="s">
        <v>370</v>
      </c>
      <c r="BB343" t="s">
        <v>370</v>
      </c>
      <c r="BO343" t="s">
        <v>367</v>
      </c>
      <c r="BR343">
        <v>417861</v>
      </c>
      <c r="BS343" t="s">
        <v>830</v>
      </c>
      <c r="BT343">
        <v>4</v>
      </c>
      <c r="BU343">
        <v>13</v>
      </c>
      <c r="BV343">
        <v>3</v>
      </c>
      <c r="BX343">
        <v>79</v>
      </c>
      <c r="BZ343">
        <v>65</v>
      </c>
      <c r="CM343">
        <v>1911</v>
      </c>
    </row>
    <row r="344" spans="1:91" x14ac:dyDescent="0.3">
      <c r="A344" t="s">
        <v>833</v>
      </c>
      <c r="B344">
        <v>40983</v>
      </c>
      <c r="D344">
        <v>12</v>
      </c>
      <c r="I344">
        <v>62000</v>
      </c>
      <c r="U344">
        <v>5</v>
      </c>
      <c r="Y344">
        <v>5</v>
      </c>
      <c r="AA344">
        <v>0.37</v>
      </c>
      <c r="AC344" s="3">
        <v>0.65</v>
      </c>
      <c r="AE344" s="3">
        <v>0.37</v>
      </c>
      <c r="AI344">
        <v>0.56000000000000005</v>
      </c>
      <c r="AK344" s="3"/>
      <c r="AV344" t="s">
        <v>385</v>
      </c>
      <c r="BB344" t="s">
        <v>810</v>
      </c>
      <c r="BH344">
        <v>5</v>
      </c>
      <c r="BI344">
        <v>5</v>
      </c>
      <c r="BK344" t="s">
        <v>811</v>
      </c>
      <c r="BL344" s="4">
        <v>3014</v>
      </c>
      <c r="BM344" s="4">
        <v>3197</v>
      </c>
      <c r="BN344" t="s">
        <v>811</v>
      </c>
      <c r="BR344">
        <v>5051</v>
      </c>
      <c r="BS344" t="s">
        <v>834</v>
      </c>
      <c r="BW344" t="s">
        <v>802</v>
      </c>
      <c r="BX344">
        <v>0.75</v>
      </c>
      <c r="BZ344">
        <v>0.28000000000000003</v>
      </c>
      <c r="CK344" t="s">
        <v>360</v>
      </c>
      <c r="CM344">
        <v>1911</v>
      </c>
    </row>
    <row r="345" spans="1:91" x14ac:dyDescent="0.3">
      <c r="A345" t="s">
        <v>833</v>
      </c>
      <c r="B345">
        <v>40985</v>
      </c>
      <c r="C345" t="s">
        <v>835</v>
      </c>
      <c r="D345">
        <v>12</v>
      </c>
      <c r="I345">
        <v>596200</v>
      </c>
      <c r="J345" t="s">
        <v>800</v>
      </c>
      <c r="V345" t="s">
        <v>350</v>
      </c>
      <c r="Y345">
        <v>100</v>
      </c>
      <c r="AA345">
        <v>50.5</v>
      </c>
      <c r="AC345" s="3">
        <v>57</v>
      </c>
      <c r="AE345" s="3">
        <v>50.5</v>
      </c>
      <c r="AI345">
        <v>54.5</v>
      </c>
      <c r="AJ345" t="s">
        <v>379</v>
      </c>
      <c r="AK345" s="3"/>
      <c r="AV345" t="s">
        <v>370</v>
      </c>
      <c r="AX345" t="s">
        <v>370</v>
      </c>
      <c r="AZ345" t="s">
        <v>370</v>
      </c>
      <c r="BB345" t="s">
        <v>370</v>
      </c>
      <c r="BO345" t="s">
        <v>367</v>
      </c>
      <c r="BR345">
        <v>5051</v>
      </c>
      <c r="BS345" t="s">
        <v>834</v>
      </c>
      <c r="BT345">
        <v>7</v>
      </c>
      <c r="BU345">
        <v>12</v>
      </c>
      <c r="BV345">
        <v>6</v>
      </c>
      <c r="BX345">
        <v>64.5</v>
      </c>
      <c r="BZ345">
        <v>48.25</v>
      </c>
      <c r="CM345">
        <v>1911</v>
      </c>
    </row>
    <row r="346" spans="1:91" x14ac:dyDescent="0.3">
      <c r="A346" t="s">
        <v>833</v>
      </c>
      <c r="B346">
        <v>40988</v>
      </c>
      <c r="C346" t="s">
        <v>836</v>
      </c>
      <c r="D346">
        <v>12</v>
      </c>
      <c r="I346">
        <v>288950</v>
      </c>
      <c r="J346" t="s">
        <v>800</v>
      </c>
      <c r="V346" t="s">
        <v>350</v>
      </c>
      <c r="Y346">
        <v>100</v>
      </c>
      <c r="AA346">
        <v>41.5</v>
      </c>
      <c r="AC346" s="3">
        <v>45.5</v>
      </c>
      <c r="AE346" s="3">
        <v>41.5</v>
      </c>
      <c r="AI346">
        <v>45.5</v>
      </c>
      <c r="AK346" s="3"/>
      <c r="AV346" t="s">
        <v>536</v>
      </c>
      <c r="AX346" t="s">
        <v>536</v>
      </c>
      <c r="AZ346" t="s">
        <v>536</v>
      </c>
      <c r="BB346" t="s">
        <v>536</v>
      </c>
      <c r="BO346" t="s">
        <v>367</v>
      </c>
      <c r="BR346">
        <v>5051</v>
      </c>
      <c r="BS346" t="s">
        <v>834</v>
      </c>
      <c r="BT346">
        <v>8</v>
      </c>
      <c r="BU346">
        <v>15</v>
      </c>
      <c r="BV346">
        <v>9</v>
      </c>
      <c r="BX346">
        <v>45.5</v>
      </c>
      <c r="BZ346">
        <v>39</v>
      </c>
      <c r="CM346">
        <v>1911</v>
      </c>
    </row>
    <row r="347" spans="1:91" x14ac:dyDescent="0.3">
      <c r="A347" t="s">
        <v>837</v>
      </c>
      <c r="B347">
        <v>40999</v>
      </c>
      <c r="D347">
        <v>12</v>
      </c>
      <c r="I347">
        <v>23500</v>
      </c>
      <c r="U347">
        <v>10</v>
      </c>
      <c r="Y347">
        <v>10</v>
      </c>
      <c r="AA347">
        <v>2.75</v>
      </c>
      <c r="AC347" s="3">
        <v>2.75</v>
      </c>
      <c r="AE347" s="3">
        <v>2.75</v>
      </c>
      <c r="AI347">
        <v>2.75</v>
      </c>
      <c r="AK347" s="3"/>
      <c r="AV347" t="s">
        <v>823</v>
      </c>
      <c r="AZ347" t="s">
        <v>823</v>
      </c>
      <c r="BG347">
        <v>2</v>
      </c>
      <c r="BH347">
        <v>2</v>
      </c>
      <c r="BI347">
        <v>2</v>
      </c>
      <c r="BJ347">
        <v>4</v>
      </c>
      <c r="BK347" s="4">
        <v>3835</v>
      </c>
      <c r="BL347" s="4">
        <v>4019</v>
      </c>
      <c r="BM347" s="4">
        <v>4200</v>
      </c>
      <c r="BN347" s="4">
        <v>4384</v>
      </c>
      <c r="BR347">
        <v>14708</v>
      </c>
      <c r="BS347" t="s">
        <v>838</v>
      </c>
      <c r="BT347">
        <v>10</v>
      </c>
      <c r="BU347">
        <v>18</v>
      </c>
      <c r="BV347">
        <v>3</v>
      </c>
      <c r="BX347">
        <v>2.75</v>
      </c>
      <c r="BZ347">
        <v>2.12</v>
      </c>
      <c r="CK347" t="s">
        <v>435</v>
      </c>
      <c r="CM347">
        <v>1911</v>
      </c>
    </row>
    <row r="348" spans="1:91" x14ac:dyDescent="0.3">
      <c r="A348" t="s">
        <v>837</v>
      </c>
      <c r="B348">
        <v>41001</v>
      </c>
      <c r="C348" t="s">
        <v>825</v>
      </c>
      <c r="D348">
        <v>12</v>
      </c>
      <c r="I348">
        <v>23685</v>
      </c>
      <c r="U348">
        <v>10</v>
      </c>
      <c r="Y348">
        <v>10</v>
      </c>
      <c r="AA348">
        <v>6.37</v>
      </c>
      <c r="AC348" s="3">
        <v>6.37</v>
      </c>
      <c r="AE348" s="3">
        <v>6.37</v>
      </c>
      <c r="AI348">
        <v>6.37</v>
      </c>
      <c r="AK348" s="3"/>
      <c r="AV348" t="s">
        <v>370</v>
      </c>
      <c r="AX348" t="s">
        <v>370</v>
      </c>
      <c r="AZ348" t="s">
        <v>370</v>
      </c>
      <c r="BB348" t="s">
        <v>370</v>
      </c>
      <c r="BO348" t="s">
        <v>367</v>
      </c>
      <c r="BR348">
        <v>14708</v>
      </c>
      <c r="BS348" t="s">
        <v>838</v>
      </c>
      <c r="BT348">
        <v>9</v>
      </c>
      <c r="BU348">
        <v>8</v>
      </c>
      <c r="BV348">
        <v>3</v>
      </c>
      <c r="BX348">
        <v>6.5</v>
      </c>
      <c r="BZ348">
        <v>6</v>
      </c>
      <c r="CM348">
        <v>1911</v>
      </c>
    </row>
    <row r="349" spans="1:91" x14ac:dyDescent="0.3">
      <c r="A349" t="s">
        <v>837</v>
      </c>
      <c r="B349">
        <v>41000</v>
      </c>
      <c r="C349" t="s">
        <v>839</v>
      </c>
      <c r="D349">
        <v>12</v>
      </c>
      <c r="I349">
        <v>350000</v>
      </c>
      <c r="J349" t="s">
        <v>800</v>
      </c>
      <c r="U349">
        <v>100</v>
      </c>
      <c r="Y349">
        <v>100</v>
      </c>
      <c r="AA349">
        <v>70</v>
      </c>
      <c r="AC349" s="3">
        <v>71</v>
      </c>
      <c r="AE349" s="3">
        <v>70</v>
      </c>
      <c r="AI349">
        <v>71</v>
      </c>
      <c r="AK349" s="3"/>
      <c r="AV349" t="s">
        <v>370</v>
      </c>
      <c r="AX349" t="s">
        <v>370</v>
      </c>
      <c r="AZ349" t="s">
        <v>370</v>
      </c>
      <c r="BB349" t="s">
        <v>370</v>
      </c>
      <c r="BO349" t="s">
        <v>367</v>
      </c>
      <c r="BR349">
        <v>14708</v>
      </c>
      <c r="BS349" t="s">
        <v>838</v>
      </c>
      <c r="BT349">
        <v>6</v>
      </c>
      <c r="BU349">
        <v>10</v>
      </c>
      <c r="BV349">
        <v>6</v>
      </c>
      <c r="BX349">
        <v>71</v>
      </c>
      <c r="BZ349">
        <v>66</v>
      </c>
      <c r="CM349">
        <v>1911</v>
      </c>
    </row>
    <row r="350" spans="1:91" x14ac:dyDescent="0.3">
      <c r="A350" t="s">
        <v>837</v>
      </c>
      <c r="B350">
        <v>41003</v>
      </c>
      <c r="C350" t="s">
        <v>840</v>
      </c>
      <c r="D350">
        <v>12</v>
      </c>
      <c r="I350">
        <v>250000</v>
      </c>
      <c r="J350" t="s">
        <v>800</v>
      </c>
      <c r="V350" t="s">
        <v>350</v>
      </c>
      <c r="Y350">
        <v>100</v>
      </c>
      <c r="AA350">
        <v>54</v>
      </c>
      <c r="AC350" s="3">
        <v>57</v>
      </c>
      <c r="AE350" s="3">
        <v>54</v>
      </c>
      <c r="AI350">
        <v>57</v>
      </c>
      <c r="AK350" s="3"/>
      <c r="AV350" t="s">
        <v>370</v>
      </c>
      <c r="AX350" t="s">
        <v>370</v>
      </c>
      <c r="AZ350" t="s">
        <v>370</v>
      </c>
      <c r="BB350" t="s">
        <v>370</v>
      </c>
      <c r="BO350" t="s">
        <v>367</v>
      </c>
      <c r="BR350">
        <v>14708</v>
      </c>
      <c r="BS350" t="s">
        <v>838</v>
      </c>
      <c r="BT350">
        <v>7</v>
      </c>
      <c r="BU350">
        <v>5</v>
      </c>
      <c r="BV350">
        <v>6</v>
      </c>
      <c r="BX350">
        <v>57</v>
      </c>
      <c r="BZ350">
        <v>53</v>
      </c>
      <c r="CM350">
        <v>1911</v>
      </c>
    </row>
    <row r="351" spans="1:91" x14ac:dyDescent="0.3">
      <c r="A351" t="s">
        <v>841</v>
      </c>
      <c r="B351">
        <v>41008</v>
      </c>
      <c r="D351">
        <v>12</v>
      </c>
      <c r="I351">
        <v>20000</v>
      </c>
      <c r="U351">
        <v>10</v>
      </c>
      <c r="Y351">
        <v>10</v>
      </c>
      <c r="AA351">
        <v>1.62</v>
      </c>
      <c r="AC351" s="3">
        <v>1.75</v>
      </c>
      <c r="AE351" s="3">
        <v>1.62</v>
      </c>
      <c r="AI351">
        <v>1.75</v>
      </c>
      <c r="AK351" s="3"/>
      <c r="AX351" t="s">
        <v>823</v>
      </c>
      <c r="BB351" t="s">
        <v>810</v>
      </c>
      <c r="BG351">
        <v>3</v>
      </c>
      <c r="BH351">
        <v>3</v>
      </c>
      <c r="BI351">
        <v>3</v>
      </c>
      <c r="BK351" s="4">
        <v>2589</v>
      </c>
      <c r="BL351" s="4">
        <v>2770</v>
      </c>
      <c r="BM351" s="4">
        <v>2954</v>
      </c>
      <c r="BN351" t="s">
        <v>811</v>
      </c>
      <c r="BR351">
        <v>151281</v>
      </c>
      <c r="BS351" t="s">
        <v>842</v>
      </c>
      <c r="BW351" t="s">
        <v>802</v>
      </c>
      <c r="BX351">
        <v>2.12</v>
      </c>
      <c r="BZ351">
        <v>1.06</v>
      </c>
      <c r="CK351" t="s">
        <v>843</v>
      </c>
      <c r="CM351">
        <v>1911</v>
      </c>
    </row>
    <row r="352" spans="1:91" x14ac:dyDescent="0.3">
      <c r="A352" t="s">
        <v>841</v>
      </c>
      <c r="B352">
        <v>41010</v>
      </c>
      <c r="C352" t="s">
        <v>844</v>
      </c>
      <c r="D352">
        <v>12</v>
      </c>
      <c r="I352">
        <v>35000</v>
      </c>
      <c r="U352">
        <v>10</v>
      </c>
      <c r="Y352">
        <v>10</v>
      </c>
      <c r="AA352">
        <v>4</v>
      </c>
      <c r="AC352" s="3">
        <v>5.37</v>
      </c>
      <c r="AE352" s="3">
        <v>4</v>
      </c>
      <c r="AI352">
        <v>5.37</v>
      </c>
      <c r="AJ352" t="s">
        <v>379</v>
      </c>
      <c r="AK352" s="3"/>
      <c r="AZ352" t="s">
        <v>845</v>
      </c>
      <c r="BG352">
        <v>6</v>
      </c>
      <c r="BH352">
        <v>6</v>
      </c>
      <c r="BI352">
        <v>6</v>
      </c>
      <c r="BK352" s="4">
        <v>3654</v>
      </c>
      <c r="BL352" s="4">
        <v>4200</v>
      </c>
      <c r="BM352" s="4">
        <v>4384</v>
      </c>
      <c r="BR352">
        <v>151281</v>
      </c>
      <c r="BS352" t="s">
        <v>842</v>
      </c>
      <c r="BT352">
        <v>11</v>
      </c>
      <c r="BU352">
        <v>3</v>
      </c>
      <c r="BV352">
        <v>3</v>
      </c>
      <c r="BX352">
        <v>5.37</v>
      </c>
      <c r="BZ352">
        <v>3.25</v>
      </c>
      <c r="CM352">
        <v>1911</v>
      </c>
    </row>
    <row r="353" spans="1:91" x14ac:dyDescent="0.3">
      <c r="A353" t="s">
        <v>841</v>
      </c>
      <c r="B353">
        <v>41009</v>
      </c>
      <c r="C353" t="s">
        <v>846</v>
      </c>
      <c r="D353">
        <v>12</v>
      </c>
      <c r="I353">
        <v>600000</v>
      </c>
      <c r="J353" t="s">
        <v>800</v>
      </c>
      <c r="V353" t="s">
        <v>350</v>
      </c>
      <c r="Y353">
        <v>100</v>
      </c>
      <c r="AA353">
        <v>62</v>
      </c>
      <c r="AC353" s="3">
        <v>65</v>
      </c>
      <c r="AE353" s="3">
        <v>62</v>
      </c>
      <c r="AI353">
        <v>65</v>
      </c>
      <c r="AJ353" t="s">
        <v>379</v>
      </c>
      <c r="AK353" s="3"/>
      <c r="AV353" t="s">
        <v>370</v>
      </c>
      <c r="AX353" t="s">
        <v>370</v>
      </c>
      <c r="AZ353" t="s">
        <v>370</v>
      </c>
      <c r="BB353" t="s">
        <v>370</v>
      </c>
      <c r="BO353" t="s">
        <v>367</v>
      </c>
      <c r="BR353">
        <v>151281</v>
      </c>
      <c r="BS353" t="s">
        <v>842</v>
      </c>
      <c r="BT353">
        <v>6</v>
      </c>
      <c r="BU353">
        <v>3</v>
      </c>
      <c r="BV353">
        <v>0</v>
      </c>
      <c r="BX353">
        <v>69</v>
      </c>
      <c r="BZ353">
        <v>60.5</v>
      </c>
      <c r="CM353">
        <v>1911</v>
      </c>
    </row>
    <row r="354" spans="1:91" x14ac:dyDescent="0.3">
      <c r="A354" t="s">
        <v>847</v>
      </c>
      <c r="B354">
        <v>41028</v>
      </c>
      <c r="D354">
        <v>12</v>
      </c>
      <c r="I354">
        <v>17500</v>
      </c>
      <c r="U354">
        <v>10</v>
      </c>
      <c r="Y354">
        <v>10</v>
      </c>
      <c r="AA354">
        <v>7.5</v>
      </c>
      <c r="AC354" s="3">
        <v>7.75</v>
      </c>
      <c r="AE354" s="3">
        <v>7.5</v>
      </c>
      <c r="AI354">
        <v>7.75</v>
      </c>
      <c r="AK354" s="3"/>
      <c r="BG354">
        <v>5</v>
      </c>
      <c r="BH354">
        <v>5</v>
      </c>
      <c r="BI354">
        <v>5</v>
      </c>
      <c r="BJ354">
        <v>5</v>
      </c>
      <c r="BK354" s="4">
        <v>3713</v>
      </c>
      <c r="BL354" s="4">
        <v>3897</v>
      </c>
      <c r="BM354" s="4">
        <v>4078</v>
      </c>
      <c r="BN354" s="4">
        <v>4262</v>
      </c>
      <c r="BR354">
        <v>31504</v>
      </c>
      <c r="BT354">
        <v>6</v>
      </c>
      <c r="BU354">
        <v>9</v>
      </c>
      <c r="BV354">
        <v>0</v>
      </c>
      <c r="BX354">
        <v>7.75</v>
      </c>
      <c r="BZ354">
        <v>6.62</v>
      </c>
      <c r="CK354" t="s">
        <v>454</v>
      </c>
      <c r="CM354">
        <v>1911</v>
      </c>
    </row>
    <row r="355" spans="1:91" x14ac:dyDescent="0.3">
      <c r="A355" t="s">
        <v>848</v>
      </c>
      <c r="B355">
        <v>50786</v>
      </c>
      <c r="D355">
        <v>12</v>
      </c>
      <c r="I355">
        <v>375000</v>
      </c>
      <c r="J355" t="s">
        <v>800</v>
      </c>
      <c r="V355" t="s">
        <v>350</v>
      </c>
      <c r="Y355">
        <v>100</v>
      </c>
      <c r="AA355">
        <v>121.5</v>
      </c>
      <c r="AC355" s="3">
        <v>121.5</v>
      </c>
      <c r="AE355" s="3">
        <v>119</v>
      </c>
      <c r="AI355">
        <v>121.5</v>
      </c>
      <c r="AK355" s="3"/>
      <c r="AV355" t="s">
        <v>815</v>
      </c>
      <c r="AX355" t="s">
        <v>815</v>
      </c>
      <c r="AZ355" t="s">
        <v>815</v>
      </c>
      <c r="BB355" t="s">
        <v>815</v>
      </c>
      <c r="BG355">
        <v>15</v>
      </c>
      <c r="BH355">
        <v>15</v>
      </c>
      <c r="BI355">
        <v>5</v>
      </c>
      <c r="BJ355">
        <v>7</v>
      </c>
      <c r="BK355" s="4">
        <v>2709</v>
      </c>
      <c r="BL355" s="4">
        <v>3075</v>
      </c>
      <c r="BM355" s="4">
        <v>3927</v>
      </c>
      <c r="BN355" s="4">
        <v>4323</v>
      </c>
      <c r="BR355">
        <v>113545</v>
      </c>
      <c r="BS355" t="s">
        <v>849</v>
      </c>
      <c r="BT355">
        <v>5</v>
      </c>
      <c r="BU355">
        <v>15</v>
      </c>
      <c r="BV355">
        <v>9</v>
      </c>
      <c r="BX355">
        <v>138.5</v>
      </c>
      <c r="BZ355">
        <v>115</v>
      </c>
      <c r="CM355">
        <v>1911</v>
      </c>
    </row>
    <row r="356" spans="1:91" x14ac:dyDescent="0.3">
      <c r="A356" t="s">
        <v>848</v>
      </c>
      <c r="B356">
        <v>41051</v>
      </c>
      <c r="C356" t="s">
        <v>850</v>
      </c>
      <c r="D356">
        <v>12</v>
      </c>
      <c r="I356">
        <v>311160</v>
      </c>
      <c r="J356" t="s">
        <v>800</v>
      </c>
      <c r="V356" t="s">
        <v>350</v>
      </c>
      <c r="Y356">
        <v>100</v>
      </c>
      <c r="AA356">
        <v>86.5</v>
      </c>
      <c r="AC356" s="3">
        <v>86.5</v>
      </c>
      <c r="AE356" s="3">
        <v>84.5</v>
      </c>
      <c r="AI356">
        <v>84.5</v>
      </c>
      <c r="AJ356" t="s">
        <v>379</v>
      </c>
      <c r="AK356" s="3"/>
      <c r="BG356">
        <v>5</v>
      </c>
      <c r="BH356">
        <v>5</v>
      </c>
      <c r="BI356">
        <v>5</v>
      </c>
      <c r="BJ356">
        <v>5</v>
      </c>
      <c r="BK356" s="4">
        <v>3654</v>
      </c>
      <c r="BL356" s="4">
        <v>3805</v>
      </c>
      <c r="BM356" s="4">
        <v>4019</v>
      </c>
      <c r="BN356" s="4">
        <v>4200</v>
      </c>
      <c r="BR356">
        <v>113545</v>
      </c>
      <c r="BS356" t="s">
        <v>849</v>
      </c>
      <c r="BT356">
        <v>5</v>
      </c>
      <c r="BU356">
        <v>18</v>
      </c>
      <c r="BV356">
        <v>3</v>
      </c>
      <c r="BX356">
        <v>87.5</v>
      </c>
      <c r="BZ356">
        <v>80</v>
      </c>
      <c r="CM356">
        <v>1911</v>
      </c>
    </row>
    <row r="357" spans="1:91" x14ac:dyDescent="0.3">
      <c r="A357" t="s">
        <v>848</v>
      </c>
      <c r="B357">
        <v>41050</v>
      </c>
      <c r="C357" t="s">
        <v>851</v>
      </c>
      <c r="D357">
        <v>12</v>
      </c>
      <c r="I357">
        <v>193035</v>
      </c>
      <c r="J357" t="s">
        <v>800</v>
      </c>
      <c r="V357" t="s">
        <v>350</v>
      </c>
      <c r="Y357">
        <v>100</v>
      </c>
      <c r="AA357">
        <v>92.5</v>
      </c>
      <c r="AC357" s="3">
        <v>92.5</v>
      </c>
      <c r="AE357" s="3">
        <v>91.5</v>
      </c>
      <c r="AI357">
        <v>91.5</v>
      </c>
      <c r="AJ357" t="s">
        <v>379</v>
      </c>
      <c r="AK357" s="3"/>
      <c r="AV357" t="s">
        <v>421</v>
      </c>
      <c r="AX357" t="s">
        <v>421</v>
      </c>
      <c r="AZ357" t="s">
        <v>421</v>
      </c>
      <c r="BB357" t="s">
        <v>421</v>
      </c>
      <c r="BO357" t="s">
        <v>367</v>
      </c>
      <c r="BR357">
        <v>113545</v>
      </c>
      <c r="BS357" t="s">
        <v>849</v>
      </c>
      <c r="BT357">
        <v>4</v>
      </c>
      <c r="BU357">
        <v>7</v>
      </c>
      <c r="BV357">
        <v>6</v>
      </c>
      <c r="BX357">
        <v>95</v>
      </c>
      <c r="BZ357">
        <v>91.5</v>
      </c>
      <c r="CM357">
        <v>1911</v>
      </c>
    </row>
    <row r="358" spans="1:91" x14ac:dyDescent="0.3">
      <c r="A358" t="s">
        <v>852</v>
      </c>
      <c r="B358">
        <v>41123</v>
      </c>
      <c r="D358">
        <v>12</v>
      </c>
      <c r="I358">
        <v>22654</v>
      </c>
      <c r="U358">
        <v>10</v>
      </c>
      <c r="Y358">
        <v>5</v>
      </c>
      <c r="AA358">
        <v>8</v>
      </c>
      <c r="AC358" s="3">
        <v>8</v>
      </c>
      <c r="AE358" s="3">
        <v>8</v>
      </c>
      <c r="AI358">
        <v>8</v>
      </c>
      <c r="AK358" s="3"/>
      <c r="AV358" t="s">
        <v>853</v>
      </c>
      <c r="AZ358" t="s">
        <v>853</v>
      </c>
      <c r="BG358">
        <v>10</v>
      </c>
      <c r="BH358">
        <v>16</v>
      </c>
      <c r="BI358">
        <v>10</v>
      </c>
      <c r="BJ358">
        <v>16</v>
      </c>
      <c r="BK358" s="4">
        <v>3805</v>
      </c>
      <c r="BL358" s="4">
        <v>3988</v>
      </c>
      <c r="BM358" s="4">
        <v>4170</v>
      </c>
      <c r="BN358" s="4">
        <v>4353</v>
      </c>
      <c r="BR358">
        <v>116095</v>
      </c>
      <c r="BT358">
        <v>7</v>
      </c>
      <c r="BU358">
        <v>10</v>
      </c>
      <c r="BV358">
        <v>0</v>
      </c>
      <c r="BX358">
        <v>8.25</v>
      </c>
      <c r="BZ358">
        <v>7</v>
      </c>
      <c r="CK358" t="s">
        <v>616</v>
      </c>
      <c r="CM358">
        <v>1911</v>
      </c>
    </row>
    <row r="359" spans="1:91" x14ac:dyDescent="0.3">
      <c r="A359" t="s">
        <v>854</v>
      </c>
      <c r="B359">
        <v>41184</v>
      </c>
      <c r="D359">
        <v>12</v>
      </c>
      <c r="I359">
        <v>325000</v>
      </c>
      <c r="J359" t="s">
        <v>800</v>
      </c>
      <c r="V359" t="s">
        <v>350</v>
      </c>
      <c r="Y359">
        <v>100</v>
      </c>
      <c r="AA359">
        <v>53</v>
      </c>
      <c r="AC359" s="3">
        <v>53</v>
      </c>
      <c r="AE359" s="3">
        <v>52</v>
      </c>
      <c r="AI359">
        <v>52</v>
      </c>
      <c r="AJ359" t="s">
        <v>379</v>
      </c>
      <c r="AK359" s="3"/>
      <c r="BG359">
        <v>4.5</v>
      </c>
      <c r="BH359">
        <v>4.5</v>
      </c>
      <c r="BI359">
        <v>4.5</v>
      </c>
      <c r="BJ359">
        <v>4.5</v>
      </c>
      <c r="BK359" s="4">
        <v>3654</v>
      </c>
      <c r="BL359" s="4">
        <v>3835</v>
      </c>
      <c r="BM359" s="4">
        <v>4019</v>
      </c>
      <c r="BN359" s="4">
        <v>4200</v>
      </c>
      <c r="BS359" t="s">
        <v>385</v>
      </c>
      <c r="BT359">
        <v>8</v>
      </c>
      <c r="BU359">
        <v>13</v>
      </c>
      <c r="BV359">
        <v>3</v>
      </c>
      <c r="BX359">
        <v>54.5</v>
      </c>
      <c r="BZ359">
        <v>49.5</v>
      </c>
      <c r="CK359" t="s">
        <v>855</v>
      </c>
      <c r="CM359">
        <v>1911</v>
      </c>
    </row>
    <row r="360" spans="1:91" x14ac:dyDescent="0.3">
      <c r="A360" t="s">
        <v>856</v>
      </c>
      <c r="B360">
        <v>41194</v>
      </c>
      <c r="D360">
        <v>12</v>
      </c>
      <c r="I360">
        <v>33000</v>
      </c>
      <c r="U360">
        <v>10</v>
      </c>
      <c r="Y360">
        <v>10</v>
      </c>
      <c r="AA360">
        <v>6.75</v>
      </c>
      <c r="AC360" s="3">
        <v>6.75</v>
      </c>
      <c r="AE360" s="3">
        <v>6.75</v>
      </c>
      <c r="AI360">
        <v>6.75</v>
      </c>
      <c r="AK360" s="3"/>
      <c r="AX360" t="s">
        <v>853</v>
      </c>
      <c r="BB360" t="s">
        <v>853</v>
      </c>
      <c r="BG360">
        <v>6</v>
      </c>
      <c r="BH360">
        <v>4</v>
      </c>
      <c r="BI360">
        <v>6</v>
      </c>
      <c r="BJ360">
        <v>6</v>
      </c>
      <c r="BK360" s="4">
        <v>3685</v>
      </c>
      <c r="BL360" s="4">
        <v>3866</v>
      </c>
      <c r="BM360" s="4">
        <v>4050</v>
      </c>
      <c r="BN360" s="4">
        <v>4231</v>
      </c>
      <c r="BR360">
        <v>50714</v>
      </c>
      <c r="BS360" t="s">
        <v>857</v>
      </c>
      <c r="BT360">
        <v>8</v>
      </c>
      <c r="BU360">
        <v>17</v>
      </c>
      <c r="BV360">
        <v>9</v>
      </c>
      <c r="BX360">
        <v>6.75</v>
      </c>
      <c r="BZ360">
        <v>5</v>
      </c>
      <c r="CK360" t="s">
        <v>858</v>
      </c>
      <c r="CM360">
        <v>1911</v>
      </c>
    </row>
    <row r="361" spans="1:91" x14ac:dyDescent="0.3">
      <c r="A361" t="s">
        <v>856</v>
      </c>
      <c r="B361">
        <v>41195</v>
      </c>
      <c r="C361" t="s">
        <v>859</v>
      </c>
      <c r="D361">
        <v>12</v>
      </c>
      <c r="I361">
        <v>33000</v>
      </c>
      <c r="U361">
        <v>10</v>
      </c>
      <c r="Y361">
        <v>10</v>
      </c>
      <c r="AA361">
        <v>8.1199999999999992</v>
      </c>
      <c r="AC361" s="3">
        <v>8.1199999999999992</v>
      </c>
      <c r="AE361" s="3">
        <v>7.75</v>
      </c>
      <c r="AI361">
        <v>7.75</v>
      </c>
      <c r="AJ361" t="s">
        <v>379</v>
      </c>
      <c r="AK361" s="3"/>
      <c r="AV361" t="s">
        <v>421</v>
      </c>
      <c r="AX361" t="s">
        <v>421</v>
      </c>
      <c r="AZ361" t="s">
        <v>421</v>
      </c>
      <c r="BB361" t="s">
        <v>421</v>
      </c>
      <c r="BO361" t="s">
        <v>367</v>
      </c>
      <c r="BR361">
        <v>50714</v>
      </c>
      <c r="BS361" t="s">
        <v>857</v>
      </c>
      <c r="BT361">
        <v>6</v>
      </c>
      <c r="BU361">
        <v>9</v>
      </c>
      <c r="BV361">
        <v>0</v>
      </c>
      <c r="BX361">
        <v>8.25</v>
      </c>
      <c r="BZ361">
        <v>7.12</v>
      </c>
      <c r="CM361">
        <v>1911</v>
      </c>
    </row>
    <row r="362" spans="1:91" x14ac:dyDescent="0.3">
      <c r="A362" t="s">
        <v>856</v>
      </c>
      <c r="B362">
        <v>41190</v>
      </c>
      <c r="C362" t="s">
        <v>860</v>
      </c>
      <c r="D362">
        <v>12</v>
      </c>
      <c r="I362">
        <v>239100</v>
      </c>
      <c r="J362" t="s">
        <v>800</v>
      </c>
      <c r="V362" t="s">
        <v>350</v>
      </c>
      <c r="Y362">
        <v>100</v>
      </c>
      <c r="AA362">
        <v>86</v>
      </c>
      <c r="AC362" s="3">
        <v>86</v>
      </c>
      <c r="AE362" s="3">
        <v>86</v>
      </c>
      <c r="AI362">
        <v>86</v>
      </c>
      <c r="AK362" s="3"/>
      <c r="AV362" t="s">
        <v>373</v>
      </c>
      <c r="AX362" t="s">
        <v>373</v>
      </c>
      <c r="AZ362" t="s">
        <v>373</v>
      </c>
      <c r="BB362" t="s">
        <v>373</v>
      </c>
      <c r="BO362" t="s">
        <v>367</v>
      </c>
      <c r="BR362">
        <v>50714</v>
      </c>
      <c r="BS362" t="s">
        <v>857</v>
      </c>
      <c r="BT362">
        <v>4</v>
      </c>
      <c r="BU362">
        <v>13</v>
      </c>
      <c r="BV362">
        <v>3</v>
      </c>
      <c r="BX362">
        <v>88</v>
      </c>
      <c r="BZ362">
        <v>84</v>
      </c>
      <c r="CM362">
        <v>1911</v>
      </c>
    </row>
    <row r="363" spans="1:91" x14ac:dyDescent="0.3">
      <c r="A363" t="s">
        <v>861</v>
      </c>
      <c r="B363">
        <v>41326</v>
      </c>
      <c r="D363">
        <v>12</v>
      </c>
      <c r="I363">
        <v>125000</v>
      </c>
      <c r="J363" t="s">
        <v>800</v>
      </c>
      <c r="V363" t="s">
        <v>350</v>
      </c>
      <c r="Y363">
        <v>100</v>
      </c>
      <c r="AA363">
        <v>66.5</v>
      </c>
      <c r="AC363" s="3">
        <v>66.5</v>
      </c>
      <c r="AE363" s="3">
        <v>64.5</v>
      </c>
      <c r="AI363">
        <v>65.5</v>
      </c>
      <c r="AK363" s="3"/>
      <c r="AV363" t="s">
        <v>506</v>
      </c>
      <c r="AX363" t="s">
        <v>506</v>
      </c>
      <c r="AZ363" t="s">
        <v>506</v>
      </c>
      <c r="BB363" t="s">
        <v>506</v>
      </c>
      <c r="BO363" t="s">
        <v>367</v>
      </c>
      <c r="BR363">
        <v>8260</v>
      </c>
      <c r="BT363">
        <v>6</v>
      </c>
      <c r="BU363">
        <v>12</v>
      </c>
      <c r="BV363">
        <v>9</v>
      </c>
      <c r="BX363">
        <v>71.5</v>
      </c>
      <c r="BZ363">
        <v>64.5</v>
      </c>
      <c r="CK363" t="s">
        <v>360</v>
      </c>
      <c r="CM363">
        <v>1911</v>
      </c>
    </row>
    <row r="364" spans="1:91" x14ac:dyDescent="0.3">
      <c r="A364" t="s">
        <v>862</v>
      </c>
      <c r="B364">
        <v>41329</v>
      </c>
      <c r="D364">
        <v>12</v>
      </c>
      <c r="I364">
        <v>10000</v>
      </c>
      <c r="U364">
        <v>10</v>
      </c>
      <c r="Y364">
        <v>10</v>
      </c>
      <c r="AA364">
        <v>11.25</v>
      </c>
      <c r="AC364" s="3">
        <v>11.5</v>
      </c>
      <c r="AE364" s="3">
        <v>11.25</v>
      </c>
      <c r="AI364">
        <v>11.5</v>
      </c>
      <c r="AK364" s="3"/>
      <c r="AX364" t="s">
        <v>853</v>
      </c>
      <c r="BB364" t="s">
        <v>853</v>
      </c>
      <c r="BG364">
        <v>15</v>
      </c>
      <c r="BH364">
        <v>10</v>
      </c>
      <c r="BI364">
        <v>15</v>
      </c>
      <c r="BJ364">
        <v>10</v>
      </c>
      <c r="BK364" s="4">
        <v>3774</v>
      </c>
      <c r="BL364" s="4">
        <v>3958</v>
      </c>
      <c r="BM364" s="4">
        <v>4139</v>
      </c>
      <c r="BN364" s="4">
        <v>4323</v>
      </c>
      <c r="BR364">
        <v>96979</v>
      </c>
      <c r="BS364" t="s">
        <v>863</v>
      </c>
      <c r="BT364">
        <v>10</v>
      </c>
      <c r="BU364">
        <v>17</v>
      </c>
      <c r="BV364">
        <v>6</v>
      </c>
      <c r="BX364">
        <v>12</v>
      </c>
      <c r="BZ364">
        <v>11.25</v>
      </c>
      <c r="CM364">
        <v>1911</v>
      </c>
    </row>
    <row r="365" spans="1:91" x14ac:dyDescent="0.3">
      <c r="A365" t="s">
        <v>862</v>
      </c>
      <c r="B365">
        <v>41330</v>
      </c>
      <c r="C365" t="s">
        <v>864</v>
      </c>
      <c r="D365">
        <v>12</v>
      </c>
      <c r="I365">
        <v>10000</v>
      </c>
      <c r="U365">
        <v>10</v>
      </c>
      <c r="Y365">
        <v>10</v>
      </c>
      <c r="AA365">
        <v>8.75</v>
      </c>
      <c r="AC365" s="3">
        <v>8.75</v>
      </c>
      <c r="AE365" s="3">
        <v>8.5</v>
      </c>
      <c r="AI365">
        <v>8.5</v>
      </c>
      <c r="AJ365" t="s">
        <v>379</v>
      </c>
      <c r="AK365" s="3"/>
      <c r="AV365" t="s">
        <v>421</v>
      </c>
      <c r="AX365" t="s">
        <v>421</v>
      </c>
      <c r="AZ365" t="s">
        <v>421</v>
      </c>
      <c r="BB365" t="s">
        <v>421</v>
      </c>
      <c r="BO365" t="s">
        <v>367</v>
      </c>
      <c r="BR365">
        <v>96979</v>
      </c>
      <c r="BS365" t="s">
        <v>863</v>
      </c>
      <c r="BT365">
        <v>6</v>
      </c>
      <c r="BU365">
        <v>9</v>
      </c>
      <c r="BV365">
        <v>6</v>
      </c>
      <c r="BX365">
        <v>9.1199999999999992</v>
      </c>
      <c r="BZ365">
        <v>8.25</v>
      </c>
      <c r="CM365">
        <v>1911</v>
      </c>
    </row>
    <row r="366" spans="1:91" x14ac:dyDescent="0.3">
      <c r="A366" t="s">
        <v>865</v>
      </c>
      <c r="B366">
        <v>41332</v>
      </c>
      <c r="D366">
        <v>12</v>
      </c>
      <c r="I366">
        <v>15000</v>
      </c>
      <c r="U366">
        <v>10</v>
      </c>
      <c r="Y366">
        <v>10</v>
      </c>
      <c r="AA366">
        <v>5.87</v>
      </c>
      <c r="AC366" s="3">
        <v>5.87</v>
      </c>
      <c r="AE366" s="3">
        <v>5.62</v>
      </c>
      <c r="AI366">
        <v>5.75</v>
      </c>
      <c r="AJ366" t="s">
        <v>379</v>
      </c>
      <c r="AK366" s="3"/>
      <c r="BG366">
        <v>5</v>
      </c>
      <c r="BH366">
        <v>5</v>
      </c>
      <c r="BI366">
        <v>5</v>
      </c>
      <c r="BJ366">
        <v>5</v>
      </c>
      <c r="BK366" s="4">
        <v>3654</v>
      </c>
      <c r="BL366" s="4">
        <v>3835</v>
      </c>
      <c r="BM366" s="4">
        <v>4019</v>
      </c>
      <c r="BN366" s="4">
        <v>4200</v>
      </c>
      <c r="BR366">
        <v>44039</v>
      </c>
      <c r="BS366" t="s">
        <v>866</v>
      </c>
      <c r="BT366">
        <v>8</v>
      </c>
      <c r="BU366">
        <v>14</v>
      </c>
      <c r="BV366">
        <v>0</v>
      </c>
      <c r="BX366">
        <v>6.31</v>
      </c>
      <c r="BZ366">
        <v>5.62</v>
      </c>
      <c r="CK366" t="s">
        <v>360</v>
      </c>
      <c r="CM366">
        <v>1911</v>
      </c>
    </row>
    <row r="367" spans="1:91" x14ac:dyDescent="0.3">
      <c r="A367" t="s">
        <v>865</v>
      </c>
      <c r="B367">
        <v>41331</v>
      </c>
      <c r="C367" t="s">
        <v>867</v>
      </c>
      <c r="D367">
        <v>12</v>
      </c>
      <c r="I367">
        <v>200000</v>
      </c>
      <c r="J367" t="s">
        <v>800</v>
      </c>
      <c r="V367" t="s">
        <v>350</v>
      </c>
      <c r="Y367">
        <v>100</v>
      </c>
      <c r="AA367">
        <v>71.5</v>
      </c>
      <c r="AC367" s="3">
        <v>71.5</v>
      </c>
      <c r="AE367" s="3">
        <v>70.5</v>
      </c>
      <c r="AI367">
        <v>70.5</v>
      </c>
      <c r="AJ367" t="s">
        <v>379</v>
      </c>
      <c r="AK367" s="3"/>
      <c r="AV367" t="s">
        <v>370</v>
      </c>
      <c r="AX367" t="s">
        <v>370</v>
      </c>
      <c r="AZ367" t="s">
        <v>370</v>
      </c>
      <c r="BB367" t="s">
        <v>370</v>
      </c>
      <c r="BO367" t="s">
        <v>367</v>
      </c>
      <c r="BR367">
        <v>44039</v>
      </c>
      <c r="BS367" t="s">
        <v>866</v>
      </c>
      <c r="BT367">
        <v>5</v>
      </c>
      <c r="BU367">
        <v>13</v>
      </c>
      <c r="BV367">
        <v>6</v>
      </c>
      <c r="BX367">
        <v>73</v>
      </c>
      <c r="BZ367">
        <v>69.5</v>
      </c>
      <c r="CM367">
        <v>1911</v>
      </c>
    </row>
    <row r="368" spans="1:91" x14ac:dyDescent="0.3">
      <c r="A368" t="s">
        <v>868</v>
      </c>
      <c r="B368">
        <v>41372</v>
      </c>
      <c r="D368">
        <v>12</v>
      </c>
      <c r="I368">
        <v>300000</v>
      </c>
      <c r="J368" t="s">
        <v>800</v>
      </c>
      <c r="V368" t="s">
        <v>350</v>
      </c>
      <c r="Y368">
        <v>100</v>
      </c>
      <c r="AA368">
        <v>78.5</v>
      </c>
      <c r="AC368" s="3">
        <v>78.5</v>
      </c>
      <c r="AE368" s="3">
        <v>77.5</v>
      </c>
      <c r="AI368">
        <v>77.5</v>
      </c>
      <c r="AJ368" t="s">
        <v>379</v>
      </c>
      <c r="AK368" s="3"/>
      <c r="AV368" t="s">
        <v>370</v>
      </c>
      <c r="AX368" t="s">
        <v>370</v>
      </c>
      <c r="AZ368" t="s">
        <v>370</v>
      </c>
      <c r="BB368" t="s">
        <v>370</v>
      </c>
      <c r="BO368" t="s">
        <v>367</v>
      </c>
      <c r="BR368">
        <v>59322</v>
      </c>
      <c r="BT368">
        <v>5</v>
      </c>
      <c r="BU368">
        <v>3</v>
      </c>
      <c r="BV368">
        <v>3</v>
      </c>
      <c r="BX368">
        <v>80.75</v>
      </c>
      <c r="BZ368">
        <v>77</v>
      </c>
      <c r="CK368" t="s">
        <v>360</v>
      </c>
      <c r="CM368">
        <v>1911</v>
      </c>
    </row>
    <row r="369" spans="1:91" x14ac:dyDescent="0.3">
      <c r="A369" t="s">
        <v>869</v>
      </c>
      <c r="B369">
        <v>41378</v>
      </c>
      <c r="D369">
        <v>12</v>
      </c>
      <c r="I369">
        <v>32000</v>
      </c>
      <c r="U369">
        <v>10</v>
      </c>
      <c r="Y369">
        <v>10</v>
      </c>
      <c r="AA369">
        <v>15</v>
      </c>
      <c r="AC369" s="3">
        <v>15</v>
      </c>
      <c r="AE369" s="3">
        <v>15</v>
      </c>
      <c r="AI369">
        <v>15</v>
      </c>
      <c r="AK369" s="3"/>
      <c r="AX369" t="s">
        <v>853</v>
      </c>
      <c r="BB369" t="s">
        <v>853</v>
      </c>
      <c r="BG369">
        <v>12</v>
      </c>
      <c r="BH369">
        <v>8</v>
      </c>
      <c r="BI369">
        <v>12</v>
      </c>
      <c r="BJ369">
        <v>8</v>
      </c>
      <c r="BK369" s="4">
        <v>3685</v>
      </c>
      <c r="BL369" s="4">
        <v>3866</v>
      </c>
      <c r="BM369" s="4">
        <v>4050</v>
      </c>
      <c r="BN369" s="4">
        <v>4231</v>
      </c>
      <c r="BR369">
        <v>146932</v>
      </c>
      <c r="BT369">
        <v>6</v>
      </c>
      <c r="BU369">
        <v>13</v>
      </c>
      <c r="BV369">
        <v>3</v>
      </c>
      <c r="BX369">
        <v>16</v>
      </c>
      <c r="BZ369">
        <v>13.87</v>
      </c>
      <c r="CK369" t="s">
        <v>384</v>
      </c>
      <c r="CM369">
        <v>1911</v>
      </c>
    </row>
    <row r="370" spans="1:91" x14ac:dyDescent="0.3">
      <c r="A370" t="s">
        <v>870</v>
      </c>
      <c r="B370">
        <v>41384</v>
      </c>
      <c r="D370">
        <v>12</v>
      </c>
      <c r="I370">
        <v>23000</v>
      </c>
      <c r="U370">
        <v>10</v>
      </c>
      <c r="Y370">
        <v>10</v>
      </c>
      <c r="AA370">
        <v>12</v>
      </c>
      <c r="AC370" s="3">
        <v>12</v>
      </c>
      <c r="AE370" s="3">
        <v>11.5</v>
      </c>
      <c r="AI370">
        <v>11.5</v>
      </c>
      <c r="AK370" s="3"/>
      <c r="AX370" t="s">
        <v>853</v>
      </c>
      <c r="BB370" t="s">
        <v>853</v>
      </c>
      <c r="BG370">
        <v>10</v>
      </c>
      <c r="BH370">
        <v>8</v>
      </c>
      <c r="BI370">
        <v>12</v>
      </c>
      <c r="BJ370">
        <v>8</v>
      </c>
      <c r="BK370" s="4">
        <v>3685</v>
      </c>
      <c r="BL370" s="4">
        <v>3866</v>
      </c>
      <c r="BM370" s="4">
        <v>4050</v>
      </c>
      <c r="BN370" s="4">
        <v>4231</v>
      </c>
      <c r="BR370">
        <v>170230</v>
      </c>
      <c r="BS370" t="s">
        <v>871</v>
      </c>
      <c r="BT370">
        <v>8</v>
      </c>
      <c r="BU370">
        <v>14</v>
      </c>
      <c r="BV370">
        <v>0</v>
      </c>
      <c r="BX370">
        <v>13.5</v>
      </c>
      <c r="BZ370">
        <v>10.25</v>
      </c>
      <c r="CK370" t="s">
        <v>872</v>
      </c>
      <c r="CM370">
        <v>1911</v>
      </c>
    </row>
    <row r="371" spans="1:91" x14ac:dyDescent="0.3">
      <c r="A371" t="s">
        <v>870</v>
      </c>
      <c r="B371">
        <v>41386</v>
      </c>
      <c r="C371" t="s">
        <v>825</v>
      </c>
      <c r="D371">
        <v>12</v>
      </c>
      <c r="I371">
        <v>23000</v>
      </c>
      <c r="U371">
        <v>10</v>
      </c>
      <c r="Y371">
        <v>10</v>
      </c>
      <c r="AA371">
        <v>10.75</v>
      </c>
      <c r="AC371" s="3">
        <v>10.75</v>
      </c>
      <c r="AE371" s="3">
        <v>10.5</v>
      </c>
      <c r="AI371">
        <v>10.5</v>
      </c>
      <c r="AK371" s="3"/>
      <c r="AV371" t="s">
        <v>370</v>
      </c>
      <c r="AX371" t="s">
        <v>370</v>
      </c>
      <c r="AZ371" t="s">
        <v>370</v>
      </c>
      <c r="BB371" t="s">
        <v>370</v>
      </c>
      <c r="BO371" t="s">
        <v>367</v>
      </c>
      <c r="BR371">
        <v>170230</v>
      </c>
      <c r="BS371" t="s">
        <v>871</v>
      </c>
      <c r="BT371">
        <v>5</v>
      </c>
      <c r="BU371">
        <v>14</v>
      </c>
      <c r="BV371">
        <v>3</v>
      </c>
      <c r="BX371">
        <v>11.5</v>
      </c>
      <c r="BZ371">
        <v>9</v>
      </c>
      <c r="CM371">
        <v>1911</v>
      </c>
    </row>
    <row r="372" spans="1:91" x14ac:dyDescent="0.3">
      <c r="A372" t="s">
        <v>870</v>
      </c>
      <c r="B372">
        <v>41385</v>
      </c>
      <c r="C372" t="s">
        <v>674</v>
      </c>
      <c r="D372">
        <v>12</v>
      </c>
      <c r="I372">
        <v>200000</v>
      </c>
      <c r="J372" t="s">
        <v>800</v>
      </c>
      <c r="V372" t="s">
        <v>350</v>
      </c>
      <c r="Y372">
        <v>100</v>
      </c>
      <c r="AA372">
        <v>93</v>
      </c>
      <c r="AC372" s="3">
        <v>93</v>
      </c>
      <c r="AE372" s="3">
        <v>93</v>
      </c>
      <c r="AI372">
        <v>93</v>
      </c>
      <c r="AK372" s="3"/>
      <c r="AV372" t="s">
        <v>370</v>
      </c>
      <c r="AX372" t="s">
        <v>370</v>
      </c>
      <c r="AZ372" t="s">
        <v>370</v>
      </c>
      <c r="BB372" t="s">
        <v>370</v>
      </c>
      <c r="BO372" t="s">
        <v>367</v>
      </c>
      <c r="BR372">
        <v>170230</v>
      </c>
      <c r="BS372" t="s">
        <v>871</v>
      </c>
      <c r="BT372">
        <v>4</v>
      </c>
      <c r="BU372">
        <v>18</v>
      </c>
      <c r="BV372">
        <v>3</v>
      </c>
      <c r="BX372">
        <v>95</v>
      </c>
      <c r="BZ372">
        <v>87.5</v>
      </c>
      <c r="CM372">
        <v>1911</v>
      </c>
    </row>
    <row r="373" spans="1:91" x14ac:dyDescent="0.3">
      <c r="A373" t="s">
        <v>873</v>
      </c>
      <c r="B373">
        <v>41871</v>
      </c>
      <c r="D373">
        <v>12</v>
      </c>
      <c r="I373">
        <v>360000</v>
      </c>
      <c r="J373" t="s">
        <v>800</v>
      </c>
      <c r="V373" t="s">
        <v>350</v>
      </c>
      <c r="Y373">
        <v>100</v>
      </c>
      <c r="AA373">
        <v>58.5</v>
      </c>
      <c r="AC373" s="3">
        <v>58.5</v>
      </c>
      <c r="AE373" s="3">
        <v>58.5</v>
      </c>
      <c r="AI373">
        <v>58.5</v>
      </c>
      <c r="AK373" s="3"/>
      <c r="BG373">
        <v>4</v>
      </c>
      <c r="BH373">
        <v>4</v>
      </c>
      <c r="BI373">
        <v>4</v>
      </c>
      <c r="BJ373">
        <v>4</v>
      </c>
      <c r="BK373" s="4">
        <v>3744</v>
      </c>
      <c r="BL373" s="4">
        <v>3927</v>
      </c>
      <c r="BM373" s="4">
        <v>4109</v>
      </c>
      <c r="BN373" s="4">
        <v>4292</v>
      </c>
      <c r="BS373" t="s">
        <v>385</v>
      </c>
      <c r="BT373">
        <v>6</v>
      </c>
      <c r="BU373">
        <v>17</v>
      </c>
      <c r="BV373">
        <v>0</v>
      </c>
      <c r="BX373">
        <v>61.5</v>
      </c>
      <c r="BZ373">
        <v>57.5</v>
      </c>
      <c r="CK373" t="s">
        <v>360</v>
      </c>
      <c r="CM373">
        <v>1911</v>
      </c>
    </row>
    <row r="374" spans="1:91" x14ac:dyDescent="0.3">
      <c r="A374" t="s">
        <v>874</v>
      </c>
      <c r="B374">
        <v>41874</v>
      </c>
      <c r="D374">
        <v>12</v>
      </c>
      <c r="I374">
        <v>22500</v>
      </c>
      <c r="U374">
        <v>10</v>
      </c>
      <c r="Y374">
        <v>10</v>
      </c>
      <c r="AA374">
        <v>7.25</v>
      </c>
      <c r="AC374" s="3">
        <v>7.25</v>
      </c>
      <c r="AE374" s="3">
        <v>7.12</v>
      </c>
      <c r="AI374">
        <v>7.25</v>
      </c>
      <c r="AK374" s="3"/>
      <c r="AV374" t="s">
        <v>370</v>
      </c>
      <c r="AX374" t="s">
        <v>370</v>
      </c>
      <c r="AZ374" t="s">
        <v>370</v>
      </c>
      <c r="BB374" t="s">
        <v>370</v>
      </c>
      <c r="BO374" t="s">
        <v>367</v>
      </c>
      <c r="BR374">
        <v>156588</v>
      </c>
      <c r="BT374">
        <v>6</v>
      </c>
      <c r="BU374">
        <v>14</v>
      </c>
      <c r="BV374">
        <v>6</v>
      </c>
      <c r="BX374">
        <v>7.75</v>
      </c>
      <c r="BZ374">
        <v>7</v>
      </c>
      <c r="CK374" t="s">
        <v>875</v>
      </c>
      <c r="CM374">
        <v>1911</v>
      </c>
    </row>
    <row r="375" spans="1:91" x14ac:dyDescent="0.3">
      <c r="A375" t="s">
        <v>876</v>
      </c>
      <c r="B375">
        <v>42030</v>
      </c>
      <c r="D375">
        <v>12</v>
      </c>
      <c r="I375">
        <v>15000</v>
      </c>
      <c r="U375">
        <v>10</v>
      </c>
      <c r="Y375">
        <v>10</v>
      </c>
      <c r="AA375">
        <v>0.12</v>
      </c>
      <c r="AC375" s="3">
        <v>0.12</v>
      </c>
      <c r="AE375" s="3">
        <v>0.12</v>
      </c>
      <c r="AI375">
        <v>0.12</v>
      </c>
      <c r="AK375" s="3"/>
      <c r="BB375" t="s">
        <v>810</v>
      </c>
      <c r="BG375">
        <v>5</v>
      </c>
      <c r="BH375">
        <v>5</v>
      </c>
      <c r="BI375">
        <v>5</v>
      </c>
      <c r="BK375" s="4">
        <v>2252</v>
      </c>
      <c r="BL375" s="4">
        <v>2436</v>
      </c>
      <c r="BM375" s="4">
        <v>2617</v>
      </c>
      <c r="BN375" t="s">
        <v>811</v>
      </c>
      <c r="BR375">
        <v>44312</v>
      </c>
      <c r="BS375" t="s">
        <v>877</v>
      </c>
      <c r="BW375" t="s">
        <v>802</v>
      </c>
      <c r="BX375">
        <v>0.25</v>
      </c>
      <c r="BZ375">
        <v>0.12</v>
      </c>
      <c r="CK375" t="s">
        <v>360</v>
      </c>
      <c r="CM375">
        <v>1911</v>
      </c>
    </row>
    <row r="376" spans="1:91" x14ac:dyDescent="0.3">
      <c r="A376" t="s">
        <v>876</v>
      </c>
      <c r="B376">
        <v>42024</v>
      </c>
      <c r="C376" t="s">
        <v>878</v>
      </c>
      <c r="D376">
        <v>12</v>
      </c>
      <c r="I376">
        <v>150000</v>
      </c>
      <c r="J376" t="s">
        <v>800</v>
      </c>
      <c r="V376" t="s">
        <v>350</v>
      </c>
      <c r="Y376">
        <v>100</v>
      </c>
      <c r="AA376">
        <v>60</v>
      </c>
      <c r="AC376" s="3">
        <v>60</v>
      </c>
      <c r="AE376" s="3">
        <v>60</v>
      </c>
      <c r="AI376">
        <v>60</v>
      </c>
      <c r="AK376" s="3"/>
      <c r="AV376" t="s">
        <v>373</v>
      </c>
      <c r="AX376" t="s">
        <v>373</v>
      </c>
      <c r="AZ376" t="s">
        <v>373</v>
      </c>
      <c r="BB376" t="s">
        <v>373</v>
      </c>
      <c r="BO376" t="s">
        <v>367</v>
      </c>
      <c r="BR376">
        <v>44312</v>
      </c>
      <c r="BS376" t="s">
        <v>877</v>
      </c>
      <c r="BT376">
        <v>7</v>
      </c>
      <c r="BU376">
        <v>3</v>
      </c>
      <c r="BV376">
        <v>9</v>
      </c>
      <c r="BX376">
        <v>65.5</v>
      </c>
      <c r="BZ376">
        <v>55</v>
      </c>
      <c r="CM376">
        <v>1911</v>
      </c>
    </row>
    <row r="377" spans="1:91" x14ac:dyDescent="0.3">
      <c r="A377" t="s">
        <v>876</v>
      </c>
      <c r="B377">
        <v>42032</v>
      </c>
      <c r="C377" t="s">
        <v>879</v>
      </c>
      <c r="D377">
        <v>12</v>
      </c>
      <c r="I377">
        <v>200000</v>
      </c>
      <c r="J377" t="s">
        <v>800</v>
      </c>
      <c r="V377" t="s">
        <v>350</v>
      </c>
      <c r="Y377">
        <v>100</v>
      </c>
      <c r="AA377">
        <v>33.5</v>
      </c>
      <c r="AC377" s="3">
        <v>33.5</v>
      </c>
      <c r="AE377" s="3">
        <v>33.5</v>
      </c>
      <c r="AI377">
        <v>33.5</v>
      </c>
      <c r="AK377" s="3"/>
      <c r="AV377" t="s">
        <v>373</v>
      </c>
      <c r="AX377" t="s">
        <v>373</v>
      </c>
      <c r="AZ377" t="s">
        <v>373</v>
      </c>
      <c r="BB377" t="s">
        <v>373</v>
      </c>
      <c r="BO377" t="s">
        <v>367</v>
      </c>
      <c r="BR377">
        <v>44312</v>
      </c>
      <c r="BS377" t="s">
        <v>877</v>
      </c>
      <c r="BT377">
        <v>12</v>
      </c>
      <c r="BU377">
        <v>13</v>
      </c>
      <c r="BV377">
        <v>9</v>
      </c>
      <c r="BX377">
        <v>41.5</v>
      </c>
      <c r="BZ377">
        <v>32</v>
      </c>
      <c r="CM377">
        <v>1911</v>
      </c>
    </row>
    <row r="378" spans="1:91" x14ac:dyDescent="0.3">
      <c r="A378" t="s">
        <v>880</v>
      </c>
      <c r="B378">
        <v>42038</v>
      </c>
      <c r="D378">
        <v>12</v>
      </c>
      <c r="I378">
        <v>30000</v>
      </c>
      <c r="U378">
        <v>10</v>
      </c>
      <c r="Y378">
        <v>10</v>
      </c>
      <c r="AA378">
        <v>8.25</v>
      </c>
      <c r="AC378" s="3">
        <v>8.5</v>
      </c>
      <c r="AE378" s="3">
        <v>8.25</v>
      </c>
      <c r="AI378">
        <v>8.5</v>
      </c>
      <c r="AK378" s="3"/>
      <c r="BG378">
        <v>5.5</v>
      </c>
      <c r="BH378">
        <v>5.5</v>
      </c>
      <c r="BI378">
        <v>5.5</v>
      </c>
      <c r="BJ378">
        <v>5.5</v>
      </c>
      <c r="BK378" s="4">
        <v>3805</v>
      </c>
      <c r="BL378" s="4">
        <v>3988</v>
      </c>
      <c r="BM378" s="4">
        <v>4170</v>
      </c>
      <c r="BN378" s="4">
        <v>4353</v>
      </c>
      <c r="BR378">
        <v>317207</v>
      </c>
      <c r="BS378" t="s">
        <v>881</v>
      </c>
      <c r="BT378">
        <v>6</v>
      </c>
      <c r="BU378">
        <v>9</v>
      </c>
      <c r="BV378">
        <v>6</v>
      </c>
      <c r="BX378">
        <v>8.5</v>
      </c>
      <c r="BZ378">
        <v>7.87</v>
      </c>
      <c r="CK378" t="s">
        <v>882</v>
      </c>
      <c r="CM378">
        <v>1911</v>
      </c>
    </row>
    <row r="379" spans="1:91" x14ac:dyDescent="0.3">
      <c r="A379" t="s">
        <v>880</v>
      </c>
      <c r="B379">
        <v>42039</v>
      </c>
      <c r="C379" t="s">
        <v>883</v>
      </c>
      <c r="D379">
        <v>12</v>
      </c>
      <c r="I379">
        <v>250000</v>
      </c>
      <c r="V379" t="s">
        <v>350</v>
      </c>
      <c r="Y379">
        <v>100</v>
      </c>
      <c r="AA379">
        <v>83.5</v>
      </c>
      <c r="AB379" t="s">
        <v>379</v>
      </c>
      <c r="AC379" s="3">
        <v>84.5</v>
      </c>
      <c r="AE379" s="3">
        <v>83.5</v>
      </c>
      <c r="AI379">
        <v>84.5</v>
      </c>
      <c r="AK379" s="3"/>
      <c r="AV379" t="s">
        <v>366</v>
      </c>
      <c r="AX379" t="s">
        <v>366</v>
      </c>
      <c r="AZ379" t="s">
        <v>366</v>
      </c>
      <c r="BB379" t="s">
        <v>366</v>
      </c>
      <c r="BO379" t="s">
        <v>367</v>
      </c>
      <c r="BR379">
        <v>317207</v>
      </c>
      <c r="BS379" t="s">
        <v>881</v>
      </c>
      <c r="BT379">
        <v>5</v>
      </c>
      <c r="BU379">
        <v>0</v>
      </c>
      <c r="BV379">
        <v>6</v>
      </c>
      <c r="BX379">
        <v>90</v>
      </c>
      <c r="BZ379">
        <v>83</v>
      </c>
      <c r="CM379">
        <v>1911</v>
      </c>
    </row>
    <row r="380" spans="1:91" x14ac:dyDescent="0.3">
      <c r="A380" t="s">
        <v>880</v>
      </c>
      <c r="B380">
        <v>42040</v>
      </c>
      <c r="C380" t="s">
        <v>884</v>
      </c>
      <c r="D380">
        <v>12</v>
      </c>
      <c r="I380">
        <v>228530</v>
      </c>
      <c r="V380" t="s">
        <v>350</v>
      </c>
      <c r="Y380">
        <v>100</v>
      </c>
      <c r="AA380">
        <v>66</v>
      </c>
      <c r="AB380" t="s">
        <v>379</v>
      </c>
      <c r="AC380" s="3">
        <v>67</v>
      </c>
      <c r="AE380" s="3">
        <v>66</v>
      </c>
      <c r="AI380">
        <v>67</v>
      </c>
      <c r="AK380" s="3"/>
      <c r="AV380" t="s">
        <v>366</v>
      </c>
      <c r="AX380" t="s">
        <v>366</v>
      </c>
      <c r="AZ380" t="s">
        <v>366</v>
      </c>
      <c r="BB380" t="s">
        <v>366</v>
      </c>
      <c r="BO380" t="s">
        <v>367</v>
      </c>
      <c r="BR380">
        <v>317207</v>
      </c>
      <c r="BS380" t="s">
        <v>881</v>
      </c>
      <c r="BT380">
        <v>5</v>
      </c>
      <c r="BU380">
        <v>4</v>
      </c>
      <c r="BV380">
        <v>6</v>
      </c>
      <c r="BX380">
        <v>68</v>
      </c>
      <c r="BZ380">
        <v>64</v>
      </c>
      <c r="CM380">
        <v>1911</v>
      </c>
    </row>
    <row r="381" spans="1:91" x14ac:dyDescent="0.3">
      <c r="A381" t="s">
        <v>885</v>
      </c>
      <c r="B381">
        <v>42103</v>
      </c>
      <c r="D381">
        <v>12</v>
      </c>
      <c r="I381">
        <v>180000</v>
      </c>
      <c r="U381">
        <v>10</v>
      </c>
      <c r="Y381">
        <v>10</v>
      </c>
      <c r="AA381">
        <v>5.62</v>
      </c>
      <c r="AC381" s="3">
        <v>5.75</v>
      </c>
      <c r="AE381" s="3">
        <v>5.87</v>
      </c>
      <c r="AI381">
        <v>5.75</v>
      </c>
      <c r="AJ381" t="s">
        <v>379</v>
      </c>
      <c r="AK381" s="3"/>
      <c r="BG381">
        <v>5</v>
      </c>
      <c r="BH381">
        <v>5</v>
      </c>
      <c r="BI381">
        <v>5</v>
      </c>
      <c r="BJ381">
        <v>5</v>
      </c>
      <c r="BK381" s="4">
        <v>3654</v>
      </c>
      <c r="BL381" s="4">
        <v>3835</v>
      </c>
      <c r="BM381" s="4">
        <v>4019</v>
      </c>
      <c r="BN381" s="4">
        <v>4200</v>
      </c>
      <c r="BR381">
        <v>57738</v>
      </c>
      <c r="BS381" t="s">
        <v>886</v>
      </c>
      <c r="BT381">
        <v>8</v>
      </c>
      <c r="BU381">
        <v>14</v>
      </c>
      <c r="BV381">
        <v>0</v>
      </c>
      <c r="BX381">
        <v>6.62</v>
      </c>
      <c r="BZ381">
        <v>4.93</v>
      </c>
      <c r="CK381" t="s">
        <v>360</v>
      </c>
      <c r="CM381">
        <v>1911</v>
      </c>
    </row>
    <row r="382" spans="1:91" x14ac:dyDescent="0.3">
      <c r="A382" t="s">
        <v>885</v>
      </c>
      <c r="B382">
        <v>42101</v>
      </c>
      <c r="C382" t="s">
        <v>887</v>
      </c>
      <c r="D382">
        <v>12</v>
      </c>
      <c r="I382">
        <v>687475</v>
      </c>
      <c r="J382" t="s">
        <v>800</v>
      </c>
      <c r="V382" t="s">
        <v>350</v>
      </c>
      <c r="Y382">
        <v>100</v>
      </c>
      <c r="AA382">
        <v>82.5</v>
      </c>
      <c r="AC382" s="3">
        <v>83</v>
      </c>
      <c r="AE382" s="3">
        <v>82.5</v>
      </c>
      <c r="AI382">
        <v>82.5</v>
      </c>
      <c r="AK382" s="3"/>
      <c r="AV382" t="s">
        <v>506</v>
      </c>
      <c r="AX382" t="s">
        <v>506</v>
      </c>
      <c r="AZ382" t="s">
        <v>506</v>
      </c>
      <c r="BB382" t="s">
        <v>506</v>
      </c>
      <c r="BO382" t="s">
        <v>367</v>
      </c>
      <c r="BR382">
        <v>57738</v>
      </c>
      <c r="BS382" t="s">
        <v>886</v>
      </c>
      <c r="BT382">
        <v>4</v>
      </c>
      <c r="BU382">
        <v>18</v>
      </c>
      <c r="BV382">
        <v>0</v>
      </c>
      <c r="BX382">
        <v>87</v>
      </c>
      <c r="BZ382">
        <v>78.5</v>
      </c>
      <c r="CM382">
        <v>1911</v>
      </c>
    </row>
    <row r="383" spans="1:91" x14ac:dyDescent="0.3">
      <c r="A383" t="s">
        <v>885</v>
      </c>
      <c r="B383">
        <v>42102</v>
      </c>
      <c r="C383" t="s">
        <v>888</v>
      </c>
      <c r="D383">
        <v>12</v>
      </c>
      <c r="I383">
        <v>473190</v>
      </c>
      <c r="J383" t="s">
        <v>800</v>
      </c>
      <c r="V383" t="s">
        <v>350</v>
      </c>
      <c r="Y383">
        <v>100</v>
      </c>
      <c r="AA383">
        <v>67.5</v>
      </c>
      <c r="AB383" t="s">
        <v>379</v>
      </c>
      <c r="AC383" s="3">
        <v>67.5</v>
      </c>
      <c r="AE383" s="3">
        <v>67.5</v>
      </c>
      <c r="AI383">
        <v>67.5</v>
      </c>
      <c r="AK383" s="3"/>
      <c r="AV383" t="s">
        <v>421</v>
      </c>
      <c r="AX383" t="s">
        <v>421</v>
      </c>
      <c r="AZ383" t="s">
        <v>421</v>
      </c>
      <c r="BB383" t="s">
        <v>421</v>
      </c>
      <c r="BO383" t="s">
        <v>367</v>
      </c>
      <c r="BR383">
        <v>57738</v>
      </c>
      <c r="BS383" t="s">
        <v>886</v>
      </c>
      <c r="BT383">
        <v>5</v>
      </c>
      <c r="BU383">
        <v>19</v>
      </c>
      <c r="BV383">
        <v>0</v>
      </c>
      <c r="BX383">
        <v>78.5</v>
      </c>
      <c r="BZ383">
        <v>66.25</v>
      </c>
      <c r="CM383">
        <v>1911</v>
      </c>
    </row>
    <row r="384" spans="1:91" x14ac:dyDescent="0.3">
      <c r="A384" t="s">
        <v>889</v>
      </c>
      <c r="B384">
        <v>42315</v>
      </c>
      <c r="D384">
        <v>12</v>
      </c>
      <c r="I384" s="2">
        <v>1068730</v>
      </c>
      <c r="J384" t="s">
        <v>800</v>
      </c>
      <c r="V384" t="s">
        <v>350</v>
      </c>
      <c r="Y384">
        <v>100</v>
      </c>
      <c r="AA384">
        <v>70</v>
      </c>
      <c r="AC384" s="3">
        <v>70</v>
      </c>
      <c r="AE384" s="3">
        <v>69.5</v>
      </c>
      <c r="AI384">
        <v>70</v>
      </c>
      <c r="AK384" s="3"/>
      <c r="AV384" t="s">
        <v>506</v>
      </c>
      <c r="AX384" t="s">
        <v>506</v>
      </c>
      <c r="AZ384" t="s">
        <v>506</v>
      </c>
      <c r="BB384" t="s">
        <v>506</v>
      </c>
      <c r="BO384" t="s">
        <v>367</v>
      </c>
      <c r="BS384" t="s">
        <v>385</v>
      </c>
      <c r="BT384">
        <v>5</v>
      </c>
      <c r="BU384">
        <v>2</v>
      </c>
      <c r="BV384">
        <v>0</v>
      </c>
      <c r="BX384">
        <v>76.5</v>
      </c>
      <c r="BZ384">
        <v>68</v>
      </c>
      <c r="CM384">
        <v>1911</v>
      </c>
    </row>
    <row r="385" spans="1:91" x14ac:dyDescent="0.3">
      <c r="A385" t="s">
        <v>890</v>
      </c>
      <c r="B385">
        <v>42345</v>
      </c>
      <c r="D385">
        <v>12</v>
      </c>
      <c r="I385">
        <v>15650</v>
      </c>
      <c r="U385">
        <v>10</v>
      </c>
      <c r="Y385">
        <v>10</v>
      </c>
      <c r="AA385">
        <v>8.75</v>
      </c>
      <c r="AC385" s="3">
        <v>9.5</v>
      </c>
      <c r="AE385" s="3">
        <v>8.75</v>
      </c>
      <c r="AI385">
        <v>9.25</v>
      </c>
      <c r="AJ385" t="s">
        <v>379</v>
      </c>
      <c r="AK385" s="3"/>
      <c r="AX385" t="s">
        <v>853</v>
      </c>
      <c r="BB385" t="s">
        <v>853</v>
      </c>
      <c r="BG385">
        <v>10</v>
      </c>
      <c r="BH385">
        <v>6</v>
      </c>
      <c r="BI385">
        <v>10</v>
      </c>
      <c r="BJ385">
        <v>6</v>
      </c>
      <c r="BK385" s="4">
        <v>3805</v>
      </c>
      <c r="BL385" s="4">
        <v>3988</v>
      </c>
      <c r="BM385" s="4">
        <v>4170</v>
      </c>
      <c r="BN385" s="4">
        <v>4353</v>
      </c>
      <c r="BR385">
        <v>166648</v>
      </c>
      <c r="BS385" t="s">
        <v>891</v>
      </c>
      <c r="BT385">
        <v>9</v>
      </c>
      <c r="BU385">
        <v>14</v>
      </c>
      <c r="BV385">
        <v>6</v>
      </c>
      <c r="BX385">
        <v>9.5</v>
      </c>
      <c r="BZ385">
        <v>7.75</v>
      </c>
      <c r="CK385" t="s">
        <v>399</v>
      </c>
      <c r="CM385">
        <v>1911</v>
      </c>
    </row>
    <row r="386" spans="1:91" x14ac:dyDescent="0.3">
      <c r="A386" t="s">
        <v>890</v>
      </c>
      <c r="B386">
        <v>42347</v>
      </c>
      <c r="C386" t="s">
        <v>844</v>
      </c>
      <c r="D386">
        <v>12</v>
      </c>
      <c r="I386">
        <v>15653</v>
      </c>
      <c r="U386">
        <v>10</v>
      </c>
      <c r="Y386">
        <v>10</v>
      </c>
      <c r="AA386">
        <v>8.75</v>
      </c>
      <c r="AC386" s="3">
        <v>8.75</v>
      </c>
      <c r="AE386" s="3">
        <v>8.3699999999999992</v>
      </c>
      <c r="AI386">
        <v>8.75</v>
      </c>
      <c r="AK386" s="3"/>
      <c r="AV386" t="s">
        <v>373</v>
      </c>
      <c r="AX386" t="s">
        <v>373</v>
      </c>
      <c r="AZ386" t="s">
        <v>373</v>
      </c>
      <c r="BB386" t="s">
        <v>373</v>
      </c>
      <c r="BO386" t="s">
        <v>367</v>
      </c>
      <c r="BR386">
        <v>166648</v>
      </c>
      <c r="BS386" t="s">
        <v>891</v>
      </c>
      <c r="BT386">
        <v>6</v>
      </c>
      <c r="BU386">
        <v>17</v>
      </c>
      <c r="BV386">
        <v>3</v>
      </c>
      <c r="BX386">
        <v>8.8699999999999992</v>
      </c>
      <c r="BZ386">
        <v>8.25</v>
      </c>
      <c r="CM386">
        <v>1911</v>
      </c>
    </row>
    <row r="387" spans="1:91" x14ac:dyDescent="0.3">
      <c r="A387" t="s">
        <v>890</v>
      </c>
      <c r="B387">
        <v>42348</v>
      </c>
      <c r="C387" t="s">
        <v>892</v>
      </c>
      <c r="D387">
        <v>12</v>
      </c>
      <c r="I387">
        <v>365200</v>
      </c>
      <c r="J387" t="s">
        <v>800</v>
      </c>
      <c r="U387">
        <v>100</v>
      </c>
      <c r="Y387">
        <v>100</v>
      </c>
      <c r="AA387">
        <v>98</v>
      </c>
      <c r="AC387" s="3">
        <v>98</v>
      </c>
      <c r="AE387" s="3">
        <v>98</v>
      </c>
      <c r="AI387">
        <v>98</v>
      </c>
      <c r="AK387" s="3"/>
      <c r="AV387" t="s">
        <v>373</v>
      </c>
      <c r="AX387" t="s">
        <v>373</v>
      </c>
      <c r="AZ387" t="s">
        <v>373</v>
      </c>
      <c r="BB387" t="s">
        <v>373</v>
      </c>
      <c r="BO387" t="s">
        <v>367</v>
      </c>
      <c r="BR387">
        <v>166648</v>
      </c>
      <c r="BS387" t="s">
        <v>891</v>
      </c>
      <c r="BT387">
        <v>5</v>
      </c>
      <c r="BU387">
        <v>4</v>
      </c>
      <c r="BV387">
        <v>9</v>
      </c>
      <c r="BX387">
        <v>99</v>
      </c>
      <c r="BZ387">
        <v>97.5</v>
      </c>
      <c r="CM387">
        <v>1911</v>
      </c>
    </row>
    <row r="388" spans="1:91" x14ac:dyDescent="0.3">
      <c r="A388" t="s">
        <v>893</v>
      </c>
      <c r="B388">
        <v>42359</v>
      </c>
      <c r="D388">
        <v>12</v>
      </c>
      <c r="I388">
        <v>40000</v>
      </c>
      <c r="U388">
        <v>10</v>
      </c>
      <c r="Y388">
        <v>10</v>
      </c>
      <c r="AA388">
        <v>5</v>
      </c>
      <c r="AC388" s="3">
        <v>5</v>
      </c>
      <c r="AE388" s="3">
        <v>4.75</v>
      </c>
      <c r="AI388">
        <v>4.75</v>
      </c>
      <c r="AJ388" t="s">
        <v>379</v>
      </c>
      <c r="AK388" s="3"/>
      <c r="AV388" t="s">
        <v>815</v>
      </c>
      <c r="AX388" t="s">
        <v>815</v>
      </c>
      <c r="AZ388" t="s">
        <v>815</v>
      </c>
      <c r="BB388" t="s">
        <v>815</v>
      </c>
      <c r="BG388">
        <v>4</v>
      </c>
      <c r="BH388">
        <v>5</v>
      </c>
      <c r="BI388">
        <v>5</v>
      </c>
      <c r="BJ388">
        <v>5</v>
      </c>
      <c r="BK388" s="4">
        <v>3258</v>
      </c>
      <c r="BL388" s="4">
        <v>3623</v>
      </c>
      <c r="BM388" s="4">
        <v>3988</v>
      </c>
      <c r="BN388" s="4">
        <v>4353</v>
      </c>
      <c r="BR388">
        <v>63035</v>
      </c>
      <c r="BT388">
        <v>10</v>
      </c>
      <c r="BU388">
        <v>10</v>
      </c>
      <c r="BV388">
        <v>6</v>
      </c>
      <c r="BX388">
        <v>5.25</v>
      </c>
      <c r="BZ388">
        <v>4.71</v>
      </c>
      <c r="CK388" t="s">
        <v>360</v>
      </c>
      <c r="CM388">
        <v>1911</v>
      </c>
    </row>
    <row r="389" spans="1:91" x14ac:dyDescent="0.3">
      <c r="A389" t="s">
        <v>894</v>
      </c>
      <c r="B389">
        <v>42484</v>
      </c>
      <c r="D389">
        <v>12</v>
      </c>
      <c r="I389">
        <v>840570</v>
      </c>
      <c r="J389" t="s">
        <v>800</v>
      </c>
      <c r="V389" t="s">
        <v>350</v>
      </c>
      <c r="Y389">
        <v>100</v>
      </c>
      <c r="AA389">
        <v>6.5</v>
      </c>
      <c r="AC389" s="3">
        <v>6.5</v>
      </c>
      <c r="AE389" s="3">
        <v>5</v>
      </c>
      <c r="AI389">
        <v>6.5</v>
      </c>
      <c r="AK389" s="3"/>
      <c r="BB389" t="s">
        <v>810</v>
      </c>
      <c r="BG389">
        <v>3.5</v>
      </c>
      <c r="BI389">
        <v>2</v>
      </c>
      <c r="BK389" s="4">
        <v>3805</v>
      </c>
      <c r="BL389" s="4">
        <v>3988</v>
      </c>
      <c r="BM389" s="4">
        <v>4170</v>
      </c>
      <c r="BR389">
        <v>97262</v>
      </c>
      <c r="BS389" t="s">
        <v>895</v>
      </c>
      <c r="BW389" t="s">
        <v>802</v>
      </c>
      <c r="BX389">
        <v>17.75</v>
      </c>
      <c r="BZ389">
        <v>5</v>
      </c>
      <c r="CK389" t="s">
        <v>360</v>
      </c>
      <c r="CM389">
        <v>1911</v>
      </c>
    </row>
    <row r="390" spans="1:91" x14ac:dyDescent="0.3">
      <c r="A390" t="s">
        <v>894</v>
      </c>
      <c r="B390">
        <v>42488</v>
      </c>
      <c r="C390" t="s">
        <v>896</v>
      </c>
      <c r="D390">
        <v>12</v>
      </c>
      <c r="I390">
        <v>80000</v>
      </c>
      <c r="U390">
        <v>5</v>
      </c>
      <c r="Y390">
        <v>2</v>
      </c>
      <c r="AA390">
        <v>3</v>
      </c>
      <c r="AB390" t="s">
        <v>897</v>
      </c>
      <c r="AC390" s="3">
        <v>3</v>
      </c>
      <c r="AD390" t="s">
        <v>897</v>
      </c>
      <c r="AE390" s="3">
        <v>3</v>
      </c>
      <c r="AF390" t="s">
        <v>897</v>
      </c>
      <c r="AI390">
        <v>3</v>
      </c>
      <c r="AJ390" t="s">
        <v>897</v>
      </c>
      <c r="AK390" s="3"/>
      <c r="BB390" t="s">
        <v>810</v>
      </c>
      <c r="BG390">
        <v>3.5</v>
      </c>
      <c r="BI390">
        <v>2</v>
      </c>
      <c r="BK390" s="4">
        <v>2954</v>
      </c>
      <c r="BL390" s="4">
        <v>3136</v>
      </c>
      <c r="BM390" s="4">
        <v>3320</v>
      </c>
      <c r="BR390">
        <v>97262</v>
      </c>
      <c r="BS390" t="s">
        <v>895</v>
      </c>
      <c r="BW390" t="s">
        <v>802</v>
      </c>
      <c r="BX390">
        <v>3</v>
      </c>
      <c r="BY390" t="s">
        <v>897</v>
      </c>
      <c r="BZ390">
        <v>3</v>
      </c>
      <c r="CA390" t="s">
        <v>897</v>
      </c>
      <c r="CM390">
        <v>1911</v>
      </c>
    </row>
    <row r="391" spans="1:91" x14ac:dyDescent="0.3">
      <c r="A391" t="s">
        <v>894</v>
      </c>
      <c r="B391">
        <v>42486</v>
      </c>
      <c r="C391" t="s">
        <v>817</v>
      </c>
      <c r="D391">
        <v>12</v>
      </c>
      <c r="I391">
        <v>500000</v>
      </c>
      <c r="J391" t="s">
        <v>800</v>
      </c>
      <c r="V391" t="s">
        <v>350</v>
      </c>
      <c r="Y391">
        <v>100</v>
      </c>
      <c r="AA391">
        <v>29.5</v>
      </c>
      <c r="AC391" s="3">
        <v>29.5</v>
      </c>
      <c r="AE391" s="3">
        <v>27</v>
      </c>
      <c r="AI391">
        <v>28.5</v>
      </c>
      <c r="AK391" s="3"/>
      <c r="BB391" t="s">
        <v>810</v>
      </c>
      <c r="BG391">
        <v>5</v>
      </c>
      <c r="BH391">
        <v>5</v>
      </c>
      <c r="BI391">
        <v>5</v>
      </c>
      <c r="BK391" s="4">
        <v>2954</v>
      </c>
      <c r="BL391" s="4">
        <v>3136</v>
      </c>
      <c r="BM391" s="4">
        <v>3320</v>
      </c>
      <c r="BR391">
        <v>97262</v>
      </c>
      <c r="BS391" t="s">
        <v>895</v>
      </c>
      <c r="BW391" t="s">
        <v>802</v>
      </c>
      <c r="BX391">
        <v>47.5</v>
      </c>
      <c r="BZ391">
        <v>27</v>
      </c>
      <c r="CM391">
        <v>1911</v>
      </c>
    </row>
    <row r="392" spans="1:91" x14ac:dyDescent="0.3">
      <c r="A392" t="s">
        <v>894</v>
      </c>
      <c r="B392">
        <v>42485</v>
      </c>
      <c r="C392" t="s">
        <v>887</v>
      </c>
      <c r="D392">
        <v>12</v>
      </c>
      <c r="I392">
        <v>500000</v>
      </c>
      <c r="J392" t="s">
        <v>800</v>
      </c>
      <c r="V392" t="s">
        <v>350</v>
      </c>
      <c r="Y392">
        <v>100</v>
      </c>
      <c r="AA392">
        <v>74</v>
      </c>
      <c r="AC392" s="3">
        <v>75</v>
      </c>
      <c r="AE392" s="3">
        <v>73</v>
      </c>
      <c r="AI392">
        <v>74</v>
      </c>
      <c r="AK392" s="3"/>
      <c r="AV392" t="s">
        <v>366</v>
      </c>
      <c r="AX392" t="s">
        <v>366</v>
      </c>
      <c r="AZ392" t="s">
        <v>366</v>
      </c>
      <c r="BB392" t="s">
        <v>366</v>
      </c>
      <c r="BO392" t="s">
        <v>367</v>
      </c>
      <c r="BR392">
        <v>97262</v>
      </c>
      <c r="BS392" t="s">
        <v>895</v>
      </c>
      <c r="BT392">
        <v>5</v>
      </c>
      <c r="BU392">
        <v>8</v>
      </c>
      <c r="BV392">
        <v>6</v>
      </c>
      <c r="BX392">
        <v>90</v>
      </c>
      <c r="BZ392">
        <v>72</v>
      </c>
      <c r="CM392">
        <v>1911</v>
      </c>
    </row>
    <row r="393" spans="1:91" x14ac:dyDescent="0.3">
      <c r="A393" t="s">
        <v>894</v>
      </c>
      <c r="B393">
        <v>42487</v>
      </c>
      <c r="C393" t="s">
        <v>898</v>
      </c>
      <c r="D393">
        <v>12</v>
      </c>
      <c r="I393">
        <v>300000</v>
      </c>
      <c r="J393" t="s">
        <v>800</v>
      </c>
      <c r="V393" t="s">
        <v>350</v>
      </c>
      <c r="Y393">
        <v>100</v>
      </c>
      <c r="AA393">
        <v>56</v>
      </c>
      <c r="AC393" s="3">
        <v>56</v>
      </c>
      <c r="AE393" s="3">
        <v>54</v>
      </c>
      <c r="AI393">
        <v>56</v>
      </c>
      <c r="AK393" s="3"/>
      <c r="AV393" t="s">
        <v>366</v>
      </c>
      <c r="AX393" t="s">
        <v>366</v>
      </c>
      <c r="AZ393" t="s">
        <v>366</v>
      </c>
      <c r="BB393" t="s">
        <v>366</v>
      </c>
      <c r="BO393" t="s">
        <v>367</v>
      </c>
      <c r="BR393">
        <v>97262</v>
      </c>
      <c r="BS393" t="s">
        <v>895</v>
      </c>
      <c r="BT393">
        <v>6</v>
      </c>
      <c r="BU393">
        <v>5</v>
      </c>
      <c r="BV393">
        <v>0</v>
      </c>
      <c r="BX393">
        <v>67.5</v>
      </c>
      <c r="BZ393">
        <v>54</v>
      </c>
      <c r="CM393">
        <v>1911</v>
      </c>
    </row>
    <row r="394" spans="1:91" x14ac:dyDescent="0.3">
      <c r="A394" t="s">
        <v>899</v>
      </c>
      <c r="B394">
        <v>42521</v>
      </c>
      <c r="D394">
        <v>12</v>
      </c>
      <c r="I394">
        <v>6500</v>
      </c>
      <c r="U394">
        <v>10</v>
      </c>
      <c r="Y394">
        <v>10</v>
      </c>
      <c r="AA394">
        <v>10</v>
      </c>
      <c r="AC394" s="3">
        <v>10.5</v>
      </c>
      <c r="AE394" s="3">
        <v>10</v>
      </c>
      <c r="AI394">
        <v>10.5</v>
      </c>
      <c r="AK394" s="3"/>
      <c r="AV394" t="s">
        <v>853</v>
      </c>
      <c r="AZ394" t="s">
        <v>853</v>
      </c>
      <c r="BG394">
        <v>10</v>
      </c>
      <c r="BH394">
        <v>10</v>
      </c>
      <c r="BI394">
        <v>10</v>
      </c>
      <c r="BJ394">
        <v>10</v>
      </c>
      <c r="BK394" s="4">
        <v>3685</v>
      </c>
      <c r="BL394" s="4">
        <v>3866</v>
      </c>
      <c r="BM394" s="4">
        <v>4050</v>
      </c>
      <c r="BN394" s="4">
        <v>4231</v>
      </c>
      <c r="BR394">
        <v>62452</v>
      </c>
      <c r="BS394" t="s">
        <v>900</v>
      </c>
      <c r="BT394">
        <v>9</v>
      </c>
      <c r="BU394">
        <v>10</v>
      </c>
      <c r="BV394">
        <v>6</v>
      </c>
      <c r="BX394">
        <v>10.75</v>
      </c>
      <c r="BZ394">
        <v>9.75</v>
      </c>
      <c r="CK394" t="s">
        <v>901</v>
      </c>
      <c r="CM394">
        <v>1911</v>
      </c>
    </row>
    <row r="395" spans="1:91" x14ac:dyDescent="0.3">
      <c r="A395" t="s">
        <v>899</v>
      </c>
      <c r="B395">
        <v>42522</v>
      </c>
      <c r="C395" t="s">
        <v>902</v>
      </c>
      <c r="D395">
        <v>12</v>
      </c>
      <c r="I395">
        <v>6500</v>
      </c>
      <c r="U395">
        <v>10</v>
      </c>
      <c r="Y395">
        <v>10</v>
      </c>
      <c r="AA395">
        <v>9</v>
      </c>
      <c r="AC395" s="3">
        <v>9</v>
      </c>
      <c r="AE395" s="3">
        <v>9</v>
      </c>
      <c r="AI395">
        <v>9</v>
      </c>
      <c r="AK395" s="3"/>
      <c r="AV395" t="s">
        <v>506</v>
      </c>
      <c r="AX395" t="s">
        <v>506</v>
      </c>
      <c r="AZ395" t="s">
        <v>506</v>
      </c>
      <c r="BB395" t="s">
        <v>506</v>
      </c>
      <c r="BO395" t="s">
        <v>367</v>
      </c>
      <c r="BR395">
        <v>62452</v>
      </c>
      <c r="BS395" t="s">
        <v>900</v>
      </c>
      <c r="BT395">
        <v>6</v>
      </c>
      <c r="BU395">
        <v>13</v>
      </c>
      <c r="BV395">
        <v>3</v>
      </c>
      <c r="BX395">
        <v>9.5</v>
      </c>
      <c r="BZ395">
        <v>9</v>
      </c>
      <c r="CM395">
        <v>1911</v>
      </c>
    </row>
    <row r="396" spans="1:91" x14ac:dyDescent="0.3">
      <c r="A396" t="s">
        <v>903</v>
      </c>
      <c r="B396">
        <v>42592</v>
      </c>
      <c r="D396">
        <v>12</v>
      </c>
      <c r="I396">
        <v>24950</v>
      </c>
      <c r="U396">
        <v>5</v>
      </c>
      <c r="Y396">
        <v>5</v>
      </c>
      <c r="AA396">
        <v>0.75</v>
      </c>
      <c r="AC396" s="3">
        <v>0.75</v>
      </c>
      <c r="AE396" s="3">
        <v>0.75</v>
      </c>
      <c r="AI396">
        <v>0.75</v>
      </c>
      <c r="AK396" s="3"/>
      <c r="AV396" t="s">
        <v>853</v>
      </c>
      <c r="AX396" t="s">
        <v>815</v>
      </c>
      <c r="AZ396" t="s">
        <v>815</v>
      </c>
      <c r="BB396" t="s">
        <v>815</v>
      </c>
      <c r="BG396">
        <v>2</v>
      </c>
      <c r="BH396">
        <v>1</v>
      </c>
      <c r="BI396">
        <v>1</v>
      </c>
      <c r="BJ396">
        <v>1</v>
      </c>
      <c r="BK396" s="4">
        <v>2252</v>
      </c>
      <c r="BL396" s="4">
        <v>3532</v>
      </c>
      <c r="BM396" s="4">
        <v>3897</v>
      </c>
      <c r="BN396" s="4">
        <v>4262</v>
      </c>
      <c r="BR396">
        <v>12636</v>
      </c>
      <c r="BS396" t="s">
        <v>904</v>
      </c>
      <c r="BT396">
        <v>6</v>
      </c>
      <c r="BU396">
        <v>13</v>
      </c>
      <c r="BV396">
        <v>3</v>
      </c>
      <c r="BX396">
        <v>1.03</v>
      </c>
      <c r="BZ396">
        <v>0.37</v>
      </c>
      <c r="CK396" t="s">
        <v>360</v>
      </c>
      <c r="CM396">
        <v>1911</v>
      </c>
    </row>
    <row r="397" spans="1:91" x14ac:dyDescent="0.3">
      <c r="A397" t="s">
        <v>903</v>
      </c>
      <c r="B397">
        <v>42594</v>
      </c>
      <c r="C397" t="s">
        <v>905</v>
      </c>
      <c r="D397">
        <v>12</v>
      </c>
      <c r="I397">
        <v>15000</v>
      </c>
      <c r="U397">
        <v>5</v>
      </c>
      <c r="Y397">
        <v>5</v>
      </c>
      <c r="AA397">
        <v>3</v>
      </c>
      <c r="AC397" s="3">
        <v>3.12</v>
      </c>
      <c r="AE397" s="3">
        <v>3</v>
      </c>
      <c r="AI397">
        <v>3</v>
      </c>
      <c r="AK397" s="3"/>
      <c r="AV397" t="s">
        <v>853</v>
      </c>
      <c r="AZ397" t="s">
        <v>853</v>
      </c>
      <c r="BG397">
        <v>5</v>
      </c>
      <c r="BH397">
        <v>9</v>
      </c>
      <c r="BI397">
        <v>7</v>
      </c>
      <c r="BJ397">
        <v>7</v>
      </c>
      <c r="BK397" s="4">
        <v>3713</v>
      </c>
      <c r="BL397" s="4">
        <v>3897</v>
      </c>
      <c r="BM397" s="4">
        <v>4078</v>
      </c>
      <c r="BN397" s="4">
        <v>4262</v>
      </c>
      <c r="BR397">
        <v>12636</v>
      </c>
      <c r="BS397" t="s">
        <v>904</v>
      </c>
      <c r="BT397">
        <v>11</v>
      </c>
      <c r="BU397">
        <v>13</v>
      </c>
      <c r="BV397">
        <v>3</v>
      </c>
      <c r="BX397">
        <v>3.93</v>
      </c>
      <c r="BZ397">
        <v>2.62</v>
      </c>
      <c r="CM397">
        <v>1911</v>
      </c>
    </row>
    <row r="398" spans="1:91" x14ac:dyDescent="0.3">
      <c r="A398" t="s">
        <v>903</v>
      </c>
      <c r="B398">
        <v>42593</v>
      </c>
      <c r="C398" t="s">
        <v>906</v>
      </c>
      <c r="D398">
        <v>12</v>
      </c>
      <c r="I398">
        <v>253944</v>
      </c>
      <c r="J398" t="s">
        <v>800</v>
      </c>
      <c r="V398" t="s">
        <v>350</v>
      </c>
      <c r="Y398">
        <v>100</v>
      </c>
      <c r="AA398">
        <v>69</v>
      </c>
      <c r="AC398" s="3">
        <v>69.5</v>
      </c>
      <c r="AE398" s="3">
        <v>68</v>
      </c>
      <c r="AI398">
        <v>68</v>
      </c>
      <c r="AJ398" t="s">
        <v>379</v>
      </c>
      <c r="AK398" s="3"/>
      <c r="AV398" t="s">
        <v>351</v>
      </c>
      <c r="AX398" t="s">
        <v>351</v>
      </c>
      <c r="AZ398" t="s">
        <v>351</v>
      </c>
      <c r="BB398" t="s">
        <v>351</v>
      </c>
      <c r="BO398" t="s">
        <v>352</v>
      </c>
      <c r="BR398">
        <v>12636</v>
      </c>
      <c r="BS398" t="s">
        <v>904</v>
      </c>
      <c r="BT398">
        <v>6</v>
      </c>
      <c r="BU398">
        <v>12</v>
      </c>
      <c r="BV398">
        <v>3</v>
      </c>
      <c r="BX398">
        <v>74</v>
      </c>
      <c r="BZ398">
        <v>66</v>
      </c>
      <c r="CM398">
        <v>1911</v>
      </c>
    </row>
    <row r="399" spans="1:91" x14ac:dyDescent="0.3">
      <c r="A399" t="s">
        <v>903</v>
      </c>
      <c r="B399">
        <v>42595</v>
      </c>
      <c r="C399" t="s">
        <v>907</v>
      </c>
      <c r="D399">
        <v>12</v>
      </c>
      <c r="I399">
        <v>93400</v>
      </c>
      <c r="J399" t="s">
        <v>800</v>
      </c>
      <c r="V399" t="s">
        <v>350</v>
      </c>
      <c r="Y399">
        <v>100</v>
      </c>
      <c r="AA399">
        <v>59.5</v>
      </c>
      <c r="AC399" s="3">
        <v>59.5</v>
      </c>
      <c r="AE399" s="3">
        <v>58.5</v>
      </c>
      <c r="AI399">
        <v>58.5</v>
      </c>
      <c r="AJ399" t="s">
        <v>379</v>
      </c>
      <c r="AK399" s="3"/>
      <c r="AV399" t="s">
        <v>351</v>
      </c>
      <c r="AX399" t="s">
        <v>351</v>
      </c>
      <c r="AZ399" t="s">
        <v>351</v>
      </c>
      <c r="BB399" t="s">
        <v>351</v>
      </c>
      <c r="BO399" t="s">
        <v>352</v>
      </c>
      <c r="BR399">
        <v>12636</v>
      </c>
      <c r="BS399" t="s">
        <v>904</v>
      </c>
      <c r="BT399">
        <v>7</v>
      </c>
      <c r="BU399">
        <v>13</v>
      </c>
      <c r="BV399">
        <v>9</v>
      </c>
      <c r="BX399">
        <v>63.75</v>
      </c>
      <c r="BZ399">
        <v>58.5</v>
      </c>
      <c r="CM399">
        <v>1911</v>
      </c>
    </row>
    <row r="400" spans="1:91" x14ac:dyDescent="0.3">
      <c r="A400" t="s">
        <v>908</v>
      </c>
      <c r="B400">
        <v>42655</v>
      </c>
      <c r="D400">
        <v>12</v>
      </c>
      <c r="I400">
        <v>120000</v>
      </c>
      <c r="J400" t="s">
        <v>800</v>
      </c>
      <c r="V400" t="s">
        <v>350</v>
      </c>
      <c r="Y400">
        <v>100</v>
      </c>
      <c r="AA400">
        <v>81.5</v>
      </c>
      <c r="AC400" s="3">
        <v>81.5</v>
      </c>
      <c r="AE400" s="3">
        <v>81</v>
      </c>
      <c r="AI400">
        <v>81.5</v>
      </c>
      <c r="AK400" s="3"/>
      <c r="BG400">
        <v>5</v>
      </c>
      <c r="BH400">
        <v>5</v>
      </c>
      <c r="BI400">
        <v>5</v>
      </c>
      <c r="BJ400">
        <v>5</v>
      </c>
      <c r="BK400" s="4">
        <v>3744</v>
      </c>
      <c r="BL400" s="4">
        <v>3927</v>
      </c>
      <c r="BM400" s="4">
        <v>4109</v>
      </c>
      <c r="BN400" s="4">
        <v>4292</v>
      </c>
      <c r="BR400">
        <v>39075</v>
      </c>
      <c r="BT400">
        <v>6</v>
      </c>
      <c r="BU400">
        <v>3</v>
      </c>
      <c r="BV400">
        <v>6</v>
      </c>
      <c r="BX400">
        <v>85</v>
      </c>
      <c r="BZ400">
        <v>75.5</v>
      </c>
      <c r="CK400" t="s">
        <v>360</v>
      </c>
      <c r="CM400">
        <v>1911</v>
      </c>
    </row>
    <row r="401" spans="1:91" x14ac:dyDescent="0.3">
      <c r="A401" t="s">
        <v>909</v>
      </c>
      <c r="B401">
        <v>42847</v>
      </c>
      <c r="D401">
        <v>12</v>
      </c>
      <c r="I401">
        <v>4000</v>
      </c>
      <c r="U401">
        <v>100</v>
      </c>
      <c r="Y401">
        <v>100</v>
      </c>
      <c r="AA401">
        <v>60.5</v>
      </c>
      <c r="AC401" s="3">
        <v>61</v>
      </c>
      <c r="AE401" s="3">
        <v>60.5</v>
      </c>
      <c r="AI401">
        <v>60.5</v>
      </c>
      <c r="AK401" s="3"/>
      <c r="AV401" t="s">
        <v>536</v>
      </c>
      <c r="AX401" t="s">
        <v>536</v>
      </c>
      <c r="AZ401" t="s">
        <v>536</v>
      </c>
      <c r="BB401" t="s">
        <v>536</v>
      </c>
      <c r="BO401" t="s">
        <v>367</v>
      </c>
      <c r="BR401" s="2">
        <v>19111300000</v>
      </c>
      <c r="BS401" t="s">
        <v>910</v>
      </c>
      <c r="BT401">
        <v>8</v>
      </c>
      <c r="BU401">
        <v>6</v>
      </c>
      <c r="BV401">
        <v>0</v>
      </c>
      <c r="BX401">
        <v>81.5</v>
      </c>
      <c r="BZ401">
        <v>60</v>
      </c>
      <c r="CK401" t="s">
        <v>360</v>
      </c>
      <c r="CM401">
        <v>1911</v>
      </c>
    </row>
    <row r="402" spans="1:91" x14ac:dyDescent="0.3">
      <c r="A402" t="s">
        <v>909</v>
      </c>
      <c r="B402">
        <v>42845</v>
      </c>
      <c r="C402" t="s">
        <v>684</v>
      </c>
      <c r="D402">
        <v>12</v>
      </c>
      <c r="I402">
        <v>600000</v>
      </c>
      <c r="J402" t="s">
        <v>800</v>
      </c>
      <c r="V402" t="s">
        <v>350</v>
      </c>
      <c r="Y402">
        <v>100</v>
      </c>
      <c r="AA402">
        <v>79.5</v>
      </c>
      <c r="AC402" s="3">
        <v>80</v>
      </c>
      <c r="AE402" s="3">
        <v>78.5</v>
      </c>
      <c r="AI402">
        <v>79.5</v>
      </c>
      <c r="AK402" s="3"/>
      <c r="AV402" t="s">
        <v>536</v>
      </c>
      <c r="AX402" t="s">
        <v>536</v>
      </c>
      <c r="AZ402" t="s">
        <v>536</v>
      </c>
      <c r="BB402" t="s">
        <v>536</v>
      </c>
      <c r="BO402" t="s">
        <v>367</v>
      </c>
      <c r="BS402" t="s">
        <v>385</v>
      </c>
      <c r="BT402">
        <v>5</v>
      </c>
      <c r="BU402">
        <v>1</v>
      </c>
      <c r="BV402">
        <v>6</v>
      </c>
      <c r="BX402">
        <v>88</v>
      </c>
      <c r="BZ402">
        <v>78</v>
      </c>
      <c r="CM402">
        <v>1911</v>
      </c>
    </row>
    <row r="403" spans="1:91" x14ac:dyDescent="0.3">
      <c r="A403" t="s">
        <v>909</v>
      </c>
      <c r="B403">
        <v>42848</v>
      </c>
      <c r="C403" t="s">
        <v>911</v>
      </c>
      <c r="D403">
        <v>12</v>
      </c>
      <c r="I403">
        <v>400000</v>
      </c>
      <c r="J403" t="s">
        <v>800</v>
      </c>
      <c r="V403" t="s">
        <v>350</v>
      </c>
      <c r="Y403">
        <v>100</v>
      </c>
      <c r="AA403">
        <v>62.5</v>
      </c>
      <c r="AC403" s="3">
        <v>62.5</v>
      </c>
      <c r="AE403" s="3">
        <v>62.5</v>
      </c>
      <c r="AI403">
        <v>62.5</v>
      </c>
      <c r="AK403" s="3"/>
      <c r="AV403" t="s">
        <v>536</v>
      </c>
      <c r="AX403" t="s">
        <v>536</v>
      </c>
      <c r="AZ403" t="s">
        <v>536</v>
      </c>
      <c r="BB403" t="s">
        <v>536</v>
      </c>
      <c r="BO403" t="s">
        <v>367</v>
      </c>
      <c r="BS403" t="s">
        <v>385</v>
      </c>
      <c r="BT403">
        <v>5</v>
      </c>
      <c r="BU403">
        <v>12</v>
      </c>
      <c r="BV403">
        <v>6</v>
      </c>
      <c r="BX403">
        <v>68.5</v>
      </c>
      <c r="BZ403">
        <v>60</v>
      </c>
      <c r="CM403">
        <v>1911</v>
      </c>
    </row>
    <row r="404" spans="1:91" x14ac:dyDescent="0.3">
      <c r="A404" t="s">
        <v>912</v>
      </c>
      <c r="B404">
        <v>43039</v>
      </c>
      <c r="D404">
        <v>12</v>
      </c>
      <c r="I404">
        <v>7500</v>
      </c>
      <c r="U404">
        <v>10</v>
      </c>
      <c r="Y404">
        <v>10</v>
      </c>
      <c r="AA404">
        <v>4.75</v>
      </c>
      <c r="AC404" s="3">
        <v>5</v>
      </c>
      <c r="AE404" s="3">
        <v>4.75</v>
      </c>
      <c r="AI404">
        <v>5</v>
      </c>
      <c r="AK404" s="3"/>
      <c r="AV404" t="s">
        <v>815</v>
      </c>
      <c r="AX404" t="s">
        <v>815</v>
      </c>
      <c r="AZ404" t="s">
        <v>815</v>
      </c>
      <c r="BB404" t="s">
        <v>815</v>
      </c>
      <c r="BG404">
        <v>3.5</v>
      </c>
      <c r="BH404">
        <v>5</v>
      </c>
      <c r="BI404">
        <v>7</v>
      </c>
      <c r="BJ404">
        <v>7</v>
      </c>
      <c r="BK404" s="4">
        <v>3320</v>
      </c>
      <c r="BL404" s="4">
        <v>3593</v>
      </c>
      <c r="BM404" t="s">
        <v>913</v>
      </c>
      <c r="BN404" s="4">
        <v>4050</v>
      </c>
      <c r="BR404">
        <v>14181</v>
      </c>
      <c r="BS404" t="s">
        <v>914</v>
      </c>
      <c r="BT404">
        <v>14</v>
      </c>
      <c r="BU404">
        <v>0</v>
      </c>
      <c r="BV404">
        <v>0</v>
      </c>
      <c r="BX404">
        <v>5</v>
      </c>
      <c r="BZ404">
        <v>3.75</v>
      </c>
      <c r="CK404" t="s">
        <v>360</v>
      </c>
      <c r="CM404">
        <v>1911</v>
      </c>
    </row>
    <row r="405" spans="1:91" x14ac:dyDescent="0.3">
      <c r="A405" t="s">
        <v>915</v>
      </c>
      <c r="B405">
        <v>43040</v>
      </c>
      <c r="C405" t="s">
        <v>916</v>
      </c>
      <c r="D405">
        <v>12</v>
      </c>
      <c r="I405">
        <v>7500</v>
      </c>
      <c r="U405">
        <v>10</v>
      </c>
      <c r="Y405">
        <v>10</v>
      </c>
      <c r="AA405">
        <v>0.87</v>
      </c>
      <c r="AC405" s="3">
        <v>0.87</v>
      </c>
      <c r="AE405" s="3">
        <v>0.87</v>
      </c>
      <c r="AI405">
        <v>0.87</v>
      </c>
      <c r="AK405" s="3"/>
      <c r="BB405" t="s">
        <v>810</v>
      </c>
      <c r="BG405">
        <v>2</v>
      </c>
      <c r="BH405">
        <v>2</v>
      </c>
      <c r="BI405">
        <v>2</v>
      </c>
      <c r="BK405" s="4">
        <v>2224</v>
      </c>
      <c r="BL405" s="4">
        <v>2589</v>
      </c>
      <c r="BM405" s="4">
        <v>2954</v>
      </c>
      <c r="BN405" t="s">
        <v>811</v>
      </c>
      <c r="BR405">
        <v>14181</v>
      </c>
      <c r="BS405" t="s">
        <v>914</v>
      </c>
      <c r="BW405" t="s">
        <v>802</v>
      </c>
      <c r="BX405">
        <v>0.87</v>
      </c>
      <c r="BZ405">
        <v>0.5</v>
      </c>
      <c r="CM405">
        <v>1911</v>
      </c>
    </row>
    <row r="406" spans="1:91" x14ac:dyDescent="0.3">
      <c r="A406" t="s">
        <v>912</v>
      </c>
      <c r="B406">
        <v>43042</v>
      </c>
      <c r="C406" t="s">
        <v>917</v>
      </c>
      <c r="D406">
        <v>12</v>
      </c>
      <c r="I406">
        <v>125000</v>
      </c>
      <c r="J406" t="s">
        <v>800</v>
      </c>
      <c r="V406" t="s">
        <v>350</v>
      </c>
      <c r="Y406">
        <v>100</v>
      </c>
      <c r="AA406">
        <v>65</v>
      </c>
      <c r="AC406" s="3">
        <v>65</v>
      </c>
      <c r="AE406" s="3">
        <v>65</v>
      </c>
      <c r="AI406">
        <v>65</v>
      </c>
      <c r="AK406" s="3"/>
      <c r="AV406" t="s">
        <v>506</v>
      </c>
      <c r="AX406" t="s">
        <v>506</v>
      </c>
      <c r="AZ406" t="s">
        <v>506</v>
      </c>
      <c r="BB406" t="s">
        <v>506</v>
      </c>
      <c r="BO406" t="s">
        <v>367</v>
      </c>
      <c r="BR406">
        <v>14181</v>
      </c>
      <c r="BS406" t="s">
        <v>914</v>
      </c>
      <c r="BT406">
        <v>7</v>
      </c>
      <c r="BU406">
        <v>0</v>
      </c>
      <c r="BV406">
        <v>3</v>
      </c>
      <c r="BX406">
        <v>68</v>
      </c>
      <c r="BZ406">
        <v>65</v>
      </c>
      <c r="CM406">
        <v>1911</v>
      </c>
    </row>
    <row r="407" spans="1:91" x14ac:dyDescent="0.3">
      <c r="A407" t="s">
        <v>912</v>
      </c>
      <c r="B407">
        <v>43044</v>
      </c>
      <c r="C407" t="s">
        <v>918</v>
      </c>
      <c r="D407">
        <v>12</v>
      </c>
      <c r="I407">
        <v>125000</v>
      </c>
      <c r="J407" t="s">
        <v>800</v>
      </c>
      <c r="V407" t="s">
        <v>350</v>
      </c>
      <c r="Y407">
        <v>100</v>
      </c>
      <c r="AA407">
        <v>53.5</v>
      </c>
      <c r="AC407" s="3">
        <v>53.5</v>
      </c>
      <c r="AE407" s="3">
        <v>53.5</v>
      </c>
      <c r="AI407">
        <v>53.5</v>
      </c>
      <c r="AK407" s="3"/>
      <c r="AV407" t="s">
        <v>366</v>
      </c>
      <c r="AX407" t="s">
        <v>366</v>
      </c>
      <c r="AZ407" t="s">
        <v>366</v>
      </c>
      <c r="BB407" t="s">
        <v>366</v>
      </c>
      <c r="BO407" t="s">
        <v>367</v>
      </c>
      <c r="BR407">
        <v>14181</v>
      </c>
      <c r="BS407" t="s">
        <v>914</v>
      </c>
      <c r="BT407">
        <v>8</v>
      </c>
      <c r="BU407">
        <v>8</v>
      </c>
      <c r="BV407">
        <v>9</v>
      </c>
      <c r="BX407">
        <v>59.5</v>
      </c>
      <c r="BZ407">
        <v>49.5</v>
      </c>
      <c r="CM407">
        <v>1911</v>
      </c>
    </row>
    <row r="408" spans="1:91" x14ac:dyDescent="0.3">
      <c r="A408" t="s">
        <v>919</v>
      </c>
      <c r="B408">
        <v>43064</v>
      </c>
      <c r="D408">
        <v>12</v>
      </c>
      <c r="I408">
        <v>41000</v>
      </c>
      <c r="U408">
        <v>5</v>
      </c>
      <c r="Y408">
        <v>5</v>
      </c>
      <c r="AA408">
        <v>1.75</v>
      </c>
      <c r="AB408" t="s">
        <v>379</v>
      </c>
      <c r="AC408" s="3">
        <v>1.75</v>
      </c>
      <c r="AE408" s="3">
        <v>1.75</v>
      </c>
      <c r="AI408">
        <v>1.75</v>
      </c>
      <c r="AK408" s="3"/>
      <c r="AV408" t="s">
        <v>815</v>
      </c>
      <c r="AX408" t="s">
        <v>815</v>
      </c>
      <c r="AZ408" t="s">
        <v>815</v>
      </c>
      <c r="BB408" t="s">
        <v>815</v>
      </c>
      <c r="BG408">
        <v>5</v>
      </c>
      <c r="BH408">
        <v>4.5</v>
      </c>
      <c r="BI408">
        <v>4</v>
      </c>
      <c r="BJ408">
        <v>4</v>
      </c>
      <c r="BK408" s="4">
        <v>3228</v>
      </c>
      <c r="BL408" s="4">
        <v>3593</v>
      </c>
      <c r="BM408" s="4">
        <v>3958</v>
      </c>
      <c r="BN408" s="4">
        <v>4323</v>
      </c>
      <c r="BR408">
        <v>20067</v>
      </c>
      <c r="BS408" t="s">
        <v>920</v>
      </c>
      <c r="BT408">
        <v>11</v>
      </c>
      <c r="BU408">
        <v>8</v>
      </c>
      <c r="BV408">
        <v>6</v>
      </c>
      <c r="BX408">
        <v>2.37</v>
      </c>
      <c r="BZ408">
        <v>1.5</v>
      </c>
      <c r="CK408" t="s">
        <v>360</v>
      </c>
      <c r="CM408">
        <v>1911</v>
      </c>
    </row>
    <row r="409" spans="1:91" x14ac:dyDescent="0.3">
      <c r="A409" t="s">
        <v>919</v>
      </c>
      <c r="B409">
        <v>43066</v>
      </c>
      <c r="C409" t="s">
        <v>921</v>
      </c>
      <c r="D409">
        <v>12</v>
      </c>
      <c r="I409">
        <v>29000</v>
      </c>
      <c r="U409">
        <v>5</v>
      </c>
      <c r="Y409">
        <v>5</v>
      </c>
      <c r="AA409">
        <v>3.25</v>
      </c>
      <c r="AC409" s="3">
        <v>3.25</v>
      </c>
      <c r="AE409" s="3">
        <v>3.25</v>
      </c>
      <c r="AI409">
        <v>3.25</v>
      </c>
      <c r="AK409" s="3"/>
      <c r="AV409" t="s">
        <v>536</v>
      </c>
      <c r="AX409" t="s">
        <v>536</v>
      </c>
      <c r="AZ409" t="s">
        <v>536</v>
      </c>
      <c r="BB409" t="s">
        <v>536</v>
      </c>
      <c r="BO409" t="s">
        <v>367</v>
      </c>
      <c r="BR409">
        <v>20067</v>
      </c>
      <c r="BS409" t="s">
        <v>920</v>
      </c>
      <c r="BT409">
        <v>8</v>
      </c>
      <c r="BU409">
        <v>9</v>
      </c>
      <c r="BV409">
        <v>3</v>
      </c>
      <c r="BX409">
        <v>3.81</v>
      </c>
      <c r="BZ409">
        <v>3.06</v>
      </c>
      <c r="CM409">
        <v>1911</v>
      </c>
    </row>
    <row r="410" spans="1:91" x14ac:dyDescent="0.3">
      <c r="A410" t="s">
        <v>919</v>
      </c>
      <c r="B410">
        <v>43065</v>
      </c>
      <c r="C410" t="s">
        <v>922</v>
      </c>
      <c r="D410">
        <v>12</v>
      </c>
      <c r="I410">
        <v>190000</v>
      </c>
      <c r="J410" t="s">
        <v>800</v>
      </c>
      <c r="V410" t="s">
        <v>350</v>
      </c>
      <c r="Y410">
        <v>100</v>
      </c>
      <c r="AA410">
        <v>67</v>
      </c>
      <c r="AC410" s="3">
        <v>67</v>
      </c>
      <c r="AE410" s="3">
        <v>67</v>
      </c>
      <c r="AI410">
        <v>67</v>
      </c>
      <c r="AK410" s="3"/>
      <c r="AV410" t="s">
        <v>536</v>
      </c>
      <c r="AX410" t="s">
        <v>536</v>
      </c>
      <c r="AZ410" t="s">
        <v>536</v>
      </c>
      <c r="BB410" t="s">
        <v>536</v>
      </c>
      <c r="BO410" t="s">
        <v>367</v>
      </c>
      <c r="BR410">
        <v>20067</v>
      </c>
      <c r="BS410" t="s">
        <v>920</v>
      </c>
      <c r="BT410">
        <v>6</v>
      </c>
      <c r="BU410">
        <v>0</v>
      </c>
      <c r="BV410">
        <v>3</v>
      </c>
      <c r="BX410">
        <v>69</v>
      </c>
      <c r="BZ410">
        <v>66</v>
      </c>
      <c r="CM410">
        <v>1911</v>
      </c>
    </row>
    <row r="411" spans="1:91" x14ac:dyDescent="0.3">
      <c r="A411" t="s">
        <v>923</v>
      </c>
      <c r="B411">
        <v>43146</v>
      </c>
      <c r="D411">
        <v>12</v>
      </c>
      <c r="I411">
        <v>20000</v>
      </c>
      <c r="U411">
        <v>10</v>
      </c>
      <c r="Y411">
        <v>10</v>
      </c>
      <c r="AA411">
        <v>0.12</v>
      </c>
      <c r="AC411" s="3">
        <v>0.12</v>
      </c>
      <c r="AE411" s="3">
        <v>0.12</v>
      </c>
      <c r="AI411">
        <v>0.12</v>
      </c>
      <c r="AK411" s="3"/>
      <c r="AV411" t="s">
        <v>385</v>
      </c>
      <c r="AZ411" t="s">
        <v>815</v>
      </c>
      <c r="BB411" t="s">
        <v>810</v>
      </c>
      <c r="BH411">
        <v>5</v>
      </c>
      <c r="BI411">
        <v>2.5</v>
      </c>
      <c r="BK411" t="s">
        <v>811</v>
      </c>
      <c r="BL411" t="s">
        <v>924</v>
      </c>
      <c r="BM411" s="4">
        <v>275</v>
      </c>
      <c r="BN411" t="s">
        <v>811</v>
      </c>
      <c r="BR411">
        <v>50116</v>
      </c>
      <c r="BS411" t="s">
        <v>925</v>
      </c>
      <c r="BW411" t="s">
        <v>802</v>
      </c>
      <c r="BX411">
        <v>0.15</v>
      </c>
      <c r="BZ411">
        <v>0.12</v>
      </c>
      <c r="CK411" t="s">
        <v>360</v>
      </c>
      <c r="CM411">
        <v>1911</v>
      </c>
    </row>
    <row r="412" spans="1:91" x14ac:dyDescent="0.3">
      <c r="A412" t="s">
        <v>923</v>
      </c>
      <c r="B412">
        <v>43147</v>
      </c>
      <c r="C412" t="s">
        <v>926</v>
      </c>
      <c r="D412">
        <v>12</v>
      </c>
      <c r="I412">
        <v>20000</v>
      </c>
      <c r="U412">
        <v>10</v>
      </c>
      <c r="Y412">
        <v>10</v>
      </c>
      <c r="AA412">
        <v>2.5</v>
      </c>
      <c r="AC412" s="3">
        <v>2.5</v>
      </c>
      <c r="AE412" s="3">
        <v>2.25</v>
      </c>
      <c r="AI412">
        <v>2.5</v>
      </c>
      <c r="AK412" s="3"/>
      <c r="AV412" t="s">
        <v>815</v>
      </c>
      <c r="AX412" t="s">
        <v>815</v>
      </c>
      <c r="AZ412" t="s">
        <v>927</v>
      </c>
      <c r="BB412" t="s">
        <v>810</v>
      </c>
      <c r="BG412">
        <v>4</v>
      </c>
      <c r="BH412">
        <v>4</v>
      </c>
      <c r="BK412" s="4">
        <v>3258</v>
      </c>
      <c r="BL412" s="4">
        <v>3623</v>
      </c>
      <c r="BR412">
        <v>50116</v>
      </c>
      <c r="BS412" t="s">
        <v>925</v>
      </c>
      <c r="BW412" t="s">
        <v>802</v>
      </c>
      <c r="BX412">
        <v>3.87</v>
      </c>
      <c r="BZ412">
        <v>2.25</v>
      </c>
      <c r="CM412">
        <v>1911</v>
      </c>
    </row>
    <row r="413" spans="1:91" x14ac:dyDescent="0.3">
      <c r="A413" t="s">
        <v>928</v>
      </c>
      <c r="B413">
        <v>43168</v>
      </c>
      <c r="D413">
        <v>12</v>
      </c>
      <c r="I413">
        <v>25000</v>
      </c>
      <c r="U413">
        <v>10</v>
      </c>
      <c r="Y413">
        <v>10</v>
      </c>
      <c r="AA413">
        <v>10</v>
      </c>
      <c r="AC413" s="3">
        <v>10.029999999999999</v>
      </c>
      <c r="AE413" s="3">
        <v>9.8699999999999992</v>
      </c>
      <c r="AI413">
        <v>9.8699999999999992</v>
      </c>
      <c r="AJ413" t="s">
        <v>379</v>
      </c>
      <c r="AK413" s="3"/>
      <c r="AV413" t="s">
        <v>506</v>
      </c>
      <c r="AX413" t="s">
        <v>506</v>
      </c>
      <c r="AZ413" t="s">
        <v>506</v>
      </c>
      <c r="BB413" t="s">
        <v>506</v>
      </c>
      <c r="BO413" t="s">
        <v>367</v>
      </c>
      <c r="BR413">
        <v>174813</v>
      </c>
      <c r="BT413">
        <v>5</v>
      </c>
      <c r="BU413">
        <v>1</v>
      </c>
      <c r="BV413">
        <v>3</v>
      </c>
      <c r="BX413">
        <v>10.25</v>
      </c>
      <c r="BZ413">
        <v>9.5299999999999994</v>
      </c>
      <c r="CK413" t="s">
        <v>929</v>
      </c>
      <c r="CM413">
        <v>1911</v>
      </c>
    </row>
    <row r="414" spans="1:91" x14ac:dyDescent="0.3">
      <c r="A414" t="s">
        <v>930</v>
      </c>
      <c r="B414">
        <v>43205</v>
      </c>
      <c r="D414">
        <v>12</v>
      </c>
      <c r="I414">
        <v>130000</v>
      </c>
      <c r="U414">
        <v>10</v>
      </c>
      <c r="Y414">
        <v>10</v>
      </c>
      <c r="AA414">
        <v>15.43</v>
      </c>
      <c r="AC414" s="3">
        <v>16.37</v>
      </c>
      <c r="AE414" s="3">
        <v>15.5</v>
      </c>
      <c r="AI414">
        <v>16.309999999999999</v>
      </c>
      <c r="AK414" s="3"/>
      <c r="AV414" t="s">
        <v>823</v>
      </c>
      <c r="AZ414" t="s">
        <v>823</v>
      </c>
      <c r="BG414">
        <v>8</v>
      </c>
      <c r="BH414">
        <v>12</v>
      </c>
      <c r="BI414">
        <v>8</v>
      </c>
      <c r="BJ414">
        <v>12</v>
      </c>
      <c r="BK414" s="4">
        <v>3685</v>
      </c>
      <c r="BL414" s="4">
        <v>3866</v>
      </c>
      <c r="BM414" s="4">
        <v>4050</v>
      </c>
      <c r="BN414" s="4">
        <v>4231</v>
      </c>
      <c r="BR414">
        <v>460519</v>
      </c>
      <c r="BS414" t="s">
        <v>931</v>
      </c>
      <c r="BT414">
        <v>6</v>
      </c>
      <c r="BU414">
        <v>2</v>
      </c>
      <c r="BV414">
        <v>9</v>
      </c>
      <c r="BX414">
        <v>16.37</v>
      </c>
      <c r="BZ414">
        <v>13</v>
      </c>
      <c r="CK414" t="s">
        <v>932</v>
      </c>
      <c r="CM414">
        <v>1911</v>
      </c>
    </row>
    <row r="415" spans="1:91" x14ac:dyDescent="0.3">
      <c r="A415" t="s">
        <v>930</v>
      </c>
      <c r="B415">
        <v>43208</v>
      </c>
      <c r="C415" t="s">
        <v>817</v>
      </c>
      <c r="D415">
        <v>12</v>
      </c>
      <c r="I415">
        <v>28700</v>
      </c>
      <c r="U415">
        <v>10</v>
      </c>
      <c r="Y415">
        <v>10</v>
      </c>
      <c r="AA415">
        <v>10.25</v>
      </c>
      <c r="AC415" s="3">
        <v>10.28</v>
      </c>
      <c r="AE415" s="3">
        <v>10.25</v>
      </c>
      <c r="AI415">
        <v>10.25</v>
      </c>
      <c r="AK415" s="3"/>
      <c r="AV415" t="s">
        <v>374</v>
      </c>
      <c r="AX415" t="s">
        <v>374</v>
      </c>
      <c r="AZ415" t="s">
        <v>374</v>
      </c>
      <c r="BB415" t="s">
        <v>374</v>
      </c>
      <c r="BO415" t="s">
        <v>367</v>
      </c>
      <c r="BR415">
        <v>460519</v>
      </c>
      <c r="BS415" t="s">
        <v>931</v>
      </c>
      <c r="BT415">
        <v>4</v>
      </c>
      <c r="BU415">
        <v>17</v>
      </c>
      <c r="BV415">
        <v>6</v>
      </c>
      <c r="BX415">
        <v>10.37</v>
      </c>
      <c r="BZ415">
        <v>9.3699999999999992</v>
      </c>
      <c r="CM415">
        <v>1911</v>
      </c>
    </row>
    <row r="416" spans="1:91" x14ac:dyDescent="0.3">
      <c r="A416" t="s">
        <v>930</v>
      </c>
      <c r="B416">
        <v>43206</v>
      </c>
      <c r="C416" t="s">
        <v>831</v>
      </c>
      <c r="D416">
        <v>12</v>
      </c>
      <c r="I416">
        <v>450000</v>
      </c>
      <c r="J416" t="s">
        <v>800</v>
      </c>
      <c r="V416" t="s">
        <v>350</v>
      </c>
      <c r="Y416">
        <v>100</v>
      </c>
      <c r="AA416">
        <v>97.25</v>
      </c>
      <c r="AC416" s="3">
        <v>98.5</v>
      </c>
      <c r="AE416" s="3">
        <v>97.25</v>
      </c>
      <c r="AI416">
        <v>97.25</v>
      </c>
      <c r="AK416" s="3"/>
      <c r="AV416" t="s">
        <v>366</v>
      </c>
      <c r="AX416" t="s">
        <v>366</v>
      </c>
      <c r="AZ416" t="s">
        <v>366</v>
      </c>
      <c r="BB416" t="s">
        <v>366</v>
      </c>
      <c r="BO416" t="s">
        <v>367</v>
      </c>
      <c r="BR416">
        <v>460519</v>
      </c>
      <c r="BS416" t="s">
        <v>931</v>
      </c>
      <c r="BT416">
        <v>4</v>
      </c>
      <c r="BU416">
        <v>13</v>
      </c>
      <c r="BV416">
        <v>0</v>
      </c>
      <c r="BX416">
        <v>100</v>
      </c>
      <c r="BZ416">
        <v>97.25</v>
      </c>
      <c r="CM416">
        <v>1911</v>
      </c>
    </row>
    <row r="417" spans="1:91" x14ac:dyDescent="0.3">
      <c r="A417" t="s">
        <v>933</v>
      </c>
      <c r="B417">
        <v>43352</v>
      </c>
      <c r="D417">
        <v>12</v>
      </c>
      <c r="I417">
        <v>50000</v>
      </c>
      <c r="U417">
        <v>10</v>
      </c>
      <c r="Y417">
        <v>10</v>
      </c>
      <c r="AA417">
        <v>8.5</v>
      </c>
      <c r="AC417" s="3">
        <v>9.25</v>
      </c>
      <c r="AE417" s="3">
        <v>8.5</v>
      </c>
      <c r="AI417">
        <v>9.25</v>
      </c>
      <c r="AK417" s="3"/>
      <c r="AX417" t="s">
        <v>853</v>
      </c>
      <c r="BB417" t="s">
        <v>853</v>
      </c>
      <c r="BG417">
        <v>10</v>
      </c>
      <c r="BH417">
        <v>5</v>
      </c>
      <c r="BI417">
        <v>7</v>
      </c>
      <c r="BJ417">
        <v>5</v>
      </c>
      <c r="BK417" s="4">
        <v>3593</v>
      </c>
      <c r="BL417" s="4">
        <v>3774</v>
      </c>
      <c r="BM417" s="4">
        <v>3958</v>
      </c>
      <c r="BN417" s="4">
        <v>4109</v>
      </c>
      <c r="BR417">
        <v>225056</v>
      </c>
      <c r="BT417">
        <v>6</v>
      </c>
      <c r="BU417">
        <v>9</v>
      </c>
      <c r="BV417">
        <v>9</v>
      </c>
      <c r="BX417">
        <v>9.7100000000000009</v>
      </c>
      <c r="BZ417">
        <v>8.1199999999999992</v>
      </c>
      <c r="CK417" t="s">
        <v>934</v>
      </c>
      <c r="CM417">
        <v>1911</v>
      </c>
    </row>
    <row r="418" spans="1:91" x14ac:dyDescent="0.3">
      <c r="A418" t="s">
        <v>935</v>
      </c>
      <c r="B418">
        <v>43393</v>
      </c>
      <c r="D418">
        <v>12</v>
      </c>
      <c r="I418">
        <v>25000</v>
      </c>
      <c r="U418">
        <v>10</v>
      </c>
      <c r="Y418">
        <v>10</v>
      </c>
      <c r="AA418">
        <v>5.5</v>
      </c>
      <c r="AC418" s="3">
        <v>5.5</v>
      </c>
      <c r="AE418" s="3">
        <v>5.5</v>
      </c>
      <c r="AI418">
        <v>5.5</v>
      </c>
      <c r="AK418" s="3"/>
      <c r="BG418">
        <v>5</v>
      </c>
      <c r="BH418">
        <v>5</v>
      </c>
      <c r="BI418">
        <v>5</v>
      </c>
      <c r="BJ418">
        <v>5</v>
      </c>
      <c r="BK418" s="4">
        <v>3744</v>
      </c>
      <c r="BL418" s="4">
        <v>3927</v>
      </c>
      <c r="BM418" s="4">
        <v>4109</v>
      </c>
      <c r="BN418" s="4">
        <v>4292</v>
      </c>
      <c r="BR418">
        <v>111820</v>
      </c>
      <c r="BS418" t="s">
        <v>936</v>
      </c>
      <c r="BT418">
        <v>9</v>
      </c>
      <c r="BU418">
        <v>1</v>
      </c>
      <c r="BV418">
        <v>9</v>
      </c>
      <c r="BX418">
        <v>7</v>
      </c>
      <c r="BZ418">
        <v>5</v>
      </c>
      <c r="CK418" t="s">
        <v>360</v>
      </c>
      <c r="CM418">
        <v>1911</v>
      </c>
    </row>
    <row r="419" spans="1:91" x14ac:dyDescent="0.3">
      <c r="A419" t="s">
        <v>935</v>
      </c>
      <c r="B419">
        <v>43394</v>
      </c>
      <c r="C419" t="s">
        <v>846</v>
      </c>
      <c r="D419">
        <v>12</v>
      </c>
      <c r="I419">
        <v>500000</v>
      </c>
      <c r="J419" t="s">
        <v>800</v>
      </c>
      <c r="V419" t="s">
        <v>350</v>
      </c>
      <c r="Y419">
        <v>100</v>
      </c>
      <c r="AA419">
        <v>67.5</v>
      </c>
      <c r="AC419" s="3">
        <v>67.5</v>
      </c>
      <c r="AE419" s="3">
        <v>67.5</v>
      </c>
      <c r="AI419">
        <v>67.5</v>
      </c>
      <c r="AK419" s="3"/>
      <c r="AV419" t="s">
        <v>536</v>
      </c>
      <c r="AX419" t="s">
        <v>536</v>
      </c>
      <c r="AZ419" t="s">
        <v>536</v>
      </c>
      <c r="BB419" t="s">
        <v>536</v>
      </c>
      <c r="BO419" t="s">
        <v>367</v>
      </c>
      <c r="BR419">
        <v>111820</v>
      </c>
      <c r="BS419" t="s">
        <v>936</v>
      </c>
      <c r="BT419">
        <v>5</v>
      </c>
      <c r="BU419">
        <v>18</v>
      </c>
      <c r="BV419">
        <v>9</v>
      </c>
      <c r="BX419">
        <v>76.5</v>
      </c>
      <c r="BZ419">
        <v>66.5</v>
      </c>
      <c r="CM419">
        <v>1911</v>
      </c>
    </row>
    <row r="420" spans="1:91" x14ac:dyDescent="0.3">
      <c r="A420" t="s">
        <v>937</v>
      </c>
      <c r="B420">
        <v>43549</v>
      </c>
      <c r="D420">
        <v>12</v>
      </c>
      <c r="I420">
        <v>43928</v>
      </c>
      <c r="U420">
        <v>1</v>
      </c>
      <c r="Y420">
        <v>1</v>
      </c>
      <c r="AA420">
        <v>0.18</v>
      </c>
      <c r="AC420" s="3">
        <v>0.18</v>
      </c>
      <c r="AE420" s="3">
        <v>0.09</v>
      </c>
      <c r="AI420">
        <v>0.12</v>
      </c>
      <c r="AK420" s="3"/>
      <c r="AX420" t="s">
        <v>815</v>
      </c>
      <c r="AZ420" t="s">
        <v>815</v>
      </c>
      <c r="BB420" t="s">
        <v>810</v>
      </c>
      <c r="BG420">
        <v>4</v>
      </c>
      <c r="BH420">
        <v>2.5</v>
      </c>
      <c r="BI420">
        <v>2</v>
      </c>
      <c r="BK420" s="4">
        <v>367</v>
      </c>
      <c r="BL420" s="4">
        <v>732</v>
      </c>
      <c r="BM420" s="4">
        <v>1097</v>
      </c>
      <c r="BR420">
        <v>684</v>
      </c>
      <c r="BS420" t="s">
        <v>938</v>
      </c>
      <c r="BW420" t="s">
        <v>802</v>
      </c>
      <c r="BX420">
        <v>0.18</v>
      </c>
      <c r="BZ420">
        <v>0.06</v>
      </c>
      <c r="CK420" t="s">
        <v>939</v>
      </c>
      <c r="CM420">
        <v>1911</v>
      </c>
    </row>
    <row r="421" spans="1:91" x14ac:dyDescent="0.3">
      <c r="A421" t="s">
        <v>937</v>
      </c>
      <c r="B421">
        <v>43551</v>
      </c>
      <c r="C421" t="s">
        <v>817</v>
      </c>
      <c r="D421">
        <v>12</v>
      </c>
      <c r="I421">
        <v>66000</v>
      </c>
      <c r="U421">
        <v>1</v>
      </c>
      <c r="Y421">
        <v>1</v>
      </c>
      <c r="AA421">
        <v>0.37</v>
      </c>
      <c r="AC421" s="3">
        <v>0.4</v>
      </c>
      <c r="AE421" s="3">
        <v>0.37</v>
      </c>
      <c r="AI421">
        <v>0.37</v>
      </c>
      <c r="AK421" s="3"/>
      <c r="AV421" t="s">
        <v>385</v>
      </c>
      <c r="AX421" t="s">
        <v>815</v>
      </c>
      <c r="AZ421" t="s">
        <v>815</v>
      </c>
      <c r="BB421" t="s">
        <v>815</v>
      </c>
      <c r="BH421">
        <v>3</v>
      </c>
      <c r="BI421">
        <v>3</v>
      </c>
      <c r="BJ421">
        <v>2.5</v>
      </c>
      <c r="BL421" s="4">
        <v>3289</v>
      </c>
      <c r="BM421" s="4">
        <v>3654</v>
      </c>
      <c r="BN421" s="4">
        <v>4019</v>
      </c>
      <c r="BR421">
        <v>684</v>
      </c>
      <c r="BS421" t="s">
        <v>938</v>
      </c>
      <c r="BT421">
        <v>6</v>
      </c>
      <c r="BU421">
        <v>13</v>
      </c>
      <c r="BV421">
        <v>3</v>
      </c>
      <c r="BX421">
        <v>0.43</v>
      </c>
      <c r="BZ421">
        <v>0.21</v>
      </c>
      <c r="CM421">
        <v>1911</v>
      </c>
    </row>
    <row r="422" spans="1:91" x14ac:dyDescent="0.3">
      <c r="A422" t="s">
        <v>937</v>
      </c>
      <c r="B422">
        <v>43550</v>
      </c>
      <c r="C422" t="s">
        <v>940</v>
      </c>
      <c r="D422">
        <v>12</v>
      </c>
      <c r="I422">
        <v>187400</v>
      </c>
      <c r="J422" t="s">
        <v>800</v>
      </c>
      <c r="U422">
        <v>100</v>
      </c>
      <c r="Y422">
        <v>100</v>
      </c>
      <c r="AA422">
        <v>60.5</v>
      </c>
      <c r="AC422" s="3">
        <v>60.5</v>
      </c>
      <c r="AE422" s="3">
        <v>60.5</v>
      </c>
      <c r="AI422">
        <v>60.5</v>
      </c>
      <c r="AK422" s="3"/>
      <c r="BG422">
        <v>4</v>
      </c>
      <c r="BH422">
        <v>4</v>
      </c>
      <c r="BI422">
        <v>4</v>
      </c>
      <c r="BJ422">
        <v>4</v>
      </c>
      <c r="BK422" s="4">
        <v>3654</v>
      </c>
      <c r="BL422" s="4">
        <v>3835</v>
      </c>
      <c r="BM422" s="4">
        <v>4019</v>
      </c>
      <c r="BN422" s="4">
        <v>4200</v>
      </c>
      <c r="BR422">
        <v>684</v>
      </c>
      <c r="BS422" t="s">
        <v>938</v>
      </c>
      <c r="BT422">
        <v>6</v>
      </c>
      <c r="BU422">
        <v>12</v>
      </c>
      <c r="BV422">
        <v>6</v>
      </c>
      <c r="BX422">
        <v>62</v>
      </c>
      <c r="BZ422">
        <v>51</v>
      </c>
      <c r="CM422">
        <v>1911</v>
      </c>
    </row>
    <row r="423" spans="1:91" x14ac:dyDescent="0.3">
      <c r="A423" t="s">
        <v>941</v>
      </c>
      <c r="B423">
        <v>43777</v>
      </c>
      <c r="D423">
        <v>12</v>
      </c>
      <c r="I423">
        <v>10000</v>
      </c>
      <c r="U423">
        <v>10</v>
      </c>
      <c r="Y423">
        <v>10</v>
      </c>
      <c r="AA423">
        <v>6</v>
      </c>
      <c r="AC423" s="3">
        <v>6</v>
      </c>
      <c r="AE423" s="3">
        <v>5.5</v>
      </c>
      <c r="AI423">
        <v>5.5</v>
      </c>
      <c r="AJ423" t="s">
        <v>379</v>
      </c>
      <c r="AK423" s="3"/>
      <c r="AV423" t="s">
        <v>853</v>
      </c>
      <c r="AZ423" t="s">
        <v>853</v>
      </c>
      <c r="BG423">
        <v>4</v>
      </c>
      <c r="BH423">
        <v>8</v>
      </c>
      <c r="BI423">
        <v>4</v>
      </c>
      <c r="BJ423">
        <v>8</v>
      </c>
      <c r="BK423" s="4">
        <v>3835</v>
      </c>
      <c r="BL423" s="4">
        <v>3988</v>
      </c>
      <c r="BM423" s="4">
        <v>4200</v>
      </c>
      <c r="BN423" s="4">
        <v>4353</v>
      </c>
      <c r="BR423">
        <v>59814</v>
      </c>
      <c r="BS423" t="s">
        <v>942</v>
      </c>
      <c r="BT423">
        <v>10</v>
      </c>
      <c r="BU423">
        <v>18</v>
      </c>
      <c r="BV423">
        <v>3</v>
      </c>
      <c r="BX423">
        <v>6.5</v>
      </c>
      <c r="BZ423">
        <v>5.5</v>
      </c>
      <c r="CK423" t="s">
        <v>360</v>
      </c>
      <c r="CM423">
        <v>1911</v>
      </c>
    </row>
    <row r="424" spans="1:91" x14ac:dyDescent="0.3">
      <c r="A424" t="s">
        <v>941</v>
      </c>
      <c r="B424">
        <v>43778</v>
      </c>
      <c r="C424" t="s">
        <v>943</v>
      </c>
      <c r="D424">
        <v>12</v>
      </c>
      <c r="I424">
        <v>12500</v>
      </c>
      <c r="U424">
        <v>10</v>
      </c>
      <c r="Y424">
        <v>10</v>
      </c>
      <c r="AA424">
        <v>8.5</v>
      </c>
      <c r="AC424" s="3">
        <v>8.5</v>
      </c>
      <c r="AE424" s="3">
        <v>8.5</v>
      </c>
      <c r="AI424">
        <v>8.5</v>
      </c>
      <c r="AK424" s="3"/>
      <c r="AV424" t="s">
        <v>536</v>
      </c>
      <c r="AX424" t="s">
        <v>536</v>
      </c>
      <c r="AZ424" t="s">
        <v>536</v>
      </c>
      <c r="BB424" t="s">
        <v>536</v>
      </c>
      <c r="BO424" t="s">
        <v>367</v>
      </c>
      <c r="BR424">
        <v>59814</v>
      </c>
      <c r="BS424" t="s">
        <v>942</v>
      </c>
      <c r="BT424">
        <v>7</v>
      </c>
      <c r="BU424">
        <v>1</v>
      </c>
      <c r="BV424">
        <v>3</v>
      </c>
      <c r="BX424">
        <v>9</v>
      </c>
      <c r="BZ424">
        <v>7.87</v>
      </c>
      <c r="CM424">
        <v>1911</v>
      </c>
    </row>
    <row r="425" spans="1:91" x14ac:dyDescent="0.3">
      <c r="A425" t="s">
        <v>944</v>
      </c>
      <c r="B425">
        <v>43823</v>
      </c>
      <c r="D425">
        <v>12</v>
      </c>
      <c r="I425">
        <v>283000</v>
      </c>
      <c r="J425" t="s">
        <v>800</v>
      </c>
      <c r="V425" t="s">
        <v>350</v>
      </c>
      <c r="Y425">
        <v>100</v>
      </c>
      <c r="AA425">
        <v>61</v>
      </c>
      <c r="AC425" s="3">
        <v>61</v>
      </c>
      <c r="AE425" s="3">
        <v>61</v>
      </c>
      <c r="AI425">
        <v>61</v>
      </c>
      <c r="AK425" s="3"/>
      <c r="BG425">
        <v>4</v>
      </c>
      <c r="BH425">
        <v>4</v>
      </c>
      <c r="BI425">
        <v>4</v>
      </c>
      <c r="BJ425">
        <v>4</v>
      </c>
      <c r="BK425" s="4">
        <v>3685</v>
      </c>
      <c r="BL425" s="4">
        <v>3866</v>
      </c>
      <c r="BM425" s="4">
        <v>4050</v>
      </c>
      <c r="BN425" s="4">
        <v>4231</v>
      </c>
      <c r="BS425" t="s">
        <v>385</v>
      </c>
      <c r="BT425">
        <v>6</v>
      </c>
      <c r="BU425">
        <v>12</v>
      </c>
      <c r="BV425">
        <v>3</v>
      </c>
      <c r="BX425">
        <v>62.5</v>
      </c>
      <c r="BZ425">
        <v>54</v>
      </c>
      <c r="CK425" t="s">
        <v>360</v>
      </c>
      <c r="CM425">
        <v>1911</v>
      </c>
    </row>
    <row r="426" spans="1:91" x14ac:dyDescent="0.3">
      <c r="A426" t="s">
        <v>945</v>
      </c>
      <c r="B426">
        <v>43968</v>
      </c>
      <c r="D426">
        <v>12</v>
      </c>
      <c r="I426">
        <v>15000</v>
      </c>
      <c r="U426">
        <v>10</v>
      </c>
      <c r="Y426">
        <v>10</v>
      </c>
      <c r="AA426">
        <v>5.75</v>
      </c>
      <c r="AC426" s="3">
        <v>6</v>
      </c>
      <c r="AE426" s="3">
        <v>5.75</v>
      </c>
      <c r="AI426">
        <v>5.93</v>
      </c>
      <c r="AK426" s="3"/>
      <c r="AX426" t="s">
        <v>853</v>
      </c>
      <c r="BB426" t="s">
        <v>853</v>
      </c>
      <c r="BG426">
        <v>6</v>
      </c>
      <c r="BH426">
        <v>6</v>
      </c>
      <c r="BI426">
        <v>6</v>
      </c>
      <c r="BJ426">
        <v>6</v>
      </c>
      <c r="BK426" s="4">
        <v>3774</v>
      </c>
      <c r="BL426" s="4">
        <v>3958</v>
      </c>
      <c r="BM426" s="4">
        <v>4139</v>
      </c>
      <c r="BN426" s="4">
        <v>4323</v>
      </c>
      <c r="BR426">
        <v>46888</v>
      </c>
      <c r="BS426" t="s">
        <v>946</v>
      </c>
      <c r="BT426">
        <v>10</v>
      </c>
      <c r="BU426">
        <v>8</v>
      </c>
      <c r="BV426">
        <v>9</v>
      </c>
      <c r="BX426">
        <v>6.5</v>
      </c>
      <c r="BZ426">
        <v>5.75</v>
      </c>
      <c r="CK426" t="s">
        <v>947</v>
      </c>
      <c r="CM426">
        <v>1911</v>
      </c>
    </row>
    <row r="427" spans="1:91" x14ac:dyDescent="0.3">
      <c r="A427" t="s">
        <v>945</v>
      </c>
      <c r="B427">
        <v>43969</v>
      </c>
      <c r="C427" t="s">
        <v>817</v>
      </c>
      <c r="D427">
        <v>12</v>
      </c>
      <c r="I427">
        <v>17500</v>
      </c>
      <c r="U427">
        <v>10</v>
      </c>
      <c r="Y427">
        <v>10</v>
      </c>
      <c r="AA427">
        <v>6.12</v>
      </c>
      <c r="AC427" s="3">
        <v>6.12</v>
      </c>
      <c r="AE427" s="3">
        <v>6.12</v>
      </c>
      <c r="AI427">
        <v>6.12</v>
      </c>
      <c r="AK427" s="3"/>
      <c r="AV427" t="s">
        <v>373</v>
      </c>
      <c r="AX427" t="s">
        <v>373</v>
      </c>
      <c r="AZ427" t="s">
        <v>373</v>
      </c>
      <c r="BB427" t="s">
        <v>373</v>
      </c>
      <c r="BO427" t="s">
        <v>367</v>
      </c>
      <c r="BR427">
        <v>46888</v>
      </c>
      <c r="BS427" t="s">
        <v>946</v>
      </c>
      <c r="BT427">
        <v>8</v>
      </c>
      <c r="BU427">
        <v>8</v>
      </c>
      <c r="BV427">
        <v>6</v>
      </c>
      <c r="BX427">
        <v>6.62</v>
      </c>
      <c r="BZ427">
        <v>5.87</v>
      </c>
      <c r="CM427">
        <v>1911</v>
      </c>
    </row>
    <row r="428" spans="1:91" x14ac:dyDescent="0.3">
      <c r="A428" t="s">
        <v>945</v>
      </c>
      <c r="B428">
        <v>43971</v>
      </c>
      <c r="C428" t="s">
        <v>948</v>
      </c>
      <c r="D428">
        <v>12</v>
      </c>
      <c r="I428">
        <v>300000</v>
      </c>
      <c r="J428" t="s">
        <v>800</v>
      </c>
      <c r="V428" t="s">
        <v>350</v>
      </c>
      <c r="Y428">
        <v>100</v>
      </c>
      <c r="AA428">
        <v>78</v>
      </c>
      <c r="AC428" s="3">
        <v>78</v>
      </c>
      <c r="AE428" s="3">
        <v>76</v>
      </c>
      <c r="AI428">
        <v>76</v>
      </c>
      <c r="AJ428" t="s">
        <v>379</v>
      </c>
      <c r="AK428" s="3"/>
      <c r="AV428" t="s">
        <v>370</v>
      </c>
      <c r="AX428" t="s">
        <v>370</v>
      </c>
      <c r="AZ428" t="s">
        <v>370</v>
      </c>
      <c r="BB428" t="s">
        <v>370</v>
      </c>
      <c r="BO428" t="s">
        <v>367</v>
      </c>
      <c r="BR428">
        <v>46888</v>
      </c>
      <c r="BS428" t="s">
        <v>946</v>
      </c>
      <c r="BT428">
        <v>5</v>
      </c>
      <c r="BU428">
        <v>10</v>
      </c>
      <c r="BV428">
        <v>3</v>
      </c>
      <c r="BX428">
        <v>79.5</v>
      </c>
      <c r="BZ428">
        <v>72.5</v>
      </c>
      <c r="CM428">
        <v>1911</v>
      </c>
    </row>
    <row r="429" spans="1:91" x14ac:dyDescent="0.3">
      <c r="A429" t="s">
        <v>949</v>
      </c>
      <c r="B429">
        <v>44307</v>
      </c>
      <c r="D429">
        <v>12</v>
      </c>
      <c r="I429">
        <v>150000</v>
      </c>
      <c r="J429" t="s">
        <v>800</v>
      </c>
      <c r="V429" t="s">
        <v>350</v>
      </c>
      <c r="Y429">
        <v>100</v>
      </c>
      <c r="AA429">
        <v>72</v>
      </c>
      <c r="AC429" s="3">
        <v>72</v>
      </c>
      <c r="AE429" s="3">
        <v>72</v>
      </c>
      <c r="AI429">
        <v>72</v>
      </c>
      <c r="AK429" s="3"/>
      <c r="BG429">
        <v>4</v>
      </c>
      <c r="BH429">
        <v>4</v>
      </c>
      <c r="BI429">
        <v>4</v>
      </c>
      <c r="BJ429">
        <v>4</v>
      </c>
      <c r="BK429" s="4">
        <v>3744</v>
      </c>
      <c r="BL429" s="4">
        <v>3927</v>
      </c>
      <c r="BM429" s="4">
        <v>4109</v>
      </c>
      <c r="BN429" s="4">
        <v>4292</v>
      </c>
      <c r="BR429">
        <v>56000</v>
      </c>
      <c r="BT429">
        <v>5</v>
      </c>
      <c r="BU429">
        <v>11</v>
      </c>
      <c r="BV429">
        <v>3</v>
      </c>
      <c r="BX429">
        <v>73</v>
      </c>
      <c r="BZ429">
        <v>71</v>
      </c>
      <c r="CM429">
        <v>1911</v>
      </c>
    </row>
    <row r="430" spans="1:91" x14ac:dyDescent="0.3">
      <c r="A430" t="s">
        <v>950</v>
      </c>
      <c r="B430">
        <v>44352</v>
      </c>
      <c r="D430">
        <v>12</v>
      </c>
      <c r="I430">
        <v>50000</v>
      </c>
      <c r="U430">
        <v>10</v>
      </c>
      <c r="Y430">
        <v>10</v>
      </c>
      <c r="AA430">
        <v>5.62</v>
      </c>
      <c r="AC430" s="3">
        <v>5.62</v>
      </c>
      <c r="AE430" s="3">
        <v>5.37</v>
      </c>
      <c r="AI430">
        <v>5.37</v>
      </c>
      <c r="AJ430" t="s">
        <v>379</v>
      </c>
      <c r="AK430" s="3"/>
      <c r="BG430">
        <v>5</v>
      </c>
      <c r="BH430">
        <v>5</v>
      </c>
      <c r="BI430">
        <v>5</v>
      </c>
      <c r="BJ430">
        <v>5</v>
      </c>
      <c r="BK430" s="4">
        <v>3623</v>
      </c>
      <c r="BL430" s="4">
        <v>3805</v>
      </c>
      <c r="BM430" s="4">
        <v>3988</v>
      </c>
      <c r="BN430" s="4">
        <v>4170</v>
      </c>
      <c r="BR430">
        <v>114651</v>
      </c>
      <c r="BS430" t="s">
        <v>951</v>
      </c>
      <c r="BT430">
        <v>9</v>
      </c>
      <c r="BU430">
        <v>6</v>
      </c>
      <c r="BV430">
        <v>0</v>
      </c>
      <c r="BX430">
        <v>6</v>
      </c>
      <c r="BZ430">
        <v>5</v>
      </c>
      <c r="CK430" t="s">
        <v>399</v>
      </c>
      <c r="CM430">
        <v>1911</v>
      </c>
    </row>
    <row r="431" spans="1:91" x14ac:dyDescent="0.3">
      <c r="A431" t="s">
        <v>950</v>
      </c>
      <c r="B431">
        <v>44351</v>
      </c>
      <c r="C431" t="s">
        <v>818</v>
      </c>
      <c r="D431">
        <v>12</v>
      </c>
      <c r="I431">
        <v>844000</v>
      </c>
      <c r="J431" t="s">
        <v>800</v>
      </c>
      <c r="V431" t="s">
        <v>350</v>
      </c>
      <c r="Y431">
        <v>100</v>
      </c>
      <c r="AA431">
        <v>68</v>
      </c>
      <c r="AC431" s="3">
        <v>68.5</v>
      </c>
      <c r="AE431" s="3">
        <v>66</v>
      </c>
      <c r="AI431">
        <v>66</v>
      </c>
      <c r="AJ431" t="s">
        <v>379</v>
      </c>
      <c r="AK431" s="3"/>
      <c r="AV431" t="s">
        <v>370</v>
      </c>
      <c r="AX431" t="s">
        <v>370</v>
      </c>
      <c r="AZ431" t="s">
        <v>370</v>
      </c>
      <c r="BB431" t="s">
        <v>370</v>
      </c>
      <c r="BO431" t="s">
        <v>367</v>
      </c>
      <c r="BR431">
        <v>114561</v>
      </c>
      <c r="BS431" t="s">
        <v>952</v>
      </c>
      <c r="BT431">
        <v>6</v>
      </c>
      <c r="BU431">
        <v>1</v>
      </c>
      <c r="BV431">
        <v>3</v>
      </c>
      <c r="BX431">
        <v>71</v>
      </c>
      <c r="BZ431">
        <v>66</v>
      </c>
      <c r="CM431">
        <v>1911</v>
      </c>
    </row>
    <row r="432" spans="1:91" x14ac:dyDescent="0.3">
      <c r="A432" t="s">
        <v>953</v>
      </c>
      <c r="B432">
        <v>44374</v>
      </c>
      <c r="D432">
        <v>12</v>
      </c>
      <c r="I432" s="2">
        <v>5000000</v>
      </c>
      <c r="J432" t="s">
        <v>800</v>
      </c>
      <c r="V432" t="s">
        <v>350</v>
      </c>
      <c r="Y432">
        <v>100</v>
      </c>
      <c r="AA432">
        <v>410</v>
      </c>
      <c r="AC432" s="3">
        <v>417</v>
      </c>
      <c r="AE432" s="3">
        <v>393</v>
      </c>
      <c r="AI432">
        <v>410</v>
      </c>
      <c r="AK432" s="3"/>
      <c r="AV432" t="s">
        <v>853</v>
      </c>
      <c r="AZ432" t="s">
        <v>853</v>
      </c>
      <c r="BG432">
        <v>12</v>
      </c>
      <c r="BH432">
        <v>19</v>
      </c>
      <c r="BI432">
        <v>12</v>
      </c>
      <c r="BJ432">
        <v>21</v>
      </c>
      <c r="BK432" s="4">
        <v>3713</v>
      </c>
      <c r="BL432" s="4">
        <v>3897</v>
      </c>
      <c r="BM432" s="4">
        <v>3713</v>
      </c>
      <c r="BN432" s="4">
        <v>4262</v>
      </c>
      <c r="BR432">
        <v>941493</v>
      </c>
      <c r="BS432" t="s">
        <v>954</v>
      </c>
      <c r="BT432">
        <v>4</v>
      </c>
      <c r="BU432">
        <v>1</v>
      </c>
      <c r="BV432">
        <v>0</v>
      </c>
      <c r="BX432">
        <v>460</v>
      </c>
      <c r="BZ432">
        <v>393</v>
      </c>
      <c r="CK432" t="s">
        <v>360</v>
      </c>
      <c r="CM432">
        <v>1911</v>
      </c>
    </row>
    <row r="433" spans="1:91" x14ac:dyDescent="0.3">
      <c r="A433" t="s">
        <v>953</v>
      </c>
      <c r="B433">
        <v>44373</v>
      </c>
      <c r="C433" t="s">
        <v>955</v>
      </c>
      <c r="D433">
        <v>12</v>
      </c>
      <c r="I433" s="2">
        <v>2000000</v>
      </c>
      <c r="J433" t="s">
        <v>800</v>
      </c>
      <c r="V433" t="s">
        <v>350</v>
      </c>
      <c r="Y433">
        <v>100</v>
      </c>
      <c r="AA433">
        <v>150</v>
      </c>
      <c r="AC433" s="3">
        <v>150</v>
      </c>
      <c r="AE433" s="3">
        <v>148</v>
      </c>
      <c r="AI433">
        <v>150</v>
      </c>
      <c r="AK433" s="3"/>
      <c r="AV433" t="s">
        <v>373</v>
      </c>
      <c r="AX433" t="s">
        <v>373</v>
      </c>
      <c r="AZ433" t="s">
        <v>373</v>
      </c>
      <c r="BB433" t="s">
        <v>373</v>
      </c>
      <c r="BO433" t="s">
        <v>367</v>
      </c>
      <c r="BR433">
        <v>941493</v>
      </c>
      <c r="BS433" t="s">
        <v>954</v>
      </c>
      <c r="BT433">
        <v>4</v>
      </c>
      <c r="BU433">
        <v>1</v>
      </c>
      <c r="BV433">
        <v>0</v>
      </c>
      <c r="BX433">
        <v>156.5</v>
      </c>
      <c r="BZ433">
        <v>148</v>
      </c>
      <c r="CM433">
        <v>1911</v>
      </c>
    </row>
    <row r="434" spans="1:91" x14ac:dyDescent="0.3">
      <c r="A434" t="s">
        <v>953</v>
      </c>
      <c r="B434">
        <v>44378</v>
      </c>
      <c r="C434" t="s">
        <v>956</v>
      </c>
      <c r="D434">
        <v>12</v>
      </c>
      <c r="I434">
        <v>250123</v>
      </c>
      <c r="J434" t="s">
        <v>800</v>
      </c>
      <c r="V434" t="s">
        <v>350</v>
      </c>
      <c r="Y434">
        <v>100</v>
      </c>
      <c r="AA434">
        <v>97</v>
      </c>
      <c r="AC434" s="3">
        <v>97</v>
      </c>
      <c r="AE434" s="3">
        <v>97</v>
      </c>
      <c r="AI434">
        <v>97</v>
      </c>
      <c r="AK434" s="3"/>
      <c r="AV434" t="s">
        <v>366</v>
      </c>
      <c r="AX434" t="s">
        <v>366</v>
      </c>
      <c r="AZ434" t="s">
        <v>366</v>
      </c>
      <c r="BB434" t="s">
        <v>366</v>
      </c>
      <c r="BO434" t="s">
        <v>367</v>
      </c>
      <c r="BR434">
        <v>941493</v>
      </c>
      <c r="BS434" t="s">
        <v>954</v>
      </c>
      <c r="BT434">
        <v>3</v>
      </c>
      <c r="BU434">
        <v>12</v>
      </c>
      <c r="BV434">
        <v>9</v>
      </c>
      <c r="BX434">
        <v>98</v>
      </c>
      <c r="BZ434">
        <v>97</v>
      </c>
      <c r="CM434">
        <v>1911</v>
      </c>
    </row>
    <row r="435" spans="1:91" x14ac:dyDescent="0.3">
      <c r="A435" t="s">
        <v>957</v>
      </c>
      <c r="B435">
        <v>44412</v>
      </c>
      <c r="D435">
        <v>12</v>
      </c>
      <c r="I435">
        <v>40000</v>
      </c>
      <c r="U435">
        <v>5</v>
      </c>
      <c r="Y435">
        <v>5</v>
      </c>
      <c r="AA435">
        <v>3.62</v>
      </c>
      <c r="AC435" s="3">
        <v>3.68</v>
      </c>
      <c r="AE435" s="3">
        <v>3.62</v>
      </c>
      <c r="AI435">
        <v>3.62</v>
      </c>
      <c r="AK435" s="3"/>
      <c r="BG435">
        <v>5</v>
      </c>
      <c r="BH435">
        <v>5</v>
      </c>
      <c r="BI435">
        <v>5</v>
      </c>
      <c r="BJ435">
        <v>5</v>
      </c>
      <c r="BK435" s="4">
        <v>3713</v>
      </c>
      <c r="BL435" s="4">
        <v>3897</v>
      </c>
      <c r="BM435" s="4">
        <v>3713</v>
      </c>
      <c r="BN435" s="4">
        <v>4262</v>
      </c>
      <c r="BR435">
        <v>120803</v>
      </c>
      <c r="BS435" t="s">
        <v>958</v>
      </c>
      <c r="BT435">
        <v>6</v>
      </c>
      <c r="BU435">
        <v>18</v>
      </c>
      <c r="BV435">
        <v>0</v>
      </c>
      <c r="BX435">
        <v>4.12</v>
      </c>
      <c r="BZ435">
        <v>3.37</v>
      </c>
      <c r="CK435" t="s">
        <v>360</v>
      </c>
      <c r="CM435">
        <v>1911</v>
      </c>
    </row>
    <row r="436" spans="1:91" x14ac:dyDescent="0.3">
      <c r="A436" t="s">
        <v>957</v>
      </c>
      <c r="B436">
        <v>44413</v>
      </c>
      <c r="C436" t="s">
        <v>959</v>
      </c>
      <c r="D436">
        <v>12</v>
      </c>
      <c r="I436">
        <v>250000</v>
      </c>
      <c r="J436" t="s">
        <v>800</v>
      </c>
      <c r="V436" t="s">
        <v>350</v>
      </c>
      <c r="Y436">
        <v>100</v>
      </c>
      <c r="AA436">
        <v>77</v>
      </c>
      <c r="AC436" s="3">
        <v>77</v>
      </c>
      <c r="AE436" s="3">
        <v>76</v>
      </c>
      <c r="AI436">
        <v>76</v>
      </c>
      <c r="AJ436" t="s">
        <v>379</v>
      </c>
      <c r="AK436" s="3"/>
      <c r="AV436" t="s">
        <v>370</v>
      </c>
      <c r="AX436" t="s">
        <v>370</v>
      </c>
      <c r="AZ436" t="s">
        <v>370</v>
      </c>
      <c r="BB436" t="s">
        <v>370</v>
      </c>
      <c r="BO436" t="s">
        <v>367</v>
      </c>
      <c r="BR436">
        <v>120803</v>
      </c>
      <c r="BS436" t="s">
        <v>958</v>
      </c>
      <c r="BT436">
        <v>5</v>
      </c>
      <c r="BU436">
        <v>5</v>
      </c>
      <c r="BV436">
        <v>3</v>
      </c>
      <c r="BX436">
        <v>79.5</v>
      </c>
      <c r="BZ436">
        <v>76</v>
      </c>
      <c r="CM436">
        <v>1911</v>
      </c>
    </row>
    <row r="437" spans="1:91" x14ac:dyDescent="0.3">
      <c r="A437" t="s">
        <v>960</v>
      </c>
      <c r="B437">
        <v>44445</v>
      </c>
      <c r="D437">
        <v>12</v>
      </c>
      <c r="I437">
        <v>130000</v>
      </c>
      <c r="J437" t="s">
        <v>800</v>
      </c>
      <c r="V437" t="s">
        <v>350</v>
      </c>
      <c r="Y437">
        <v>100</v>
      </c>
      <c r="AA437">
        <v>84.5</v>
      </c>
      <c r="AC437" s="3">
        <v>89.5</v>
      </c>
      <c r="AE437" s="3">
        <v>84.5</v>
      </c>
      <c r="AI437">
        <v>87.5</v>
      </c>
      <c r="AJ437" t="s">
        <v>379</v>
      </c>
      <c r="AK437" s="3"/>
      <c r="AV437" t="s">
        <v>370</v>
      </c>
      <c r="AX437" t="s">
        <v>370</v>
      </c>
      <c r="AZ437" t="s">
        <v>370</v>
      </c>
      <c r="BB437" t="s">
        <v>370</v>
      </c>
      <c r="BO437" t="s">
        <v>367</v>
      </c>
      <c r="BR437">
        <v>36434</v>
      </c>
      <c r="BT437">
        <v>6</v>
      </c>
      <c r="BU437">
        <v>5</v>
      </c>
      <c r="BV437">
        <v>9</v>
      </c>
      <c r="BX437">
        <v>89.5</v>
      </c>
      <c r="BZ437">
        <v>81</v>
      </c>
      <c r="CK437" t="s">
        <v>360</v>
      </c>
      <c r="CM437">
        <v>1911</v>
      </c>
    </row>
    <row r="438" spans="1:91" x14ac:dyDescent="0.3">
      <c r="A438" t="s">
        <v>961</v>
      </c>
      <c r="B438">
        <v>44444</v>
      </c>
      <c r="D438">
        <v>12</v>
      </c>
      <c r="I438">
        <v>20000</v>
      </c>
      <c r="U438">
        <v>10</v>
      </c>
      <c r="Y438">
        <v>10</v>
      </c>
      <c r="AA438">
        <v>7.25</v>
      </c>
      <c r="AB438" t="s">
        <v>379</v>
      </c>
      <c r="AC438" s="3">
        <v>7.25</v>
      </c>
      <c r="AE438" s="3">
        <v>7.25</v>
      </c>
      <c r="AI438">
        <v>7.25</v>
      </c>
      <c r="AK438" s="3"/>
      <c r="AX438" t="s">
        <v>853</v>
      </c>
      <c r="BB438" t="s">
        <v>853</v>
      </c>
      <c r="BG438">
        <v>6</v>
      </c>
      <c r="BH438">
        <v>6</v>
      </c>
      <c r="BI438">
        <v>6</v>
      </c>
      <c r="BJ438">
        <v>6</v>
      </c>
      <c r="BK438" s="4">
        <v>3835</v>
      </c>
      <c r="BL438" s="4">
        <v>3988</v>
      </c>
      <c r="BM438" s="4">
        <v>4200</v>
      </c>
      <c r="BN438" s="4">
        <v>4353</v>
      </c>
      <c r="BR438">
        <v>122764</v>
      </c>
      <c r="BS438" t="s">
        <v>962</v>
      </c>
      <c r="BT438">
        <v>8</v>
      </c>
      <c r="BU438">
        <v>5</v>
      </c>
      <c r="BV438">
        <v>6</v>
      </c>
      <c r="BX438">
        <v>8.5</v>
      </c>
      <c r="BZ438">
        <v>7.12</v>
      </c>
      <c r="CK438" t="s">
        <v>963</v>
      </c>
      <c r="CM438">
        <v>1911</v>
      </c>
    </row>
    <row r="439" spans="1:91" x14ac:dyDescent="0.3">
      <c r="A439" t="s">
        <v>964</v>
      </c>
      <c r="B439">
        <v>44442</v>
      </c>
      <c r="D439">
        <v>12</v>
      </c>
      <c r="I439">
        <v>20000</v>
      </c>
      <c r="U439">
        <v>10</v>
      </c>
      <c r="Y439">
        <v>10</v>
      </c>
      <c r="AA439">
        <v>7.5</v>
      </c>
      <c r="AB439" t="s">
        <v>379</v>
      </c>
      <c r="AC439" s="3">
        <v>7.5</v>
      </c>
      <c r="AE439" s="3">
        <v>7.5</v>
      </c>
      <c r="AI439">
        <v>7.5</v>
      </c>
      <c r="AK439" s="3"/>
      <c r="AX439" t="s">
        <v>853</v>
      </c>
      <c r="BB439" t="s">
        <v>853</v>
      </c>
      <c r="BG439">
        <v>10</v>
      </c>
      <c r="BH439">
        <v>6</v>
      </c>
      <c r="BI439">
        <v>10</v>
      </c>
      <c r="BJ439">
        <v>6</v>
      </c>
      <c r="BK439" s="4">
        <v>3835</v>
      </c>
      <c r="BL439" s="4">
        <v>3988</v>
      </c>
      <c r="BM439" s="4">
        <v>4200</v>
      </c>
      <c r="BN439" s="4">
        <v>4353</v>
      </c>
      <c r="BR439">
        <v>122764</v>
      </c>
      <c r="BS439" t="s">
        <v>962</v>
      </c>
      <c r="BT439">
        <v>10</v>
      </c>
      <c r="BU439">
        <v>13</v>
      </c>
      <c r="BV439">
        <v>3</v>
      </c>
      <c r="BX439">
        <v>8</v>
      </c>
      <c r="BZ439">
        <v>7.5</v>
      </c>
      <c r="CM439">
        <v>1911</v>
      </c>
    </row>
    <row r="440" spans="1:91" x14ac:dyDescent="0.3">
      <c r="A440" t="s">
        <v>964</v>
      </c>
      <c r="B440">
        <v>44438</v>
      </c>
      <c r="C440" t="s">
        <v>844</v>
      </c>
      <c r="D440">
        <v>12</v>
      </c>
      <c r="I440">
        <v>14500</v>
      </c>
      <c r="U440">
        <v>10</v>
      </c>
      <c r="Y440">
        <v>10</v>
      </c>
      <c r="AA440">
        <v>8.75</v>
      </c>
      <c r="AB440" t="s">
        <v>379</v>
      </c>
      <c r="AC440" s="3">
        <v>8.75</v>
      </c>
      <c r="AE440" s="3">
        <v>8.75</v>
      </c>
      <c r="AI440">
        <v>8.75</v>
      </c>
      <c r="AK440" s="3"/>
      <c r="AV440" t="s">
        <v>421</v>
      </c>
      <c r="AX440" t="s">
        <v>421</v>
      </c>
      <c r="AZ440" t="s">
        <v>421</v>
      </c>
      <c r="BB440" t="s">
        <v>421</v>
      </c>
      <c r="BO440" t="s">
        <v>367</v>
      </c>
      <c r="BR440">
        <v>122764</v>
      </c>
      <c r="BS440" t="s">
        <v>962</v>
      </c>
      <c r="BT440">
        <v>6</v>
      </c>
      <c r="BU440">
        <v>17</v>
      </c>
      <c r="BV440">
        <v>3</v>
      </c>
      <c r="BX440">
        <v>9</v>
      </c>
      <c r="BZ440">
        <v>8.5</v>
      </c>
      <c r="CM440">
        <v>1911</v>
      </c>
    </row>
    <row r="441" spans="1:91" x14ac:dyDescent="0.3">
      <c r="A441" t="s">
        <v>965</v>
      </c>
      <c r="B441">
        <v>44453</v>
      </c>
      <c r="D441">
        <v>12</v>
      </c>
      <c r="I441">
        <v>10000</v>
      </c>
      <c r="U441">
        <v>10</v>
      </c>
      <c r="Y441">
        <v>10</v>
      </c>
      <c r="AA441">
        <v>11</v>
      </c>
      <c r="AC441" s="3">
        <v>11</v>
      </c>
      <c r="AE441" s="3">
        <v>11</v>
      </c>
      <c r="AI441">
        <v>11</v>
      </c>
      <c r="AK441" s="3"/>
      <c r="BG441">
        <v>20</v>
      </c>
      <c r="BH441">
        <v>20</v>
      </c>
      <c r="BI441">
        <v>20</v>
      </c>
      <c r="BJ441">
        <v>20</v>
      </c>
      <c r="BK441" s="4">
        <v>3988</v>
      </c>
      <c r="BL441" s="4">
        <v>4109</v>
      </c>
      <c r="BM441" s="4">
        <v>4170</v>
      </c>
      <c r="BN441" s="4">
        <v>4262</v>
      </c>
      <c r="BR441">
        <v>36788</v>
      </c>
      <c r="BS441" t="s">
        <v>966</v>
      </c>
      <c r="BT441">
        <v>18</v>
      </c>
      <c r="BU441">
        <v>3</v>
      </c>
      <c r="BV441">
        <v>9</v>
      </c>
      <c r="BX441">
        <v>12.5</v>
      </c>
      <c r="BZ441">
        <v>10</v>
      </c>
      <c r="CK441" t="s">
        <v>858</v>
      </c>
      <c r="CM441">
        <v>1911</v>
      </c>
    </row>
    <row r="442" spans="1:91" x14ac:dyDescent="0.3">
      <c r="A442" t="s">
        <v>965</v>
      </c>
      <c r="B442">
        <v>44456</v>
      </c>
      <c r="C442" t="s">
        <v>844</v>
      </c>
      <c r="D442">
        <v>12</v>
      </c>
      <c r="I442">
        <v>15000</v>
      </c>
      <c r="U442">
        <v>10</v>
      </c>
      <c r="Y442">
        <v>10</v>
      </c>
      <c r="AA442">
        <v>10.119999999999999</v>
      </c>
      <c r="AC442" s="3">
        <v>10.119999999999999</v>
      </c>
      <c r="AE442" s="3">
        <v>9.6199999999999992</v>
      </c>
      <c r="AI442">
        <v>9.6199999999999992</v>
      </c>
      <c r="AJ442" t="s">
        <v>379</v>
      </c>
      <c r="AK442" s="3"/>
      <c r="AV442" t="s">
        <v>370</v>
      </c>
      <c r="AX442" t="s">
        <v>370</v>
      </c>
      <c r="AZ442" t="s">
        <v>370</v>
      </c>
      <c r="BB442" t="s">
        <v>370</v>
      </c>
      <c r="BO442" t="s">
        <v>367</v>
      </c>
      <c r="BR442">
        <v>36788</v>
      </c>
      <c r="BS442" t="s">
        <v>966</v>
      </c>
      <c r="BT442">
        <v>6</v>
      </c>
      <c r="BU442">
        <v>4</v>
      </c>
      <c r="BV442">
        <v>6</v>
      </c>
      <c r="BX442">
        <v>10.25</v>
      </c>
      <c r="BZ442">
        <v>9.6199999999999992</v>
      </c>
      <c r="CM442">
        <v>1911</v>
      </c>
    </row>
    <row r="443" spans="1:91" x14ac:dyDescent="0.3">
      <c r="A443" t="s">
        <v>965</v>
      </c>
      <c r="B443">
        <v>44455</v>
      </c>
      <c r="C443" t="s">
        <v>674</v>
      </c>
      <c r="D443">
        <v>12</v>
      </c>
      <c r="I443">
        <v>300000</v>
      </c>
      <c r="J443" t="s">
        <v>800</v>
      </c>
      <c r="U443">
        <v>100</v>
      </c>
      <c r="Y443">
        <v>100</v>
      </c>
      <c r="AA443">
        <v>101</v>
      </c>
      <c r="AC443" s="3">
        <v>101</v>
      </c>
      <c r="AE443" s="3">
        <v>98</v>
      </c>
      <c r="AI443">
        <v>98</v>
      </c>
      <c r="AK443" s="3"/>
      <c r="AV443" t="s">
        <v>421</v>
      </c>
      <c r="AX443" t="s">
        <v>421</v>
      </c>
      <c r="AZ443" t="s">
        <v>421</v>
      </c>
      <c r="BB443" t="s">
        <v>421</v>
      </c>
      <c r="BO443" t="s">
        <v>367</v>
      </c>
      <c r="BR443">
        <v>36788</v>
      </c>
      <c r="BS443" t="s">
        <v>966</v>
      </c>
      <c r="BT443">
        <v>4</v>
      </c>
      <c r="BU443">
        <v>11</v>
      </c>
      <c r="BV443">
        <v>9</v>
      </c>
      <c r="BX443">
        <v>101</v>
      </c>
      <c r="BZ443">
        <v>92</v>
      </c>
      <c r="CM443">
        <v>1911</v>
      </c>
    </row>
    <row r="444" spans="1:91" x14ac:dyDescent="0.3">
      <c r="A444" t="s">
        <v>967</v>
      </c>
      <c r="B444">
        <v>44458</v>
      </c>
      <c r="D444">
        <v>12</v>
      </c>
      <c r="I444">
        <v>200000</v>
      </c>
      <c r="J444" t="s">
        <v>800</v>
      </c>
      <c r="V444" t="s">
        <v>350</v>
      </c>
      <c r="Y444">
        <v>100</v>
      </c>
      <c r="AA444">
        <v>64</v>
      </c>
      <c r="AC444" s="3">
        <v>64</v>
      </c>
      <c r="AE444" s="3">
        <v>64</v>
      </c>
      <c r="AI444">
        <v>64</v>
      </c>
      <c r="AK444" s="3"/>
      <c r="AV444" t="s">
        <v>366</v>
      </c>
      <c r="AX444" t="s">
        <v>366</v>
      </c>
      <c r="AZ444" t="s">
        <v>366</v>
      </c>
      <c r="BB444" t="s">
        <v>366</v>
      </c>
      <c r="BO444" t="s">
        <v>367</v>
      </c>
      <c r="BS444" t="s">
        <v>385</v>
      </c>
      <c r="BT444">
        <v>6</v>
      </c>
      <c r="BU444">
        <v>5</v>
      </c>
      <c r="BV444">
        <v>0</v>
      </c>
      <c r="BX444">
        <v>68.5</v>
      </c>
      <c r="BZ444">
        <v>64</v>
      </c>
      <c r="CK444" t="s">
        <v>360</v>
      </c>
      <c r="CM444">
        <v>1911</v>
      </c>
    </row>
    <row r="445" spans="1:91" x14ac:dyDescent="0.3">
      <c r="A445" t="s">
        <v>968</v>
      </c>
      <c r="B445">
        <v>44589</v>
      </c>
      <c r="D445">
        <v>12</v>
      </c>
      <c r="I445">
        <v>25500</v>
      </c>
      <c r="U445">
        <v>5</v>
      </c>
      <c r="Y445">
        <v>3.5</v>
      </c>
      <c r="AA445">
        <v>2.62</v>
      </c>
      <c r="AC445" s="3">
        <v>2.62</v>
      </c>
      <c r="AE445" s="3">
        <v>2.62</v>
      </c>
      <c r="AI445">
        <v>2.62</v>
      </c>
      <c r="AK445" s="3"/>
      <c r="AV445" t="s">
        <v>853</v>
      </c>
      <c r="AZ445" t="s">
        <v>969</v>
      </c>
      <c r="BB445" t="s">
        <v>815</v>
      </c>
      <c r="BG445">
        <v>5</v>
      </c>
      <c r="BH445">
        <v>10</v>
      </c>
      <c r="BJ445">
        <v>5</v>
      </c>
      <c r="BK445" s="4">
        <v>3409</v>
      </c>
      <c r="BL445" s="4">
        <v>3593</v>
      </c>
      <c r="BN445" s="4">
        <v>4323</v>
      </c>
      <c r="BR445">
        <v>2971</v>
      </c>
      <c r="BT445">
        <v>6</v>
      </c>
      <c r="BU445">
        <v>13</v>
      </c>
      <c r="BV445">
        <v>3</v>
      </c>
      <c r="BX445">
        <v>3.25</v>
      </c>
      <c r="BZ445">
        <v>2.37</v>
      </c>
      <c r="CK445" t="s">
        <v>465</v>
      </c>
      <c r="CM445">
        <v>1911</v>
      </c>
    </row>
    <row r="446" spans="1:91" x14ac:dyDescent="0.3">
      <c r="A446" t="s">
        <v>970</v>
      </c>
      <c r="B446">
        <v>44612</v>
      </c>
      <c r="D446">
        <v>12</v>
      </c>
      <c r="I446">
        <v>75250</v>
      </c>
      <c r="U446">
        <v>10</v>
      </c>
      <c r="Y446">
        <v>10</v>
      </c>
      <c r="AA446">
        <v>2.25</v>
      </c>
      <c r="AC446" s="3">
        <v>2.75</v>
      </c>
      <c r="AE446" s="3">
        <v>2.25</v>
      </c>
      <c r="AI446">
        <v>2.75</v>
      </c>
      <c r="AK446" s="3"/>
      <c r="AV446" t="s">
        <v>385</v>
      </c>
      <c r="AX446" t="s">
        <v>385</v>
      </c>
      <c r="AZ446" t="s">
        <v>385</v>
      </c>
      <c r="BB446" t="s">
        <v>385</v>
      </c>
      <c r="BR446">
        <v>107552</v>
      </c>
      <c r="BS446" t="s">
        <v>971</v>
      </c>
      <c r="BW446" t="s">
        <v>802</v>
      </c>
      <c r="BX446">
        <v>2.75</v>
      </c>
      <c r="BZ446">
        <v>1.53</v>
      </c>
      <c r="CK446" t="s">
        <v>360</v>
      </c>
      <c r="CM446">
        <v>1911</v>
      </c>
    </row>
    <row r="447" spans="1:91" x14ac:dyDescent="0.3">
      <c r="A447" t="s">
        <v>970</v>
      </c>
      <c r="B447">
        <v>44607</v>
      </c>
      <c r="C447" t="s">
        <v>860</v>
      </c>
      <c r="D447">
        <v>12</v>
      </c>
      <c r="I447">
        <v>600000</v>
      </c>
      <c r="J447" t="s">
        <v>800</v>
      </c>
      <c r="V447" t="s">
        <v>350</v>
      </c>
      <c r="Y447">
        <v>100</v>
      </c>
      <c r="AA447">
        <v>66.5</v>
      </c>
      <c r="AC447" s="3">
        <v>68.5</v>
      </c>
      <c r="AE447" s="3">
        <v>66.5</v>
      </c>
      <c r="AI447">
        <v>66.5</v>
      </c>
      <c r="AJ447" t="s">
        <v>379</v>
      </c>
      <c r="AK447" s="3"/>
      <c r="AV447" t="s">
        <v>370</v>
      </c>
      <c r="AX447" t="s">
        <v>370</v>
      </c>
      <c r="AZ447" t="s">
        <v>370</v>
      </c>
      <c r="BB447" t="s">
        <v>370</v>
      </c>
      <c r="BO447" t="s">
        <v>367</v>
      </c>
      <c r="BR447">
        <v>107552</v>
      </c>
      <c r="BS447" t="s">
        <v>971</v>
      </c>
      <c r="BT447">
        <v>6</v>
      </c>
      <c r="BU447">
        <v>0</v>
      </c>
      <c r="BV447">
        <v>3</v>
      </c>
      <c r="BX447">
        <v>78</v>
      </c>
      <c r="BZ447">
        <v>63.5</v>
      </c>
      <c r="CM447">
        <v>1911</v>
      </c>
    </row>
    <row r="448" spans="1:91" x14ac:dyDescent="0.3">
      <c r="A448" t="s">
        <v>970</v>
      </c>
      <c r="B448">
        <v>44608</v>
      </c>
      <c r="C448" t="s">
        <v>364</v>
      </c>
      <c r="D448">
        <v>12</v>
      </c>
      <c r="I448">
        <v>200000</v>
      </c>
      <c r="J448" t="s">
        <v>800</v>
      </c>
      <c r="V448" t="s">
        <v>350</v>
      </c>
      <c r="Y448">
        <v>100</v>
      </c>
      <c r="AA448">
        <v>57.5</v>
      </c>
      <c r="AC448" s="3">
        <v>57.5</v>
      </c>
      <c r="AE448" s="3">
        <v>56.5</v>
      </c>
      <c r="AI448">
        <v>56.5</v>
      </c>
      <c r="AJ448" t="s">
        <v>379</v>
      </c>
      <c r="AK448" s="3"/>
      <c r="AV448" t="s">
        <v>370</v>
      </c>
      <c r="AX448" t="s">
        <v>370</v>
      </c>
      <c r="AZ448" t="s">
        <v>370</v>
      </c>
      <c r="BB448" t="s">
        <v>370</v>
      </c>
      <c r="BO448" t="s">
        <v>367</v>
      </c>
      <c r="BR448">
        <v>107552</v>
      </c>
      <c r="BS448" t="s">
        <v>971</v>
      </c>
      <c r="BT448">
        <v>6</v>
      </c>
      <c r="BU448">
        <v>4</v>
      </c>
      <c r="BV448">
        <v>0</v>
      </c>
      <c r="BX448">
        <v>62.5</v>
      </c>
      <c r="BZ448">
        <v>54.5</v>
      </c>
      <c r="CM448">
        <v>1911</v>
      </c>
    </row>
    <row r="449" spans="1:91" x14ac:dyDescent="0.3">
      <c r="A449" t="s">
        <v>972</v>
      </c>
      <c r="B449">
        <v>44614</v>
      </c>
      <c r="D449">
        <v>12</v>
      </c>
      <c r="I449">
        <v>40000</v>
      </c>
      <c r="U449">
        <v>5</v>
      </c>
      <c r="Y449">
        <v>5</v>
      </c>
      <c r="AA449">
        <v>5.25</v>
      </c>
      <c r="AC449" s="3">
        <v>5.25</v>
      </c>
      <c r="AE449" s="3">
        <v>5.0599999999999996</v>
      </c>
      <c r="AI449">
        <v>5.25</v>
      </c>
      <c r="AK449" s="3"/>
      <c r="AV449" t="s">
        <v>853</v>
      </c>
      <c r="AZ449" t="s">
        <v>853</v>
      </c>
      <c r="BG449">
        <v>5</v>
      </c>
      <c r="BH449">
        <v>11</v>
      </c>
      <c r="BI449">
        <v>5</v>
      </c>
      <c r="BJ449">
        <v>11</v>
      </c>
      <c r="BK449" s="4">
        <v>3744</v>
      </c>
      <c r="BL449" s="4">
        <v>3927</v>
      </c>
      <c r="BM449" s="4">
        <v>4109</v>
      </c>
      <c r="BN449" s="4">
        <v>4292</v>
      </c>
      <c r="BR449">
        <v>80158</v>
      </c>
      <c r="BS449" t="s">
        <v>973</v>
      </c>
      <c r="BT449">
        <v>7</v>
      </c>
      <c r="BU449">
        <v>12</v>
      </c>
      <c r="BV449">
        <v>6</v>
      </c>
      <c r="BX449">
        <v>5.87</v>
      </c>
      <c r="BZ449">
        <v>4.96</v>
      </c>
      <c r="CK449" t="s">
        <v>360</v>
      </c>
      <c r="CM449">
        <v>1911</v>
      </c>
    </row>
    <row r="450" spans="1:91" x14ac:dyDescent="0.3">
      <c r="A450" t="s">
        <v>972</v>
      </c>
      <c r="B450">
        <v>44617</v>
      </c>
      <c r="C450" t="s">
        <v>974</v>
      </c>
      <c r="D450">
        <v>12</v>
      </c>
      <c r="I450">
        <v>265350</v>
      </c>
      <c r="J450" t="s">
        <v>800</v>
      </c>
      <c r="V450" t="s">
        <v>350</v>
      </c>
      <c r="Y450">
        <v>100</v>
      </c>
      <c r="AA450">
        <v>75</v>
      </c>
      <c r="AC450" s="3">
        <v>75</v>
      </c>
      <c r="AE450" s="3">
        <v>75</v>
      </c>
      <c r="AI450">
        <v>75</v>
      </c>
      <c r="AK450" s="3"/>
      <c r="AV450" t="s">
        <v>366</v>
      </c>
      <c r="AX450" t="s">
        <v>366</v>
      </c>
      <c r="AZ450" t="s">
        <v>366</v>
      </c>
      <c r="BB450" t="s">
        <v>366</v>
      </c>
      <c r="BO450" t="s">
        <v>367</v>
      </c>
      <c r="BR450">
        <v>80158</v>
      </c>
      <c r="BS450" t="s">
        <v>973</v>
      </c>
      <c r="BT450">
        <v>5</v>
      </c>
      <c r="BU450">
        <v>6</v>
      </c>
      <c r="BV450">
        <v>9</v>
      </c>
      <c r="BX450">
        <v>83.5</v>
      </c>
      <c r="BZ450">
        <v>74</v>
      </c>
      <c r="CM450">
        <v>1911</v>
      </c>
    </row>
    <row r="451" spans="1:91" x14ac:dyDescent="0.3">
      <c r="A451" t="s">
        <v>975</v>
      </c>
      <c r="B451">
        <v>44737</v>
      </c>
      <c r="D451">
        <v>12</v>
      </c>
      <c r="I451">
        <v>35000</v>
      </c>
      <c r="U451">
        <v>10</v>
      </c>
      <c r="Y451">
        <v>10</v>
      </c>
      <c r="AA451">
        <v>0.37</v>
      </c>
      <c r="AC451" s="3">
        <v>0.37</v>
      </c>
      <c r="AE451" s="3">
        <v>0.37</v>
      </c>
      <c r="AI451">
        <v>0.37</v>
      </c>
      <c r="AK451" s="3"/>
      <c r="AV451" t="s">
        <v>815</v>
      </c>
      <c r="BB451" t="s">
        <v>810</v>
      </c>
      <c r="BG451">
        <v>3</v>
      </c>
      <c r="BH451">
        <v>1</v>
      </c>
      <c r="BI451">
        <v>1</v>
      </c>
      <c r="BK451" s="4">
        <v>2193</v>
      </c>
      <c r="BL451" s="4">
        <v>2558</v>
      </c>
      <c r="BM451" s="4">
        <v>2923</v>
      </c>
      <c r="BR451">
        <v>19024</v>
      </c>
      <c r="BS451" t="s">
        <v>976</v>
      </c>
      <c r="BW451" t="s">
        <v>802</v>
      </c>
      <c r="BX451">
        <v>0.37</v>
      </c>
      <c r="BZ451">
        <v>0.09</v>
      </c>
      <c r="CK451" t="s">
        <v>360</v>
      </c>
      <c r="CM451">
        <v>1911</v>
      </c>
    </row>
    <row r="452" spans="1:91" x14ac:dyDescent="0.3">
      <c r="A452" t="s">
        <v>975</v>
      </c>
      <c r="B452">
        <v>44739</v>
      </c>
      <c r="C452" t="s">
        <v>977</v>
      </c>
      <c r="D452">
        <v>12</v>
      </c>
      <c r="I452">
        <v>50000</v>
      </c>
      <c r="U452">
        <v>10</v>
      </c>
      <c r="Y452">
        <v>10</v>
      </c>
      <c r="AA452">
        <v>1.25</v>
      </c>
      <c r="AC452" s="3">
        <v>1.25</v>
      </c>
      <c r="AE452" s="3">
        <v>1.25</v>
      </c>
      <c r="AI452">
        <v>1.25</v>
      </c>
      <c r="AK452" s="3"/>
      <c r="BB452" t="s">
        <v>810</v>
      </c>
      <c r="BG452">
        <v>4.5</v>
      </c>
      <c r="BH452">
        <v>4.5</v>
      </c>
      <c r="BI452">
        <v>4.5</v>
      </c>
      <c r="BK452" s="4">
        <v>3075</v>
      </c>
      <c r="BL452" s="4">
        <v>3258</v>
      </c>
      <c r="BM452" s="4">
        <v>3623</v>
      </c>
      <c r="BR452">
        <v>19024</v>
      </c>
      <c r="BS452" t="s">
        <v>976</v>
      </c>
      <c r="BW452" t="s">
        <v>802</v>
      </c>
      <c r="BX452">
        <v>1.5</v>
      </c>
      <c r="BZ452">
        <v>0.84</v>
      </c>
      <c r="CM452">
        <v>1911</v>
      </c>
    </row>
    <row r="453" spans="1:91" x14ac:dyDescent="0.3">
      <c r="A453" t="s">
        <v>975</v>
      </c>
      <c r="B453">
        <v>44738</v>
      </c>
      <c r="C453" t="s">
        <v>898</v>
      </c>
      <c r="D453">
        <v>12</v>
      </c>
      <c r="I453">
        <v>550000</v>
      </c>
      <c r="J453" t="s">
        <v>800</v>
      </c>
      <c r="V453" t="s">
        <v>350</v>
      </c>
      <c r="Y453">
        <v>100</v>
      </c>
      <c r="AA453">
        <v>50.5</v>
      </c>
      <c r="AC453" s="3">
        <v>51.5</v>
      </c>
      <c r="AE453" s="3">
        <v>50.5</v>
      </c>
      <c r="AI453">
        <v>51.5</v>
      </c>
      <c r="AK453" s="3"/>
      <c r="AV453" t="s">
        <v>536</v>
      </c>
      <c r="AX453" t="s">
        <v>536</v>
      </c>
      <c r="AZ453" t="s">
        <v>536</v>
      </c>
      <c r="BB453" t="s">
        <v>536</v>
      </c>
      <c r="BO453" t="s">
        <v>367</v>
      </c>
      <c r="BR453">
        <v>19024</v>
      </c>
      <c r="BS453" t="s">
        <v>976</v>
      </c>
      <c r="BT453">
        <v>6</v>
      </c>
      <c r="BU453">
        <v>16</v>
      </c>
      <c r="BV453">
        <v>0</v>
      </c>
      <c r="BX453">
        <v>59</v>
      </c>
      <c r="BZ453">
        <v>48.5</v>
      </c>
      <c r="CM453">
        <v>1911</v>
      </c>
    </row>
    <row r="454" spans="1:91" x14ac:dyDescent="0.3">
      <c r="A454" t="s">
        <v>978</v>
      </c>
      <c r="B454">
        <v>44870</v>
      </c>
      <c r="D454">
        <v>12</v>
      </c>
      <c r="I454">
        <v>50000</v>
      </c>
      <c r="U454">
        <v>10</v>
      </c>
      <c r="Y454">
        <v>10</v>
      </c>
      <c r="AA454">
        <v>0.12</v>
      </c>
      <c r="AC454" s="3">
        <v>0.12</v>
      </c>
      <c r="AE454" s="3">
        <v>0.12</v>
      </c>
      <c r="AI454">
        <v>0.12</v>
      </c>
      <c r="AK454" s="3"/>
      <c r="BB454" t="s">
        <v>810</v>
      </c>
      <c r="BG454">
        <v>4.5</v>
      </c>
      <c r="BH454">
        <v>4.5</v>
      </c>
      <c r="BI454">
        <v>4.5</v>
      </c>
      <c r="BK454" s="4">
        <v>1370</v>
      </c>
      <c r="BL454" s="4">
        <v>1553</v>
      </c>
      <c r="BM454" s="4">
        <v>1736</v>
      </c>
      <c r="BS454" t="s">
        <v>385</v>
      </c>
      <c r="BW454" t="s">
        <v>802</v>
      </c>
      <c r="BX454">
        <v>0.15</v>
      </c>
      <c r="BZ454">
        <v>0.12</v>
      </c>
      <c r="CK454" t="s">
        <v>360</v>
      </c>
      <c r="CM454">
        <v>1911</v>
      </c>
    </row>
    <row r="455" spans="1:91" x14ac:dyDescent="0.3">
      <c r="A455" t="s">
        <v>978</v>
      </c>
      <c r="B455">
        <v>44868</v>
      </c>
      <c r="C455" t="s">
        <v>979</v>
      </c>
      <c r="D455">
        <v>12</v>
      </c>
      <c r="I455">
        <v>750000</v>
      </c>
      <c r="J455" t="s">
        <v>800</v>
      </c>
      <c r="V455" t="s">
        <v>350</v>
      </c>
      <c r="Y455">
        <v>100</v>
      </c>
      <c r="AA455">
        <v>48</v>
      </c>
      <c r="AC455" s="3">
        <v>54</v>
      </c>
      <c r="AE455" s="3">
        <v>48</v>
      </c>
      <c r="AI455">
        <v>54</v>
      </c>
      <c r="AK455" s="3"/>
      <c r="BB455" t="s">
        <v>810</v>
      </c>
      <c r="BG455">
        <v>4.5</v>
      </c>
      <c r="BH455">
        <v>4.5</v>
      </c>
      <c r="BI455">
        <v>4.5</v>
      </c>
      <c r="BK455" s="4">
        <v>2739</v>
      </c>
      <c r="BL455" s="4">
        <v>2923</v>
      </c>
      <c r="BM455" s="4">
        <v>3105</v>
      </c>
      <c r="BS455" t="s">
        <v>385</v>
      </c>
      <c r="BW455" t="s">
        <v>802</v>
      </c>
      <c r="BX455">
        <v>61</v>
      </c>
      <c r="BZ455">
        <v>42.25</v>
      </c>
      <c r="CM455">
        <v>1911</v>
      </c>
    </row>
    <row r="456" spans="1:91" x14ac:dyDescent="0.3">
      <c r="A456" t="s">
        <v>978</v>
      </c>
      <c r="B456">
        <v>44869</v>
      </c>
      <c r="C456" t="s">
        <v>980</v>
      </c>
      <c r="D456">
        <v>12</v>
      </c>
      <c r="I456">
        <v>500000</v>
      </c>
      <c r="J456" t="s">
        <v>800</v>
      </c>
      <c r="V456" t="s">
        <v>350</v>
      </c>
      <c r="Y456">
        <v>100</v>
      </c>
      <c r="AA456">
        <v>22</v>
      </c>
      <c r="AC456" s="3">
        <v>25</v>
      </c>
      <c r="AE456" s="3">
        <v>22</v>
      </c>
      <c r="AI456">
        <v>25</v>
      </c>
      <c r="AK456" s="3"/>
      <c r="BB456" t="s">
        <v>810</v>
      </c>
      <c r="BG456">
        <v>4</v>
      </c>
      <c r="BH456">
        <v>4</v>
      </c>
      <c r="BI456">
        <v>4</v>
      </c>
      <c r="BK456" s="4">
        <v>2831</v>
      </c>
      <c r="BL456" s="4">
        <v>3014</v>
      </c>
      <c r="BM456" s="4">
        <v>3197</v>
      </c>
      <c r="BS456" t="s">
        <v>385</v>
      </c>
      <c r="BW456" t="s">
        <v>802</v>
      </c>
      <c r="BX456">
        <v>28</v>
      </c>
      <c r="BZ456">
        <v>20</v>
      </c>
      <c r="CM456">
        <v>1911</v>
      </c>
    </row>
    <row r="457" spans="1:91" x14ac:dyDescent="0.3">
      <c r="A457" t="s">
        <v>978</v>
      </c>
      <c r="B457">
        <v>44871</v>
      </c>
      <c r="C457" t="s">
        <v>981</v>
      </c>
      <c r="D457">
        <v>12</v>
      </c>
      <c r="I457" s="2">
        <v>1000000</v>
      </c>
      <c r="J457" t="s">
        <v>800</v>
      </c>
      <c r="V457" t="s">
        <v>350</v>
      </c>
      <c r="Y457">
        <v>100</v>
      </c>
      <c r="AA457">
        <v>22.5</v>
      </c>
      <c r="AC457" s="3">
        <v>23</v>
      </c>
      <c r="AE457" s="3">
        <v>22</v>
      </c>
      <c r="AI457">
        <v>22.5</v>
      </c>
      <c r="AK457" s="3"/>
      <c r="BB457" t="s">
        <v>810</v>
      </c>
      <c r="BG457">
        <v>4.5</v>
      </c>
      <c r="BH457">
        <v>4.5</v>
      </c>
      <c r="BI457">
        <v>4.5</v>
      </c>
      <c r="BK457" s="4">
        <v>2739</v>
      </c>
      <c r="BL457" s="4">
        <v>2923</v>
      </c>
      <c r="BM457" s="4">
        <v>3105</v>
      </c>
      <c r="BS457" t="s">
        <v>385</v>
      </c>
      <c r="BW457" t="s">
        <v>802</v>
      </c>
      <c r="BX457">
        <v>27.5</v>
      </c>
      <c r="BZ457">
        <v>21</v>
      </c>
      <c r="CM457">
        <v>1911</v>
      </c>
    </row>
    <row r="458" spans="1:91" x14ac:dyDescent="0.3">
      <c r="A458" t="s">
        <v>982</v>
      </c>
      <c r="B458">
        <v>44914</v>
      </c>
      <c r="D458">
        <v>12</v>
      </c>
      <c r="I458">
        <v>13500</v>
      </c>
      <c r="U458">
        <v>10</v>
      </c>
      <c r="Y458">
        <v>10</v>
      </c>
      <c r="AA458">
        <v>7.25</v>
      </c>
      <c r="AC458" s="3">
        <v>7.59</v>
      </c>
      <c r="AE458" s="3">
        <v>5.75</v>
      </c>
      <c r="AI458">
        <v>6.5</v>
      </c>
      <c r="AJ458" t="s">
        <v>379</v>
      </c>
      <c r="AK458" s="3"/>
      <c r="AX458" t="s">
        <v>969</v>
      </c>
      <c r="AZ458" t="s">
        <v>815</v>
      </c>
      <c r="BB458" t="s">
        <v>815</v>
      </c>
      <c r="BG458">
        <v>8</v>
      </c>
      <c r="BI458">
        <v>4</v>
      </c>
      <c r="BJ458">
        <v>8</v>
      </c>
      <c r="BK458" s="4">
        <v>1828</v>
      </c>
      <c r="BL458" s="4">
        <v>3623</v>
      </c>
      <c r="BM458" s="4">
        <v>3988</v>
      </c>
      <c r="BR458">
        <v>15244</v>
      </c>
      <c r="BS458" t="s">
        <v>983</v>
      </c>
      <c r="BT458">
        <v>12</v>
      </c>
      <c r="BU458">
        <v>6</v>
      </c>
      <c r="BV458">
        <v>3</v>
      </c>
      <c r="BX458">
        <v>8</v>
      </c>
      <c r="BZ458">
        <v>5.75</v>
      </c>
      <c r="CK458" t="s">
        <v>360</v>
      </c>
      <c r="CM458">
        <v>1911</v>
      </c>
    </row>
    <row r="459" spans="1:91" x14ac:dyDescent="0.3">
      <c r="A459" t="s">
        <v>982</v>
      </c>
      <c r="B459">
        <v>44915</v>
      </c>
      <c r="C459" t="s">
        <v>984</v>
      </c>
      <c r="D459">
        <v>12</v>
      </c>
      <c r="I459">
        <v>160000</v>
      </c>
      <c r="J459" t="s">
        <v>800</v>
      </c>
      <c r="U459">
        <v>100</v>
      </c>
      <c r="Y459">
        <v>100</v>
      </c>
      <c r="AA459">
        <v>82.5</v>
      </c>
      <c r="AC459" s="3">
        <v>82.5</v>
      </c>
      <c r="AE459" s="3">
        <v>82.5</v>
      </c>
      <c r="AI459">
        <v>82.5</v>
      </c>
      <c r="AK459" s="3"/>
      <c r="AV459" t="s">
        <v>536</v>
      </c>
      <c r="AX459" t="s">
        <v>536</v>
      </c>
      <c r="AZ459" t="s">
        <v>536</v>
      </c>
      <c r="BB459" t="s">
        <v>536</v>
      </c>
      <c r="BO459" t="s">
        <v>367</v>
      </c>
      <c r="BR459">
        <v>15244</v>
      </c>
      <c r="BS459" t="s">
        <v>983</v>
      </c>
      <c r="BT459">
        <v>7</v>
      </c>
      <c r="BU459">
        <v>6</v>
      </c>
      <c r="BV459">
        <v>3</v>
      </c>
      <c r="BX459">
        <v>88.5</v>
      </c>
      <c r="BZ459">
        <v>76.5</v>
      </c>
      <c r="CM459">
        <v>1911</v>
      </c>
    </row>
    <row r="460" spans="1:91" x14ac:dyDescent="0.3">
      <c r="A460" t="s">
        <v>985</v>
      </c>
      <c r="B460">
        <v>45073</v>
      </c>
      <c r="D460">
        <v>12</v>
      </c>
      <c r="I460">
        <v>40000</v>
      </c>
      <c r="U460">
        <v>5</v>
      </c>
      <c r="Y460">
        <v>5</v>
      </c>
      <c r="AA460">
        <v>0.12</v>
      </c>
      <c r="AC460" s="3">
        <v>0.12</v>
      </c>
      <c r="AE460" s="3">
        <v>0.12</v>
      </c>
      <c r="AI460">
        <v>0.12</v>
      </c>
      <c r="AK460" s="3"/>
      <c r="BB460" t="s">
        <v>810</v>
      </c>
      <c r="BG460">
        <v>11</v>
      </c>
      <c r="BH460">
        <v>5</v>
      </c>
      <c r="BI460">
        <v>5</v>
      </c>
      <c r="BK460" t="s">
        <v>986</v>
      </c>
      <c r="BL460" t="s">
        <v>987</v>
      </c>
      <c r="BM460" t="s">
        <v>988</v>
      </c>
      <c r="BS460" t="s">
        <v>385</v>
      </c>
      <c r="BW460" t="s">
        <v>802</v>
      </c>
      <c r="BX460">
        <v>0.25</v>
      </c>
      <c r="BZ460">
        <v>0.06</v>
      </c>
      <c r="CK460" t="s">
        <v>360</v>
      </c>
      <c r="CM460">
        <v>1911</v>
      </c>
    </row>
    <row r="461" spans="1:91" x14ac:dyDescent="0.3">
      <c r="A461" t="s">
        <v>985</v>
      </c>
      <c r="B461">
        <v>45075</v>
      </c>
      <c r="C461" t="s">
        <v>989</v>
      </c>
      <c r="D461">
        <v>12</v>
      </c>
      <c r="I461">
        <v>40000</v>
      </c>
      <c r="U461">
        <v>10</v>
      </c>
      <c r="Y461">
        <v>10</v>
      </c>
      <c r="AA461">
        <v>1.75</v>
      </c>
      <c r="AC461" s="3">
        <v>1.75</v>
      </c>
      <c r="AE461" s="3">
        <v>1.75</v>
      </c>
      <c r="AI461">
        <v>1.75</v>
      </c>
      <c r="AK461" s="3"/>
      <c r="AX461" t="s">
        <v>853</v>
      </c>
      <c r="BB461" t="s">
        <v>810</v>
      </c>
      <c r="BG461">
        <v>7.5</v>
      </c>
      <c r="BH461">
        <v>5</v>
      </c>
      <c r="BI461">
        <v>3</v>
      </c>
      <c r="BK461" s="4">
        <v>2374</v>
      </c>
      <c r="BL461" s="4">
        <v>2527</v>
      </c>
      <c r="BM461" s="4">
        <v>2739</v>
      </c>
      <c r="BS461" t="s">
        <v>385</v>
      </c>
      <c r="BW461" t="s">
        <v>802</v>
      </c>
      <c r="BX461">
        <v>2.37</v>
      </c>
      <c r="BZ461">
        <v>1</v>
      </c>
      <c r="CM461">
        <v>1911</v>
      </c>
    </row>
    <row r="462" spans="1:91" x14ac:dyDescent="0.3">
      <c r="A462" t="s">
        <v>985</v>
      </c>
      <c r="B462">
        <v>45074</v>
      </c>
      <c r="C462" t="s">
        <v>990</v>
      </c>
      <c r="D462">
        <v>12</v>
      </c>
      <c r="I462">
        <v>480000</v>
      </c>
      <c r="J462" t="s">
        <v>800</v>
      </c>
      <c r="U462">
        <v>100</v>
      </c>
      <c r="Y462">
        <v>100</v>
      </c>
      <c r="AA462">
        <v>53.5</v>
      </c>
      <c r="AC462" s="3">
        <v>53.5</v>
      </c>
      <c r="AE462" s="3">
        <v>52.5</v>
      </c>
      <c r="AI462">
        <v>52.5</v>
      </c>
      <c r="AK462" s="3"/>
      <c r="AV462" t="s">
        <v>373</v>
      </c>
      <c r="AX462" t="s">
        <v>373</v>
      </c>
      <c r="AZ462" t="s">
        <v>373</v>
      </c>
      <c r="BB462" t="s">
        <v>373</v>
      </c>
      <c r="BO462" t="s">
        <v>367</v>
      </c>
      <c r="BS462" t="s">
        <v>385</v>
      </c>
      <c r="BT462">
        <v>9</v>
      </c>
      <c r="BU462">
        <v>10</v>
      </c>
      <c r="BV462">
        <v>6</v>
      </c>
      <c r="BX462">
        <v>58</v>
      </c>
      <c r="BZ462">
        <v>49.25</v>
      </c>
      <c r="CM462">
        <v>1911</v>
      </c>
    </row>
    <row r="463" spans="1:91" x14ac:dyDescent="0.3">
      <c r="A463" t="s">
        <v>991</v>
      </c>
      <c r="B463">
        <v>45229</v>
      </c>
      <c r="D463">
        <v>12</v>
      </c>
      <c r="I463">
        <v>200000</v>
      </c>
      <c r="J463" t="s">
        <v>800</v>
      </c>
      <c r="V463" t="s">
        <v>350</v>
      </c>
      <c r="Y463">
        <v>100</v>
      </c>
      <c r="AA463">
        <v>72.5</v>
      </c>
      <c r="AC463" s="3">
        <v>73</v>
      </c>
      <c r="AE463" s="3">
        <v>71.5</v>
      </c>
      <c r="AI463">
        <v>71.5</v>
      </c>
      <c r="AJ463" t="s">
        <v>379</v>
      </c>
      <c r="AK463" s="3"/>
      <c r="AV463" t="s">
        <v>370</v>
      </c>
      <c r="AX463" t="s">
        <v>370</v>
      </c>
      <c r="AZ463" t="s">
        <v>370</v>
      </c>
      <c r="BB463" t="s">
        <v>370</v>
      </c>
      <c r="BO463" t="s">
        <v>367</v>
      </c>
      <c r="BS463" t="s">
        <v>385</v>
      </c>
      <c r="BT463">
        <v>5</v>
      </c>
      <c r="BU463">
        <v>12</v>
      </c>
      <c r="BV463">
        <v>0</v>
      </c>
      <c r="BX463">
        <v>75.25</v>
      </c>
      <c r="BZ463">
        <v>70.5</v>
      </c>
      <c r="CK463" t="s">
        <v>360</v>
      </c>
      <c r="CM463">
        <v>1911</v>
      </c>
    </row>
    <row r="464" spans="1:91" x14ac:dyDescent="0.3">
      <c r="A464" t="s">
        <v>991</v>
      </c>
      <c r="B464">
        <v>45231</v>
      </c>
      <c r="C464" t="s">
        <v>992</v>
      </c>
      <c r="D464">
        <v>12</v>
      </c>
      <c r="I464">
        <v>300000</v>
      </c>
      <c r="J464" t="s">
        <v>800</v>
      </c>
      <c r="V464" t="s">
        <v>350</v>
      </c>
      <c r="Y464">
        <v>100</v>
      </c>
      <c r="AA464">
        <v>61</v>
      </c>
      <c r="AC464" s="3">
        <v>61</v>
      </c>
      <c r="AE464" s="3">
        <v>59</v>
      </c>
      <c r="AI464">
        <v>59</v>
      </c>
      <c r="AJ464" t="s">
        <v>379</v>
      </c>
      <c r="AK464" s="3"/>
      <c r="AV464" t="s">
        <v>370</v>
      </c>
      <c r="AX464" t="s">
        <v>370</v>
      </c>
      <c r="AZ464" t="s">
        <v>370</v>
      </c>
      <c r="BB464" t="s">
        <v>370</v>
      </c>
      <c r="BO464" t="s">
        <v>367</v>
      </c>
      <c r="BS464" t="s">
        <v>385</v>
      </c>
      <c r="BT464">
        <v>6</v>
      </c>
      <c r="BU464">
        <v>15</v>
      </c>
      <c r="BV464">
        <v>6</v>
      </c>
      <c r="BX464">
        <v>64.5</v>
      </c>
      <c r="BZ464">
        <v>59</v>
      </c>
      <c r="CM464">
        <v>1911</v>
      </c>
    </row>
    <row r="465" spans="1:91" x14ac:dyDescent="0.3">
      <c r="A465" t="s">
        <v>993</v>
      </c>
      <c r="B465">
        <v>45329</v>
      </c>
      <c r="D465">
        <v>12</v>
      </c>
      <c r="I465">
        <v>13500</v>
      </c>
      <c r="U465">
        <v>5</v>
      </c>
      <c r="Y465">
        <v>5</v>
      </c>
      <c r="AA465">
        <v>1.37</v>
      </c>
      <c r="AC465" s="3">
        <v>1.37</v>
      </c>
      <c r="AE465" s="3">
        <v>1.37</v>
      </c>
      <c r="AI465">
        <v>1.37</v>
      </c>
      <c r="AK465" s="3"/>
      <c r="AX465" t="s">
        <v>853</v>
      </c>
      <c r="BB465" t="s">
        <v>853</v>
      </c>
      <c r="BG465">
        <v>4</v>
      </c>
      <c r="BH465">
        <v>3</v>
      </c>
      <c r="BI465">
        <v>3</v>
      </c>
      <c r="BJ465">
        <v>3</v>
      </c>
      <c r="BK465" s="4">
        <v>3774</v>
      </c>
      <c r="BL465" s="4">
        <v>3958</v>
      </c>
      <c r="BM465" s="4">
        <v>4139</v>
      </c>
      <c r="BN465" s="4">
        <v>4323</v>
      </c>
      <c r="BR465">
        <v>26679</v>
      </c>
      <c r="BS465" t="s">
        <v>994</v>
      </c>
      <c r="BT465">
        <v>10</v>
      </c>
      <c r="BU465">
        <v>18</v>
      </c>
      <c r="BV465">
        <v>3</v>
      </c>
      <c r="BX465">
        <v>1.53</v>
      </c>
      <c r="BZ465">
        <v>1.1200000000000001</v>
      </c>
      <c r="CK465" t="s">
        <v>360</v>
      </c>
      <c r="CM465">
        <v>1911</v>
      </c>
    </row>
    <row r="466" spans="1:91" x14ac:dyDescent="0.3">
      <c r="A466" t="s">
        <v>993</v>
      </c>
      <c r="B466">
        <v>45330</v>
      </c>
      <c r="C466" t="s">
        <v>844</v>
      </c>
      <c r="D466">
        <v>12</v>
      </c>
      <c r="I466">
        <v>14800</v>
      </c>
      <c r="U466">
        <v>5</v>
      </c>
      <c r="Y466">
        <v>5</v>
      </c>
      <c r="AA466">
        <v>3.25</v>
      </c>
      <c r="AC466" s="3">
        <v>3.25</v>
      </c>
      <c r="AE466" s="3">
        <v>3.25</v>
      </c>
      <c r="AI466">
        <v>3.25</v>
      </c>
      <c r="AK466" s="3"/>
      <c r="AV466" t="s">
        <v>366</v>
      </c>
      <c r="AX466" t="s">
        <v>366</v>
      </c>
      <c r="AZ466" t="s">
        <v>366</v>
      </c>
      <c r="BB466" t="s">
        <v>366</v>
      </c>
      <c r="BO466" t="s">
        <v>367</v>
      </c>
      <c r="BR466">
        <v>26679</v>
      </c>
      <c r="BS466" t="s">
        <v>994</v>
      </c>
      <c r="BT466">
        <v>9</v>
      </c>
      <c r="BU466">
        <v>4</v>
      </c>
      <c r="BV466">
        <v>6</v>
      </c>
      <c r="BX466">
        <v>3.5</v>
      </c>
      <c r="BZ466">
        <v>3.25</v>
      </c>
      <c r="CM466">
        <v>1911</v>
      </c>
    </row>
    <row r="467" spans="1:91" x14ac:dyDescent="0.3">
      <c r="A467" t="s">
        <v>995</v>
      </c>
      <c r="B467">
        <v>45506</v>
      </c>
      <c r="D467">
        <v>12</v>
      </c>
      <c r="I467">
        <v>11119</v>
      </c>
      <c r="U467">
        <v>25</v>
      </c>
      <c r="Y467">
        <v>17</v>
      </c>
      <c r="AA467">
        <v>3</v>
      </c>
      <c r="AC467" s="3">
        <v>4</v>
      </c>
      <c r="AE467" s="3">
        <v>3</v>
      </c>
      <c r="AI467">
        <v>4</v>
      </c>
      <c r="AK467" s="3"/>
      <c r="AX467" t="s">
        <v>853</v>
      </c>
      <c r="BB467" t="s">
        <v>815</v>
      </c>
      <c r="BG467">
        <v>4</v>
      </c>
      <c r="BH467">
        <v>4</v>
      </c>
      <c r="BI467">
        <v>4</v>
      </c>
      <c r="BJ467">
        <v>2</v>
      </c>
      <c r="BK467" s="4">
        <v>3320</v>
      </c>
      <c r="BL467" s="4">
        <v>3623</v>
      </c>
      <c r="BM467" s="4">
        <v>3744</v>
      </c>
      <c r="BN467" s="4">
        <v>4109</v>
      </c>
      <c r="BR467">
        <v>12478</v>
      </c>
      <c r="BS467" t="s">
        <v>996</v>
      </c>
      <c r="BT467">
        <v>8</v>
      </c>
      <c r="BU467">
        <v>10</v>
      </c>
      <c r="BV467">
        <v>0</v>
      </c>
      <c r="BX467">
        <v>4</v>
      </c>
      <c r="BZ467">
        <v>2.12</v>
      </c>
      <c r="CK467" t="s">
        <v>360</v>
      </c>
      <c r="CM467">
        <v>1911</v>
      </c>
    </row>
    <row r="468" spans="1:91" x14ac:dyDescent="0.3">
      <c r="A468" t="s">
        <v>995</v>
      </c>
      <c r="B468">
        <v>45512</v>
      </c>
      <c r="C468" t="s">
        <v>997</v>
      </c>
      <c r="D468">
        <v>12</v>
      </c>
      <c r="I468">
        <v>12000</v>
      </c>
      <c r="U468">
        <v>10</v>
      </c>
      <c r="Y468">
        <v>6</v>
      </c>
      <c r="AA468">
        <v>1.5</v>
      </c>
      <c r="AC468" s="3">
        <v>1.5</v>
      </c>
      <c r="AE468" s="3">
        <v>1.5</v>
      </c>
      <c r="AI468">
        <v>1.5</v>
      </c>
      <c r="AK468" s="3"/>
      <c r="AX468" t="s">
        <v>853</v>
      </c>
      <c r="BB468" t="s">
        <v>815</v>
      </c>
      <c r="BG468">
        <v>4</v>
      </c>
      <c r="BH468">
        <v>4</v>
      </c>
      <c r="BI468">
        <v>4</v>
      </c>
      <c r="BJ468">
        <v>2</v>
      </c>
      <c r="BK468" s="4">
        <v>3320</v>
      </c>
      <c r="BL468" s="4">
        <v>3623</v>
      </c>
      <c r="BM468" s="4">
        <v>3744</v>
      </c>
      <c r="BN468" s="4">
        <v>4109</v>
      </c>
      <c r="BR468">
        <v>12478</v>
      </c>
      <c r="BS468" t="s">
        <v>996</v>
      </c>
      <c r="BT468">
        <v>8</v>
      </c>
      <c r="BU468">
        <v>0</v>
      </c>
      <c r="BV468">
        <v>0</v>
      </c>
      <c r="BX468">
        <v>2</v>
      </c>
      <c r="BZ468">
        <v>0.87</v>
      </c>
      <c r="CM468">
        <v>1911</v>
      </c>
    </row>
    <row r="469" spans="1:91" x14ac:dyDescent="0.3">
      <c r="A469" t="s">
        <v>995</v>
      </c>
      <c r="B469">
        <v>45507</v>
      </c>
      <c r="C469" t="s">
        <v>998</v>
      </c>
      <c r="D469">
        <v>12</v>
      </c>
      <c r="I469">
        <v>5000</v>
      </c>
      <c r="U469">
        <v>20</v>
      </c>
      <c r="Y469">
        <v>20</v>
      </c>
      <c r="AA469">
        <v>14</v>
      </c>
      <c r="AC469" s="3">
        <v>15</v>
      </c>
      <c r="AE469" s="3">
        <v>14</v>
      </c>
      <c r="AI469">
        <v>16</v>
      </c>
      <c r="AK469" s="3"/>
      <c r="AV469" t="s">
        <v>506</v>
      </c>
      <c r="AX469" t="s">
        <v>506</v>
      </c>
      <c r="AZ469" t="s">
        <v>506</v>
      </c>
      <c r="BB469" t="s">
        <v>506</v>
      </c>
      <c r="BO469" t="s">
        <v>367</v>
      </c>
      <c r="BR469">
        <v>12478</v>
      </c>
      <c r="BS469" t="s">
        <v>996</v>
      </c>
      <c r="BT469">
        <v>8</v>
      </c>
      <c r="BU469">
        <v>0</v>
      </c>
      <c r="BV469">
        <v>0</v>
      </c>
      <c r="BX469">
        <v>15.37</v>
      </c>
      <c r="BZ469">
        <v>13.12</v>
      </c>
      <c r="CM469">
        <v>1911</v>
      </c>
    </row>
    <row r="470" spans="1:91" x14ac:dyDescent="0.3">
      <c r="A470" t="s">
        <v>995</v>
      </c>
      <c r="B470">
        <v>45517</v>
      </c>
      <c r="C470" t="s">
        <v>999</v>
      </c>
      <c r="D470">
        <v>12</v>
      </c>
      <c r="I470">
        <v>356000</v>
      </c>
      <c r="J470" t="s">
        <v>800</v>
      </c>
      <c r="V470" t="s">
        <v>350</v>
      </c>
      <c r="Y470">
        <v>100</v>
      </c>
      <c r="AA470">
        <v>70</v>
      </c>
      <c r="AC470" s="3">
        <v>70</v>
      </c>
      <c r="AE470" s="3">
        <v>68.5</v>
      </c>
      <c r="AI470">
        <v>70</v>
      </c>
      <c r="AK470" s="3"/>
      <c r="AV470" t="s">
        <v>536</v>
      </c>
      <c r="AX470" t="s">
        <v>536</v>
      </c>
      <c r="AZ470" t="s">
        <v>536</v>
      </c>
      <c r="BB470" t="s">
        <v>536</v>
      </c>
      <c r="BO470" t="s">
        <v>367</v>
      </c>
      <c r="BR470">
        <v>12478</v>
      </c>
      <c r="BS470" t="s">
        <v>996</v>
      </c>
      <c r="BT470">
        <v>5</v>
      </c>
      <c r="BU470">
        <v>14</v>
      </c>
      <c r="BV470">
        <v>9</v>
      </c>
      <c r="BX470">
        <v>74.5</v>
      </c>
      <c r="BZ470">
        <v>68</v>
      </c>
      <c r="CM470">
        <v>1911</v>
      </c>
    </row>
    <row r="471" spans="1:91" x14ac:dyDescent="0.3">
      <c r="A471" t="s">
        <v>1000</v>
      </c>
      <c r="B471">
        <v>45524</v>
      </c>
      <c r="D471">
        <v>12</v>
      </c>
      <c r="I471">
        <v>180000</v>
      </c>
      <c r="J471" t="s">
        <v>800</v>
      </c>
      <c r="V471" t="s">
        <v>350</v>
      </c>
      <c r="Y471">
        <v>100</v>
      </c>
      <c r="AA471">
        <v>74.5</v>
      </c>
      <c r="AC471" s="3">
        <v>74.5</v>
      </c>
      <c r="AE471" s="3">
        <v>73.5</v>
      </c>
      <c r="AI471">
        <v>73.5</v>
      </c>
      <c r="AJ471" t="s">
        <v>379</v>
      </c>
      <c r="AK471" s="3"/>
      <c r="AV471" t="s">
        <v>370</v>
      </c>
      <c r="AX471" t="s">
        <v>370</v>
      </c>
      <c r="AZ471" t="s">
        <v>370</v>
      </c>
      <c r="BB471" t="s">
        <v>370</v>
      </c>
      <c r="BO471" t="s">
        <v>367</v>
      </c>
      <c r="BR471">
        <v>9090</v>
      </c>
      <c r="BT471">
        <v>6</v>
      </c>
      <c r="BU471">
        <v>2</v>
      </c>
      <c r="BV471">
        <v>6</v>
      </c>
      <c r="BX471">
        <v>75.5</v>
      </c>
      <c r="BZ471">
        <v>68.5</v>
      </c>
      <c r="CK471" t="s">
        <v>558</v>
      </c>
      <c r="CM471">
        <v>1911</v>
      </c>
    </row>
    <row r="472" spans="1:91" x14ac:dyDescent="0.3">
      <c r="A472" t="s">
        <v>1000</v>
      </c>
      <c r="B472">
        <v>45522</v>
      </c>
      <c r="C472" t="s">
        <v>1001</v>
      </c>
      <c r="D472">
        <v>12</v>
      </c>
      <c r="I472">
        <v>46500</v>
      </c>
      <c r="J472" t="s">
        <v>800</v>
      </c>
      <c r="V472" t="s">
        <v>350</v>
      </c>
      <c r="Y472">
        <v>100</v>
      </c>
      <c r="AA472">
        <v>70.5</v>
      </c>
      <c r="AC472" s="3">
        <v>70.5</v>
      </c>
      <c r="AE472" s="3">
        <v>68.5</v>
      </c>
      <c r="AI472">
        <v>68.5</v>
      </c>
      <c r="AJ472" t="s">
        <v>379</v>
      </c>
      <c r="AK472" s="3"/>
      <c r="AV472" t="s">
        <v>370</v>
      </c>
      <c r="AX472" t="s">
        <v>370</v>
      </c>
      <c r="AZ472" t="s">
        <v>370</v>
      </c>
      <c r="BB472" t="s">
        <v>370</v>
      </c>
      <c r="BO472" t="s">
        <v>367</v>
      </c>
      <c r="BS472" t="s">
        <v>385</v>
      </c>
      <c r="BT472">
        <v>7</v>
      </c>
      <c r="BU472">
        <v>6</v>
      </c>
      <c r="BV472">
        <v>0</v>
      </c>
      <c r="BY472" t="s">
        <v>385</v>
      </c>
      <c r="CA472" t="s">
        <v>385</v>
      </c>
      <c r="CM472">
        <v>1911</v>
      </c>
    </row>
    <row r="473" spans="1:91" x14ac:dyDescent="0.3">
      <c r="A473" t="s">
        <v>1002</v>
      </c>
      <c r="B473">
        <v>45825</v>
      </c>
      <c r="D473">
        <v>12</v>
      </c>
      <c r="I473">
        <v>5500</v>
      </c>
      <c r="U473">
        <v>10</v>
      </c>
      <c r="Y473">
        <v>10</v>
      </c>
      <c r="AA473">
        <v>4.75</v>
      </c>
      <c r="AC473" s="3">
        <v>5.25</v>
      </c>
      <c r="AE473" s="3">
        <v>4.75</v>
      </c>
      <c r="AI473">
        <v>5</v>
      </c>
      <c r="AJ473" t="s">
        <v>379</v>
      </c>
      <c r="AK473" s="3"/>
      <c r="BG473">
        <v>5.5</v>
      </c>
      <c r="BH473">
        <v>5.5</v>
      </c>
      <c r="BI473">
        <v>5.5</v>
      </c>
      <c r="BJ473">
        <v>5.5</v>
      </c>
      <c r="BK473" s="4">
        <v>3654</v>
      </c>
      <c r="BL473" s="4">
        <v>3835</v>
      </c>
      <c r="BM473" s="4">
        <v>4019</v>
      </c>
      <c r="BN473" s="4">
        <v>4200</v>
      </c>
      <c r="BR473">
        <v>14603</v>
      </c>
      <c r="BS473" t="s">
        <v>1003</v>
      </c>
      <c r="BT473">
        <v>11</v>
      </c>
      <c r="BU473">
        <v>0</v>
      </c>
      <c r="BV473">
        <v>0</v>
      </c>
      <c r="BX473">
        <v>5.25</v>
      </c>
      <c r="BZ473">
        <v>4.25</v>
      </c>
      <c r="CK473" t="s">
        <v>360</v>
      </c>
      <c r="CM473">
        <v>1911</v>
      </c>
    </row>
    <row r="474" spans="1:91" x14ac:dyDescent="0.3">
      <c r="A474" t="s">
        <v>1002</v>
      </c>
      <c r="B474">
        <v>45826</v>
      </c>
      <c r="C474" t="s">
        <v>839</v>
      </c>
      <c r="D474">
        <v>12</v>
      </c>
      <c r="I474">
        <v>116000</v>
      </c>
      <c r="J474" t="s">
        <v>800</v>
      </c>
      <c r="V474" t="s">
        <v>350</v>
      </c>
      <c r="Y474">
        <v>100</v>
      </c>
      <c r="AA474">
        <v>63.5</v>
      </c>
      <c r="AC474" s="3">
        <v>63.5</v>
      </c>
      <c r="AE474" s="3">
        <v>61.5</v>
      </c>
      <c r="AI474">
        <v>61.5</v>
      </c>
      <c r="AJ474" t="s">
        <v>379</v>
      </c>
      <c r="AK474" s="3"/>
      <c r="AV474" t="s">
        <v>370</v>
      </c>
      <c r="AX474" t="s">
        <v>370</v>
      </c>
      <c r="AZ474" t="s">
        <v>370</v>
      </c>
      <c r="BB474" t="s">
        <v>370</v>
      </c>
      <c r="BO474" t="s">
        <v>367</v>
      </c>
      <c r="BR474">
        <v>14603</v>
      </c>
      <c r="BS474" t="s">
        <v>1003</v>
      </c>
      <c r="BT474">
        <v>7</v>
      </c>
      <c r="BU474">
        <v>6</v>
      </c>
      <c r="BV474">
        <v>3</v>
      </c>
      <c r="BX474">
        <v>68.5</v>
      </c>
      <c r="BZ474">
        <v>60</v>
      </c>
      <c r="CM474">
        <v>1911</v>
      </c>
    </row>
    <row r="475" spans="1:91" x14ac:dyDescent="0.3">
      <c r="A475" t="s">
        <v>1004</v>
      </c>
      <c r="B475">
        <v>46134</v>
      </c>
      <c r="D475">
        <v>12</v>
      </c>
      <c r="I475">
        <v>50000</v>
      </c>
      <c r="U475">
        <v>10</v>
      </c>
      <c r="Y475">
        <v>10</v>
      </c>
      <c r="AA475">
        <v>8.75</v>
      </c>
      <c r="AC475" s="3">
        <v>8.75</v>
      </c>
      <c r="AE475" s="3">
        <v>8.75</v>
      </c>
      <c r="AI475">
        <v>8.75</v>
      </c>
      <c r="AK475" s="3"/>
      <c r="AV475" t="s">
        <v>506</v>
      </c>
      <c r="AX475" t="s">
        <v>506</v>
      </c>
      <c r="AZ475" t="s">
        <v>506</v>
      </c>
      <c r="BB475" t="s">
        <v>506</v>
      </c>
      <c r="BO475" t="s">
        <v>367</v>
      </c>
      <c r="BR475">
        <v>127253</v>
      </c>
      <c r="BT475">
        <v>5</v>
      </c>
      <c r="BU475">
        <v>14</v>
      </c>
      <c r="BV475">
        <v>3</v>
      </c>
      <c r="BX475">
        <v>9</v>
      </c>
      <c r="BZ475">
        <v>8.75</v>
      </c>
      <c r="CK475" t="s">
        <v>397</v>
      </c>
      <c r="CM475">
        <v>1911</v>
      </c>
    </row>
    <row r="476" spans="1:91" x14ac:dyDescent="0.3">
      <c r="A476" t="s">
        <v>1005</v>
      </c>
      <c r="B476">
        <v>45947</v>
      </c>
      <c r="D476">
        <v>12</v>
      </c>
      <c r="I476">
        <v>15000</v>
      </c>
      <c r="U476">
        <v>3</v>
      </c>
      <c r="Y476">
        <v>3</v>
      </c>
      <c r="AA476">
        <v>0.93</v>
      </c>
      <c r="AC476" s="3">
        <v>0.93</v>
      </c>
      <c r="AE476" s="3">
        <v>0.93</v>
      </c>
      <c r="AI476">
        <v>0.93</v>
      </c>
      <c r="AK476" s="3"/>
      <c r="AX476" t="s">
        <v>823</v>
      </c>
      <c r="BB476" t="s">
        <v>810</v>
      </c>
      <c r="BG476">
        <v>5</v>
      </c>
      <c r="BH476">
        <v>5</v>
      </c>
      <c r="BI476">
        <v>5</v>
      </c>
      <c r="BK476" s="4">
        <v>3044</v>
      </c>
      <c r="BL476" s="4">
        <v>3228</v>
      </c>
      <c r="BM476" s="4">
        <v>3409</v>
      </c>
      <c r="BR476">
        <v>35905</v>
      </c>
      <c r="BS476" t="s">
        <v>1006</v>
      </c>
      <c r="BW476" t="s">
        <v>802</v>
      </c>
      <c r="BX476">
        <v>1.1200000000000001</v>
      </c>
      <c r="BZ476">
        <v>0.87</v>
      </c>
      <c r="CK476" t="s">
        <v>397</v>
      </c>
      <c r="CM476">
        <v>1911</v>
      </c>
    </row>
    <row r="477" spans="1:91" x14ac:dyDescent="0.3">
      <c r="A477" t="s">
        <v>1005</v>
      </c>
      <c r="B477">
        <v>45948</v>
      </c>
      <c r="C477" t="s">
        <v>1007</v>
      </c>
      <c r="D477">
        <v>12</v>
      </c>
      <c r="I477">
        <v>20000</v>
      </c>
      <c r="U477">
        <v>10</v>
      </c>
      <c r="Y477">
        <v>10</v>
      </c>
      <c r="AA477">
        <v>5.75</v>
      </c>
      <c r="AC477" s="3">
        <v>6</v>
      </c>
      <c r="AE477" s="3">
        <v>5.75</v>
      </c>
      <c r="AI477">
        <v>6</v>
      </c>
      <c r="AK477" s="3"/>
      <c r="AZ477" t="s">
        <v>815</v>
      </c>
      <c r="BB477" t="s">
        <v>815</v>
      </c>
      <c r="BG477">
        <v>5.5</v>
      </c>
      <c r="BH477">
        <v>5.5</v>
      </c>
      <c r="BI477">
        <v>5.5</v>
      </c>
      <c r="BJ477">
        <v>5.5</v>
      </c>
      <c r="BK477" s="4">
        <v>3228</v>
      </c>
      <c r="BL477" s="4">
        <v>3409</v>
      </c>
      <c r="BM477" s="4">
        <v>3805</v>
      </c>
      <c r="BN477" s="4">
        <v>4262</v>
      </c>
      <c r="BR477">
        <v>35905</v>
      </c>
      <c r="BS477" t="s">
        <v>1006</v>
      </c>
      <c r="BT477">
        <v>9</v>
      </c>
      <c r="BU477">
        <v>3</v>
      </c>
      <c r="BV477">
        <v>3</v>
      </c>
      <c r="BX477">
        <v>6.25</v>
      </c>
      <c r="BZ477">
        <v>4.87</v>
      </c>
      <c r="CM477">
        <v>1911</v>
      </c>
    </row>
    <row r="478" spans="1:91" x14ac:dyDescent="0.3">
      <c r="A478" t="s">
        <v>1005</v>
      </c>
      <c r="B478">
        <v>45951</v>
      </c>
      <c r="C478" t="s">
        <v>1008</v>
      </c>
      <c r="D478">
        <v>12</v>
      </c>
      <c r="I478">
        <v>21732</v>
      </c>
      <c r="U478">
        <v>6</v>
      </c>
      <c r="Y478">
        <v>6</v>
      </c>
      <c r="AA478">
        <v>2.37</v>
      </c>
      <c r="AC478" s="3">
        <v>2.37</v>
      </c>
      <c r="AE478" s="3">
        <v>2.12</v>
      </c>
      <c r="AI478">
        <v>2.12</v>
      </c>
      <c r="AK478" s="3"/>
      <c r="BB478" t="s">
        <v>810</v>
      </c>
      <c r="BG478">
        <v>6</v>
      </c>
      <c r="BH478">
        <v>6</v>
      </c>
      <c r="BI478">
        <v>6</v>
      </c>
      <c r="BK478" s="4">
        <v>3014</v>
      </c>
      <c r="BL478" s="4">
        <v>3197</v>
      </c>
      <c r="BM478" s="4">
        <v>3409</v>
      </c>
      <c r="BR478">
        <v>35905</v>
      </c>
      <c r="BS478" t="s">
        <v>1006</v>
      </c>
      <c r="BW478" t="s">
        <v>802</v>
      </c>
      <c r="BX478">
        <v>2.5</v>
      </c>
      <c r="BZ478">
        <v>2</v>
      </c>
      <c r="CM478">
        <v>1911</v>
      </c>
    </row>
    <row r="479" spans="1:91" x14ac:dyDescent="0.3">
      <c r="A479" t="s">
        <v>1005</v>
      </c>
      <c r="B479">
        <v>45949</v>
      </c>
      <c r="C479" t="s">
        <v>1009</v>
      </c>
      <c r="D479">
        <v>12</v>
      </c>
      <c r="I479">
        <v>150000</v>
      </c>
      <c r="J479" t="s">
        <v>800</v>
      </c>
      <c r="V479" t="s">
        <v>350</v>
      </c>
      <c r="Y479">
        <v>100</v>
      </c>
      <c r="AA479">
        <v>85</v>
      </c>
      <c r="AC479" s="3">
        <v>85</v>
      </c>
      <c r="AE479" s="3">
        <v>80.5</v>
      </c>
      <c r="AI479">
        <v>80.5</v>
      </c>
      <c r="AJ479" t="s">
        <v>379</v>
      </c>
      <c r="AK479" s="3"/>
      <c r="AV479" t="s">
        <v>370</v>
      </c>
      <c r="AX479" t="s">
        <v>370</v>
      </c>
      <c r="AZ479" t="s">
        <v>370</v>
      </c>
      <c r="BB479" t="s">
        <v>370</v>
      </c>
      <c r="BO479" t="s">
        <v>367</v>
      </c>
      <c r="BR479">
        <v>35905</v>
      </c>
      <c r="BS479" t="s">
        <v>1006</v>
      </c>
      <c r="BT479">
        <v>6</v>
      </c>
      <c r="BU479">
        <v>16</v>
      </c>
      <c r="BV479">
        <v>9</v>
      </c>
      <c r="BX479">
        <v>88</v>
      </c>
      <c r="BZ479">
        <v>80.5</v>
      </c>
      <c r="CM479">
        <v>1911</v>
      </c>
    </row>
    <row r="480" spans="1:91" x14ac:dyDescent="0.3">
      <c r="A480" t="s">
        <v>1005</v>
      </c>
      <c r="B480">
        <v>45950</v>
      </c>
      <c r="C480" t="s">
        <v>1010</v>
      </c>
      <c r="D480">
        <v>12</v>
      </c>
      <c r="I480">
        <v>300000</v>
      </c>
      <c r="J480" t="s">
        <v>800</v>
      </c>
      <c r="V480" t="s">
        <v>350</v>
      </c>
      <c r="Y480">
        <v>100</v>
      </c>
      <c r="AA480">
        <v>57</v>
      </c>
      <c r="AB480" t="s">
        <v>379</v>
      </c>
      <c r="AC480" s="3">
        <v>57</v>
      </c>
      <c r="AE480" s="3">
        <v>56.12</v>
      </c>
      <c r="AI480">
        <v>56.5</v>
      </c>
      <c r="AK480" s="3"/>
      <c r="AV480" t="s">
        <v>421</v>
      </c>
      <c r="AX480" t="s">
        <v>421</v>
      </c>
      <c r="AZ480" t="s">
        <v>421</v>
      </c>
      <c r="BB480" t="s">
        <v>421</v>
      </c>
      <c r="BO480" t="s">
        <v>367</v>
      </c>
      <c r="BR480">
        <v>35905</v>
      </c>
      <c r="BS480" t="s">
        <v>1006</v>
      </c>
      <c r="BT480">
        <v>7</v>
      </c>
      <c r="BU480">
        <v>1</v>
      </c>
      <c r="BV480">
        <v>6</v>
      </c>
      <c r="BX480">
        <v>63</v>
      </c>
      <c r="BZ480">
        <v>56.12</v>
      </c>
      <c r="CM480">
        <v>1911</v>
      </c>
    </row>
    <row r="481" spans="1:91" x14ac:dyDescent="0.3">
      <c r="A481" t="s">
        <v>1011</v>
      </c>
      <c r="B481">
        <v>46022</v>
      </c>
      <c r="D481">
        <v>12</v>
      </c>
      <c r="I481">
        <v>125000</v>
      </c>
      <c r="U481">
        <v>10</v>
      </c>
      <c r="Y481">
        <v>10</v>
      </c>
      <c r="AA481">
        <v>7.37</v>
      </c>
      <c r="AC481" s="3">
        <v>7.37</v>
      </c>
      <c r="AE481" s="3">
        <v>7.12</v>
      </c>
      <c r="AI481">
        <v>7.37</v>
      </c>
      <c r="AK481" s="3"/>
      <c r="BG481">
        <v>4.25</v>
      </c>
      <c r="BH481">
        <v>4.25</v>
      </c>
      <c r="BI481">
        <v>4.25</v>
      </c>
      <c r="BJ481">
        <v>4.25</v>
      </c>
      <c r="BK481" s="4">
        <v>3744</v>
      </c>
      <c r="BL481" s="4">
        <v>3927</v>
      </c>
      <c r="BM481" s="4">
        <v>4109</v>
      </c>
      <c r="BN481" s="4">
        <v>4292</v>
      </c>
      <c r="BS481" t="s">
        <v>385</v>
      </c>
      <c r="BT481">
        <v>5</v>
      </c>
      <c r="BU481">
        <v>15</v>
      </c>
      <c r="BV481">
        <v>3</v>
      </c>
      <c r="BX481">
        <v>7.75</v>
      </c>
      <c r="BZ481">
        <v>7</v>
      </c>
      <c r="CM481">
        <v>1911</v>
      </c>
    </row>
    <row r="482" spans="1:91" x14ac:dyDescent="0.3">
      <c r="A482" t="s">
        <v>1011</v>
      </c>
      <c r="B482">
        <v>46023</v>
      </c>
      <c r="C482" t="s">
        <v>840</v>
      </c>
      <c r="D482">
        <v>12</v>
      </c>
      <c r="I482" s="2">
        <v>1250000</v>
      </c>
      <c r="J482" t="s">
        <v>800</v>
      </c>
      <c r="V482" t="s">
        <v>350</v>
      </c>
      <c r="Y482">
        <v>100</v>
      </c>
      <c r="AA482">
        <v>84.5</v>
      </c>
      <c r="AC482" s="3">
        <v>85</v>
      </c>
      <c r="AE482" s="3">
        <v>83.75</v>
      </c>
      <c r="AI482">
        <v>84.5</v>
      </c>
      <c r="AK482" s="3"/>
      <c r="AV482" t="s">
        <v>536</v>
      </c>
      <c r="AX482" t="s">
        <v>536</v>
      </c>
      <c r="AZ482" t="s">
        <v>536</v>
      </c>
      <c r="BB482" t="s">
        <v>536</v>
      </c>
      <c r="BO482" t="s">
        <v>367</v>
      </c>
      <c r="BS482" t="s">
        <v>385</v>
      </c>
      <c r="BT482">
        <v>4</v>
      </c>
      <c r="BU482">
        <v>15</v>
      </c>
      <c r="BV482">
        <v>9</v>
      </c>
      <c r="BX482">
        <v>91</v>
      </c>
      <c r="BZ482">
        <v>83</v>
      </c>
      <c r="CM482">
        <v>1911</v>
      </c>
    </row>
    <row r="483" spans="1:91" x14ac:dyDescent="0.3">
      <c r="A483" t="s">
        <v>1012</v>
      </c>
      <c r="B483">
        <v>46068</v>
      </c>
      <c r="D483">
        <v>12</v>
      </c>
      <c r="I483">
        <v>28580</v>
      </c>
      <c r="U483">
        <v>10</v>
      </c>
      <c r="Y483">
        <v>10</v>
      </c>
      <c r="AA483">
        <v>6.25</v>
      </c>
      <c r="AC483" s="3">
        <v>6.25</v>
      </c>
      <c r="AE483" s="3">
        <v>6</v>
      </c>
      <c r="AI483">
        <v>6</v>
      </c>
      <c r="AJ483" t="s">
        <v>379</v>
      </c>
      <c r="AK483" s="3"/>
      <c r="BG483">
        <v>5</v>
      </c>
      <c r="BH483">
        <v>5</v>
      </c>
      <c r="BI483">
        <v>5</v>
      </c>
      <c r="BJ483">
        <v>5</v>
      </c>
      <c r="BK483" s="4">
        <v>3654</v>
      </c>
      <c r="BL483" s="4">
        <v>3835</v>
      </c>
      <c r="BM483" s="4">
        <v>4019</v>
      </c>
      <c r="BN483" s="4">
        <v>4200</v>
      </c>
      <c r="BR483">
        <v>156090</v>
      </c>
      <c r="BS483" t="s">
        <v>1013</v>
      </c>
      <c r="BT483">
        <v>8</v>
      </c>
      <c r="BU483">
        <v>6</v>
      </c>
      <c r="BV483">
        <v>9</v>
      </c>
      <c r="BX483">
        <v>6.5</v>
      </c>
      <c r="BZ483">
        <v>5.75</v>
      </c>
      <c r="CM483">
        <v>1911</v>
      </c>
    </row>
    <row r="484" spans="1:91" x14ac:dyDescent="0.3">
      <c r="A484" t="s">
        <v>1014</v>
      </c>
      <c r="B484">
        <v>46067</v>
      </c>
      <c r="D484">
        <v>12</v>
      </c>
      <c r="I484">
        <v>100000</v>
      </c>
      <c r="J484" t="s">
        <v>800</v>
      </c>
      <c r="V484" t="s">
        <v>350</v>
      </c>
      <c r="Y484">
        <v>100</v>
      </c>
      <c r="AA484">
        <v>71.5</v>
      </c>
      <c r="AC484" s="3">
        <v>71.5</v>
      </c>
      <c r="AE484" s="3">
        <v>70.5</v>
      </c>
      <c r="AI484">
        <v>70.5</v>
      </c>
      <c r="AJ484" t="s">
        <v>379</v>
      </c>
      <c r="AK484" s="3"/>
      <c r="AV484" t="s">
        <v>370</v>
      </c>
      <c r="AX484" t="s">
        <v>370</v>
      </c>
      <c r="AZ484" t="s">
        <v>370</v>
      </c>
      <c r="BB484" t="s">
        <v>370</v>
      </c>
      <c r="BO484" t="s">
        <v>367</v>
      </c>
      <c r="BR484">
        <v>156090</v>
      </c>
      <c r="BS484" t="s">
        <v>1013</v>
      </c>
      <c r="BT484">
        <v>5</v>
      </c>
      <c r="BU484">
        <v>13</v>
      </c>
      <c r="BV484">
        <v>6</v>
      </c>
      <c r="BX484">
        <v>78.5</v>
      </c>
      <c r="BZ484">
        <v>70.5</v>
      </c>
      <c r="CM484">
        <v>1911</v>
      </c>
    </row>
    <row r="485" spans="1:91" x14ac:dyDescent="0.3">
      <c r="A485" t="s">
        <v>1014</v>
      </c>
      <c r="B485">
        <v>46069</v>
      </c>
      <c r="C485" t="s">
        <v>1015</v>
      </c>
      <c r="D485">
        <v>12</v>
      </c>
      <c r="I485">
        <v>100000</v>
      </c>
      <c r="J485" t="s">
        <v>800</v>
      </c>
      <c r="V485" t="s">
        <v>350</v>
      </c>
      <c r="Y485">
        <v>100</v>
      </c>
      <c r="AA485">
        <v>58.5</v>
      </c>
      <c r="AC485" s="3">
        <v>58.5</v>
      </c>
      <c r="AE485" s="3">
        <v>57.5</v>
      </c>
      <c r="AI485">
        <v>57.5</v>
      </c>
      <c r="AJ485" t="s">
        <v>379</v>
      </c>
      <c r="AK485" s="3"/>
      <c r="AV485" t="s">
        <v>373</v>
      </c>
      <c r="AX485" t="s">
        <v>373</v>
      </c>
      <c r="AZ485" t="s">
        <v>373</v>
      </c>
      <c r="BB485" t="s">
        <v>373</v>
      </c>
      <c r="BO485" t="s">
        <v>367</v>
      </c>
      <c r="BR485">
        <v>156090</v>
      </c>
      <c r="BS485" t="s">
        <v>1013</v>
      </c>
      <c r="BT485">
        <v>6</v>
      </c>
      <c r="BU485">
        <v>19</v>
      </c>
      <c r="BV485">
        <v>3</v>
      </c>
      <c r="BX485">
        <v>62.5</v>
      </c>
      <c r="BZ485">
        <v>57</v>
      </c>
      <c r="CM485">
        <v>1911</v>
      </c>
    </row>
    <row r="486" spans="1:91" x14ac:dyDescent="0.3">
      <c r="A486" t="s">
        <v>1016</v>
      </c>
      <c r="B486">
        <v>46092</v>
      </c>
      <c r="D486">
        <v>12</v>
      </c>
      <c r="I486">
        <v>10000</v>
      </c>
      <c r="U486">
        <v>10</v>
      </c>
      <c r="Y486">
        <v>10</v>
      </c>
      <c r="AA486">
        <v>7.5</v>
      </c>
      <c r="AB486" t="s">
        <v>379</v>
      </c>
      <c r="AC486" s="3">
        <v>7.75</v>
      </c>
      <c r="AE486" s="3">
        <v>7.5</v>
      </c>
      <c r="AI486">
        <v>7.75</v>
      </c>
      <c r="AK486" s="3"/>
      <c r="AV486" t="s">
        <v>815</v>
      </c>
      <c r="AX486" t="s">
        <v>815</v>
      </c>
      <c r="AZ486" t="s">
        <v>815</v>
      </c>
      <c r="BB486" t="s">
        <v>815</v>
      </c>
      <c r="BG486">
        <v>6</v>
      </c>
      <c r="BH486">
        <v>6</v>
      </c>
      <c r="BI486">
        <v>6</v>
      </c>
      <c r="BJ486">
        <v>6</v>
      </c>
      <c r="BK486" s="4">
        <v>3228</v>
      </c>
      <c r="BL486" s="4">
        <v>3593</v>
      </c>
      <c r="BM486" s="4">
        <v>3958</v>
      </c>
      <c r="BN486" s="4">
        <v>4323</v>
      </c>
      <c r="BR486">
        <v>1406</v>
      </c>
      <c r="BT486">
        <v>7</v>
      </c>
      <c r="BU486">
        <v>14</v>
      </c>
      <c r="BV486">
        <v>9</v>
      </c>
      <c r="BX486">
        <v>7.75</v>
      </c>
      <c r="BZ486">
        <v>6.75</v>
      </c>
      <c r="CK486" t="s">
        <v>1017</v>
      </c>
      <c r="CM486">
        <v>1911</v>
      </c>
    </row>
    <row r="487" spans="1:91" x14ac:dyDescent="0.3">
      <c r="A487" t="s">
        <v>1018</v>
      </c>
      <c r="B487">
        <v>46339</v>
      </c>
      <c r="D487">
        <v>12</v>
      </c>
      <c r="I487">
        <v>50000</v>
      </c>
      <c r="U487">
        <v>10</v>
      </c>
      <c r="Y487">
        <v>10</v>
      </c>
      <c r="AA487">
        <v>1.37</v>
      </c>
      <c r="AC487" s="3">
        <v>1.37</v>
      </c>
      <c r="AE487" s="3">
        <v>1.37</v>
      </c>
      <c r="AI487">
        <v>1.37</v>
      </c>
      <c r="AK487" s="3"/>
      <c r="AV487" t="s">
        <v>385</v>
      </c>
      <c r="BB487" t="s">
        <v>810</v>
      </c>
      <c r="BH487">
        <v>5</v>
      </c>
      <c r="BI487">
        <v>5</v>
      </c>
      <c r="BL487" s="4">
        <v>1493</v>
      </c>
      <c r="BM487" s="4">
        <v>1675</v>
      </c>
      <c r="BS487" t="s">
        <v>385</v>
      </c>
      <c r="BW487" t="s">
        <v>802</v>
      </c>
      <c r="BX487">
        <v>1.62</v>
      </c>
      <c r="BZ487">
        <v>1.1200000000000001</v>
      </c>
      <c r="CK487" t="s">
        <v>360</v>
      </c>
      <c r="CM487">
        <v>1911</v>
      </c>
    </row>
    <row r="488" spans="1:91" x14ac:dyDescent="0.3">
      <c r="A488" t="s">
        <v>1018</v>
      </c>
      <c r="B488">
        <v>46340</v>
      </c>
      <c r="C488" t="s">
        <v>860</v>
      </c>
      <c r="D488">
        <v>12</v>
      </c>
      <c r="I488">
        <v>600000</v>
      </c>
      <c r="J488" t="s">
        <v>800</v>
      </c>
      <c r="V488" t="s">
        <v>350</v>
      </c>
      <c r="Y488">
        <v>100</v>
      </c>
      <c r="AA488">
        <v>71</v>
      </c>
      <c r="AC488" s="3">
        <v>71</v>
      </c>
      <c r="AE488" s="3">
        <v>69</v>
      </c>
      <c r="AI488">
        <v>71</v>
      </c>
      <c r="AK488" s="3"/>
      <c r="AV488" t="s">
        <v>506</v>
      </c>
      <c r="AX488" t="s">
        <v>506</v>
      </c>
      <c r="AZ488" t="s">
        <v>506</v>
      </c>
      <c r="BB488" t="s">
        <v>506</v>
      </c>
      <c r="BO488" t="s">
        <v>367</v>
      </c>
      <c r="BS488" t="s">
        <v>385</v>
      </c>
      <c r="BT488">
        <v>5</v>
      </c>
      <c r="BU488">
        <v>12</v>
      </c>
      <c r="BV488">
        <v>9</v>
      </c>
      <c r="BX488">
        <v>76.5</v>
      </c>
      <c r="BZ488">
        <v>68.5</v>
      </c>
      <c r="CM488">
        <v>1911</v>
      </c>
    </row>
    <row r="489" spans="1:91" x14ac:dyDescent="0.3">
      <c r="A489" t="s">
        <v>1018</v>
      </c>
      <c r="B489">
        <v>46341</v>
      </c>
      <c r="C489" t="s">
        <v>1019</v>
      </c>
      <c r="D489">
        <v>12</v>
      </c>
      <c r="I489">
        <v>400000</v>
      </c>
      <c r="J489" t="s">
        <v>800</v>
      </c>
      <c r="V489" t="s">
        <v>350</v>
      </c>
      <c r="Y489">
        <v>100</v>
      </c>
      <c r="AA489">
        <v>68</v>
      </c>
      <c r="AC489" s="3">
        <v>68</v>
      </c>
      <c r="AE489" s="3">
        <v>63</v>
      </c>
      <c r="AI489">
        <v>63</v>
      </c>
      <c r="AJ489" t="s">
        <v>379</v>
      </c>
      <c r="AK489" s="3"/>
      <c r="AV489" t="s">
        <v>394</v>
      </c>
      <c r="AX489" t="s">
        <v>394</v>
      </c>
      <c r="AZ489" t="s">
        <v>394</v>
      </c>
      <c r="BB489" t="s">
        <v>394</v>
      </c>
      <c r="BI489">
        <v>1</v>
      </c>
      <c r="BJ489">
        <v>1</v>
      </c>
      <c r="BO489" t="s">
        <v>367</v>
      </c>
      <c r="BS489" t="s">
        <v>385</v>
      </c>
      <c r="BT489">
        <v>9</v>
      </c>
      <c r="BU489">
        <v>10</v>
      </c>
      <c r="BV489">
        <v>6</v>
      </c>
      <c r="BX489">
        <v>77</v>
      </c>
      <c r="BZ489">
        <v>64</v>
      </c>
      <c r="CM489">
        <v>1911</v>
      </c>
    </row>
    <row r="490" spans="1:91" x14ac:dyDescent="0.3">
      <c r="A490" t="s">
        <v>1020</v>
      </c>
      <c r="B490">
        <v>46428</v>
      </c>
      <c r="D490">
        <v>12</v>
      </c>
      <c r="I490">
        <v>100000</v>
      </c>
      <c r="J490" t="s">
        <v>800</v>
      </c>
      <c r="V490" t="s">
        <v>350</v>
      </c>
      <c r="Y490">
        <v>100</v>
      </c>
      <c r="AA490">
        <v>62</v>
      </c>
      <c r="AC490" s="3">
        <v>62</v>
      </c>
      <c r="AE490" s="3">
        <v>61</v>
      </c>
      <c r="AI490">
        <v>61</v>
      </c>
      <c r="AJ490" t="s">
        <v>379</v>
      </c>
      <c r="AK490" s="3"/>
      <c r="AV490" t="s">
        <v>370</v>
      </c>
      <c r="AX490" t="s">
        <v>370</v>
      </c>
      <c r="AZ490" t="s">
        <v>370</v>
      </c>
      <c r="BB490" t="s">
        <v>370</v>
      </c>
      <c r="BO490" t="s">
        <v>367</v>
      </c>
      <c r="BS490" t="s">
        <v>385</v>
      </c>
      <c r="BT490">
        <v>7</v>
      </c>
      <c r="BU490">
        <v>7</v>
      </c>
      <c r="BV490">
        <v>6</v>
      </c>
      <c r="BX490">
        <v>62.75</v>
      </c>
      <c r="BZ490">
        <v>52.5</v>
      </c>
      <c r="CK490" t="s">
        <v>360</v>
      </c>
      <c r="CM490">
        <v>1911</v>
      </c>
    </row>
    <row r="491" spans="1:91" x14ac:dyDescent="0.3">
      <c r="A491" t="s">
        <v>1021</v>
      </c>
      <c r="B491">
        <v>46471</v>
      </c>
      <c r="D491">
        <v>12</v>
      </c>
      <c r="I491">
        <v>852500</v>
      </c>
      <c r="J491" t="s">
        <v>800</v>
      </c>
      <c r="V491" t="s">
        <v>350</v>
      </c>
      <c r="Y491">
        <v>100</v>
      </c>
      <c r="AA491">
        <v>44.5</v>
      </c>
      <c r="AC491" s="3">
        <v>44.5</v>
      </c>
      <c r="AE491" s="3">
        <v>43</v>
      </c>
      <c r="AI491">
        <v>44.5</v>
      </c>
      <c r="AK491" s="3"/>
      <c r="AX491" t="s">
        <v>853</v>
      </c>
      <c r="BB491" t="s">
        <v>853</v>
      </c>
      <c r="BG491">
        <v>5</v>
      </c>
      <c r="BH491">
        <v>3</v>
      </c>
      <c r="BI491">
        <v>4</v>
      </c>
      <c r="BJ491">
        <v>3</v>
      </c>
      <c r="BK491" s="4">
        <v>3744</v>
      </c>
      <c r="BL491" s="4">
        <v>3958</v>
      </c>
      <c r="BM491" s="4">
        <v>4139</v>
      </c>
      <c r="BN491" s="4">
        <v>4323</v>
      </c>
      <c r="BR491">
        <v>543</v>
      </c>
      <c r="BT491">
        <v>7</v>
      </c>
      <c r="BU491">
        <v>17</v>
      </c>
      <c r="BV491">
        <v>3</v>
      </c>
      <c r="BX491">
        <v>51</v>
      </c>
      <c r="BZ491">
        <v>43</v>
      </c>
      <c r="CK491" t="s">
        <v>360</v>
      </c>
      <c r="CM491">
        <v>1911</v>
      </c>
    </row>
    <row r="492" spans="1:91" x14ac:dyDescent="0.3">
      <c r="A492" t="s">
        <v>1022</v>
      </c>
      <c r="B492">
        <v>46491</v>
      </c>
      <c r="D492">
        <v>12</v>
      </c>
      <c r="I492">
        <v>577955</v>
      </c>
      <c r="U492">
        <v>1</v>
      </c>
      <c r="Y492">
        <v>1</v>
      </c>
      <c r="AA492">
        <v>2.34</v>
      </c>
      <c r="AC492" s="3">
        <v>2.37</v>
      </c>
      <c r="AE492" s="3">
        <v>2.31</v>
      </c>
      <c r="AI492">
        <v>2.31</v>
      </c>
      <c r="AJ492" t="s">
        <v>379</v>
      </c>
      <c r="AK492" s="3"/>
      <c r="AV492" t="s">
        <v>853</v>
      </c>
      <c r="AZ492" t="s">
        <v>853</v>
      </c>
      <c r="BG492">
        <v>12</v>
      </c>
      <c r="BH492">
        <v>18</v>
      </c>
      <c r="BI492">
        <v>12</v>
      </c>
      <c r="BJ492">
        <v>18</v>
      </c>
      <c r="BK492" s="4">
        <v>3654</v>
      </c>
      <c r="BL492" s="4">
        <v>3866</v>
      </c>
      <c r="BM492" s="4">
        <v>4019</v>
      </c>
      <c r="BN492" s="4">
        <v>4231</v>
      </c>
      <c r="BR492">
        <v>790700</v>
      </c>
      <c r="BS492" t="s">
        <v>1023</v>
      </c>
      <c r="BT492">
        <v>6</v>
      </c>
      <c r="BU492">
        <v>9</v>
      </c>
      <c r="BV492">
        <v>9</v>
      </c>
      <c r="BX492">
        <v>2.34</v>
      </c>
      <c r="BZ492">
        <v>2.06</v>
      </c>
      <c r="CK492" t="s">
        <v>393</v>
      </c>
      <c r="CM492">
        <v>1911</v>
      </c>
    </row>
    <row r="493" spans="1:91" x14ac:dyDescent="0.3">
      <c r="A493" t="s">
        <v>1022</v>
      </c>
      <c r="B493">
        <v>46493</v>
      </c>
      <c r="C493" t="s">
        <v>844</v>
      </c>
      <c r="D493">
        <v>12</v>
      </c>
      <c r="I493">
        <v>33380</v>
      </c>
      <c r="U493">
        <v>10</v>
      </c>
      <c r="Y493">
        <v>10</v>
      </c>
      <c r="AA493">
        <v>11.12</v>
      </c>
      <c r="AC493" s="3">
        <v>11.12</v>
      </c>
      <c r="AE493" s="3">
        <v>10.87</v>
      </c>
      <c r="AI493">
        <v>10.87</v>
      </c>
      <c r="AJ493" t="s">
        <v>379</v>
      </c>
      <c r="AK493" s="3"/>
      <c r="AV493" t="s">
        <v>1024</v>
      </c>
      <c r="AX493" t="s">
        <v>1024</v>
      </c>
      <c r="AZ493" t="s">
        <v>1024</v>
      </c>
      <c r="BB493" t="s">
        <v>1024</v>
      </c>
      <c r="BO493" t="s">
        <v>367</v>
      </c>
      <c r="BR493">
        <v>790700</v>
      </c>
      <c r="BS493" t="s">
        <v>1023</v>
      </c>
      <c r="BT493">
        <v>5</v>
      </c>
      <c r="BU493">
        <v>10</v>
      </c>
      <c r="BV493">
        <v>3</v>
      </c>
      <c r="BX493">
        <v>11.5</v>
      </c>
      <c r="BZ493">
        <v>10.5</v>
      </c>
      <c r="CM493">
        <v>1911</v>
      </c>
    </row>
    <row r="494" spans="1:91" x14ac:dyDescent="0.3">
      <c r="A494" t="s">
        <v>1022</v>
      </c>
      <c r="B494">
        <v>46492</v>
      </c>
      <c r="C494" t="s">
        <v>1025</v>
      </c>
      <c r="D494">
        <v>12</v>
      </c>
      <c r="I494">
        <v>91000</v>
      </c>
      <c r="J494" t="s">
        <v>800</v>
      </c>
      <c r="U494">
        <v>100</v>
      </c>
      <c r="Y494">
        <v>100</v>
      </c>
      <c r="AA494">
        <v>100</v>
      </c>
      <c r="AC494" s="3">
        <v>100</v>
      </c>
      <c r="AE494" s="3">
        <v>100</v>
      </c>
      <c r="AI494">
        <v>100</v>
      </c>
      <c r="AK494" s="3"/>
      <c r="AV494" t="s">
        <v>373</v>
      </c>
      <c r="AX494" t="s">
        <v>373</v>
      </c>
      <c r="AZ494" t="s">
        <v>373</v>
      </c>
      <c r="BB494" t="s">
        <v>373</v>
      </c>
      <c r="BO494" t="s">
        <v>367</v>
      </c>
      <c r="BR494">
        <v>790700</v>
      </c>
      <c r="BS494" t="s">
        <v>1023</v>
      </c>
      <c r="BT494">
        <v>5</v>
      </c>
      <c r="BU494">
        <v>10</v>
      </c>
      <c r="BV494">
        <v>3</v>
      </c>
      <c r="BX494">
        <v>104</v>
      </c>
      <c r="BZ494">
        <v>99.5</v>
      </c>
      <c r="CM494">
        <v>1911</v>
      </c>
    </row>
    <row r="495" spans="1:91" x14ac:dyDescent="0.3">
      <c r="A495" t="s">
        <v>1026</v>
      </c>
      <c r="B495">
        <v>46583</v>
      </c>
      <c r="D495">
        <v>12</v>
      </c>
      <c r="I495">
        <v>23000</v>
      </c>
      <c r="U495">
        <v>10</v>
      </c>
      <c r="Y495">
        <v>10</v>
      </c>
      <c r="AA495">
        <v>6</v>
      </c>
      <c r="AC495" s="3">
        <v>6</v>
      </c>
      <c r="AE495" s="3">
        <v>5.75</v>
      </c>
      <c r="AI495">
        <v>5.75</v>
      </c>
      <c r="AK495" s="3"/>
      <c r="BG495">
        <v>3</v>
      </c>
      <c r="BH495">
        <v>9</v>
      </c>
      <c r="BI495">
        <v>6</v>
      </c>
      <c r="BJ495">
        <v>6</v>
      </c>
      <c r="BK495" s="4">
        <v>3805</v>
      </c>
      <c r="BL495" s="4">
        <v>3988</v>
      </c>
      <c r="BM495" s="4">
        <v>4170</v>
      </c>
      <c r="BN495" s="4">
        <v>4353</v>
      </c>
      <c r="BR495">
        <v>59323</v>
      </c>
      <c r="BT495">
        <v>10</v>
      </c>
      <c r="BU495">
        <v>8</v>
      </c>
      <c r="BV495">
        <v>9</v>
      </c>
      <c r="BX495">
        <v>6</v>
      </c>
      <c r="BZ495">
        <v>5</v>
      </c>
      <c r="CK495" t="s">
        <v>360</v>
      </c>
      <c r="CM495">
        <v>1911</v>
      </c>
    </row>
    <row r="496" spans="1:91" x14ac:dyDescent="0.3">
      <c r="A496" t="s">
        <v>1027</v>
      </c>
      <c r="B496">
        <v>46717</v>
      </c>
      <c r="D496">
        <v>12</v>
      </c>
      <c r="I496">
        <v>13000</v>
      </c>
      <c r="U496">
        <v>10</v>
      </c>
      <c r="Y496">
        <v>10</v>
      </c>
      <c r="AA496">
        <v>17.5</v>
      </c>
      <c r="AB496" t="s">
        <v>379</v>
      </c>
      <c r="AC496" s="3">
        <v>17.5</v>
      </c>
      <c r="AE496" s="3">
        <v>17.5</v>
      </c>
      <c r="AI496">
        <v>17.5</v>
      </c>
      <c r="AK496" s="3"/>
      <c r="AX496" t="s">
        <v>853</v>
      </c>
      <c r="BB496" t="s">
        <v>853</v>
      </c>
      <c r="BG496">
        <v>20</v>
      </c>
      <c r="BH496">
        <v>10</v>
      </c>
      <c r="BI496">
        <v>20</v>
      </c>
      <c r="BJ496">
        <v>10</v>
      </c>
      <c r="BK496" s="4">
        <v>3805</v>
      </c>
      <c r="BL496" s="4">
        <v>3958</v>
      </c>
      <c r="BM496" s="4">
        <v>4170</v>
      </c>
      <c r="BN496" s="4">
        <v>4323</v>
      </c>
      <c r="BR496">
        <v>199017</v>
      </c>
      <c r="BS496" t="s">
        <v>1028</v>
      </c>
      <c r="BT496">
        <v>8</v>
      </c>
      <c r="BU496">
        <v>11</v>
      </c>
      <c r="BV496">
        <v>6</v>
      </c>
      <c r="BX496">
        <v>19.5</v>
      </c>
      <c r="BZ496">
        <v>17.5</v>
      </c>
      <c r="CK496" t="s">
        <v>360</v>
      </c>
      <c r="CM496">
        <v>1911</v>
      </c>
    </row>
    <row r="497" spans="1:91" x14ac:dyDescent="0.3">
      <c r="A497" t="s">
        <v>1027</v>
      </c>
      <c r="B497">
        <v>46718</v>
      </c>
      <c r="C497" t="s">
        <v>844</v>
      </c>
      <c r="D497">
        <v>12</v>
      </c>
      <c r="I497">
        <v>14000</v>
      </c>
      <c r="U497">
        <v>10</v>
      </c>
      <c r="Y497">
        <v>10</v>
      </c>
      <c r="AA497">
        <v>10.25</v>
      </c>
      <c r="AC497" s="3">
        <v>10.25</v>
      </c>
      <c r="AE497" s="3">
        <v>10.25</v>
      </c>
      <c r="AI497">
        <v>10.25</v>
      </c>
      <c r="AK497" s="3"/>
      <c r="AV497" t="s">
        <v>373</v>
      </c>
      <c r="AX497" t="s">
        <v>373</v>
      </c>
      <c r="AZ497" t="s">
        <v>373</v>
      </c>
      <c r="BB497" t="s">
        <v>373</v>
      </c>
      <c r="BO497" t="s">
        <v>367</v>
      </c>
      <c r="BR497">
        <v>199017</v>
      </c>
      <c r="BS497" t="s">
        <v>1028</v>
      </c>
      <c r="BT497">
        <v>5</v>
      </c>
      <c r="BU497">
        <v>17</v>
      </c>
      <c r="BV497">
        <v>0</v>
      </c>
      <c r="BX497">
        <v>10.25</v>
      </c>
      <c r="BZ497">
        <v>10</v>
      </c>
      <c r="CM497">
        <v>1911</v>
      </c>
    </row>
    <row r="498" spans="1:91" x14ac:dyDescent="0.3">
      <c r="A498" t="s">
        <v>1029</v>
      </c>
      <c r="B498">
        <v>46855</v>
      </c>
      <c r="D498">
        <v>12</v>
      </c>
      <c r="I498">
        <v>20500</v>
      </c>
      <c r="U498">
        <v>10</v>
      </c>
      <c r="Y498">
        <v>10</v>
      </c>
      <c r="AA498">
        <v>5.37</v>
      </c>
      <c r="AC498" s="3">
        <v>5.5</v>
      </c>
      <c r="AE498" s="3">
        <v>5.37</v>
      </c>
      <c r="AI498">
        <v>5.5</v>
      </c>
      <c r="AK498" s="3"/>
      <c r="AV498" t="s">
        <v>815</v>
      </c>
      <c r="AX498" t="s">
        <v>815</v>
      </c>
      <c r="AZ498" t="s">
        <v>815</v>
      </c>
      <c r="BB498" t="s">
        <v>815</v>
      </c>
      <c r="BG498">
        <v>4</v>
      </c>
      <c r="BH498">
        <v>5</v>
      </c>
      <c r="BI498">
        <v>5</v>
      </c>
      <c r="BJ498">
        <v>3</v>
      </c>
      <c r="BK498" s="4">
        <v>3379</v>
      </c>
      <c r="BL498" s="4">
        <v>3744</v>
      </c>
      <c r="BM498" s="4">
        <v>4109</v>
      </c>
      <c r="BN498" s="4">
        <v>4292</v>
      </c>
      <c r="BR498">
        <v>46165</v>
      </c>
      <c r="BS498" t="s">
        <v>1030</v>
      </c>
      <c r="BT498">
        <v>9</v>
      </c>
      <c r="BU498">
        <v>1</v>
      </c>
      <c r="BV498">
        <v>9</v>
      </c>
      <c r="BX498">
        <v>6.06</v>
      </c>
      <c r="BZ498">
        <v>5</v>
      </c>
      <c r="CK498" t="s">
        <v>360</v>
      </c>
      <c r="CM498">
        <v>1911</v>
      </c>
    </row>
    <row r="499" spans="1:91" x14ac:dyDescent="0.3">
      <c r="A499" t="s">
        <v>1029</v>
      </c>
      <c r="B499">
        <v>46857</v>
      </c>
      <c r="C499" t="s">
        <v>1031</v>
      </c>
      <c r="D499">
        <v>12</v>
      </c>
      <c r="I499">
        <v>20500</v>
      </c>
      <c r="U499">
        <v>10</v>
      </c>
      <c r="Y499">
        <v>10</v>
      </c>
      <c r="AA499">
        <v>9.25</v>
      </c>
      <c r="AC499" s="3">
        <v>9.25</v>
      </c>
      <c r="AE499" s="3">
        <v>9.25</v>
      </c>
      <c r="AI499">
        <v>9.25</v>
      </c>
      <c r="AK499" s="3"/>
      <c r="AV499" t="s">
        <v>536</v>
      </c>
      <c r="AX499" t="s">
        <v>536</v>
      </c>
      <c r="AZ499" t="s">
        <v>536</v>
      </c>
      <c r="BB499" t="s">
        <v>536</v>
      </c>
      <c r="BO499" t="s">
        <v>367</v>
      </c>
      <c r="BR499">
        <v>46165</v>
      </c>
      <c r="BS499" t="s">
        <v>1030</v>
      </c>
      <c r="BT499">
        <v>8</v>
      </c>
      <c r="BU499">
        <v>15</v>
      </c>
      <c r="BV499">
        <v>0</v>
      </c>
      <c r="BX499">
        <v>10</v>
      </c>
      <c r="BZ499">
        <v>8.43</v>
      </c>
      <c r="CM499">
        <v>1911</v>
      </c>
    </row>
    <row r="500" spans="1:91" x14ac:dyDescent="0.3">
      <c r="A500" t="s">
        <v>1029</v>
      </c>
      <c r="B500">
        <v>46856</v>
      </c>
      <c r="C500" t="s">
        <v>1032</v>
      </c>
      <c r="D500">
        <v>12</v>
      </c>
      <c r="I500">
        <v>194000</v>
      </c>
      <c r="J500" t="s">
        <v>800</v>
      </c>
      <c r="U500">
        <v>100</v>
      </c>
      <c r="Y500">
        <v>100</v>
      </c>
      <c r="AA500">
        <v>96.5</v>
      </c>
      <c r="AC500" s="3">
        <v>96.5</v>
      </c>
      <c r="AE500" s="3">
        <v>96.5</v>
      </c>
      <c r="AI500">
        <v>96.5</v>
      </c>
      <c r="AK500" s="3"/>
      <c r="AV500" t="s">
        <v>536</v>
      </c>
      <c r="AX500" t="s">
        <v>536</v>
      </c>
      <c r="AZ500" t="s">
        <v>536</v>
      </c>
      <c r="BB500" t="s">
        <v>536</v>
      </c>
      <c r="BO500" t="s">
        <v>367</v>
      </c>
      <c r="BR500">
        <v>46165</v>
      </c>
      <c r="BS500" t="s">
        <v>1030</v>
      </c>
      <c r="BT500">
        <v>6</v>
      </c>
      <c r="BU500">
        <v>4</v>
      </c>
      <c r="BV500">
        <v>9</v>
      </c>
      <c r="BX500">
        <v>100</v>
      </c>
      <c r="BZ500">
        <v>96.5</v>
      </c>
      <c r="CM500">
        <v>1911</v>
      </c>
    </row>
    <row r="501" spans="1:91" x14ac:dyDescent="0.3">
      <c r="A501" t="s">
        <v>1033</v>
      </c>
      <c r="B501">
        <v>46883</v>
      </c>
      <c r="D501">
        <v>12</v>
      </c>
      <c r="I501">
        <v>200000</v>
      </c>
      <c r="J501" t="s">
        <v>800</v>
      </c>
      <c r="V501" t="s">
        <v>350</v>
      </c>
      <c r="Y501">
        <v>100</v>
      </c>
      <c r="AA501">
        <v>73</v>
      </c>
      <c r="AC501" s="3">
        <v>73</v>
      </c>
      <c r="AE501" s="3">
        <v>71</v>
      </c>
      <c r="AI501">
        <v>71</v>
      </c>
      <c r="AJ501" t="s">
        <v>379</v>
      </c>
      <c r="AK501" s="3"/>
      <c r="BG501">
        <v>4</v>
      </c>
      <c r="BH501">
        <v>4</v>
      </c>
      <c r="BI501">
        <v>4</v>
      </c>
      <c r="BJ501">
        <v>4</v>
      </c>
      <c r="BK501" s="4">
        <v>3654</v>
      </c>
      <c r="BL501" s="4">
        <v>3835</v>
      </c>
      <c r="BM501" s="4">
        <v>4019</v>
      </c>
      <c r="BN501" s="4">
        <v>4200</v>
      </c>
      <c r="BR501">
        <v>88894</v>
      </c>
      <c r="BT501">
        <v>5</v>
      </c>
      <c r="BU501">
        <v>12</v>
      </c>
      <c r="BV501">
        <v>9</v>
      </c>
      <c r="BX501">
        <v>75</v>
      </c>
      <c r="BZ501">
        <v>69</v>
      </c>
      <c r="CK501" t="s">
        <v>360</v>
      </c>
      <c r="CM501">
        <v>1911</v>
      </c>
    </row>
    <row r="502" spans="1:91" x14ac:dyDescent="0.3">
      <c r="A502" t="s">
        <v>1034</v>
      </c>
      <c r="B502">
        <v>46725</v>
      </c>
      <c r="D502">
        <v>12</v>
      </c>
      <c r="I502">
        <v>50000</v>
      </c>
      <c r="U502">
        <v>4</v>
      </c>
      <c r="Y502">
        <v>4</v>
      </c>
      <c r="AA502">
        <v>2.12</v>
      </c>
      <c r="AC502" s="3">
        <v>2.12</v>
      </c>
      <c r="AE502" s="3">
        <v>2</v>
      </c>
      <c r="AI502">
        <v>2</v>
      </c>
      <c r="AJ502" t="s">
        <v>379</v>
      </c>
      <c r="AK502" s="3"/>
      <c r="AV502" t="s">
        <v>853</v>
      </c>
      <c r="AZ502" t="s">
        <v>815</v>
      </c>
      <c r="BB502" t="s">
        <v>815</v>
      </c>
      <c r="BG502">
        <v>5</v>
      </c>
      <c r="BH502">
        <v>7</v>
      </c>
      <c r="BI502">
        <v>4</v>
      </c>
      <c r="BJ502">
        <v>3.5</v>
      </c>
      <c r="BK502" s="4">
        <v>3470</v>
      </c>
      <c r="BL502" s="4">
        <v>3623</v>
      </c>
      <c r="BM502" s="4">
        <v>3988</v>
      </c>
      <c r="BN502" s="4">
        <v>4353</v>
      </c>
      <c r="BR502">
        <v>14321</v>
      </c>
      <c r="BS502" t="s">
        <v>1035</v>
      </c>
      <c r="BT502">
        <v>7</v>
      </c>
      <c r="BU502">
        <v>0</v>
      </c>
      <c r="BV502">
        <v>0</v>
      </c>
      <c r="BX502">
        <v>2.12</v>
      </c>
      <c r="BZ502">
        <v>1.65</v>
      </c>
      <c r="CK502" t="s">
        <v>360</v>
      </c>
      <c r="CM502">
        <v>1911</v>
      </c>
    </row>
    <row r="503" spans="1:91" x14ac:dyDescent="0.3">
      <c r="A503" t="s">
        <v>1034</v>
      </c>
      <c r="B503">
        <v>46726</v>
      </c>
      <c r="C503" t="s">
        <v>902</v>
      </c>
      <c r="D503">
        <v>12</v>
      </c>
      <c r="I503">
        <v>50000</v>
      </c>
      <c r="U503">
        <v>4</v>
      </c>
      <c r="Y503">
        <v>4</v>
      </c>
      <c r="AA503">
        <v>3.12</v>
      </c>
      <c r="AC503" s="3">
        <v>3.12</v>
      </c>
      <c r="AE503" s="3">
        <v>3</v>
      </c>
      <c r="AI503">
        <v>3</v>
      </c>
      <c r="AJ503" t="s">
        <v>379</v>
      </c>
      <c r="AK503" s="3"/>
      <c r="AV503" t="s">
        <v>1036</v>
      </c>
      <c r="AX503" t="s">
        <v>1036</v>
      </c>
      <c r="AZ503" t="s">
        <v>1036</v>
      </c>
      <c r="BB503" t="s">
        <v>1036</v>
      </c>
      <c r="BO503" t="s">
        <v>367</v>
      </c>
      <c r="BR503">
        <v>14321</v>
      </c>
      <c r="BS503" t="s">
        <v>1035</v>
      </c>
      <c r="BT503">
        <v>8</v>
      </c>
      <c r="BU503">
        <v>0</v>
      </c>
      <c r="BV503">
        <v>0</v>
      </c>
      <c r="BX503">
        <v>3.5</v>
      </c>
      <c r="BZ503">
        <v>3</v>
      </c>
      <c r="CM503">
        <v>1911</v>
      </c>
    </row>
    <row r="504" spans="1:91" x14ac:dyDescent="0.3">
      <c r="A504" t="s">
        <v>1037</v>
      </c>
      <c r="B504">
        <v>46930</v>
      </c>
      <c r="D504">
        <v>12</v>
      </c>
      <c r="I504">
        <v>380000</v>
      </c>
      <c r="J504" t="s">
        <v>800</v>
      </c>
      <c r="V504" t="s">
        <v>350</v>
      </c>
      <c r="Y504">
        <v>100</v>
      </c>
      <c r="AA504">
        <v>18.5</v>
      </c>
      <c r="AC504" s="3">
        <v>18.5</v>
      </c>
      <c r="AE504" s="3">
        <v>18</v>
      </c>
      <c r="AI504">
        <v>17.5</v>
      </c>
      <c r="AK504" s="3"/>
      <c r="AV504" t="s">
        <v>853</v>
      </c>
      <c r="AZ504" t="s">
        <v>815</v>
      </c>
      <c r="BB504" t="s">
        <v>810</v>
      </c>
      <c r="BG504">
        <v>3</v>
      </c>
      <c r="BH504">
        <v>2</v>
      </c>
      <c r="BI504">
        <v>1.5</v>
      </c>
      <c r="BK504" s="4">
        <v>3470</v>
      </c>
      <c r="BL504" s="4">
        <v>3623</v>
      </c>
      <c r="BM504" s="4">
        <v>3988</v>
      </c>
      <c r="BS504" t="s">
        <v>385</v>
      </c>
      <c r="BW504" t="s">
        <v>802</v>
      </c>
      <c r="BX504">
        <v>20</v>
      </c>
      <c r="BZ504">
        <v>13</v>
      </c>
      <c r="CK504" t="s">
        <v>360</v>
      </c>
      <c r="CL504" t="s">
        <v>457</v>
      </c>
      <c r="CM504">
        <v>1911</v>
      </c>
    </row>
    <row r="505" spans="1:91" x14ac:dyDescent="0.3">
      <c r="A505" t="s">
        <v>1037</v>
      </c>
      <c r="B505">
        <v>46933</v>
      </c>
      <c r="C505" t="s">
        <v>1038</v>
      </c>
      <c r="D505">
        <v>12</v>
      </c>
      <c r="I505">
        <v>330000</v>
      </c>
      <c r="J505" t="s">
        <v>800</v>
      </c>
      <c r="U505">
        <v>100</v>
      </c>
      <c r="Y505">
        <v>100</v>
      </c>
      <c r="AA505">
        <v>77.5</v>
      </c>
      <c r="AC505" s="3">
        <v>77.5</v>
      </c>
      <c r="AE505" s="3">
        <v>77.5</v>
      </c>
      <c r="AI505">
        <v>77.5</v>
      </c>
      <c r="AK505" s="3"/>
      <c r="AV505" t="s">
        <v>506</v>
      </c>
      <c r="AX505" t="s">
        <v>506</v>
      </c>
      <c r="AZ505" t="s">
        <v>506</v>
      </c>
      <c r="BB505" t="s">
        <v>506</v>
      </c>
      <c r="BO505" t="s">
        <v>367</v>
      </c>
      <c r="BS505" t="s">
        <v>385</v>
      </c>
      <c r="BT505">
        <v>7</v>
      </c>
      <c r="BU505">
        <v>15</v>
      </c>
      <c r="BV505">
        <v>6</v>
      </c>
      <c r="BX505">
        <v>80.5</v>
      </c>
      <c r="BZ505">
        <v>75.5</v>
      </c>
      <c r="CM505">
        <v>1911</v>
      </c>
    </row>
    <row r="506" spans="1:91" x14ac:dyDescent="0.3">
      <c r="A506" t="s">
        <v>1039</v>
      </c>
      <c r="B506">
        <v>46963</v>
      </c>
      <c r="D506">
        <v>12</v>
      </c>
      <c r="I506">
        <v>20000</v>
      </c>
      <c r="U506">
        <v>10</v>
      </c>
      <c r="Y506">
        <v>10</v>
      </c>
      <c r="AA506">
        <v>4.75</v>
      </c>
      <c r="AC506" s="3">
        <v>5</v>
      </c>
      <c r="AE506" s="3">
        <v>4.75</v>
      </c>
      <c r="AI506">
        <v>5</v>
      </c>
      <c r="AJ506" t="s">
        <v>379</v>
      </c>
      <c r="AK506" s="3"/>
      <c r="AV506" t="s">
        <v>815</v>
      </c>
      <c r="AX506" t="s">
        <v>815</v>
      </c>
      <c r="AZ506" t="s">
        <v>815</v>
      </c>
      <c r="BB506" t="s">
        <v>815</v>
      </c>
      <c r="BG506">
        <v>5</v>
      </c>
      <c r="BH506">
        <v>5</v>
      </c>
      <c r="BI506">
        <v>2.5</v>
      </c>
      <c r="BJ506">
        <v>5</v>
      </c>
      <c r="BK506" s="4">
        <v>3289</v>
      </c>
      <c r="BL506" s="4">
        <v>3654</v>
      </c>
      <c r="BM506" s="4">
        <v>4019</v>
      </c>
      <c r="BN506" s="4">
        <v>4384</v>
      </c>
      <c r="BR506">
        <v>179313</v>
      </c>
      <c r="BS506" t="s">
        <v>1040</v>
      </c>
      <c r="BT506">
        <v>10</v>
      </c>
      <c r="BU506">
        <v>0</v>
      </c>
      <c r="BV506">
        <v>0</v>
      </c>
      <c r="BX506">
        <v>5</v>
      </c>
      <c r="BZ506">
        <v>4.5</v>
      </c>
      <c r="CK506" t="s">
        <v>1041</v>
      </c>
      <c r="CM506">
        <v>1911</v>
      </c>
    </row>
    <row r="507" spans="1:91" x14ac:dyDescent="0.3">
      <c r="A507" t="s">
        <v>1039</v>
      </c>
      <c r="B507">
        <v>46965</v>
      </c>
      <c r="C507" t="s">
        <v>844</v>
      </c>
      <c r="D507">
        <v>12</v>
      </c>
      <c r="I507">
        <v>20000</v>
      </c>
      <c r="U507">
        <v>10</v>
      </c>
      <c r="Y507">
        <v>10</v>
      </c>
      <c r="AA507">
        <v>6.75</v>
      </c>
      <c r="AC507" s="3">
        <v>7</v>
      </c>
      <c r="AE507" s="3">
        <v>6.75</v>
      </c>
      <c r="AI507">
        <v>7</v>
      </c>
      <c r="AJ507" t="s">
        <v>379</v>
      </c>
      <c r="AK507" s="3"/>
      <c r="AV507" t="s">
        <v>1036</v>
      </c>
      <c r="AX507" t="s">
        <v>1036</v>
      </c>
      <c r="AZ507" t="s">
        <v>1036</v>
      </c>
      <c r="BB507" t="s">
        <v>1036</v>
      </c>
      <c r="BO507" t="s">
        <v>367</v>
      </c>
      <c r="BR507">
        <v>179313</v>
      </c>
      <c r="BS507" t="s">
        <v>1040</v>
      </c>
      <c r="BT507">
        <v>8</v>
      </c>
      <c r="BU507">
        <v>11</v>
      </c>
      <c r="BV507">
        <v>6</v>
      </c>
      <c r="BX507">
        <v>7.25</v>
      </c>
      <c r="BZ507">
        <v>6.75</v>
      </c>
      <c r="CM507">
        <v>1911</v>
      </c>
    </row>
    <row r="508" spans="1:91" x14ac:dyDescent="0.3">
      <c r="A508" t="s">
        <v>1039</v>
      </c>
      <c r="B508">
        <v>46964</v>
      </c>
      <c r="C508" t="s">
        <v>1042</v>
      </c>
      <c r="D508">
        <v>12</v>
      </c>
      <c r="I508">
        <v>300000</v>
      </c>
      <c r="J508" t="s">
        <v>800</v>
      </c>
      <c r="U508">
        <v>100</v>
      </c>
      <c r="Y508">
        <v>100</v>
      </c>
      <c r="AA508">
        <v>96.5</v>
      </c>
      <c r="AC508" s="3">
        <v>99</v>
      </c>
      <c r="AE508" s="3">
        <v>96.5</v>
      </c>
      <c r="AI508">
        <v>97.5</v>
      </c>
      <c r="AK508" s="3"/>
      <c r="AV508" t="s">
        <v>366</v>
      </c>
      <c r="AX508" t="s">
        <v>366</v>
      </c>
      <c r="AZ508" t="s">
        <v>366</v>
      </c>
      <c r="BB508" t="s">
        <v>366</v>
      </c>
      <c r="BO508" t="s">
        <v>367</v>
      </c>
      <c r="BR508">
        <v>179313</v>
      </c>
      <c r="BS508" t="s">
        <v>1040</v>
      </c>
      <c r="BT508">
        <v>5</v>
      </c>
      <c r="BU508">
        <v>2</v>
      </c>
      <c r="BV508">
        <v>6</v>
      </c>
      <c r="BX508">
        <v>101</v>
      </c>
      <c r="BZ508">
        <v>96.5</v>
      </c>
      <c r="CM508">
        <v>1911</v>
      </c>
    </row>
    <row r="509" spans="1:91" x14ac:dyDescent="0.3">
      <c r="A509" t="s">
        <v>1039</v>
      </c>
      <c r="B509">
        <v>46966</v>
      </c>
      <c r="C509" t="s">
        <v>1043</v>
      </c>
      <c r="D509">
        <v>12</v>
      </c>
      <c r="I509">
        <v>300000</v>
      </c>
      <c r="J509" t="s">
        <v>800</v>
      </c>
      <c r="V509" t="s">
        <v>350</v>
      </c>
      <c r="Y509">
        <v>100</v>
      </c>
      <c r="AA509">
        <v>65</v>
      </c>
      <c r="AC509" s="3">
        <v>67</v>
      </c>
      <c r="AE509" s="3">
        <v>65</v>
      </c>
      <c r="AI509">
        <v>65</v>
      </c>
      <c r="AK509" s="3"/>
      <c r="AV509" t="s">
        <v>506</v>
      </c>
      <c r="AX509" t="s">
        <v>506</v>
      </c>
      <c r="AZ509" t="s">
        <v>506</v>
      </c>
      <c r="BB509" t="s">
        <v>506</v>
      </c>
      <c r="BO509" t="s">
        <v>367</v>
      </c>
      <c r="BR509">
        <v>179313</v>
      </c>
      <c r="BS509" t="s">
        <v>1040</v>
      </c>
      <c r="BT509">
        <v>6</v>
      </c>
      <c r="BU509">
        <v>3</v>
      </c>
      <c r="BV509">
        <v>6</v>
      </c>
      <c r="BX509">
        <v>68</v>
      </c>
      <c r="BZ509">
        <v>60.25</v>
      </c>
      <c r="CM509">
        <v>1911</v>
      </c>
    </row>
    <row r="510" spans="1:91" x14ac:dyDescent="0.3">
      <c r="A510" t="s">
        <v>1044</v>
      </c>
      <c r="B510">
        <v>47040</v>
      </c>
      <c r="D510">
        <v>12</v>
      </c>
      <c r="I510">
        <v>25000</v>
      </c>
      <c r="U510">
        <v>10</v>
      </c>
      <c r="Y510">
        <v>10</v>
      </c>
      <c r="AA510">
        <v>3.25</v>
      </c>
      <c r="AC510" s="3">
        <v>3.25</v>
      </c>
      <c r="AE510" s="3">
        <v>3.18</v>
      </c>
      <c r="AI510">
        <v>3.25</v>
      </c>
      <c r="AK510" s="3"/>
      <c r="BG510">
        <v>5</v>
      </c>
      <c r="BH510">
        <v>5</v>
      </c>
      <c r="BI510">
        <v>5</v>
      </c>
      <c r="BJ510">
        <v>5</v>
      </c>
      <c r="BK510" s="4">
        <v>3744</v>
      </c>
      <c r="BL510" s="4">
        <v>3927</v>
      </c>
      <c r="BM510" s="4">
        <v>4109</v>
      </c>
      <c r="BN510" s="4">
        <v>4292</v>
      </c>
      <c r="BR510">
        <v>10432</v>
      </c>
      <c r="BS510" t="s">
        <v>1045</v>
      </c>
      <c r="BT510">
        <v>15</v>
      </c>
      <c r="BU510">
        <v>7</v>
      </c>
      <c r="BV510">
        <v>9</v>
      </c>
      <c r="BX510">
        <v>5.25</v>
      </c>
      <c r="BZ510">
        <v>3</v>
      </c>
      <c r="CK510" t="s">
        <v>360</v>
      </c>
      <c r="CM510">
        <v>1911</v>
      </c>
    </row>
    <row r="511" spans="1:91" x14ac:dyDescent="0.3">
      <c r="A511" t="s">
        <v>1044</v>
      </c>
      <c r="B511">
        <v>47041</v>
      </c>
      <c r="C511" t="s">
        <v>1046</v>
      </c>
      <c r="D511">
        <v>12</v>
      </c>
      <c r="I511">
        <v>300000</v>
      </c>
      <c r="J511" t="s">
        <v>800</v>
      </c>
      <c r="V511" t="s">
        <v>350</v>
      </c>
      <c r="Y511">
        <v>100</v>
      </c>
      <c r="AA511">
        <v>62.5</v>
      </c>
      <c r="AC511" s="3">
        <v>63.5</v>
      </c>
      <c r="AE511" s="3">
        <v>62.5</v>
      </c>
      <c r="AI511">
        <v>63.5</v>
      </c>
      <c r="AK511" s="3"/>
      <c r="AV511" t="s">
        <v>536</v>
      </c>
      <c r="AX511" t="s">
        <v>536</v>
      </c>
      <c r="AZ511" t="s">
        <v>536</v>
      </c>
      <c r="BB511" t="s">
        <v>536</v>
      </c>
      <c r="BO511" t="s">
        <v>367</v>
      </c>
      <c r="BR511">
        <v>10432</v>
      </c>
      <c r="BS511" t="s">
        <v>1045</v>
      </c>
      <c r="BT511">
        <v>6</v>
      </c>
      <c r="BU511">
        <v>7</v>
      </c>
      <c r="BV511">
        <v>0</v>
      </c>
      <c r="BX511">
        <v>68.5</v>
      </c>
      <c r="BZ511">
        <v>60</v>
      </c>
      <c r="CM511">
        <v>1911</v>
      </c>
    </row>
    <row r="512" spans="1:91" x14ac:dyDescent="0.3">
      <c r="A512" t="s">
        <v>1047</v>
      </c>
      <c r="B512">
        <v>47104</v>
      </c>
      <c r="D512">
        <v>12</v>
      </c>
      <c r="I512">
        <v>12500</v>
      </c>
      <c r="U512">
        <v>10</v>
      </c>
      <c r="Y512">
        <v>10</v>
      </c>
      <c r="AA512">
        <v>5.5</v>
      </c>
      <c r="AC512" s="3">
        <v>5.5</v>
      </c>
      <c r="AE512" s="3">
        <v>5.25</v>
      </c>
      <c r="AI512">
        <v>5.5</v>
      </c>
      <c r="AJ512" t="s">
        <v>379</v>
      </c>
      <c r="AK512" s="3"/>
      <c r="AV512" t="s">
        <v>815</v>
      </c>
      <c r="AX512" t="s">
        <v>815</v>
      </c>
      <c r="AZ512" t="s">
        <v>815</v>
      </c>
      <c r="BB512" t="s">
        <v>815</v>
      </c>
      <c r="BG512">
        <v>6</v>
      </c>
      <c r="BH512">
        <v>5</v>
      </c>
      <c r="BI512">
        <v>6</v>
      </c>
      <c r="BJ512">
        <v>5</v>
      </c>
      <c r="BK512" s="4">
        <v>3289</v>
      </c>
      <c r="BL512" s="4">
        <v>3654</v>
      </c>
      <c r="BM512" s="4">
        <v>4019</v>
      </c>
      <c r="BN512" s="4">
        <v>4384</v>
      </c>
      <c r="BR512">
        <v>78249</v>
      </c>
      <c r="BS512" t="s">
        <v>1048</v>
      </c>
      <c r="BT512">
        <v>10</v>
      </c>
      <c r="BU512">
        <v>18</v>
      </c>
      <c r="BV512">
        <v>3</v>
      </c>
      <c r="BX512">
        <v>6.25</v>
      </c>
      <c r="BZ512">
        <v>5.25</v>
      </c>
      <c r="CK512" t="s">
        <v>360</v>
      </c>
      <c r="CM512">
        <v>1911</v>
      </c>
    </row>
    <row r="513" spans="1:91" x14ac:dyDescent="0.3">
      <c r="A513" t="s">
        <v>1047</v>
      </c>
      <c r="B513">
        <v>47106</v>
      </c>
      <c r="C513" t="s">
        <v>1049</v>
      </c>
      <c r="D513">
        <v>12</v>
      </c>
      <c r="I513">
        <v>7500</v>
      </c>
      <c r="U513">
        <v>10</v>
      </c>
      <c r="Y513">
        <v>10</v>
      </c>
      <c r="AA513">
        <v>7.75</v>
      </c>
      <c r="AC513" s="3">
        <v>7.75</v>
      </c>
      <c r="AE513" s="3">
        <v>7.18</v>
      </c>
      <c r="AI513">
        <v>7.75</v>
      </c>
      <c r="AK513" s="3"/>
      <c r="AV513" t="s">
        <v>536</v>
      </c>
      <c r="AX513" t="s">
        <v>536</v>
      </c>
      <c r="AZ513" t="s">
        <v>536</v>
      </c>
      <c r="BB513" t="s">
        <v>536</v>
      </c>
      <c r="BO513" t="s">
        <v>367</v>
      </c>
      <c r="BR513">
        <v>78249</v>
      </c>
      <c r="BS513" t="s">
        <v>1048</v>
      </c>
      <c r="BT513">
        <v>9</v>
      </c>
      <c r="BU513">
        <v>0</v>
      </c>
      <c r="BV513">
        <v>9</v>
      </c>
      <c r="BX513">
        <v>8.5</v>
      </c>
      <c r="BZ513">
        <v>7.18</v>
      </c>
      <c r="CM513">
        <v>1911</v>
      </c>
    </row>
    <row r="514" spans="1:91" x14ac:dyDescent="0.3">
      <c r="A514" t="s">
        <v>1047</v>
      </c>
      <c r="B514">
        <v>47109</v>
      </c>
      <c r="C514" t="s">
        <v>902</v>
      </c>
      <c r="D514">
        <v>12</v>
      </c>
      <c r="I514">
        <v>5000</v>
      </c>
      <c r="U514">
        <v>10</v>
      </c>
      <c r="Y514">
        <v>10</v>
      </c>
      <c r="AA514">
        <v>6.75</v>
      </c>
      <c r="AC514" s="3">
        <v>6.75</v>
      </c>
      <c r="AE514" s="3">
        <v>6</v>
      </c>
      <c r="AI514">
        <v>6.75</v>
      </c>
      <c r="AK514" s="3"/>
      <c r="AV514" t="s">
        <v>536</v>
      </c>
      <c r="AX514" t="s">
        <v>536</v>
      </c>
      <c r="AZ514" t="s">
        <v>536</v>
      </c>
      <c r="BB514" t="s">
        <v>536</v>
      </c>
      <c r="BO514" t="s">
        <v>367</v>
      </c>
      <c r="BR514">
        <v>78249</v>
      </c>
      <c r="BS514" t="s">
        <v>1048</v>
      </c>
      <c r="BT514">
        <v>8</v>
      </c>
      <c r="BU514">
        <v>17</v>
      </c>
      <c r="BV514">
        <v>9</v>
      </c>
      <c r="BX514">
        <v>7</v>
      </c>
      <c r="BZ514">
        <v>6</v>
      </c>
      <c r="CM514">
        <v>1911</v>
      </c>
    </row>
    <row r="515" spans="1:91" x14ac:dyDescent="0.3">
      <c r="A515" t="s">
        <v>1047</v>
      </c>
      <c r="B515">
        <v>47105</v>
      </c>
      <c r="C515" t="s">
        <v>1050</v>
      </c>
      <c r="D515">
        <v>12</v>
      </c>
      <c r="I515">
        <v>300000</v>
      </c>
      <c r="J515" t="s">
        <v>800</v>
      </c>
      <c r="V515" t="s">
        <v>350</v>
      </c>
      <c r="Y515">
        <v>100</v>
      </c>
      <c r="AA515">
        <v>83</v>
      </c>
      <c r="AC515" s="3">
        <v>83</v>
      </c>
      <c r="AE515" s="3">
        <v>83</v>
      </c>
      <c r="AI515">
        <v>83</v>
      </c>
      <c r="AK515" s="3"/>
      <c r="AV515" t="s">
        <v>536</v>
      </c>
      <c r="AX515" t="s">
        <v>536</v>
      </c>
      <c r="AZ515" t="s">
        <v>536</v>
      </c>
      <c r="BB515" t="s">
        <v>536</v>
      </c>
      <c r="BO515" t="s">
        <v>367</v>
      </c>
      <c r="BR515">
        <v>78249</v>
      </c>
      <c r="BS515" t="s">
        <v>1048</v>
      </c>
      <c r="BT515">
        <v>6</v>
      </c>
      <c r="BU515">
        <v>2</v>
      </c>
      <c r="BV515">
        <v>0</v>
      </c>
      <c r="BX515">
        <v>92.5</v>
      </c>
      <c r="BZ515">
        <v>83</v>
      </c>
      <c r="CM515">
        <v>1911</v>
      </c>
    </row>
    <row r="516" spans="1:91" x14ac:dyDescent="0.3">
      <c r="A516" t="s">
        <v>1051</v>
      </c>
      <c r="B516">
        <v>46684</v>
      </c>
      <c r="D516">
        <v>12</v>
      </c>
      <c r="I516">
        <v>55000</v>
      </c>
      <c r="U516">
        <v>5</v>
      </c>
      <c r="Y516">
        <v>5</v>
      </c>
      <c r="AA516">
        <v>6.87</v>
      </c>
      <c r="AC516" s="3">
        <v>7.12</v>
      </c>
      <c r="AE516" s="3">
        <v>6.87</v>
      </c>
      <c r="AI516">
        <v>7.12</v>
      </c>
      <c r="AK516" s="3"/>
      <c r="AX516" t="s">
        <v>823</v>
      </c>
      <c r="BB516" t="s">
        <v>823</v>
      </c>
      <c r="BG516">
        <v>16</v>
      </c>
      <c r="BH516">
        <v>8</v>
      </c>
      <c r="BI516">
        <v>16</v>
      </c>
      <c r="BJ516">
        <v>8</v>
      </c>
      <c r="BK516" s="4">
        <v>3623</v>
      </c>
      <c r="BL516" s="4">
        <v>3805</v>
      </c>
      <c r="BM516" s="4">
        <v>3988</v>
      </c>
      <c r="BN516" s="4">
        <v>4170</v>
      </c>
      <c r="BR516">
        <v>194839</v>
      </c>
      <c r="BS516" t="s">
        <v>1052</v>
      </c>
      <c r="BT516">
        <v>8</v>
      </c>
      <c r="BU516">
        <v>8</v>
      </c>
      <c r="BV516">
        <v>6</v>
      </c>
      <c r="BX516">
        <v>7.56</v>
      </c>
      <c r="BZ516">
        <v>6.62</v>
      </c>
      <c r="CM516">
        <v>1911</v>
      </c>
    </row>
    <row r="517" spans="1:91" x14ac:dyDescent="0.3">
      <c r="A517" t="s">
        <v>1051</v>
      </c>
      <c r="B517">
        <v>46683</v>
      </c>
      <c r="C517" t="s">
        <v>1053</v>
      </c>
      <c r="D517">
        <v>12</v>
      </c>
      <c r="I517">
        <v>366700</v>
      </c>
      <c r="V517" t="s">
        <v>350</v>
      </c>
      <c r="Y517">
        <v>100</v>
      </c>
      <c r="AA517">
        <v>78.5</v>
      </c>
      <c r="AB517" t="s">
        <v>379</v>
      </c>
      <c r="AC517" s="3">
        <v>78.5</v>
      </c>
      <c r="AE517" s="3">
        <v>78.5</v>
      </c>
      <c r="AI517">
        <v>78.5</v>
      </c>
      <c r="AK517" s="3"/>
      <c r="BG517">
        <v>4</v>
      </c>
      <c r="BH517">
        <v>4</v>
      </c>
      <c r="BI517">
        <v>4</v>
      </c>
      <c r="BJ517">
        <v>4</v>
      </c>
      <c r="BK517" s="4">
        <v>3623</v>
      </c>
      <c r="BL517" s="4">
        <v>3805</v>
      </c>
      <c r="BM517" s="4">
        <v>3988</v>
      </c>
      <c r="BN517" s="4">
        <v>4536</v>
      </c>
      <c r="BR517">
        <v>194839</v>
      </c>
      <c r="BS517" t="s">
        <v>1052</v>
      </c>
      <c r="BT517">
        <v>5</v>
      </c>
      <c r="BU517">
        <v>2</v>
      </c>
      <c r="BV517">
        <v>6</v>
      </c>
      <c r="BX517">
        <v>80.5</v>
      </c>
      <c r="BZ517">
        <v>77.5</v>
      </c>
      <c r="CM517">
        <v>1911</v>
      </c>
    </row>
    <row r="518" spans="1:91" x14ac:dyDescent="0.3">
      <c r="A518" t="s">
        <v>1054</v>
      </c>
      <c r="B518">
        <v>47147</v>
      </c>
      <c r="D518">
        <v>12</v>
      </c>
      <c r="I518">
        <v>136000</v>
      </c>
      <c r="U518">
        <v>1</v>
      </c>
      <c r="Y518">
        <v>1</v>
      </c>
      <c r="AA518">
        <v>0.43</v>
      </c>
      <c r="AC518" s="3">
        <v>0.43</v>
      </c>
      <c r="AE518" s="3">
        <v>0.43</v>
      </c>
      <c r="AI518">
        <v>0.43</v>
      </c>
      <c r="AK518" s="3"/>
      <c r="BB518" t="s">
        <v>815</v>
      </c>
      <c r="BG518">
        <v>6</v>
      </c>
      <c r="BH518">
        <v>6</v>
      </c>
      <c r="BI518">
        <v>6</v>
      </c>
      <c r="BJ518">
        <v>4.5</v>
      </c>
      <c r="BK518" s="4">
        <v>3348</v>
      </c>
      <c r="BL518" s="4">
        <v>3532</v>
      </c>
      <c r="BM518" s="4">
        <v>3713</v>
      </c>
      <c r="BN518" s="4">
        <v>4078</v>
      </c>
      <c r="BR518">
        <v>34672</v>
      </c>
      <c r="BS518" t="s">
        <v>1055</v>
      </c>
      <c r="BT518">
        <v>10</v>
      </c>
      <c r="BU518">
        <v>5</v>
      </c>
      <c r="BV518">
        <v>9</v>
      </c>
      <c r="BX518">
        <v>0.56000000000000005</v>
      </c>
      <c r="BZ518">
        <v>0.18</v>
      </c>
      <c r="CK518" t="s">
        <v>1056</v>
      </c>
      <c r="CM518">
        <v>1911</v>
      </c>
    </row>
    <row r="519" spans="1:91" x14ac:dyDescent="0.3">
      <c r="A519" t="s">
        <v>1054</v>
      </c>
      <c r="B519">
        <v>47148</v>
      </c>
      <c r="C519" t="s">
        <v>1057</v>
      </c>
      <c r="D519">
        <v>12</v>
      </c>
      <c r="I519">
        <v>134000</v>
      </c>
      <c r="J519" t="s">
        <v>800</v>
      </c>
      <c r="V519" t="s">
        <v>350</v>
      </c>
      <c r="Y519">
        <v>100</v>
      </c>
      <c r="AA519">
        <v>77.5</v>
      </c>
      <c r="AC519" s="3">
        <v>77.5</v>
      </c>
      <c r="AE519" s="3">
        <v>77.5</v>
      </c>
      <c r="AI519">
        <v>77.5</v>
      </c>
      <c r="AK519" s="3"/>
      <c r="AV519" t="s">
        <v>385</v>
      </c>
      <c r="AX519" t="s">
        <v>1058</v>
      </c>
      <c r="AZ519" t="s">
        <v>1058</v>
      </c>
      <c r="BB519" t="s">
        <v>1058</v>
      </c>
      <c r="BL519" s="4">
        <v>3866</v>
      </c>
      <c r="BM519" s="4">
        <v>4050</v>
      </c>
      <c r="BN519" s="4">
        <v>4231</v>
      </c>
      <c r="BR519">
        <v>34672</v>
      </c>
      <c r="BS519" t="s">
        <v>1055</v>
      </c>
      <c r="BT519">
        <v>5</v>
      </c>
      <c r="BU519">
        <v>16</v>
      </c>
      <c r="BV519">
        <v>9</v>
      </c>
      <c r="BX519">
        <v>81.5</v>
      </c>
      <c r="BZ519">
        <v>77.5</v>
      </c>
      <c r="CM519">
        <v>1911</v>
      </c>
    </row>
    <row r="520" spans="1:91" x14ac:dyDescent="0.3">
      <c r="A520" t="s">
        <v>1054</v>
      </c>
      <c r="B520">
        <v>47151</v>
      </c>
      <c r="C520" t="s">
        <v>1059</v>
      </c>
      <c r="D520">
        <v>12</v>
      </c>
      <c r="I520">
        <v>130696</v>
      </c>
      <c r="J520" t="s">
        <v>800</v>
      </c>
      <c r="V520" t="s">
        <v>350</v>
      </c>
      <c r="Y520">
        <v>100</v>
      </c>
      <c r="AA520">
        <v>66.5</v>
      </c>
      <c r="AC520" s="3">
        <v>66.5</v>
      </c>
      <c r="AE520" s="3">
        <v>64.5</v>
      </c>
      <c r="AI520">
        <v>64.5</v>
      </c>
      <c r="AJ520" t="s">
        <v>379</v>
      </c>
      <c r="AK520" s="3"/>
      <c r="AV520" t="s">
        <v>385</v>
      </c>
      <c r="AX520" t="s">
        <v>1058</v>
      </c>
      <c r="AZ520" t="s">
        <v>1058</v>
      </c>
      <c r="BB520" t="s">
        <v>1058</v>
      </c>
      <c r="BL520" s="4">
        <v>3835</v>
      </c>
      <c r="BM520" s="4">
        <v>4019</v>
      </c>
      <c r="BN520" s="4">
        <v>4200</v>
      </c>
      <c r="BR520">
        <v>34672</v>
      </c>
      <c r="BS520" t="s">
        <v>1055</v>
      </c>
      <c r="BT520">
        <v>6</v>
      </c>
      <c r="BU520">
        <v>19</v>
      </c>
      <c r="BV520">
        <v>6</v>
      </c>
      <c r="BX520">
        <v>67.5</v>
      </c>
      <c r="BZ520">
        <v>58.5</v>
      </c>
      <c r="CM520">
        <v>1911</v>
      </c>
    </row>
    <row r="521" spans="1:91" x14ac:dyDescent="0.3">
      <c r="A521" t="s">
        <v>1060</v>
      </c>
      <c r="B521">
        <v>47221</v>
      </c>
      <c r="D521">
        <v>12</v>
      </c>
      <c r="I521">
        <v>60000</v>
      </c>
      <c r="U521">
        <v>5</v>
      </c>
      <c r="Y521">
        <v>5</v>
      </c>
      <c r="AA521">
        <v>4.37</v>
      </c>
      <c r="AC521" s="3">
        <v>4.5</v>
      </c>
      <c r="AE521" s="3">
        <v>4.25</v>
      </c>
      <c r="AI521">
        <v>4.37</v>
      </c>
      <c r="AK521" s="3"/>
      <c r="AV521" t="s">
        <v>823</v>
      </c>
      <c r="AZ521" t="s">
        <v>815</v>
      </c>
      <c r="BB521" t="s">
        <v>815</v>
      </c>
      <c r="BG521">
        <v>12</v>
      </c>
      <c r="BH521">
        <v>8</v>
      </c>
      <c r="BI521">
        <v>2.5</v>
      </c>
      <c r="BJ521">
        <v>5</v>
      </c>
      <c r="BK521" s="4">
        <v>2558</v>
      </c>
      <c r="BL521" s="4">
        <v>2709</v>
      </c>
      <c r="BM521" s="4">
        <v>3805</v>
      </c>
      <c r="BN521" s="4">
        <v>4170</v>
      </c>
      <c r="BR521">
        <v>644192</v>
      </c>
      <c r="BS521" t="s">
        <v>1061</v>
      </c>
      <c r="BT521">
        <v>5</v>
      </c>
      <c r="BU521">
        <v>14</v>
      </c>
      <c r="BV521">
        <v>3</v>
      </c>
      <c r="BX521">
        <v>5.62</v>
      </c>
      <c r="BZ521">
        <v>4.12</v>
      </c>
      <c r="CK521" t="s">
        <v>360</v>
      </c>
      <c r="CM521">
        <v>1911</v>
      </c>
    </row>
    <row r="522" spans="1:91" x14ac:dyDescent="0.3">
      <c r="A522" t="s">
        <v>1060</v>
      </c>
      <c r="B522">
        <v>47225</v>
      </c>
      <c r="C522" t="s">
        <v>1062</v>
      </c>
      <c r="D522">
        <v>12</v>
      </c>
      <c r="I522">
        <v>20000</v>
      </c>
      <c r="U522">
        <v>5</v>
      </c>
      <c r="Y522">
        <v>5</v>
      </c>
      <c r="AA522">
        <v>5.25</v>
      </c>
      <c r="AC522" s="3">
        <v>5.25</v>
      </c>
      <c r="AE522" s="3">
        <v>5.25</v>
      </c>
      <c r="AI522">
        <v>5.25</v>
      </c>
      <c r="AK522" s="3"/>
      <c r="AV522" t="s">
        <v>536</v>
      </c>
      <c r="AX522" t="s">
        <v>536</v>
      </c>
      <c r="AZ522" t="s">
        <v>536</v>
      </c>
      <c r="BB522" t="s">
        <v>536</v>
      </c>
      <c r="BO522" t="s">
        <v>367</v>
      </c>
      <c r="BR522">
        <v>644192</v>
      </c>
      <c r="BS522" t="s">
        <v>1061</v>
      </c>
      <c r="BT522">
        <v>6</v>
      </c>
      <c r="BU522">
        <v>13</v>
      </c>
      <c r="BV522">
        <v>3</v>
      </c>
      <c r="BX522">
        <v>5.5</v>
      </c>
      <c r="BZ522">
        <v>5.03</v>
      </c>
      <c r="CM522">
        <v>1911</v>
      </c>
    </row>
    <row r="523" spans="1:91" x14ac:dyDescent="0.3">
      <c r="A523" t="s">
        <v>1060</v>
      </c>
      <c r="B523">
        <v>47224</v>
      </c>
      <c r="C523" t="s">
        <v>1063</v>
      </c>
      <c r="D523">
        <v>12</v>
      </c>
      <c r="I523">
        <v>20000</v>
      </c>
      <c r="U523">
        <v>5</v>
      </c>
      <c r="Y523">
        <v>5</v>
      </c>
      <c r="AA523">
        <v>3.25</v>
      </c>
      <c r="AC523" s="3">
        <v>3.25</v>
      </c>
      <c r="AE523" s="3">
        <v>3.12</v>
      </c>
      <c r="AI523">
        <v>3.25</v>
      </c>
      <c r="AK523" s="3"/>
      <c r="AV523" t="s">
        <v>536</v>
      </c>
      <c r="AX523" t="s">
        <v>536</v>
      </c>
      <c r="AZ523" t="s">
        <v>536</v>
      </c>
      <c r="BB523" t="s">
        <v>536</v>
      </c>
      <c r="BO523" t="s">
        <v>367</v>
      </c>
      <c r="BR523">
        <v>644192</v>
      </c>
      <c r="BS523" t="s">
        <v>1061</v>
      </c>
      <c r="BT523">
        <v>6</v>
      </c>
      <c r="BU523">
        <v>18</v>
      </c>
      <c r="BV523">
        <v>6</v>
      </c>
      <c r="BX523">
        <v>3.75</v>
      </c>
      <c r="BZ523">
        <v>3.12</v>
      </c>
      <c r="CM523">
        <v>1911</v>
      </c>
    </row>
    <row r="524" spans="1:91" x14ac:dyDescent="0.3">
      <c r="A524" t="s">
        <v>1060</v>
      </c>
      <c r="B524">
        <v>47223</v>
      </c>
      <c r="C524" t="s">
        <v>1064</v>
      </c>
      <c r="D524">
        <v>12</v>
      </c>
      <c r="I524">
        <v>350000</v>
      </c>
      <c r="J524" t="s">
        <v>800</v>
      </c>
      <c r="V524" t="s">
        <v>350</v>
      </c>
      <c r="Y524">
        <v>100</v>
      </c>
      <c r="AA524">
        <v>86</v>
      </c>
      <c r="AC524" s="3">
        <v>86</v>
      </c>
      <c r="AE524" s="3">
        <v>86</v>
      </c>
      <c r="AI524">
        <v>86</v>
      </c>
      <c r="AK524" s="3"/>
      <c r="AV524" t="s">
        <v>536</v>
      </c>
      <c r="AX524" t="s">
        <v>536</v>
      </c>
      <c r="AZ524" t="s">
        <v>536</v>
      </c>
      <c r="BB524" t="s">
        <v>536</v>
      </c>
      <c r="BO524" t="s">
        <v>367</v>
      </c>
      <c r="BR524">
        <v>644192</v>
      </c>
      <c r="BS524" t="s">
        <v>1061</v>
      </c>
      <c r="BT524">
        <v>5</v>
      </c>
      <c r="BU524">
        <v>5</v>
      </c>
      <c r="BV524">
        <v>0</v>
      </c>
      <c r="BX524">
        <v>89.5</v>
      </c>
      <c r="BZ524">
        <v>75.5</v>
      </c>
      <c r="CM524">
        <v>1911</v>
      </c>
    </row>
    <row r="525" spans="1:91" x14ac:dyDescent="0.3">
      <c r="A525" t="s">
        <v>1060</v>
      </c>
      <c r="B525">
        <v>47222</v>
      </c>
      <c r="C525" t="s">
        <v>918</v>
      </c>
      <c r="D525">
        <v>12</v>
      </c>
      <c r="I525">
        <v>350000</v>
      </c>
      <c r="J525" t="s">
        <v>800</v>
      </c>
      <c r="V525" t="s">
        <v>350</v>
      </c>
      <c r="Y525">
        <v>100</v>
      </c>
      <c r="AA525">
        <v>77.5</v>
      </c>
      <c r="AC525" s="3">
        <v>77.5</v>
      </c>
      <c r="AE525" s="3">
        <v>75.5</v>
      </c>
      <c r="AI525">
        <v>77.5</v>
      </c>
      <c r="AK525" s="3"/>
      <c r="AV525" t="s">
        <v>382</v>
      </c>
      <c r="AX525" t="s">
        <v>382</v>
      </c>
      <c r="AZ525" t="s">
        <v>382</v>
      </c>
      <c r="BB525" t="s">
        <v>382</v>
      </c>
      <c r="BO525" t="s">
        <v>367</v>
      </c>
      <c r="BR525">
        <v>644192</v>
      </c>
      <c r="BS525" t="s">
        <v>1061</v>
      </c>
      <c r="BT525">
        <v>5</v>
      </c>
      <c r="BU525">
        <v>16</v>
      </c>
      <c r="BV525">
        <v>9</v>
      </c>
      <c r="BX525">
        <v>80</v>
      </c>
      <c r="BZ525">
        <v>75.5</v>
      </c>
      <c r="CM525">
        <v>1911</v>
      </c>
    </row>
    <row r="526" spans="1:91" x14ac:dyDescent="0.3">
      <c r="A526" t="s">
        <v>1065</v>
      </c>
      <c r="B526">
        <v>47379</v>
      </c>
      <c r="D526">
        <v>12</v>
      </c>
      <c r="I526">
        <v>15000</v>
      </c>
      <c r="U526">
        <v>10</v>
      </c>
      <c r="Y526">
        <v>10</v>
      </c>
      <c r="AA526">
        <v>4.87</v>
      </c>
      <c r="AB526" t="s">
        <v>379</v>
      </c>
      <c r="AC526" s="3">
        <v>4.87</v>
      </c>
      <c r="AE526" s="3">
        <v>4.87</v>
      </c>
      <c r="AI526">
        <v>4.87</v>
      </c>
      <c r="AK526" s="3"/>
      <c r="AV526" t="s">
        <v>421</v>
      </c>
      <c r="AX526" t="s">
        <v>421</v>
      </c>
      <c r="AZ526" t="s">
        <v>421</v>
      </c>
      <c r="BB526" t="s">
        <v>421</v>
      </c>
      <c r="BO526" t="s">
        <v>367</v>
      </c>
      <c r="BR526">
        <v>352</v>
      </c>
      <c r="BS526" t="s">
        <v>1066</v>
      </c>
      <c r="BT526">
        <v>10</v>
      </c>
      <c r="BU526">
        <v>5</v>
      </c>
      <c r="BV526">
        <v>0</v>
      </c>
      <c r="BX526">
        <v>5.25</v>
      </c>
      <c r="BZ526">
        <v>4</v>
      </c>
      <c r="CK526" t="s">
        <v>360</v>
      </c>
      <c r="CM526">
        <v>1911</v>
      </c>
    </row>
    <row r="527" spans="1:91" x14ac:dyDescent="0.3">
      <c r="A527" t="s">
        <v>1065</v>
      </c>
      <c r="B527">
        <v>47380</v>
      </c>
      <c r="C527" t="s">
        <v>1067</v>
      </c>
      <c r="D527">
        <v>12</v>
      </c>
      <c r="I527">
        <v>250000</v>
      </c>
      <c r="J527" t="s">
        <v>800</v>
      </c>
      <c r="V527" t="s">
        <v>350</v>
      </c>
      <c r="Y527">
        <v>100</v>
      </c>
      <c r="AA527">
        <v>66</v>
      </c>
      <c r="AC527" s="3">
        <v>66</v>
      </c>
      <c r="AE527" s="3">
        <v>66</v>
      </c>
      <c r="AI527">
        <v>66</v>
      </c>
      <c r="AK527" s="3"/>
      <c r="AV527" t="s">
        <v>506</v>
      </c>
      <c r="AX527" t="s">
        <v>506</v>
      </c>
      <c r="AZ527" t="s">
        <v>506</v>
      </c>
      <c r="BB527" t="s">
        <v>506</v>
      </c>
      <c r="BO527" t="s">
        <v>367</v>
      </c>
      <c r="BR527">
        <v>352</v>
      </c>
      <c r="BS527" t="s">
        <v>1066</v>
      </c>
      <c r="BT527">
        <v>6</v>
      </c>
      <c r="BU527">
        <v>17</v>
      </c>
      <c r="BV527">
        <v>3</v>
      </c>
      <c r="BX527">
        <v>74</v>
      </c>
      <c r="BZ527">
        <v>62.5</v>
      </c>
      <c r="CM527">
        <v>1911</v>
      </c>
    </row>
    <row r="528" spans="1:91" x14ac:dyDescent="0.3">
      <c r="A528" t="s">
        <v>1068</v>
      </c>
      <c r="B528">
        <v>47467</v>
      </c>
      <c r="D528">
        <v>12</v>
      </c>
      <c r="I528">
        <v>20500</v>
      </c>
      <c r="U528">
        <v>10</v>
      </c>
      <c r="Y528">
        <v>10</v>
      </c>
      <c r="AA528">
        <v>9</v>
      </c>
      <c r="AC528" s="3">
        <v>9</v>
      </c>
      <c r="AE528" s="3">
        <v>9</v>
      </c>
      <c r="AI528">
        <v>9</v>
      </c>
      <c r="AK528" s="3"/>
      <c r="AV528" t="s">
        <v>823</v>
      </c>
      <c r="AZ528" t="s">
        <v>823</v>
      </c>
      <c r="BG528">
        <v>6</v>
      </c>
      <c r="BH528">
        <v>8</v>
      </c>
      <c r="BI528">
        <v>6</v>
      </c>
      <c r="BJ528">
        <v>10</v>
      </c>
      <c r="BK528" s="4">
        <v>3654</v>
      </c>
      <c r="BL528" s="4">
        <v>3866</v>
      </c>
      <c r="BM528" s="4">
        <v>4019</v>
      </c>
      <c r="BN528" s="4">
        <v>4231</v>
      </c>
      <c r="BR528">
        <v>246573</v>
      </c>
      <c r="BS528" t="s">
        <v>1069</v>
      </c>
      <c r="BT528">
        <v>8</v>
      </c>
      <c r="BU528">
        <v>17</v>
      </c>
      <c r="BV528">
        <v>9</v>
      </c>
      <c r="BX528">
        <v>9</v>
      </c>
      <c r="BZ528">
        <v>8</v>
      </c>
      <c r="CK528" t="s">
        <v>1070</v>
      </c>
      <c r="CM528">
        <v>1911</v>
      </c>
    </row>
    <row r="529" spans="1:91" x14ac:dyDescent="0.3">
      <c r="A529" t="s">
        <v>1068</v>
      </c>
      <c r="B529">
        <v>47468</v>
      </c>
      <c r="C529" t="s">
        <v>844</v>
      </c>
      <c r="D529">
        <v>12</v>
      </c>
      <c r="I529">
        <v>20500</v>
      </c>
      <c r="U529">
        <v>10</v>
      </c>
      <c r="Y529">
        <v>10</v>
      </c>
      <c r="AA529">
        <v>9</v>
      </c>
      <c r="AC529" s="3">
        <v>9.25</v>
      </c>
      <c r="AE529" s="3">
        <v>8.8699999999999992</v>
      </c>
      <c r="AI529">
        <v>9.25</v>
      </c>
      <c r="AK529" s="3"/>
      <c r="AV529" t="s">
        <v>370</v>
      </c>
      <c r="AX529" t="s">
        <v>370</v>
      </c>
      <c r="AZ529" t="s">
        <v>370</v>
      </c>
      <c r="BB529" t="s">
        <v>370</v>
      </c>
      <c r="BO529" t="s">
        <v>367</v>
      </c>
      <c r="BR529">
        <v>246573</v>
      </c>
      <c r="BS529" t="s">
        <v>1069</v>
      </c>
      <c r="BT529">
        <v>6</v>
      </c>
      <c r="BU529">
        <v>9</v>
      </c>
      <c r="BV529">
        <v>9</v>
      </c>
      <c r="BX529">
        <v>9.25</v>
      </c>
      <c r="BZ529">
        <v>8.06</v>
      </c>
      <c r="CM529">
        <v>1911</v>
      </c>
    </row>
    <row r="530" spans="1:91" x14ac:dyDescent="0.3">
      <c r="A530" t="s">
        <v>1068</v>
      </c>
      <c r="B530">
        <v>47469</v>
      </c>
      <c r="C530" t="s">
        <v>1071</v>
      </c>
      <c r="D530">
        <v>12</v>
      </c>
      <c r="I530">
        <v>400000</v>
      </c>
      <c r="J530" t="s">
        <v>800</v>
      </c>
      <c r="V530" t="s">
        <v>350</v>
      </c>
      <c r="Y530">
        <v>100</v>
      </c>
      <c r="AA530">
        <v>79.5</v>
      </c>
      <c r="AC530" s="3">
        <v>79.5</v>
      </c>
      <c r="AE530" s="3">
        <v>79.5</v>
      </c>
      <c r="AI530">
        <v>79.5</v>
      </c>
      <c r="AK530" s="3"/>
      <c r="AV530" t="s">
        <v>536</v>
      </c>
      <c r="AX530" t="s">
        <v>536</v>
      </c>
      <c r="AZ530" t="s">
        <v>536</v>
      </c>
      <c r="BB530" t="s">
        <v>536</v>
      </c>
      <c r="BO530" t="s">
        <v>367</v>
      </c>
      <c r="BR530">
        <v>246573</v>
      </c>
      <c r="BS530" t="s">
        <v>1069</v>
      </c>
      <c r="BT530">
        <v>5</v>
      </c>
      <c r="BU530">
        <v>1</v>
      </c>
      <c r="BV530">
        <v>3</v>
      </c>
      <c r="BX530">
        <v>83.5</v>
      </c>
      <c r="BZ530">
        <v>78</v>
      </c>
      <c r="CM530">
        <v>1911</v>
      </c>
    </row>
    <row r="531" spans="1:91" x14ac:dyDescent="0.3">
      <c r="A531" t="s">
        <v>1068</v>
      </c>
      <c r="B531">
        <v>47471</v>
      </c>
      <c r="C531" t="s">
        <v>1072</v>
      </c>
      <c r="D531">
        <v>12</v>
      </c>
      <c r="I531">
        <v>100000</v>
      </c>
      <c r="J531" t="s">
        <v>800</v>
      </c>
      <c r="V531" t="s">
        <v>350</v>
      </c>
      <c r="Y531">
        <v>100</v>
      </c>
      <c r="AA531">
        <v>75.5</v>
      </c>
      <c r="AC531" s="3">
        <v>75.5</v>
      </c>
      <c r="AE531" s="3">
        <v>75.5</v>
      </c>
      <c r="AI531">
        <v>75.5</v>
      </c>
      <c r="AK531" s="3"/>
      <c r="AV531" t="s">
        <v>536</v>
      </c>
      <c r="AX531" t="s">
        <v>536</v>
      </c>
      <c r="AZ531" t="s">
        <v>536</v>
      </c>
      <c r="BB531" t="s">
        <v>536</v>
      </c>
      <c r="BO531" t="s">
        <v>367</v>
      </c>
      <c r="BR531">
        <v>246573</v>
      </c>
      <c r="BS531" t="s">
        <v>1069</v>
      </c>
      <c r="BT531">
        <v>5</v>
      </c>
      <c r="BU531">
        <v>19</v>
      </c>
      <c r="BV531">
        <v>9</v>
      </c>
      <c r="BX531">
        <v>78.5</v>
      </c>
      <c r="BZ531">
        <v>74.5</v>
      </c>
      <c r="CM531">
        <v>1911</v>
      </c>
    </row>
    <row r="532" spans="1:91" x14ac:dyDescent="0.3">
      <c r="A532" t="s">
        <v>1073</v>
      </c>
      <c r="B532">
        <v>47631</v>
      </c>
      <c r="D532">
        <v>12</v>
      </c>
      <c r="I532">
        <v>500000</v>
      </c>
      <c r="J532" t="s">
        <v>800</v>
      </c>
      <c r="V532" t="s">
        <v>350</v>
      </c>
      <c r="Y532">
        <v>100</v>
      </c>
      <c r="AA532">
        <v>77.5</v>
      </c>
      <c r="AC532" s="3">
        <v>77.5</v>
      </c>
      <c r="AE532" s="3">
        <v>77.5</v>
      </c>
      <c r="AI532">
        <v>77.5</v>
      </c>
      <c r="AK532" s="3"/>
      <c r="AV532" t="s">
        <v>373</v>
      </c>
      <c r="AX532" t="s">
        <v>373</v>
      </c>
      <c r="AZ532" t="s">
        <v>373</v>
      </c>
      <c r="BB532" t="s">
        <v>373</v>
      </c>
      <c r="BO532" t="s">
        <v>367</v>
      </c>
      <c r="BR532">
        <v>216412</v>
      </c>
      <c r="BT532">
        <v>5</v>
      </c>
      <c r="BU532">
        <v>4</v>
      </c>
      <c r="BV532">
        <v>0</v>
      </c>
      <c r="BX532">
        <v>82</v>
      </c>
      <c r="BZ532">
        <v>77.5</v>
      </c>
      <c r="CK532" t="s">
        <v>360</v>
      </c>
      <c r="CM532">
        <v>1911</v>
      </c>
    </row>
    <row r="533" spans="1:91" x14ac:dyDescent="0.3">
      <c r="A533" t="s">
        <v>1074</v>
      </c>
      <c r="B533">
        <v>47996</v>
      </c>
      <c r="D533">
        <v>12</v>
      </c>
      <c r="I533">
        <v>110000</v>
      </c>
      <c r="J533" t="s">
        <v>800</v>
      </c>
      <c r="U533">
        <v>100</v>
      </c>
      <c r="Y533">
        <v>100</v>
      </c>
      <c r="AA533">
        <v>101.5</v>
      </c>
      <c r="AC533" s="3">
        <v>101.5</v>
      </c>
      <c r="AE533" s="3">
        <v>101.5</v>
      </c>
      <c r="AI533">
        <v>101.5</v>
      </c>
      <c r="AK533" s="3"/>
      <c r="AV533" t="s">
        <v>370</v>
      </c>
      <c r="AX533" t="s">
        <v>370</v>
      </c>
      <c r="AZ533" t="s">
        <v>370</v>
      </c>
      <c r="BB533" t="s">
        <v>370</v>
      </c>
      <c r="BO533" t="s">
        <v>367</v>
      </c>
      <c r="BR533">
        <v>187906</v>
      </c>
      <c r="BS533" t="s">
        <v>1075</v>
      </c>
      <c r="BT533">
        <v>5</v>
      </c>
      <c r="BU533">
        <v>0</v>
      </c>
      <c r="BV533">
        <v>6</v>
      </c>
      <c r="BX533">
        <v>101.5</v>
      </c>
      <c r="BZ533">
        <v>89</v>
      </c>
      <c r="CK533" t="s">
        <v>1076</v>
      </c>
      <c r="CM533">
        <v>1911</v>
      </c>
    </row>
    <row r="534" spans="1:91" x14ac:dyDescent="0.3">
      <c r="A534" t="s">
        <v>1077</v>
      </c>
      <c r="B534">
        <v>47997</v>
      </c>
      <c r="C534" t="s">
        <v>1078</v>
      </c>
      <c r="D534">
        <v>12</v>
      </c>
      <c r="I534">
        <v>60000</v>
      </c>
      <c r="J534" t="s">
        <v>800</v>
      </c>
      <c r="U534">
        <v>100</v>
      </c>
      <c r="Y534">
        <v>100</v>
      </c>
      <c r="AA534">
        <v>75</v>
      </c>
      <c r="AC534" s="3">
        <v>75</v>
      </c>
      <c r="AE534" s="3">
        <v>75</v>
      </c>
      <c r="AI534">
        <v>75</v>
      </c>
      <c r="AK534" s="3"/>
      <c r="AV534" t="s">
        <v>370</v>
      </c>
      <c r="AX534" t="s">
        <v>370</v>
      </c>
      <c r="AZ534" t="s">
        <v>370</v>
      </c>
      <c r="BB534" t="s">
        <v>370</v>
      </c>
      <c r="BO534" t="s">
        <v>367</v>
      </c>
      <c r="BR534">
        <v>187906</v>
      </c>
      <c r="BS534" t="s">
        <v>1075</v>
      </c>
      <c r="BT534">
        <v>6</v>
      </c>
      <c r="BU534">
        <v>14</v>
      </c>
      <c r="BV534">
        <v>9</v>
      </c>
      <c r="BX534">
        <v>79</v>
      </c>
      <c r="BZ534">
        <v>75</v>
      </c>
      <c r="CM534">
        <v>1911</v>
      </c>
    </row>
    <row r="535" spans="1:91" x14ac:dyDescent="0.3">
      <c r="A535" t="s">
        <v>1077</v>
      </c>
      <c r="B535">
        <v>47998</v>
      </c>
      <c r="C535" t="s">
        <v>1079</v>
      </c>
      <c r="D535">
        <v>12</v>
      </c>
      <c r="I535">
        <v>269000</v>
      </c>
      <c r="J535" t="s">
        <v>800</v>
      </c>
      <c r="V535" t="s">
        <v>350</v>
      </c>
      <c r="Y535">
        <v>100</v>
      </c>
      <c r="AA535">
        <v>69</v>
      </c>
      <c r="AC535" s="3">
        <v>69</v>
      </c>
      <c r="AE535" s="3">
        <v>66.5</v>
      </c>
      <c r="AI535">
        <v>66.5</v>
      </c>
      <c r="AJ535" t="s">
        <v>379</v>
      </c>
      <c r="AK535" s="3"/>
      <c r="AV535" t="s">
        <v>370</v>
      </c>
      <c r="AX535" t="s">
        <v>370</v>
      </c>
      <c r="AZ535" t="s">
        <v>370</v>
      </c>
      <c r="BB535" t="s">
        <v>370</v>
      </c>
      <c r="BO535" t="s">
        <v>367</v>
      </c>
      <c r="BR535">
        <v>187906</v>
      </c>
      <c r="BS535" t="s">
        <v>1075</v>
      </c>
      <c r="BT535">
        <v>7</v>
      </c>
      <c r="BU535">
        <v>0</v>
      </c>
      <c r="BV535">
        <v>6</v>
      </c>
      <c r="BX535">
        <v>71.5</v>
      </c>
      <c r="BZ535">
        <v>66.5</v>
      </c>
      <c r="CM535">
        <v>1911</v>
      </c>
    </row>
    <row r="536" spans="1:91" x14ac:dyDescent="0.3">
      <c r="A536" t="s">
        <v>1080</v>
      </c>
      <c r="B536">
        <v>48123</v>
      </c>
      <c r="D536">
        <v>12</v>
      </c>
      <c r="I536">
        <v>15000</v>
      </c>
      <c r="U536">
        <v>10</v>
      </c>
      <c r="Y536">
        <v>10</v>
      </c>
      <c r="AA536">
        <v>4</v>
      </c>
      <c r="AC536" s="3">
        <v>4.5</v>
      </c>
      <c r="AE536" s="3">
        <v>4</v>
      </c>
      <c r="AI536">
        <v>4.25</v>
      </c>
      <c r="AK536" s="3"/>
      <c r="BG536">
        <v>5</v>
      </c>
      <c r="BH536">
        <v>5</v>
      </c>
      <c r="BI536">
        <v>5</v>
      </c>
      <c r="BJ536">
        <v>5</v>
      </c>
      <c r="BK536" s="4">
        <v>3593</v>
      </c>
      <c r="BL536" s="4">
        <v>3774</v>
      </c>
      <c r="BM536" s="4">
        <v>3958</v>
      </c>
      <c r="BN536" s="4">
        <v>4139</v>
      </c>
      <c r="BR536">
        <v>22319</v>
      </c>
      <c r="BT536">
        <v>11</v>
      </c>
      <c r="BU536">
        <v>14</v>
      </c>
      <c r="BV536">
        <v>3</v>
      </c>
      <c r="BX536">
        <v>5</v>
      </c>
      <c r="BZ536">
        <v>4</v>
      </c>
      <c r="CK536" t="s">
        <v>1081</v>
      </c>
      <c r="CM536">
        <v>1911</v>
      </c>
    </row>
    <row r="537" spans="1:91" x14ac:dyDescent="0.3">
      <c r="A537" t="s">
        <v>1082</v>
      </c>
      <c r="B537">
        <v>48141</v>
      </c>
      <c r="D537">
        <v>12</v>
      </c>
      <c r="I537">
        <v>200000</v>
      </c>
      <c r="J537" t="s">
        <v>800</v>
      </c>
      <c r="V537" t="s">
        <v>350</v>
      </c>
      <c r="Y537">
        <v>100</v>
      </c>
      <c r="AA537">
        <v>65</v>
      </c>
      <c r="AC537" s="3">
        <v>65</v>
      </c>
      <c r="AE537" s="3">
        <v>63</v>
      </c>
      <c r="AI537">
        <v>63</v>
      </c>
      <c r="AJ537" t="s">
        <v>379</v>
      </c>
      <c r="AK537" s="3"/>
      <c r="BG537">
        <v>4.25</v>
      </c>
      <c r="BH537">
        <v>4.25</v>
      </c>
      <c r="BI537">
        <v>4.25</v>
      </c>
      <c r="BJ537">
        <v>4.25</v>
      </c>
      <c r="BK537" s="4">
        <v>3835</v>
      </c>
      <c r="BL537" s="4">
        <v>4019</v>
      </c>
      <c r="BM537" s="4">
        <v>4200</v>
      </c>
      <c r="BN537" s="4">
        <v>4384</v>
      </c>
      <c r="BR537">
        <v>16373</v>
      </c>
      <c r="BT537">
        <v>6</v>
      </c>
      <c r="BU537">
        <v>15</v>
      </c>
      <c r="BV537">
        <v>0</v>
      </c>
      <c r="BX537">
        <v>66.5</v>
      </c>
      <c r="BZ537">
        <v>63</v>
      </c>
      <c r="CK537" t="s">
        <v>360</v>
      </c>
      <c r="CM537">
        <v>1911</v>
      </c>
    </row>
    <row r="538" spans="1:91" x14ac:dyDescent="0.3">
      <c r="A538" t="s">
        <v>1083</v>
      </c>
      <c r="B538">
        <v>48214</v>
      </c>
      <c r="D538">
        <v>12</v>
      </c>
      <c r="I538">
        <v>10000</v>
      </c>
      <c r="U538">
        <v>10</v>
      </c>
      <c r="Y538">
        <v>10</v>
      </c>
      <c r="AA538">
        <v>19</v>
      </c>
      <c r="AC538" s="3">
        <v>19.75</v>
      </c>
      <c r="AE538" s="3">
        <v>19</v>
      </c>
      <c r="AI538">
        <v>19</v>
      </c>
      <c r="AJ538" t="s">
        <v>379</v>
      </c>
      <c r="AK538" s="3"/>
      <c r="AV538" t="s">
        <v>823</v>
      </c>
      <c r="AZ538" t="s">
        <v>823</v>
      </c>
      <c r="BG538">
        <v>8</v>
      </c>
      <c r="BH538">
        <v>8</v>
      </c>
      <c r="BI538">
        <v>8</v>
      </c>
      <c r="BJ538">
        <v>8</v>
      </c>
      <c r="BK538" s="4">
        <v>3654</v>
      </c>
      <c r="BL538" s="4">
        <v>3866</v>
      </c>
      <c r="BM538" s="4">
        <v>4019</v>
      </c>
      <c r="BN538" s="4">
        <v>4231</v>
      </c>
      <c r="BR538">
        <v>133993</v>
      </c>
      <c r="BS538" t="s">
        <v>1084</v>
      </c>
      <c r="BT538">
        <v>4</v>
      </c>
      <c r="BU538">
        <v>4</v>
      </c>
      <c r="BV538">
        <v>9</v>
      </c>
      <c r="BX538">
        <v>19.75</v>
      </c>
      <c r="BZ538">
        <v>15.5</v>
      </c>
      <c r="CK538" t="s">
        <v>360</v>
      </c>
      <c r="CM538">
        <v>1911</v>
      </c>
    </row>
    <row r="539" spans="1:91" x14ac:dyDescent="0.3">
      <c r="A539" t="s">
        <v>1083</v>
      </c>
      <c r="B539">
        <v>48215</v>
      </c>
      <c r="C539" t="s">
        <v>943</v>
      </c>
      <c r="D539">
        <v>12</v>
      </c>
      <c r="I539">
        <v>10000</v>
      </c>
      <c r="U539">
        <v>10</v>
      </c>
      <c r="Y539">
        <v>10</v>
      </c>
      <c r="AA539">
        <v>9.75</v>
      </c>
      <c r="AC539" s="3">
        <v>10</v>
      </c>
      <c r="AE539" s="3">
        <v>9.75</v>
      </c>
      <c r="AI539">
        <v>9.75</v>
      </c>
      <c r="AJ539" t="s">
        <v>379</v>
      </c>
      <c r="AK539" s="3"/>
      <c r="AV539" t="s">
        <v>370</v>
      </c>
      <c r="AX539" t="s">
        <v>370</v>
      </c>
      <c r="AZ539" t="s">
        <v>370</v>
      </c>
      <c r="BB539" t="s">
        <v>370</v>
      </c>
      <c r="BO539" t="s">
        <v>367</v>
      </c>
      <c r="BR539">
        <v>133993</v>
      </c>
      <c r="BS539" t="s">
        <v>1084</v>
      </c>
      <c r="BT539">
        <v>6</v>
      </c>
      <c r="BU539">
        <v>3</v>
      </c>
      <c r="BV539">
        <v>0</v>
      </c>
      <c r="BX539">
        <v>10.119999999999999</v>
      </c>
      <c r="BZ539">
        <v>9.5</v>
      </c>
      <c r="CM539">
        <v>1911</v>
      </c>
    </row>
    <row r="540" spans="1:91" x14ac:dyDescent="0.3">
      <c r="A540" t="s">
        <v>1083</v>
      </c>
      <c r="B540">
        <v>48218</v>
      </c>
      <c r="C540" t="s">
        <v>1085</v>
      </c>
      <c r="D540">
        <v>12</v>
      </c>
      <c r="I540">
        <v>195000</v>
      </c>
      <c r="J540" t="s">
        <v>800</v>
      </c>
      <c r="U540">
        <v>100</v>
      </c>
      <c r="Y540">
        <v>100</v>
      </c>
      <c r="AA540">
        <v>100.5</v>
      </c>
      <c r="AC540" s="3">
        <v>100.5</v>
      </c>
      <c r="AE540" s="3">
        <v>100.5</v>
      </c>
      <c r="AI540">
        <v>100.5</v>
      </c>
      <c r="AK540" s="3"/>
      <c r="AV540" t="s">
        <v>536</v>
      </c>
      <c r="AX540" t="s">
        <v>536</v>
      </c>
      <c r="AZ540" t="s">
        <v>536</v>
      </c>
      <c r="BB540" t="s">
        <v>536</v>
      </c>
      <c r="BO540" t="s">
        <v>367</v>
      </c>
      <c r="BR540">
        <v>133993</v>
      </c>
      <c r="BS540" t="s">
        <v>1084</v>
      </c>
      <c r="BT540">
        <v>5</v>
      </c>
      <c r="BU540">
        <v>0</v>
      </c>
      <c r="BV540">
        <v>0</v>
      </c>
      <c r="BX540">
        <v>101.5</v>
      </c>
      <c r="BZ540">
        <v>98.5</v>
      </c>
      <c r="CM540">
        <v>1911</v>
      </c>
    </row>
    <row r="541" spans="1:91" x14ac:dyDescent="0.3">
      <c r="A541" t="s">
        <v>1086</v>
      </c>
      <c r="B541">
        <v>49124</v>
      </c>
      <c r="D541">
        <v>12</v>
      </c>
      <c r="I541">
        <v>90000</v>
      </c>
      <c r="U541">
        <v>10</v>
      </c>
      <c r="Y541">
        <v>10</v>
      </c>
      <c r="AA541">
        <v>2.37</v>
      </c>
      <c r="AC541" s="3">
        <v>2.37</v>
      </c>
      <c r="AE541" s="3">
        <v>2</v>
      </c>
      <c r="AI541">
        <v>2.12</v>
      </c>
      <c r="AK541" s="3"/>
      <c r="AV541" t="s">
        <v>815</v>
      </c>
      <c r="AX541" t="s">
        <v>815</v>
      </c>
      <c r="AZ541" t="s">
        <v>815</v>
      </c>
      <c r="BB541" t="s">
        <v>815</v>
      </c>
      <c r="BG541">
        <v>1</v>
      </c>
      <c r="BH541">
        <v>2</v>
      </c>
      <c r="BI541">
        <v>3</v>
      </c>
      <c r="BJ541">
        <v>4</v>
      </c>
      <c r="BK541" s="4">
        <v>2923</v>
      </c>
      <c r="BL541" s="4">
        <v>3654</v>
      </c>
      <c r="BM541" s="4">
        <v>4019</v>
      </c>
      <c r="BN541" s="4">
        <v>4384</v>
      </c>
      <c r="BR541">
        <v>8297</v>
      </c>
      <c r="BS541" t="s">
        <v>1087</v>
      </c>
      <c r="BT541">
        <v>11</v>
      </c>
      <c r="BU541">
        <v>15</v>
      </c>
      <c r="BV541">
        <v>3</v>
      </c>
      <c r="BX541">
        <v>2.12</v>
      </c>
      <c r="BZ541">
        <v>2</v>
      </c>
      <c r="CK541" t="s">
        <v>360</v>
      </c>
      <c r="CM541">
        <v>1911</v>
      </c>
    </row>
    <row r="542" spans="1:91" x14ac:dyDescent="0.3">
      <c r="A542" t="s">
        <v>1086</v>
      </c>
      <c r="B542">
        <v>49125</v>
      </c>
      <c r="C542" t="s">
        <v>1031</v>
      </c>
      <c r="D542">
        <v>12</v>
      </c>
      <c r="I542">
        <v>90000</v>
      </c>
      <c r="U542">
        <v>10</v>
      </c>
      <c r="Y542">
        <v>10</v>
      </c>
      <c r="AA542">
        <v>8</v>
      </c>
      <c r="AC542" s="3">
        <v>8</v>
      </c>
      <c r="AE542" s="3">
        <v>7.56</v>
      </c>
      <c r="AI542">
        <v>7.75</v>
      </c>
      <c r="AK542" s="3"/>
      <c r="AV542" t="s">
        <v>815</v>
      </c>
      <c r="AX542" t="s">
        <v>815</v>
      </c>
      <c r="AZ542" t="s">
        <v>815</v>
      </c>
      <c r="BB542" t="s">
        <v>815</v>
      </c>
      <c r="BG542">
        <v>4</v>
      </c>
      <c r="BH542">
        <v>4</v>
      </c>
      <c r="BI542">
        <v>4</v>
      </c>
      <c r="BJ542">
        <v>4</v>
      </c>
      <c r="BK542" s="4">
        <v>3835</v>
      </c>
      <c r="BL542" s="4">
        <v>4019</v>
      </c>
      <c r="BM542" s="4">
        <v>4200</v>
      </c>
      <c r="BN542" s="4">
        <v>4384</v>
      </c>
      <c r="BR542">
        <v>8297</v>
      </c>
      <c r="BS542" t="s">
        <v>1087</v>
      </c>
      <c r="BT542">
        <v>10</v>
      </c>
      <c r="BU542">
        <v>6</v>
      </c>
      <c r="BV542">
        <v>6</v>
      </c>
      <c r="BX542">
        <v>8.75</v>
      </c>
      <c r="BZ542">
        <v>7.5</v>
      </c>
      <c r="CM542">
        <v>1911</v>
      </c>
    </row>
    <row r="543" spans="1:91" x14ac:dyDescent="0.3">
      <c r="A543" t="s">
        <v>1088</v>
      </c>
      <c r="B543">
        <v>49137</v>
      </c>
      <c r="D543">
        <v>12</v>
      </c>
      <c r="I543">
        <v>9000</v>
      </c>
      <c r="U543">
        <v>10</v>
      </c>
      <c r="Y543">
        <v>10</v>
      </c>
      <c r="AA543">
        <v>10.5</v>
      </c>
      <c r="AC543" s="3">
        <v>10.5</v>
      </c>
      <c r="AE543" s="3">
        <v>10.5</v>
      </c>
      <c r="AI543">
        <v>10.5</v>
      </c>
      <c r="AK543" s="3"/>
      <c r="BG543">
        <v>7</v>
      </c>
      <c r="BH543">
        <v>7</v>
      </c>
      <c r="BI543">
        <v>7</v>
      </c>
      <c r="BJ543">
        <v>7</v>
      </c>
      <c r="BK543" s="4">
        <v>3623</v>
      </c>
      <c r="BL543" s="4">
        <v>3805</v>
      </c>
      <c r="BM543" s="4">
        <v>3988</v>
      </c>
      <c r="BN543" s="4">
        <v>4170</v>
      </c>
      <c r="BR543">
        <v>17653</v>
      </c>
      <c r="BT543">
        <v>6</v>
      </c>
      <c r="BU543">
        <v>13</v>
      </c>
      <c r="BV543">
        <v>6</v>
      </c>
      <c r="BX543">
        <v>10.5</v>
      </c>
      <c r="BZ543">
        <v>9.25</v>
      </c>
      <c r="CM543">
        <v>1911</v>
      </c>
    </row>
    <row r="544" spans="1:91" x14ac:dyDescent="0.3">
      <c r="A544" t="s">
        <v>1089</v>
      </c>
      <c r="B544">
        <v>48349</v>
      </c>
      <c r="D544">
        <v>12</v>
      </c>
      <c r="I544">
        <v>200000</v>
      </c>
      <c r="J544" t="s">
        <v>800</v>
      </c>
      <c r="V544" t="s">
        <v>350</v>
      </c>
      <c r="Y544">
        <v>100</v>
      </c>
      <c r="AA544">
        <v>53.5</v>
      </c>
      <c r="AC544" s="3">
        <v>53.5</v>
      </c>
      <c r="AE544" s="3">
        <v>50</v>
      </c>
      <c r="AI544">
        <v>50.5</v>
      </c>
      <c r="AJ544" t="s">
        <v>379</v>
      </c>
      <c r="AK544" s="3"/>
      <c r="AV544" t="s">
        <v>370</v>
      </c>
      <c r="AX544" t="s">
        <v>370</v>
      </c>
      <c r="AZ544" t="s">
        <v>370</v>
      </c>
      <c r="BB544" t="s">
        <v>370</v>
      </c>
      <c r="BO544" t="s">
        <v>367</v>
      </c>
      <c r="BS544" t="s">
        <v>385</v>
      </c>
      <c r="BT544">
        <v>8</v>
      </c>
      <c r="BU544">
        <v>8</v>
      </c>
      <c r="BV544">
        <v>3</v>
      </c>
      <c r="BX544">
        <v>56.5</v>
      </c>
      <c r="BZ544">
        <v>50</v>
      </c>
      <c r="CM544">
        <v>1911</v>
      </c>
    </row>
    <row r="545" spans="1:91" x14ac:dyDescent="0.3">
      <c r="A545" t="s">
        <v>1090</v>
      </c>
      <c r="B545">
        <v>48432</v>
      </c>
      <c r="D545">
        <v>12</v>
      </c>
      <c r="I545">
        <v>175000</v>
      </c>
      <c r="J545" t="s">
        <v>800</v>
      </c>
      <c r="V545" t="s">
        <v>350</v>
      </c>
      <c r="Y545">
        <v>100</v>
      </c>
      <c r="AA545">
        <v>93.5</v>
      </c>
      <c r="AC545" s="3">
        <v>93.5</v>
      </c>
      <c r="AE545" s="3">
        <v>91.5</v>
      </c>
      <c r="AI545">
        <v>91.5</v>
      </c>
      <c r="AK545" s="3"/>
      <c r="AV545" t="s">
        <v>370</v>
      </c>
      <c r="AX545" t="s">
        <v>370</v>
      </c>
      <c r="AZ545" t="s">
        <v>370</v>
      </c>
      <c r="BB545" t="s">
        <v>370</v>
      </c>
      <c r="BO545" t="s">
        <v>367</v>
      </c>
      <c r="BS545" t="s">
        <v>385</v>
      </c>
      <c r="BT545">
        <v>4</v>
      </c>
      <c r="BU545">
        <v>18</v>
      </c>
      <c r="BV545">
        <v>3</v>
      </c>
      <c r="BX545">
        <v>94.5</v>
      </c>
      <c r="BZ545">
        <v>91.5</v>
      </c>
      <c r="CK545" t="s">
        <v>360</v>
      </c>
      <c r="CM545">
        <v>1911</v>
      </c>
    </row>
    <row r="546" spans="1:91" x14ac:dyDescent="0.3">
      <c r="A546" t="s">
        <v>1091</v>
      </c>
      <c r="B546">
        <v>48774</v>
      </c>
      <c r="D546">
        <v>12</v>
      </c>
      <c r="I546">
        <v>350000</v>
      </c>
      <c r="J546" t="s">
        <v>800</v>
      </c>
      <c r="V546" t="s">
        <v>350</v>
      </c>
      <c r="Y546">
        <v>100</v>
      </c>
      <c r="AA546">
        <v>80</v>
      </c>
      <c r="AC546" s="3">
        <v>80</v>
      </c>
      <c r="AE546" s="3">
        <v>78</v>
      </c>
      <c r="AI546">
        <v>78</v>
      </c>
      <c r="AJ546" t="s">
        <v>379</v>
      </c>
      <c r="AK546" s="3"/>
      <c r="BG546">
        <v>4</v>
      </c>
      <c r="BH546">
        <v>4</v>
      </c>
      <c r="BI546">
        <v>4</v>
      </c>
      <c r="BJ546">
        <v>4</v>
      </c>
      <c r="BK546" s="4">
        <v>3654</v>
      </c>
      <c r="BL546" s="4">
        <v>3835</v>
      </c>
      <c r="BM546" s="4">
        <v>4019</v>
      </c>
      <c r="BN546" s="4">
        <v>4200</v>
      </c>
      <c r="BR546">
        <v>127835</v>
      </c>
      <c r="BT546">
        <v>5</v>
      </c>
      <c r="BU546">
        <v>2</v>
      </c>
      <c r="BV546">
        <v>6</v>
      </c>
      <c r="BX546">
        <v>81</v>
      </c>
      <c r="BZ546">
        <v>77.75</v>
      </c>
      <c r="CK546" t="s">
        <v>360</v>
      </c>
      <c r="CM546">
        <v>1911</v>
      </c>
    </row>
    <row r="547" spans="1:91" x14ac:dyDescent="0.3">
      <c r="A547" t="s">
        <v>1092</v>
      </c>
      <c r="B547">
        <v>48791</v>
      </c>
      <c r="D547">
        <v>12</v>
      </c>
      <c r="I547">
        <v>11000</v>
      </c>
      <c r="U547">
        <v>10</v>
      </c>
      <c r="Y547">
        <v>10</v>
      </c>
      <c r="AA547">
        <v>1</v>
      </c>
      <c r="AC547" s="3">
        <v>1.75</v>
      </c>
      <c r="AE547" s="3">
        <v>1</v>
      </c>
      <c r="AI547">
        <v>1.75</v>
      </c>
      <c r="AK547" s="3"/>
      <c r="BB547" t="s">
        <v>810</v>
      </c>
      <c r="BG547">
        <v>7</v>
      </c>
      <c r="BH547">
        <v>7</v>
      </c>
      <c r="BI547">
        <v>7</v>
      </c>
      <c r="BK547" s="4">
        <v>913</v>
      </c>
      <c r="BL547" s="4">
        <v>1066</v>
      </c>
      <c r="BM547" s="4">
        <v>1278</v>
      </c>
      <c r="BR547">
        <v>265552</v>
      </c>
      <c r="BS547" t="s">
        <v>1093</v>
      </c>
      <c r="BW547" t="s">
        <v>802</v>
      </c>
      <c r="BX547">
        <v>1.87</v>
      </c>
      <c r="BZ547">
        <v>1</v>
      </c>
      <c r="CM547">
        <v>1911</v>
      </c>
    </row>
    <row r="548" spans="1:91" x14ac:dyDescent="0.3">
      <c r="A548" t="s">
        <v>1092</v>
      </c>
      <c r="B548">
        <v>48790</v>
      </c>
      <c r="C548" t="s">
        <v>1094</v>
      </c>
      <c r="D548">
        <v>12</v>
      </c>
      <c r="I548">
        <v>429900</v>
      </c>
      <c r="U548">
        <v>100</v>
      </c>
      <c r="Y548">
        <v>100</v>
      </c>
      <c r="AA548">
        <v>55.5</v>
      </c>
      <c r="AC548" s="3">
        <v>55.5</v>
      </c>
      <c r="AE548" s="3">
        <v>55.5</v>
      </c>
      <c r="AI548">
        <v>55.5</v>
      </c>
      <c r="AK548" s="3"/>
      <c r="BG548">
        <v>4.5</v>
      </c>
      <c r="BH548">
        <v>4.5</v>
      </c>
      <c r="BI548">
        <v>4.5</v>
      </c>
      <c r="BJ548">
        <v>4.5</v>
      </c>
      <c r="BK548" s="4">
        <v>3744</v>
      </c>
      <c r="BL548" s="4">
        <v>3927</v>
      </c>
      <c r="BM548" s="4">
        <v>4109</v>
      </c>
      <c r="BN548" s="4">
        <v>4292</v>
      </c>
      <c r="BR548">
        <v>265552</v>
      </c>
      <c r="BS548" t="s">
        <v>1093</v>
      </c>
      <c r="BT548">
        <v>8</v>
      </c>
      <c r="BU548">
        <v>3</v>
      </c>
      <c r="BV548">
        <v>0</v>
      </c>
      <c r="BX548">
        <v>60.5</v>
      </c>
      <c r="BZ548">
        <v>52.5</v>
      </c>
      <c r="CK548" t="s">
        <v>1095</v>
      </c>
      <c r="CM548">
        <v>1911</v>
      </c>
    </row>
    <row r="549" spans="1:91" x14ac:dyDescent="0.3">
      <c r="A549" t="s">
        <v>1096</v>
      </c>
      <c r="B549">
        <v>48833</v>
      </c>
      <c r="D549">
        <v>12</v>
      </c>
      <c r="I549">
        <v>275000</v>
      </c>
      <c r="J549" t="s">
        <v>800</v>
      </c>
      <c r="V549" t="s">
        <v>350</v>
      </c>
      <c r="Y549">
        <v>100</v>
      </c>
      <c r="AA549">
        <v>78.5</v>
      </c>
      <c r="AC549" s="3">
        <v>78.5</v>
      </c>
      <c r="AE549" s="3">
        <v>78.5</v>
      </c>
      <c r="AI549">
        <v>78.5</v>
      </c>
      <c r="AK549" s="3"/>
      <c r="AV549" t="s">
        <v>373</v>
      </c>
      <c r="AX549" t="s">
        <v>373</v>
      </c>
      <c r="AZ549" t="s">
        <v>373</v>
      </c>
      <c r="BB549" t="s">
        <v>373</v>
      </c>
      <c r="BO549" t="s">
        <v>367</v>
      </c>
      <c r="BS549" t="s">
        <v>385</v>
      </c>
      <c r="BT549">
        <v>5</v>
      </c>
      <c r="BU549">
        <v>3</v>
      </c>
      <c r="BV549">
        <v>0</v>
      </c>
      <c r="BX549">
        <v>83</v>
      </c>
      <c r="BZ549">
        <v>78.5</v>
      </c>
      <c r="CK549" t="s">
        <v>360</v>
      </c>
      <c r="CM549">
        <v>1911</v>
      </c>
    </row>
    <row r="550" spans="1:91" x14ac:dyDescent="0.3">
      <c r="A550" t="s">
        <v>1097</v>
      </c>
      <c r="B550">
        <v>48881</v>
      </c>
      <c r="D550">
        <v>12</v>
      </c>
      <c r="I550">
        <v>9700</v>
      </c>
      <c r="U550">
        <v>20</v>
      </c>
      <c r="Y550">
        <v>13</v>
      </c>
      <c r="AA550">
        <v>4</v>
      </c>
      <c r="AC550" s="3">
        <v>4</v>
      </c>
      <c r="AE550" s="3">
        <v>3.5</v>
      </c>
      <c r="AI550">
        <v>3.5</v>
      </c>
      <c r="AK550" s="3"/>
      <c r="AX550" t="s">
        <v>1098</v>
      </c>
      <c r="AZ550" t="s">
        <v>969</v>
      </c>
      <c r="BB550" t="s">
        <v>815</v>
      </c>
      <c r="BG550">
        <v>5</v>
      </c>
      <c r="BH550">
        <v>2.5</v>
      </c>
      <c r="BJ550">
        <v>1</v>
      </c>
      <c r="BK550" s="4">
        <v>3532</v>
      </c>
      <c r="BL550" s="4">
        <v>3685</v>
      </c>
      <c r="BM550" t="s">
        <v>811</v>
      </c>
      <c r="BN550" s="4">
        <v>4262</v>
      </c>
      <c r="BR550">
        <v>136379</v>
      </c>
      <c r="BS550" t="s">
        <v>1099</v>
      </c>
      <c r="BT550">
        <v>3</v>
      </c>
      <c r="BU550">
        <v>14</v>
      </c>
      <c r="BV550">
        <v>3</v>
      </c>
      <c r="BX550">
        <v>6.5</v>
      </c>
      <c r="BZ550">
        <v>3.5</v>
      </c>
      <c r="CK550" t="s">
        <v>360</v>
      </c>
      <c r="CM550">
        <v>1911</v>
      </c>
    </row>
    <row r="551" spans="1:91" x14ac:dyDescent="0.3">
      <c r="A551" t="s">
        <v>1097</v>
      </c>
      <c r="B551">
        <v>48886</v>
      </c>
      <c r="C551" t="s">
        <v>1100</v>
      </c>
      <c r="D551">
        <v>12</v>
      </c>
      <c r="I551">
        <v>300000</v>
      </c>
      <c r="J551" t="s">
        <v>800</v>
      </c>
      <c r="V551" t="s">
        <v>350</v>
      </c>
      <c r="Y551">
        <v>100</v>
      </c>
      <c r="AA551">
        <v>66.5</v>
      </c>
      <c r="AC551" s="3">
        <v>66.5</v>
      </c>
      <c r="AE551" s="3">
        <v>66.5</v>
      </c>
      <c r="AI551">
        <v>66.5</v>
      </c>
      <c r="AK551" s="3"/>
      <c r="AV551" t="s">
        <v>536</v>
      </c>
      <c r="AX551" t="s">
        <v>536</v>
      </c>
      <c r="AZ551" t="s">
        <v>536</v>
      </c>
      <c r="BB551" t="s">
        <v>536</v>
      </c>
      <c r="BO551" t="s">
        <v>367</v>
      </c>
      <c r="BR551">
        <v>136379</v>
      </c>
      <c r="BS551" t="s">
        <v>1099</v>
      </c>
      <c r="BT551">
        <v>5</v>
      </c>
      <c r="BU551">
        <v>13</v>
      </c>
      <c r="BV551">
        <v>6</v>
      </c>
      <c r="BX551">
        <v>70.5</v>
      </c>
      <c r="BZ551">
        <v>60</v>
      </c>
      <c r="CM551">
        <v>1911</v>
      </c>
    </row>
    <row r="552" spans="1:91" x14ac:dyDescent="0.3">
      <c r="A552" t="s">
        <v>1101</v>
      </c>
      <c r="B552">
        <v>48947</v>
      </c>
      <c r="D552">
        <v>12</v>
      </c>
      <c r="I552">
        <v>965279</v>
      </c>
      <c r="U552">
        <v>1</v>
      </c>
      <c r="Y552">
        <v>1</v>
      </c>
      <c r="AA552">
        <v>2</v>
      </c>
      <c r="AC552" s="3">
        <v>2.06</v>
      </c>
      <c r="AE552" s="3">
        <v>1.87</v>
      </c>
      <c r="AI552">
        <v>1.9</v>
      </c>
      <c r="AK552" s="3"/>
      <c r="AX552" t="s">
        <v>823</v>
      </c>
      <c r="BB552" t="s">
        <v>823</v>
      </c>
      <c r="BG552">
        <v>15</v>
      </c>
      <c r="BH552">
        <v>15</v>
      </c>
      <c r="BI552">
        <v>20</v>
      </c>
      <c r="BJ552">
        <v>15</v>
      </c>
      <c r="BK552" s="4">
        <v>3835</v>
      </c>
      <c r="BL552" s="4">
        <v>3988</v>
      </c>
      <c r="BM552" s="4">
        <v>4200</v>
      </c>
      <c r="BN552" s="4">
        <v>4353</v>
      </c>
      <c r="BR552">
        <v>712876</v>
      </c>
      <c r="BS552" t="s">
        <v>1102</v>
      </c>
      <c r="BT552">
        <v>9</v>
      </c>
      <c r="BU552">
        <v>14</v>
      </c>
      <c r="BV552">
        <v>6</v>
      </c>
      <c r="BX552">
        <v>2.12</v>
      </c>
      <c r="BZ552">
        <v>1.68</v>
      </c>
      <c r="CK552" t="s">
        <v>360</v>
      </c>
      <c r="CM552">
        <v>1911</v>
      </c>
    </row>
    <row r="553" spans="1:91" x14ac:dyDescent="0.3">
      <c r="A553" t="s">
        <v>1101</v>
      </c>
      <c r="B553">
        <v>48949</v>
      </c>
      <c r="C553" t="s">
        <v>850</v>
      </c>
      <c r="D553">
        <v>12</v>
      </c>
      <c r="I553" s="2">
        <v>1000000</v>
      </c>
      <c r="U553">
        <v>1</v>
      </c>
      <c r="Y553">
        <v>1</v>
      </c>
      <c r="AA553">
        <v>0.93</v>
      </c>
      <c r="AC553" s="3">
        <v>0.96</v>
      </c>
      <c r="AE553" s="3">
        <v>0.9</v>
      </c>
      <c r="AI553">
        <v>0.93</v>
      </c>
      <c r="AK553" s="3"/>
      <c r="AV553" t="s">
        <v>370</v>
      </c>
      <c r="AX553" t="s">
        <v>370</v>
      </c>
      <c r="AZ553" t="s">
        <v>370</v>
      </c>
      <c r="BB553" t="s">
        <v>370</v>
      </c>
      <c r="BO553" t="s">
        <v>367</v>
      </c>
      <c r="BR553">
        <v>712876</v>
      </c>
      <c r="BS553" t="s">
        <v>1102</v>
      </c>
      <c r="BT553">
        <v>5</v>
      </c>
      <c r="BU553">
        <v>6</v>
      </c>
      <c r="BV553">
        <v>9</v>
      </c>
      <c r="BX553">
        <v>1</v>
      </c>
      <c r="BZ553">
        <v>0.87</v>
      </c>
      <c r="CM553">
        <v>1911</v>
      </c>
    </row>
    <row r="554" spans="1:91" x14ac:dyDescent="0.3">
      <c r="A554" t="s">
        <v>1103</v>
      </c>
      <c r="B554">
        <v>49027</v>
      </c>
      <c r="D554">
        <v>12</v>
      </c>
      <c r="I554">
        <v>9500</v>
      </c>
      <c r="U554">
        <v>10</v>
      </c>
      <c r="Y554">
        <v>10</v>
      </c>
      <c r="AA554">
        <v>7</v>
      </c>
      <c r="AC554" s="3">
        <v>7</v>
      </c>
      <c r="AE554" s="3">
        <v>6.75</v>
      </c>
      <c r="AI554">
        <v>6.75</v>
      </c>
      <c r="AJ554" t="s">
        <v>379</v>
      </c>
      <c r="AK554" s="3"/>
      <c r="AV554" t="s">
        <v>370</v>
      </c>
      <c r="AX554" t="s">
        <v>370</v>
      </c>
      <c r="AZ554" t="s">
        <v>370</v>
      </c>
      <c r="BB554" t="s">
        <v>370</v>
      </c>
      <c r="BO554" t="s">
        <v>367</v>
      </c>
      <c r="BR554">
        <v>14700</v>
      </c>
      <c r="BT554">
        <v>7</v>
      </c>
      <c r="BU554">
        <v>8</v>
      </c>
      <c r="BV554">
        <v>3</v>
      </c>
      <c r="BX554">
        <v>7.25</v>
      </c>
      <c r="BZ554">
        <v>6.75</v>
      </c>
      <c r="CK554" t="s">
        <v>360</v>
      </c>
      <c r="CM554">
        <v>1911</v>
      </c>
    </row>
    <row r="555" spans="1:91" x14ac:dyDescent="0.3">
      <c r="A555" t="s">
        <v>1104</v>
      </c>
      <c r="B555">
        <v>49213</v>
      </c>
      <c r="D555">
        <v>12</v>
      </c>
      <c r="I555">
        <v>280000</v>
      </c>
      <c r="J555" t="s">
        <v>800</v>
      </c>
      <c r="V555" t="s">
        <v>350</v>
      </c>
      <c r="Y555">
        <v>100</v>
      </c>
      <c r="AA555">
        <v>83</v>
      </c>
      <c r="AC555" s="3">
        <v>83</v>
      </c>
      <c r="AE555" s="3">
        <v>82.5</v>
      </c>
      <c r="AI555">
        <v>83</v>
      </c>
      <c r="AK555" s="3"/>
      <c r="BG555">
        <v>4</v>
      </c>
      <c r="BH555">
        <v>4</v>
      </c>
      <c r="BI555">
        <v>4</v>
      </c>
      <c r="BJ555">
        <v>4</v>
      </c>
      <c r="BK555" s="4">
        <v>3774</v>
      </c>
      <c r="BL555" s="4">
        <v>3958</v>
      </c>
      <c r="BM555" s="4">
        <v>4139</v>
      </c>
      <c r="BN555" s="4">
        <v>4323</v>
      </c>
      <c r="BS555" t="s">
        <v>385</v>
      </c>
      <c r="BT555">
        <v>4</v>
      </c>
      <c r="BU555">
        <v>16</v>
      </c>
      <c r="BV555">
        <v>9</v>
      </c>
      <c r="BX555">
        <v>85.25</v>
      </c>
      <c r="BZ555">
        <v>82</v>
      </c>
      <c r="CK555" t="s">
        <v>360</v>
      </c>
      <c r="CM555">
        <v>1911</v>
      </c>
    </row>
    <row r="556" spans="1:91" x14ac:dyDescent="0.3">
      <c r="A556" t="s">
        <v>1105</v>
      </c>
      <c r="B556">
        <v>49295</v>
      </c>
      <c r="D556">
        <v>12</v>
      </c>
      <c r="I556">
        <v>10000</v>
      </c>
      <c r="U556">
        <v>10</v>
      </c>
      <c r="Y556">
        <v>10</v>
      </c>
      <c r="AA556">
        <v>8.75</v>
      </c>
      <c r="AC556" s="3">
        <v>9</v>
      </c>
      <c r="AE556" s="3">
        <v>8.5</v>
      </c>
      <c r="AI556">
        <v>8.5</v>
      </c>
      <c r="AJ556" t="s">
        <v>379</v>
      </c>
      <c r="AK556" s="3"/>
      <c r="AV556" t="s">
        <v>823</v>
      </c>
      <c r="AZ556" t="s">
        <v>823</v>
      </c>
      <c r="BG556">
        <v>5</v>
      </c>
      <c r="BH556">
        <v>13</v>
      </c>
      <c r="BI556">
        <v>5</v>
      </c>
      <c r="BJ556">
        <v>13</v>
      </c>
      <c r="BK556" s="4">
        <v>3835</v>
      </c>
      <c r="BL556" s="4">
        <v>4019</v>
      </c>
      <c r="BM556" s="4">
        <v>4200</v>
      </c>
      <c r="BN556" s="4">
        <v>4384</v>
      </c>
      <c r="BR556">
        <v>123434</v>
      </c>
      <c r="BS556" t="s">
        <v>1106</v>
      </c>
      <c r="BT556">
        <v>10</v>
      </c>
      <c r="BU556">
        <v>11</v>
      </c>
      <c r="BV556">
        <v>9</v>
      </c>
      <c r="BX556">
        <v>9</v>
      </c>
      <c r="BZ556">
        <v>7.81</v>
      </c>
      <c r="CK556" t="s">
        <v>1107</v>
      </c>
      <c r="CM556">
        <v>1911</v>
      </c>
    </row>
    <row r="557" spans="1:91" x14ac:dyDescent="0.3">
      <c r="A557" t="s">
        <v>1105</v>
      </c>
      <c r="B557">
        <v>49296</v>
      </c>
      <c r="C557" t="s">
        <v>844</v>
      </c>
      <c r="D557">
        <v>12</v>
      </c>
      <c r="I557">
        <v>8000</v>
      </c>
      <c r="U557">
        <v>10</v>
      </c>
      <c r="Y557">
        <v>10</v>
      </c>
      <c r="AA557">
        <v>7.75</v>
      </c>
      <c r="AB557" t="s">
        <v>379</v>
      </c>
      <c r="AC557" s="3">
        <v>7.75</v>
      </c>
      <c r="AE557" s="3">
        <v>7.75</v>
      </c>
      <c r="AI557">
        <v>7.75</v>
      </c>
      <c r="AK557" s="3"/>
      <c r="AV557" t="s">
        <v>421</v>
      </c>
      <c r="AX557" t="s">
        <v>421</v>
      </c>
      <c r="AZ557" t="s">
        <v>421</v>
      </c>
      <c r="BB557" t="s">
        <v>421</v>
      </c>
      <c r="BO557" t="s">
        <v>367</v>
      </c>
      <c r="BR557">
        <v>123434</v>
      </c>
      <c r="BS557" t="s">
        <v>1106</v>
      </c>
      <c r="BT557">
        <v>7</v>
      </c>
      <c r="BU557">
        <v>14</v>
      </c>
      <c r="BV557">
        <v>9</v>
      </c>
      <c r="BX557">
        <v>8.5</v>
      </c>
      <c r="BZ557">
        <v>7.75</v>
      </c>
      <c r="CM557">
        <v>1911</v>
      </c>
    </row>
    <row r="558" spans="1:91" x14ac:dyDescent="0.3">
      <c r="A558" t="s">
        <v>1105</v>
      </c>
      <c r="B558">
        <v>49298</v>
      </c>
      <c r="C558" t="s">
        <v>1108</v>
      </c>
      <c r="D558">
        <v>12</v>
      </c>
      <c r="I558">
        <v>13000</v>
      </c>
      <c r="U558">
        <v>10</v>
      </c>
      <c r="Y558">
        <v>10</v>
      </c>
      <c r="AA558">
        <v>7</v>
      </c>
      <c r="AC558" s="3">
        <v>7</v>
      </c>
      <c r="AE558" s="3">
        <v>7</v>
      </c>
      <c r="AI558">
        <v>7</v>
      </c>
      <c r="AK558" s="3"/>
      <c r="AV558" t="s">
        <v>536</v>
      </c>
      <c r="AX558" t="s">
        <v>536</v>
      </c>
      <c r="AZ558" t="s">
        <v>536</v>
      </c>
      <c r="BB558" t="s">
        <v>536</v>
      </c>
      <c r="BO558" t="s">
        <v>367</v>
      </c>
      <c r="BR558">
        <v>123434</v>
      </c>
      <c r="BS558" t="s">
        <v>1106</v>
      </c>
      <c r="BT558">
        <v>8</v>
      </c>
      <c r="BU558">
        <v>11</v>
      </c>
      <c r="BV558">
        <v>6</v>
      </c>
      <c r="BX558">
        <v>7.75</v>
      </c>
      <c r="BZ558">
        <v>7</v>
      </c>
      <c r="CM558">
        <v>1911</v>
      </c>
    </row>
    <row r="559" spans="1:91" x14ac:dyDescent="0.3">
      <c r="A559" t="s">
        <v>1105</v>
      </c>
      <c r="B559">
        <v>49299</v>
      </c>
      <c r="C559" t="s">
        <v>1109</v>
      </c>
      <c r="D559">
        <v>12</v>
      </c>
      <c r="I559">
        <v>200000</v>
      </c>
      <c r="J559" t="s">
        <v>800</v>
      </c>
      <c r="V559" t="s">
        <v>350</v>
      </c>
      <c r="Y559">
        <v>100</v>
      </c>
      <c r="AA559">
        <v>80.5</v>
      </c>
      <c r="AC559" s="3">
        <v>80.5</v>
      </c>
      <c r="AE559" s="3">
        <v>78.5</v>
      </c>
      <c r="AI559">
        <v>78.5</v>
      </c>
      <c r="AK559" s="3"/>
      <c r="AV559" t="s">
        <v>370</v>
      </c>
      <c r="AX559" t="s">
        <v>370</v>
      </c>
      <c r="AZ559" t="s">
        <v>370</v>
      </c>
      <c r="BB559" t="s">
        <v>370</v>
      </c>
      <c r="BO559" t="s">
        <v>367</v>
      </c>
      <c r="BR559">
        <v>123434</v>
      </c>
      <c r="BS559" t="s">
        <v>1106</v>
      </c>
      <c r="BT559">
        <v>5</v>
      </c>
      <c r="BU559">
        <v>2</v>
      </c>
      <c r="BV559">
        <v>0</v>
      </c>
      <c r="BX559">
        <v>82.5</v>
      </c>
      <c r="BZ559">
        <v>78.5</v>
      </c>
      <c r="CM559">
        <v>1911</v>
      </c>
    </row>
    <row r="560" spans="1:91" x14ac:dyDescent="0.3">
      <c r="A560" t="s">
        <v>1110</v>
      </c>
      <c r="B560">
        <v>49304</v>
      </c>
      <c r="D560">
        <v>12</v>
      </c>
      <c r="I560">
        <v>200000</v>
      </c>
      <c r="J560" t="s">
        <v>800</v>
      </c>
      <c r="V560" t="s">
        <v>350</v>
      </c>
      <c r="Y560">
        <v>100</v>
      </c>
      <c r="AA560">
        <v>77.5</v>
      </c>
      <c r="AC560" s="3">
        <v>78.5</v>
      </c>
      <c r="AE560" s="3">
        <v>77.5</v>
      </c>
      <c r="AI560">
        <v>78.5</v>
      </c>
      <c r="AK560" s="3"/>
      <c r="BG560">
        <v>4.5</v>
      </c>
      <c r="BH560">
        <v>4.5</v>
      </c>
      <c r="BI560">
        <v>4.5</v>
      </c>
      <c r="BJ560">
        <v>4.5</v>
      </c>
      <c r="BK560" s="4">
        <v>3623</v>
      </c>
      <c r="BL560" s="4">
        <v>3805</v>
      </c>
      <c r="BM560" s="4">
        <v>3988</v>
      </c>
      <c r="BN560" s="4">
        <v>4170</v>
      </c>
      <c r="BR560">
        <v>60533</v>
      </c>
      <c r="BS560" t="s">
        <v>1111</v>
      </c>
      <c r="BT560">
        <v>5</v>
      </c>
      <c r="BU560">
        <v>3</v>
      </c>
      <c r="BV560">
        <v>3</v>
      </c>
      <c r="BX560">
        <v>84.75</v>
      </c>
      <c r="BZ560">
        <v>76</v>
      </c>
      <c r="CK560" t="s">
        <v>360</v>
      </c>
      <c r="CM560">
        <v>1911</v>
      </c>
    </row>
    <row r="561" spans="1:91" x14ac:dyDescent="0.3">
      <c r="A561" t="s">
        <v>1112</v>
      </c>
      <c r="B561">
        <v>49307</v>
      </c>
      <c r="C561" t="s">
        <v>1113</v>
      </c>
      <c r="D561">
        <v>12</v>
      </c>
      <c r="I561">
        <v>200000</v>
      </c>
      <c r="J561" t="s">
        <v>800</v>
      </c>
      <c r="V561" t="s">
        <v>350</v>
      </c>
      <c r="Y561">
        <v>100</v>
      </c>
      <c r="AA561">
        <v>60.5</v>
      </c>
      <c r="AC561" s="3">
        <v>60.5</v>
      </c>
      <c r="AE561" s="3">
        <v>59.5</v>
      </c>
      <c r="AI561">
        <v>59.5</v>
      </c>
      <c r="AK561" s="3"/>
      <c r="BG561">
        <v>4.5</v>
      </c>
      <c r="BH561">
        <v>4.5</v>
      </c>
      <c r="BI561">
        <v>4.5</v>
      </c>
      <c r="BJ561">
        <v>4.5</v>
      </c>
      <c r="BK561" s="4">
        <v>3623</v>
      </c>
      <c r="BL561" s="4">
        <v>3805</v>
      </c>
      <c r="BM561" s="4">
        <v>3988</v>
      </c>
      <c r="BN561" s="4">
        <v>4170</v>
      </c>
      <c r="BR561">
        <v>60533</v>
      </c>
      <c r="BS561" t="s">
        <v>1111</v>
      </c>
      <c r="BT561">
        <v>7</v>
      </c>
      <c r="BU561">
        <v>11</v>
      </c>
      <c r="BV561">
        <v>3</v>
      </c>
      <c r="BX561">
        <v>66</v>
      </c>
      <c r="BZ561">
        <v>59.5</v>
      </c>
      <c r="CM561">
        <v>1911</v>
      </c>
    </row>
    <row r="562" spans="1:91" x14ac:dyDescent="0.3">
      <c r="A562" t="s">
        <v>1114</v>
      </c>
      <c r="B562">
        <v>49312</v>
      </c>
      <c r="D562">
        <v>12</v>
      </c>
      <c r="I562">
        <v>500000</v>
      </c>
      <c r="J562" t="s">
        <v>800</v>
      </c>
      <c r="V562" t="s">
        <v>350</v>
      </c>
      <c r="Y562">
        <v>100</v>
      </c>
      <c r="AA562">
        <v>78.5</v>
      </c>
      <c r="AC562" s="3">
        <v>78.5</v>
      </c>
      <c r="AE562" s="3">
        <v>77.75</v>
      </c>
      <c r="AI562">
        <v>78.5</v>
      </c>
      <c r="AK562" s="3"/>
      <c r="AV562" t="s">
        <v>536</v>
      </c>
      <c r="AX562" t="s">
        <v>536</v>
      </c>
      <c r="AZ562" t="s">
        <v>536</v>
      </c>
      <c r="BB562" t="s">
        <v>536</v>
      </c>
      <c r="BO562" t="s">
        <v>367</v>
      </c>
      <c r="BR562">
        <v>76497</v>
      </c>
      <c r="BT562">
        <v>5</v>
      </c>
      <c r="BU562">
        <v>2</v>
      </c>
      <c r="BV562">
        <v>6</v>
      </c>
      <c r="BX562">
        <v>79.75</v>
      </c>
      <c r="BZ562">
        <v>76</v>
      </c>
      <c r="CK562" t="s">
        <v>1115</v>
      </c>
      <c r="CM562">
        <v>1911</v>
      </c>
    </row>
    <row r="563" spans="1:91" x14ac:dyDescent="0.3">
      <c r="A563" t="s">
        <v>1116</v>
      </c>
      <c r="B563">
        <v>49441</v>
      </c>
      <c r="D563">
        <v>12</v>
      </c>
      <c r="I563">
        <v>250000</v>
      </c>
      <c r="J563" t="s">
        <v>800</v>
      </c>
      <c r="V563" t="s">
        <v>350</v>
      </c>
      <c r="Y563">
        <v>100</v>
      </c>
      <c r="AA563">
        <v>66.5</v>
      </c>
      <c r="AC563" s="3">
        <v>67.5</v>
      </c>
      <c r="AE563" s="3">
        <v>64.5</v>
      </c>
      <c r="AI563">
        <v>65.5</v>
      </c>
      <c r="AJ563" t="s">
        <v>379</v>
      </c>
      <c r="AK563" s="3"/>
      <c r="AV563" t="s">
        <v>370</v>
      </c>
      <c r="AX563" t="s">
        <v>370</v>
      </c>
      <c r="AZ563" t="s">
        <v>370</v>
      </c>
      <c r="BB563" t="s">
        <v>370</v>
      </c>
      <c r="BO563" t="s">
        <v>367</v>
      </c>
      <c r="BS563" t="s">
        <v>385</v>
      </c>
      <c r="BT563">
        <v>6</v>
      </c>
      <c r="BU563">
        <v>17</v>
      </c>
      <c r="BV563">
        <v>6</v>
      </c>
      <c r="BX563">
        <v>70.25</v>
      </c>
      <c r="BZ563">
        <v>55.5</v>
      </c>
      <c r="CK563" t="s">
        <v>1117</v>
      </c>
      <c r="CM563">
        <v>1911</v>
      </c>
    </row>
    <row r="564" spans="1:91" x14ac:dyDescent="0.3">
      <c r="A564" t="s">
        <v>1118</v>
      </c>
      <c r="B564">
        <v>49455</v>
      </c>
      <c r="D564">
        <v>12</v>
      </c>
      <c r="I564">
        <v>15500</v>
      </c>
      <c r="U564">
        <v>10</v>
      </c>
      <c r="Y564">
        <v>10</v>
      </c>
      <c r="AA564">
        <v>7</v>
      </c>
      <c r="AC564" s="3">
        <v>7</v>
      </c>
      <c r="AE564" s="3">
        <v>6.5</v>
      </c>
      <c r="AI564">
        <v>6.5</v>
      </c>
      <c r="AJ564" t="s">
        <v>379</v>
      </c>
      <c r="AK564" s="3"/>
      <c r="AZ564" t="s">
        <v>823</v>
      </c>
      <c r="BG564">
        <v>6</v>
      </c>
      <c r="BH564">
        <v>6</v>
      </c>
      <c r="BI564">
        <v>6</v>
      </c>
      <c r="BJ564">
        <v>6</v>
      </c>
      <c r="BK564" s="4">
        <v>3623</v>
      </c>
      <c r="BL564" s="4">
        <v>3805</v>
      </c>
      <c r="BM564" s="4">
        <v>3988</v>
      </c>
      <c r="BN564" s="4">
        <v>4170</v>
      </c>
      <c r="BR564">
        <v>70855</v>
      </c>
      <c r="BS564" t="s">
        <v>1119</v>
      </c>
      <c r="BT564">
        <v>9</v>
      </c>
      <c r="BU564">
        <v>4</v>
      </c>
      <c r="BV564">
        <v>9</v>
      </c>
      <c r="BX564">
        <v>7.5</v>
      </c>
      <c r="BZ564">
        <v>6.5</v>
      </c>
      <c r="CK564" t="s">
        <v>360</v>
      </c>
      <c r="CM564">
        <v>1911</v>
      </c>
    </row>
    <row r="565" spans="1:91" x14ac:dyDescent="0.3">
      <c r="A565" t="s">
        <v>1118</v>
      </c>
      <c r="B565">
        <v>49456</v>
      </c>
      <c r="C565" t="s">
        <v>844</v>
      </c>
      <c r="D565">
        <v>12</v>
      </c>
      <c r="I565">
        <v>8500</v>
      </c>
      <c r="U565">
        <v>10</v>
      </c>
      <c r="Y565">
        <v>10</v>
      </c>
      <c r="AA565">
        <v>7.75</v>
      </c>
      <c r="AC565" s="3">
        <v>7.75</v>
      </c>
      <c r="AE565" s="3">
        <v>7.75</v>
      </c>
      <c r="AI565">
        <v>7.75</v>
      </c>
      <c r="AK565" s="3"/>
      <c r="AV565" t="s">
        <v>366</v>
      </c>
      <c r="AX565" t="s">
        <v>366</v>
      </c>
      <c r="AZ565" t="s">
        <v>366</v>
      </c>
      <c r="BB565" t="s">
        <v>366</v>
      </c>
      <c r="BO565" t="s">
        <v>367</v>
      </c>
      <c r="BR565">
        <v>70855</v>
      </c>
      <c r="BS565" t="s">
        <v>1119</v>
      </c>
      <c r="BT565">
        <v>7</v>
      </c>
      <c r="BU565">
        <v>14</v>
      </c>
      <c r="BV565">
        <v>9</v>
      </c>
      <c r="BX565">
        <v>8.5</v>
      </c>
      <c r="BZ565">
        <v>7.75</v>
      </c>
      <c r="CM565">
        <v>1911</v>
      </c>
    </row>
    <row r="566" spans="1:91" x14ac:dyDescent="0.3">
      <c r="A566" t="s">
        <v>1118</v>
      </c>
      <c r="B566">
        <v>49461</v>
      </c>
      <c r="C566" t="s">
        <v>1120</v>
      </c>
      <c r="D566">
        <v>12</v>
      </c>
      <c r="I566">
        <v>6000</v>
      </c>
      <c r="U566">
        <v>10</v>
      </c>
      <c r="Y566">
        <v>10</v>
      </c>
      <c r="AA566">
        <v>6.5</v>
      </c>
      <c r="AB566" t="s">
        <v>379</v>
      </c>
      <c r="AC566" s="3">
        <v>6.5</v>
      </c>
      <c r="AE566" s="3">
        <v>6.5</v>
      </c>
      <c r="AI566">
        <v>6.5</v>
      </c>
      <c r="AK566" s="3"/>
      <c r="AV566" t="s">
        <v>421</v>
      </c>
      <c r="AX566" t="s">
        <v>421</v>
      </c>
      <c r="AZ566" t="s">
        <v>421</v>
      </c>
      <c r="BB566" t="s">
        <v>421</v>
      </c>
      <c r="BO566" t="s">
        <v>367</v>
      </c>
      <c r="BR566">
        <v>70855</v>
      </c>
      <c r="BS566" t="s">
        <v>1119</v>
      </c>
      <c r="BT566">
        <v>8</v>
      </c>
      <c r="BU566">
        <v>9</v>
      </c>
      <c r="BV566">
        <v>3</v>
      </c>
      <c r="BX566">
        <v>7</v>
      </c>
      <c r="BZ566">
        <v>6.25</v>
      </c>
      <c r="CM566">
        <v>1911</v>
      </c>
    </row>
    <row r="567" spans="1:91" x14ac:dyDescent="0.3">
      <c r="A567" t="s">
        <v>1118</v>
      </c>
      <c r="B567">
        <v>49458</v>
      </c>
      <c r="C567" t="s">
        <v>1121</v>
      </c>
      <c r="D567">
        <v>12</v>
      </c>
      <c r="I567">
        <v>200000</v>
      </c>
      <c r="J567" t="s">
        <v>800</v>
      </c>
      <c r="V567" t="s">
        <v>350</v>
      </c>
      <c r="Y567">
        <v>100</v>
      </c>
      <c r="AA567">
        <v>76.5</v>
      </c>
      <c r="AC567" s="3">
        <v>76.5</v>
      </c>
      <c r="AE567" s="3">
        <v>76.5</v>
      </c>
      <c r="AI567">
        <v>76.5</v>
      </c>
      <c r="AK567" s="3"/>
      <c r="AV567" t="s">
        <v>366</v>
      </c>
      <c r="AX567" t="s">
        <v>366</v>
      </c>
      <c r="AZ567" t="s">
        <v>366</v>
      </c>
      <c r="BB567" t="s">
        <v>366</v>
      </c>
      <c r="BO567" t="s">
        <v>367</v>
      </c>
      <c r="BR567">
        <v>70855</v>
      </c>
      <c r="BS567" t="s">
        <v>1119</v>
      </c>
      <c r="BT567">
        <v>5</v>
      </c>
      <c r="BU567">
        <v>5</v>
      </c>
      <c r="BV567">
        <v>0</v>
      </c>
      <c r="BX567">
        <v>81</v>
      </c>
      <c r="BZ567">
        <v>76.5</v>
      </c>
      <c r="CM567">
        <v>1911</v>
      </c>
    </row>
    <row r="568" spans="1:91" x14ac:dyDescent="0.3">
      <c r="A568" t="s">
        <v>1118</v>
      </c>
      <c r="B568">
        <v>49459</v>
      </c>
      <c r="C568" t="s">
        <v>1122</v>
      </c>
      <c r="D568">
        <v>12</v>
      </c>
      <c r="I568">
        <v>210000</v>
      </c>
      <c r="J568" t="s">
        <v>800</v>
      </c>
      <c r="V568" t="s">
        <v>350</v>
      </c>
      <c r="Y568">
        <v>100</v>
      </c>
      <c r="AA568">
        <v>71.5</v>
      </c>
      <c r="AC568" s="3">
        <v>71.5</v>
      </c>
      <c r="AE568" s="3">
        <v>69.5</v>
      </c>
      <c r="AI568">
        <v>69.5</v>
      </c>
      <c r="AJ568" t="s">
        <v>379</v>
      </c>
      <c r="AK568" s="3"/>
      <c r="AV568" t="s">
        <v>370</v>
      </c>
      <c r="AX568" t="s">
        <v>370</v>
      </c>
      <c r="AZ568" t="s">
        <v>370</v>
      </c>
      <c r="BB568" t="s">
        <v>370</v>
      </c>
      <c r="BO568" t="s">
        <v>367</v>
      </c>
      <c r="BR568">
        <v>70855</v>
      </c>
      <c r="BS568" t="s">
        <v>1119</v>
      </c>
      <c r="BT568">
        <v>5</v>
      </c>
      <c r="BU568">
        <v>15</v>
      </c>
      <c r="BV568">
        <v>3</v>
      </c>
      <c r="BX568">
        <v>72.5</v>
      </c>
      <c r="BZ568">
        <v>68.5</v>
      </c>
      <c r="CM568">
        <v>1911</v>
      </c>
    </row>
    <row r="569" spans="1:91" x14ac:dyDescent="0.3">
      <c r="A569" t="s">
        <v>1123</v>
      </c>
      <c r="B569">
        <v>49541</v>
      </c>
      <c r="D569">
        <v>12</v>
      </c>
      <c r="I569">
        <v>5500</v>
      </c>
      <c r="U569">
        <v>20</v>
      </c>
      <c r="Y569">
        <v>15</v>
      </c>
      <c r="AA569">
        <v>15.5</v>
      </c>
      <c r="AC569" s="3">
        <v>15.5</v>
      </c>
      <c r="AE569" s="3">
        <v>15.5</v>
      </c>
      <c r="AI569">
        <v>15.5</v>
      </c>
      <c r="AK569" s="3"/>
      <c r="AV569" t="s">
        <v>823</v>
      </c>
      <c r="AZ569" t="s">
        <v>823</v>
      </c>
      <c r="BG569">
        <v>5</v>
      </c>
      <c r="BH569">
        <v>15</v>
      </c>
      <c r="BI569">
        <v>5</v>
      </c>
      <c r="BJ569">
        <v>15</v>
      </c>
      <c r="BK569" s="4">
        <v>3713</v>
      </c>
      <c r="BL569" s="4">
        <v>3897</v>
      </c>
      <c r="BM569" s="4">
        <v>4078</v>
      </c>
      <c r="BN569" s="4">
        <v>4262</v>
      </c>
      <c r="BR569">
        <v>59647</v>
      </c>
      <c r="BS569" t="s">
        <v>1124</v>
      </c>
      <c r="BT569">
        <v>9</v>
      </c>
      <c r="BU569">
        <v>13</v>
      </c>
      <c r="BV569">
        <v>9</v>
      </c>
      <c r="BX569">
        <v>16.5</v>
      </c>
      <c r="BZ569">
        <v>15</v>
      </c>
      <c r="CK569" t="s">
        <v>541</v>
      </c>
      <c r="CM569">
        <v>1911</v>
      </c>
    </row>
    <row r="570" spans="1:91" x14ac:dyDescent="0.3">
      <c r="A570" t="s">
        <v>1123</v>
      </c>
      <c r="B570">
        <v>49542</v>
      </c>
      <c r="C570" t="s">
        <v>1125</v>
      </c>
      <c r="D570">
        <v>12</v>
      </c>
      <c r="I570">
        <v>3000</v>
      </c>
      <c r="U570">
        <v>20</v>
      </c>
      <c r="Y570">
        <v>20</v>
      </c>
      <c r="AA570">
        <v>21</v>
      </c>
      <c r="AC570" s="3">
        <v>21</v>
      </c>
      <c r="AE570" s="3">
        <v>21</v>
      </c>
      <c r="AI570">
        <v>21</v>
      </c>
      <c r="AK570" s="3"/>
      <c r="AV570" t="s">
        <v>823</v>
      </c>
      <c r="AZ570" t="s">
        <v>823</v>
      </c>
      <c r="BG570">
        <v>5</v>
      </c>
      <c r="BH570">
        <v>15</v>
      </c>
      <c r="BI570">
        <v>5</v>
      </c>
      <c r="BJ570">
        <v>15</v>
      </c>
      <c r="BK570" s="4">
        <v>3713</v>
      </c>
      <c r="BL570" s="4">
        <v>3897</v>
      </c>
      <c r="BM570" s="4">
        <v>4078</v>
      </c>
      <c r="BN570" s="4">
        <v>4628</v>
      </c>
      <c r="BR570">
        <v>59647</v>
      </c>
      <c r="BS570" t="s">
        <v>1124</v>
      </c>
      <c r="BT570">
        <v>9</v>
      </c>
      <c r="BU570">
        <v>1</v>
      </c>
      <c r="BV570">
        <v>9</v>
      </c>
      <c r="BX570">
        <v>21.5</v>
      </c>
      <c r="BZ570">
        <v>20</v>
      </c>
      <c r="CM570">
        <v>1911</v>
      </c>
    </row>
    <row r="571" spans="1:91" x14ac:dyDescent="0.3">
      <c r="A571" t="s">
        <v>1126</v>
      </c>
      <c r="B571">
        <v>49600</v>
      </c>
      <c r="D571">
        <v>12</v>
      </c>
      <c r="I571">
        <v>28400</v>
      </c>
      <c r="U571">
        <v>10</v>
      </c>
      <c r="Y571">
        <v>10</v>
      </c>
      <c r="AA571">
        <v>10.119999999999999</v>
      </c>
      <c r="AC571" s="3">
        <v>10.119999999999999</v>
      </c>
      <c r="AE571" s="3">
        <v>10.119999999999999</v>
      </c>
      <c r="AI571">
        <v>10.119999999999999</v>
      </c>
      <c r="AK571" s="3"/>
      <c r="AV571" t="s">
        <v>370</v>
      </c>
      <c r="AX571" t="s">
        <v>370</v>
      </c>
      <c r="AZ571" t="s">
        <v>370</v>
      </c>
      <c r="BB571" t="s">
        <v>370</v>
      </c>
      <c r="BO571" t="s">
        <v>367</v>
      </c>
      <c r="BS571" t="s">
        <v>385</v>
      </c>
      <c r="BT571">
        <v>4</v>
      </c>
      <c r="BU571">
        <v>18</v>
      </c>
      <c r="BV571">
        <v>9</v>
      </c>
      <c r="BX571">
        <v>10.119999999999999</v>
      </c>
      <c r="BZ571">
        <v>9.6199999999999992</v>
      </c>
      <c r="CM571">
        <v>1911</v>
      </c>
    </row>
    <row r="572" spans="1:91" x14ac:dyDescent="0.3">
      <c r="A572" t="s">
        <v>1127</v>
      </c>
      <c r="B572">
        <v>49572</v>
      </c>
      <c r="D572">
        <v>12</v>
      </c>
      <c r="I572">
        <v>10000</v>
      </c>
      <c r="U572">
        <v>10</v>
      </c>
      <c r="Y572">
        <v>10</v>
      </c>
      <c r="AA572">
        <v>3</v>
      </c>
      <c r="AC572" s="3">
        <v>3</v>
      </c>
      <c r="AE572" s="3">
        <v>3</v>
      </c>
      <c r="AI572">
        <v>3</v>
      </c>
      <c r="AK572" s="3"/>
      <c r="AZ572" t="s">
        <v>969</v>
      </c>
      <c r="BB572" t="s">
        <v>815</v>
      </c>
      <c r="BG572">
        <v>6</v>
      </c>
      <c r="BH572">
        <v>6</v>
      </c>
      <c r="BJ572">
        <v>3</v>
      </c>
      <c r="BK572" s="4">
        <v>3289</v>
      </c>
      <c r="BL572" s="4">
        <v>3501</v>
      </c>
      <c r="BM572" t="s">
        <v>811</v>
      </c>
      <c r="BN572" s="4">
        <v>4231</v>
      </c>
      <c r="BR572">
        <v>16258</v>
      </c>
      <c r="BT572">
        <v>10</v>
      </c>
      <c r="BU572">
        <v>0</v>
      </c>
      <c r="BV572">
        <v>0</v>
      </c>
      <c r="BX572">
        <v>3</v>
      </c>
      <c r="BZ572">
        <v>1.75</v>
      </c>
      <c r="CK572" t="s">
        <v>360</v>
      </c>
      <c r="CM572">
        <v>1911</v>
      </c>
    </row>
    <row r="573" spans="1:91" x14ac:dyDescent="0.3">
      <c r="A573" t="s">
        <v>1128</v>
      </c>
      <c r="B573">
        <v>49591</v>
      </c>
      <c r="D573">
        <v>12</v>
      </c>
      <c r="I573">
        <v>500000</v>
      </c>
      <c r="U573">
        <v>1</v>
      </c>
      <c r="Y573">
        <v>1</v>
      </c>
      <c r="AA573">
        <v>1</v>
      </c>
      <c r="AC573" s="3">
        <v>1</v>
      </c>
      <c r="AE573" s="3">
        <v>1</v>
      </c>
      <c r="AI573">
        <v>1</v>
      </c>
      <c r="AK573" s="3"/>
      <c r="AV573" t="s">
        <v>823</v>
      </c>
      <c r="AZ573" t="s">
        <v>823</v>
      </c>
      <c r="BG573">
        <v>8</v>
      </c>
      <c r="BH573">
        <v>8</v>
      </c>
      <c r="BI573">
        <v>8</v>
      </c>
      <c r="BJ573">
        <v>8</v>
      </c>
      <c r="BK573" s="4">
        <v>3654</v>
      </c>
      <c r="BL573" s="4">
        <v>3835</v>
      </c>
      <c r="BM573" s="4">
        <v>4019</v>
      </c>
      <c r="BN573" s="4">
        <v>4200</v>
      </c>
      <c r="BR573">
        <v>448099</v>
      </c>
      <c r="BS573" t="s">
        <v>1129</v>
      </c>
      <c r="BT573">
        <v>8</v>
      </c>
      <c r="BU573">
        <v>0</v>
      </c>
      <c r="BV573">
        <v>0</v>
      </c>
      <c r="BX573">
        <v>1.1200000000000001</v>
      </c>
      <c r="BZ573">
        <v>0.93</v>
      </c>
      <c r="CK573" t="s">
        <v>1130</v>
      </c>
      <c r="CM573">
        <v>1911</v>
      </c>
    </row>
    <row r="574" spans="1:91" x14ac:dyDescent="0.3">
      <c r="A574" t="s">
        <v>1128</v>
      </c>
      <c r="B574">
        <v>49597</v>
      </c>
      <c r="C574" t="s">
        <v>1131</v>
      </c>
      <c r="D574">
        <v>12</v>
      </c>
      <c r="I574">
        <v>425000</v>
      </c>
      <c r="U574">
        <v>1</v>
      </c>
      <c r="Y574">
        <v>1</v>
      </c>
      <c r="AA574">
        <v>1.1200000000000001</v>
      </c>
      <c r="AC574" s="3">
        <v>1.1200000000000001</v>
      </c>
      <c r="AE574" s="3">
        <v>1.06</v>
      </c>
      <c r="AI574">
        <v>1.06</v>
      </c>
      <c r="AK574" s="3"/>
      <c r="AV574" t="s">
        <v>370</v>
      </c>
      <c r="AX574" t="s">
        <v>370</v>
      </c>
      <c r="AZ574" t="s">
        <v>370</v>
      </c>
      <c r="BB574" t="s">
        <v>370</v>
      </c>
      <c r="BO574" t="s">
        <v>367</v>
      </c>
      <c r="BR574">
        <v>448099</v>
      </c>
      <c r="BS574" t="s">
        <v>1129</v>
      </c>
      <c r="BT574">
        <v>5</v>
      </c>
      <c r="BU574">
        <v>13</v>
      </c>
      <c r="BV574">
        <v>0</v>
      </c>
      <c r="BX574">
        <v>1.1200000000000001</v>
      </c>
      <c r="BZ574">
        <v>0.93</v>
      </c>
      <c r="CM574">
        <v>1911</v>
      </c>
    </row>
    <row r="575" spans="1:91" x14ac:dyDescent="0.3">
      <c r="A575" t="s">
        <v>1128</v>
      </c>
      <c r="B575">
        <v>49598</v>
      </c>
      <c r="C575" t="s">
        <v>860</v>
      </c>
      <c r="D575">
        <v>12</v>
      </c>
      <c r="I575" s="2">
        <v>1350000</v>
      </c>
      <c r="J575" t="s">
        <v>800</v>
      </c>
      <c r="V575" t="s">
        <v>350</v>
      </c>
      <c r="Y575">
        <v>100</v>
      </c>
      <c r="AA575">
        <v>83.5</v>
      </c>
      <c r="AC575" s="3">
        <v>83.5</v>
      </c>
      <c r="AE575" s="3">
        <v>83.5</v>
      </c>
      <c r="AI575">
        <v>83.5</v>
      </c>
      <c r="AJ575" t="s">
        <v>379</v>
      </c>
      <c r="AK575" s="3"/>
      <c r="AV575" t="s">
        <v>358</v>
      </c>
      <c r="AX575" t="s">
        <v>358</v>
      </c>
      <c r="AZ575" t="s">
        <v>358</v>
      </c>
      <c r="BB575" t="s">
        <v>358</v>
      </c>
      <c r="BO575" t="s">
        <v>352</v>
      </c>
      <c r="BR575">
        <v>448099</v>
      </c>
      <c r="BS575" t="s">
        <v>1129</v>
      </c>
      <c r="BT575">
        <v>4</v>
      </c>
      <c r="BU575">
        <v>17</v>
      </c>
      <c r="BV575">
        <v>0</v>
      </c>
      <c r="BX575">
        <v>86</v>
      </c>
      <c r="BZ575">
        <v>80.5</v>
      </c>
      <c r="CM575">
        <v>1911</v>
      </c>
    </row>
    <row r="576" spans="1:91" x14ac:dyDescent="0.3">
      <c r="A576" t="s">
        <v>1132</v>
      </c>
      <c r="B576">
        <v>49627</v>
      </c>
      <c r="D576">
        <v>12</v>
      </c>
      <c r="I576">
        <v>120000</v>
      </c>
      <c r="J576" t="s">
        <v>800</v>
      </c>
      <c r="V576" t="s">
        <v>350</v>
      </c>
      <c r="Y576">
        <v>100</v>
      </c>
      <c r="AA576">
        <v>59.5</v>
      </c>
      <c r="AB576" t="s">
        <v>379</v>
      </c>
      <c r="AC576" s="3">
        <v>59.5</v>
      </c>
      <c r="AE576" s="3">
        <v>59.5</v>
      </c>
      <c r="AI576">
        <v>59.5</v>
      </c>
      <c r="AK576" s="3"/>
      <c r="BG576">
        <v>4.25</v>
      </c>
      <c r="BH576">
        <v>4.25</v>
      </c>
      <c r="BI576">
        <v>4.25</v>
      </c>
      <c r="BJ576">
        <v>4.25</v>
      </c>
      <c r="BK576" s="4">
        <v>3805</v>
      </c>
      <c r="BL576" s="4">
        <v>3988</v>
      </c>
      <c r="BM576" s="4">
        <v>4170</v>
      </c>
      <c r="BN576" s="4">
        <v>4353</v>
      </c>
      <c r="BR576">
        <v>39520</v>
      </c>
      <c r="BT576">
        <v>7</v>
      </c>
      <c r="BU576">
        <v>2</v>
      </c>
      <c r="BV576">
        <v>9</v>
      </c>
      <c r="BX576">
        <v>62.5</v>
      </c>
      <c r="BZ576">
        <v>59.5</v>
      </c>
      <c r="CM576">
        <v>1911</v>
      </c>
    </row>
    <row r="577" spans="1:91" x14ac:dyDescent="0.3">
      <c r="A577" t="s">
        <v>1133</v>
      </c>
      <c r="B577">
        <v>49718</v>
      </c>
      <c r="D577">
        <v>12</v>
      </c>
      <c r="I577">
        <v>50000</v>
      </c>
      <c r="U577">
        <v>10</v>
      </c>
      <c r="Y577">
        <v>10</v>
      </c>
      <c r="AA577">
        <v>5.37</v>
      </c>
      <c r="AC577" s="3">
        <v>5.37</v>
      </c>
      <c r="AE577" s="3">
        <v>5.34</v>
      </c>
      <c r="AI577">
        <v>5.37</v>
      </c>
      <c r="AK577" s="3"/>
      <c r="AV577" t="s">
        <v>370</v>
      </c>
      <c r="AX577" t="s">
        <v>370</v>
      </c>
      <c r="AZ577" t="s">
        <v>370</v>
      </c>
      <c r="BB577" t="s">
        <v>370</v>
      </c>
      <c r="BO577" t="s">
        <v>367</v>
      </c>
      <c r="BS577" t="s">
        <v>385</v>
      </c>
      <c r="BT577">
        <v>7</v>
      </c>
      <c r="BU577">
        <v>9</v>
      </c>
      <c r="BV577">
        <v>0</v>
      </c>
      <c r="BX577">
        <v>5.93</v>
      </c>
      <c r="BZ577">
        <v>4.84</v>
      </c>
      <c r="CK577" t="s">
        <v>360</v>
      </c>
      <c r="CM577">
        <v>1911</v>
      </c>
    </row>
    <row r="578" spans="1:91" x14ac:dyDescent="0.3">
      <c r="A578" t="s">
        <v>1134</v>
      </c>
      <c r="B578">
        <v>49716</v>
      </c>
      <c r="D578">
        <v>12</v>
      </c>
      <c r="I578" s="2">
        <v>1200000</v>
      </c>
      <c r="J578" t="s">
        <v>800</v>
      </c>
      <c r="V578" t="s">
        <v>350</v>
      </c>
      <c r="Y578">
        <v>100</v>
      </c>
      <c r="AA578">
        <v>80.5</v>
      </c>
      <c r="AC578" s="3">
        <v>80.5</v>
      </c>
      <c r="AE578" s="3">
        <v>78.5</v>
      </c>
      <c r="AI578">
        <v>78.5</v>
      </c>
      <c r="AJ578" t="s">
        <v>379</v>
      </c>
      <c r="AK578" s="3"/>
      <c r="AV578" t="s">
        <v>370</v>
      </c>
      <c r="AX578" t="s">
        <v>370</v>
      </c>
      <c r="AZ578" t="s">
        <v>370</v>
      </c>
      <c r="BB578" t="s">
        <v>370</v>
      </c>
      <c r="BO578" t="s">
        <v>367</v>
      </c>
      <c r="BS578" t="s">
        <v>385</v>
      </c>
      <c r="BT578">
        <v>5</v>
      </c>
      <c r="BU578">
        <v>2</v>
      </c>
      <c r="BV578">
        <v>0</v>
      </c>
      <c r="BX578">
        <v>86.5</v>
      </c>
      <c r="BZ578">
        <v>76</v>
      </c>
      <c r="CM578">
        <v>1911</v>
      </c>
    </row>
    <row r="579" spans="1:91" x14ac:dyDescent="0.3">
      <c r="A579" t="s">
        <v>1135</v>
      </c>
      <c r="B579">
        <v>49719</v>
      </c>
      <c r="D579">
        <v>12</v>
      </c>
      <c r="I579">
        <v>500000</v>
      </c>
      <c r="J579" t="s">
        <v>800</v>
      </c>
      <c r="V579" t="s">
        <v>350</v>
      </c>
      <c r="Y579">
        <v>100</v>
      </c>
      <c r="AA579">
        <v>54.5</v>
      </c>
      <c r="AC579" s="3">
        <v>54.5</v>
      </c>
      <c r="AE579" s="3">
        <v>53.5</v>
      </c>
      <c r="AI579">
        <v>53.5</v>
      </c>
      <c r="AJ579" t="s">
        <v>379</v>
      </c>
      <c r="AK579" s="3"/>
      <c r="AV579" t="s">
        <v>370</v>
      </c>
      <c r="AX579" t="s">
        <v>370</v>
      </c>
      <c r="AZ579" t="s">
        <v>370</v>
      </c>
      <c r="BB579" t="s">
        <v>370</v>
      </c>
      <c r="BO579" t="s">
        <v>367</v>
      </c>
      <c r="BS579" t="s">
        <v>385</v>
      </c>
      <c r="BT579">
        <v>5</v>
      </c>
      <c r="BU579">
        <v>12</v>
      </c>
      <c r="BV579">
        <v>3</v>
      </c>
      <c r="BX579">
        <v>55.5</v>
      </c>
      <c r="BZ579">
        <v>53.5</v>
      </c>
      <c r="CM579">
        <v>1911</v>
      </c>
    </row>
    <row r="580" spans="1:91" x14ac:dyDescent="0.3">
      <c r="A580" t="s">
        <v>1136</v>
      </c>
      <c r="B580">
        <v>50177</v>
      </c>
      <c r="D580">
        <v>12</v>
      </c>
      <c r="I580">
        <v>200000</v>
      </c>
      <c r="J580" t="s">
        <v>800</v>
      </c>
      <c r="V580" t="s">
        <v>350</v>
      </c>
      <c r="Y580">
        <v>100</v>
      </c>
      <c r="AA580">
        <v>67.5</v>
      </c>
      <c r="AC580" s="3">
        <v>69.5</v>
      </c>
      <c r="AE580" s="3">
        <v>67.5</v>
      </c>
      <c r="AI580">
        <v>67.5</v>
      </c>
      <c r="AJ580" t="s">
        <v>379</v>
      </c>
      <c r="AK580" s="3"/>
      <c r="BG580">
        <v>4.25</v>
      </c>
      <c r="BH580">
        <v>4.25</v>
      </c>
      <c r="BI580">
        <v>4.25</v>
      </c>
      <c r="BJ580">
        <v>4.25</v>
      </c>
      <c r="BK580" s="4">
        <v>3654</v>
      </c>
      <c r="BL580" s="4">
        <v>3835</v>
      </c>
      <c r="BM580" s="4">
        <v>4019</v>
      </c>
      <c r="BN580" s="4">
        <v>4200</v>
      </c>
      <c r="BR580">
        <v>33266</v>
      </c>
      <c r="BT580">
        <v>6</v>
      </c>
      <c r="BU580">
        <v>13</v>
      </c>
      <c r="BV580">
        <v>3</v>
      </c>
      <c r="BX580">
        <v>71.5</v>
      </c>
      <c r="BZ580">
        <v>64</v>
      </c>
      <c r="CK580" t="s">
        <v>1137</v>
      </c>
      <c r="CM580">
        <v>1911</v>
      </c>
    </row>
    <row r="581" spans="1:91" x14ac:dyDescent="0.3">
      <c r="A581" t="s">
        <v>1138</v>
      </c>
      <c r="B581">
        <v>50172</v>
      </c>
      <c r="D581">
        <v>12</v>
      </c>
      <c r="I581">
        <v>100000</v>
      </c>
      <c r="U581">
        <v>10</v>
      </c>
      <c r="Y581">
        <v>10</v>
      </c>
      <c r="AA581">
        <v>8.3699999999999992</v>
      </c>
      <c r="AC581" s="3">
        <v>8.3699999999999992</v>
      </c>
      <c r="AE581" s="3">
        <v>8</v>
      </c>
      <c r="AI581">
        <v>8</v>
      </c>
      <c r="AK581" s="3"/>
      <c r="BG581">
        <v>5</v>
      </c>
      <c r="BH581">
        <v>5</v>
      </c>
      <c r="BI581">
        <v>5</v>
      </c>
      <c r="BJ581">
        <v>5</v>
      </c>
      <c r="BK581" s="4">
        <v>3654</v>
      </c>
      <c r="BL581" s="4">
        <v>3835</v>
      </c>
      <c r="BM581" s="4">
        <v>4019</v>
      </c>
      <c r="BN581" s="4">
        <v>4200</v>
      </c>
      <c r="BR581">
        <v>596915</v>
      </c>
      <c r="BS581" t="s">
        <v>1139</v>
      </c>
      <c r="BT581">
        <v>6</v>
      </c>
      <c r="BU581">
        <v>5</v>
      </c>
      <c r="BV581">
        <v>0</v>
      </c>
      <c r="BX581">
        <v>8.68</v>
      </c>
      <c r="BZ581">
        <v>7.5</v>
      </c>
      <c r="CK581" t="s">
        <v>1140</v>
      </c>
      <c r="CM581">
        <v>1911</v>
      </c>
    </row>
    <row r="582" spans="1:91" x14ac:dyDescent="0.3">
      <c r="A582" t="s">
        <v>1138</v>
      </c>
      <c r="B582">
        <v>50173</v>
      </c>
      <c r="C582" t="s">
        <v>1141</v>
      </c>
      <c r="D582">
        <v>12</v>
      </c>
      <c r="I582" s="2">
        <v>1000000</v>
      </c>
      <c r="J582" t="s">
        <v>800</v>
      </c>
      <c r="U582">
        <v>100</v>
      </c>
      <c r="Y582">
        <v>100</v>
      </c>
      <c r="AA582">
        <v>83.5</v>
      </c>
      <c r="AC582" s="3">
        <v>84</v>
      </c>
      <c r="AE582" s="3">
        <v>82.5</v>
      </c>
      <c r="AI582">
        <v>83.5</v>
      </c>
      <c r="AK582" s="3"/>
      <c r="AV582" t="s">
        <v>370</v>
      </c>
      <c r="AX582" t="s">
        <v>370</v>
      </c>
      <c r="AZ582" t="s">
        <v>370</v>
      </c>
      <c r="BB582" t="s">
        <v>370</v>
      </c>
      <c r="BO582" t="s">
        <v>367</v>
      </c>
      <c r="BR582">
        <v>596915</v>
      </c>
      <c r="BS582" t="s">
        <v>1139</v>
      </c>
      <c r="BT582">
        <v>4</v>
      </c>
      <c r="BU582">
        <v>17</v>
      </c>
      <c r="BV582">
        <v>0</v>
      </c>
      <c r="BX582">
        <v>88.5</v>
      </c>
      <c r="BZ582">
        <v>82.25</v>
      </c>
      <c r="CM582">
        <v>1911</v>
      </c>
    </row>
    <row r="583" spans="1:91" x14ac:dyDescent="0.3">
      <c r="A583" t="s">
        <v>1142</v>
      </c>
      <c r="B583">
        <v>50290</v>
      </c>
      <c r="D583">
        <v>12</v>
      </c>
      <c r="I583" s="2">
        <v>3185410</v>
      </c>
      <c r="J583" t="s">
        <v>800</v>
      </c>
      <c r="V583" t="s">
        <v>350</v>
      </c>
      <c r="Y583">
        <v>100</v>
      </c>
      <c r="AA583">
        <v>9.5</v>
      </c>
      <c r="AC583" s="3">
        <v>9.5</v>
      </c>
      <c r="AE583" s="3">
        <v>8</v>
      </c>
      <c r="AI583">
        <v>9.5</v>
      </c>
      <c r="AK583" s="3"/>
      <c r="BB583" t="s">
        <v>810</v>
      </c>
      <c r="BG583">
        <v>3</v>
      </c>
      <c r="BH583">
        <v>3</v>
      </c>
      <c r="BI583">
        <v>3</v>
      </c>
      <c r="BK583" s="4">
        <v>3320</v>
      </c>
      <c r="BL583" s="4">
        <v>3501</v>
      </c>
      <c r="BM583" s="4">
        <v>3685</v>
      </c>
      <c r="BR583">
        <v>84579</v>
      </c>
      <c r="BS583" t="s">
        <v>1143</v>
      </c>
      <c r="BW583" t="s">
        <v>802</v>
      </c>
      <c r="BX583">
        <v>28</v>
      </c>
      <c r="BZ583">
        <v>7</v>
      </c>
      <c r="CK583" t="s">
        <v>558</v>
      </c>
      <c r="CM583">
        <v>1911</v>
      </c>
    </row>
    <row r="584" spans="1:91" x14ac:dyDescent="0.3">
      <c r="A584" t="s">
        <v>1142</v>
      </c>
      <c r="B584">
        <v>50292</v>
      </c>
      <c r="C584" t="s">
        <v>1144</v>
      </c>
      <c r="D584">
        <v>12</v>
      </c>
      <c r="I584">
        <v>796353</v>
      </c>
      <c r="J584" t="s">
        <v>800</v>
      </c>
      <c r="V584" t="s">
        <v>350</v>
      </c>
      <c r="Y584">
        <v>100</v>
      </c>
      <c r="AA584">
        <v>6</v>
      </c>
      <c r="AC584" s="3">
        <v>6</v>
      </c>
      <c r="AE584" s="3">
        <v>3</v>
      </c>
      <c r="AI584">
        <v>4</v>
      </c>
      <c r="AK584" s="3"/>
      <c r="AV584" t="s">
        <v>385</v>
      </c>
      <c r="AX584" t="s">
        <v>815</v>
      </c>
      <c r="AZ584" t="s">
        <v>815</v>
      </c>
      <c r="BB584" t="s">
        <v>810</v>
      </c>
      <c r="BH584">
        <v>3</v>
      </c>
      <c r="BI584">
        <v>3</v>
      </c>
      <c r="BR584">
        <v>84579</v>
      </c>
      <c r="BS584" t="s">
        <v>1143</v>
      </c>
      <c r="BW584" t="s">
        <v>802</v>
      </c>
      <c r="BX584">
        <v>10.5</v>
      </c>
      <c r="BZ584">
        <v>3</v>
      </c>
      <c r="CM584">
        <v>1911</v>
      </c>
    </row>
    <row r="585" spans="1:91" x14ac:dyDescent="0.3">
      <c r="A585" t="s">
        <v>1142</v>
      </c>
      <c r="B585">
        <v>50291</v>
      </c>
      <c r="C585" t="s">
        <v>817</v>
      </c>
      <c r="D585">
        <v>12</v>
      </c>
      <c r="I585" s="2">
        <v>2340000</v>
      </c>
      <c r="J585" t="s">
        <v>800</v>
      </c>
      <c r="V585" t="s">
        <v>350</v>
      </c>
      <c r="Y585">
        <v>100</v>
      </c>
      <c r="AA585">
        <v>47.5</v>
      </c>
      <c r="AC585" s="3">
        <v>47.5</v>
      </c>
      <c r="AE585" s="3">
        <v>44</v>
      </c>
      <c r="AI585">
        <v>46.5</v>
      </c>
      <c r="AK585" s="3"/>
      <c r="AV585" t="s">
        <v>536</v>
      </c>
      <c r="AX585" t="s">
        <v>536</v>
      </c>
      <c r="AZ585" t="s">
        <v>536</v>
      </c>
      <c r="BB585" t="s">
        <v>536</v>
      </c>
      <c r="BO585" t="s">
        <v>367</v>
      </c>
      <c r="BR585">
        <v>84579</v>
      </c>
      <c r="BS585" t="s">
        <v>1143</v>
      </c>
      <c r="BT585">
        <v>10</v>
      </c>
      <c r="BU585">
        <v>15</v>
      </c>
      <c r="BV585">
        <v>0</v>
      </c>
      <c r="BX585">
        <v>70</v>
      </c>
      <c r="BZ585">
        <v>44</v>
      </c>
      <c r="CM585">
        <v>1911</v>
      </c>
    </row>
    <row r="586" spans="1:91" x14ac:dyDescent="0.3">
      <c r="A586" t="s">
        <v>1142</v>
      </c>
      <c r="B586">
        <v>50293</v>
      </c>
      <c r="C586" t="s">
        <v>1145</v>
      </c>
      <c r="D586">
        <v>12</v>
      </c>
      <c r="I586" s="2">
        <v>5780000</v>
      </c>
      <c r="J586" t="s">
        <v>800</v>
      </c>
      <c r="V586" t="s">
        <v>350</v>
      </c>
      <c r="Y586">
        <v>100</v>
      </c>
      <c r="AA586">
        <v>60.5</v>
      </c>
      <c r="AC586" s="3">
        <v>62.5</v>
      </c>
      <c r="AE586" s="3">
        <v>60.25</v>
      </c>
      <c r="AI586">
        <v>61.5</v>
      </c>
      <c r="AK586" s="3"/>
      <c r="AV586" t="s">
        <v>536</v>
      </c>
      <c r="AX586" t="s">
        <v>536</v>
      </c>
      <c r="AZ586" t="s">
        <v>536</v>
      </c>
      <c r="BB586" t="s">
        <v>536</v>
      </c>
      <c r="BO586" t="s">
        <v>367</v>
      </c>
      <c r="BR586">
        <v>84579</v>
      </c>
      <c r="BS586" t="s">
        <v>1143</v>
      </c>
      <c r="BT586">
        <v>5</v>
      </c>
      <c r="BU586">
        <v>15</v>
      </c>
      <c r="BV586">
        <v>9</v>
      </c>
      <c r="BX586">
        <v>70</v>
      </c>
      <c r="BZ586">
        <v>58.5</v>
      </c>
      <c r="CM586">
        <v>1911</v>
      </c>
    </row>
    <row r="587" spans="1:91" x14ac:dyDescent="0.3">
      <c r="A587" t="s">
        <v>1146</v>
      </c>
      <c r="B587">
        <v>50284</v>
      </c>
      <c r="D587">
        <v>12</v>
      </c>
      <c r="I587">
        <v>5500</v>
      </c>
      <c r="U587">
        <v>10</v>
      </c>
      <c r="Y587">
        <v>10</v>
      </c>
      <c r="AA587">
        <v>5.75</v>
      </c>
      <c r="AC587" s="3">
        <v>5.75</v>
      </c>
      <c r="AE587" s="3">
        <v>5.75</v>
      </c>
      <c r="AI587">
        <v>5.75</v>
      </c>
      <c r="AK587" s="3"/>
      <c r="AV587" t="s">
        <v>366</v>
      </c>
      <c r="AX587" t="s">
        <v>366</v>
      </c>
      <c r="AZ587" t="s">
        <v>366</v>
      </c>
      <c r="BB587" t="s">
        <v>366</v>
      </c>
      <c r="BO587" t="s">
        <v>367</v>
      </c>
      <c r="BR587">
        <v>9152</v>
      </c>
      <c r="BS587" t="s">
        <v>1147</v>
      </c>
      <c r="BT587">
        <v>8</v>
      </c>
      <c r="BU587">
        <v>14</v>
      </c>
      <c r="BV587">
        <v>0</v>
      </c>
      <c r="BX587">
        <v>6.5</v>
      </c>
      <c r="BZ587">
        <v>5.37</v>
      </c>
      <c r="CK587" t="s">
        <v>360</v>
      </c>
      <c r="CM587">
        <v>1911</v>
      </c>
    </row>
    <row r="588" spans="1:91" x14ac:dyDescent="0.3">
      <c r="A588" t="s">
        <v>1146</v>
      </c>
      <c r="B588">
        <v>50285</v>
      </c>
      <c r="C588" t="s">
        <v>878</v>
      </c>
      <c r="D588">
        <v>12</v>
      </c>
      <c r="I588">
        <v>110000</v>
      </c>
      <c r="J588" t="s">
        <v>800</v>
      </c>
      <c r="V588" t="s">
        <v>350</v>
      </c>
      <c r="Y588">
        <v>100</v>
      </c>
      <c r="AA588">
        <v>67</v>
      </c>
      <c r="AC588" s="3">
        <v>67</v>
      </c>
      <c r="AE588" s="3">
        <v>67</v>
      </c>
      <c r="AI588">
        <v>67</v>
      </c>
      <c r="AK588" s="3"/>
      <c r="AV588" t="s">
        <v>536</v>
      </c>
      <c r="AX588" t="s">
        <v>536</v>
      </c>
      <c r="AZ588" t="s">
        <v>536</v>
      </c>
      <c r="BB588" t="s">
        <v>536</v>
      </c>
      <c r="BO588" t="s">
        <v>367</v>
      </c>
      <c r="BR588">
        <v>9152</v>
      </c>
      <c r="BS588" t="s">
        <v>1147</v>
      </c>
      <c r="BT588">
        <v>6</v>
      </c>
      <c r="BU588">
        <v>7</v>
      </c>
      <c r="BV588">
        <v>6</v>
      </c>
      <c r="BX588">
        <v>71</v>
      </c>
      <c r="BZ588">
        <v>67</v>
      </c>
      <c r="CM588">
        <v>1911</v>
      </c>
    </row>
    <row r="589" spans="1:91" x14ac:dyDescent="0.3">
      <c r="A589" t="s">
        <v>1148</v>
      </c>
      <c r="B589">
        <v>50358</v>
      </c>
      <c r="D589">
        <v>12</v>
      </c>
      <c r="I589">
        <v>15000</v>
      </c>
      <c r="U589">
        <v>10</v>
      </c>
      <c r="Y589">
        <v>10</v>
      </c>
      <c r="AA589">
        <v>4.87</v>
      </c>
      <c r="AC589" s="3">
        <v>5</v>
      </c>
      <c r="AE589" s="3">
        <v>4.87</v>
      </c>
      <c r="AI589">
        <v>5</v>
      </c>
      <c r="AK589" s="3"/>
      <c r="AZ589" t="s">
        <v>815</v>
      </c>
      <c r="BG589">
        <v>5</v>
      </c>
      <c r="BH589">
        <v>5</v>
      </c>
      <c r="BI589">
        <v>5</v>
      </c>
      <c r="BJ589">
        <v>5</v>
      </c>
      <c r="BK589" s="4">
        <v>3593</v>
      </c>
      <c r="BL589" s="4">
        <v>3958</v>
      </c>
      <c r="BM589" s="4">
        <v>4139</v>
      </c>
      <c r="BN589" s="4">
        <v>4323</v>
      </c>
      <c r="BR589">
        <v>132903</v>
      </c>
      <c r="BS589" t="s">
        <v>1149</v>
      </c>
      <c r="BT589">
        <v>10</v>
      </c>
      <c r="BU589">
        <v>0</v>
      </c>
      <c r="BV589">
        <v>0</v>
      </c>
      <c r="BX589">
        <v>5.87</v>
      </c>
      <c r="BZ589">
        <v>4.5599999999999996</v>
      </c>
      <c r="CK589" t="s">
        <v>360</v>
      </c>
      <c r="CM589">
        <v>1911</v>
      </c>
    </row>
    <row r="590" spans="1:91" x14ac:dyDescent="0.3">
      <c r="A590" t="s">
        <v>1148</v>
      </c>
      <c r="B590">
        <v>50359</v>
      </c>
      <c r="C590" t="s">
        <v>1150</v>
      </c>
      <c r="D590">
        <v>12</v>
      </c>
      <c r="I590">
        <v>300000</v>
      </c>
      <c r="J590" t="s">
        <v>800</v>
      </c>
      <c r="V590" t="s">
        <v>350</v>
      </c>
      <c r="Y590">
        <v>100</v>
      </c>
      <c r="AA590">
        <v>66</v>
      </c>
      <c r="AC590" s="3">
        <v>70</v>
      </c>
      <c r="AE590" s="3">
        <v>66</v>
      </c>
      <c r="AI590">
        <v>69</v>
      </c>
      <c r="AK590" s="3"/>
      <c r="AV590" t="s">
        <v>366</v>
      </c>
      <c r="AX590" t="s">
        <v>366</v>
      </c>
      <c r="AZ590" t="s">
        <v>366</v>
      </c>
      <c r="BB590" t="s">
        <v>366</v>
      </c>
      <c r="BO590" t="s">
        <v>367</v>
      </c>
      <c r="BR590">
        <v>132903</v>
      </c>
      <c r="BS590" t="s">
        <v>1149</v>
      </c>
      <c r="BT590">
        <v>5</v>
      </c>
      <c r="BU590">
        <v>17</v>
      </c>
      <c r="BV590">
        <v>9</v>
      </c>
      <c r="BX590">
        <v>77.5</v>
      </c>
      <c r="BZ590">
        <v>60</v>
      </c>
      <c r="CM590">
        <v>1911</v>
      </c>
    </row>
    <row r="591" spans="1:91" x14ac:dyDescent="0.3">
      <c r="A591" t="s">
        <v>1151</v>
      </c>
      <c r="B591">
        <v>50476</v>
      </c>
      <c r="D591">
        <v>12</v>
      </c>
      <c r="I591">
        <v>3396</v>
      </c>
      <c r="U591">
        <v>100</v>
      </c>
      <c r="Y591">
        <v>100</v>
      </c>
      <c r="AA591">
        <v>55.5</v>
      </c>
      <c r="AC591" s="3">
        <v>55.5</v>
      </c>
      <c r="AE591" s="3">
        <v>55.5</v>
      </c>
      <c r="AI591">
        <v>55.5</v>
      </c>
      <c r="AK591" s="3"/>
      <c r="AV591" t="s">
        <v>506</v>
      </c>
      <c r="AX591" t="s">
        <v>506</v>
      </c>
      <c r="AZ591" t="s">
        <v>506</v>
      </c>
      <c r="BB591" t="s">
        <v>506</v>
      </c>
      <c r="BO591" t="s">
        <v>367</v>
      </c>
      <c r="BR591">
        <v>350828</v>
      </c>
      <c r="BS591" t="s">
        <v>1152</v>
      </c>
      <c r="BT591">
        <v>8</v>
      </c>
      <c r="BU591">
        <v>5</v>
      </c>
      <c r="BV591">
        <v>6</v>
      </c>
      <c r="BX591">
        <v>64.5</v>
      </c>
      <c r="BZ591">
        <v>51.5</v>
      </c>
      <c r="CK591" t="s">
        <v>360</v>
      </c>
      <c r="CM591">
        <v>1911</v>
      </c>
    </row>
    <row r="592" spans="1:91" x14ac:dyDescent="0.3">
      <c r="A592" t="s">
        <v>1151</v>
      </c>
      <c r="B592">
        <v>50474</v>
      </c>
      <c r="C592" t="s">
        <v>1153</v>
      </c>
      <c r="D592">
        <v>12</v>
      </c>
      <c r="I592">
        <v>6250</v>
      </c>
      <c r="U592">
        <v>100</v>
      </c>
      <c r="Y592">
        <v>100</v>
      </c>
      <c r="AA592">
        <v>61.5</v>
      </c>
      <c r="AC592" s="3">
        <v>62</v>
      </c>
      <c r="AE592" s="3">
        <v>61</v>
      </c>
      <c r="AI592">
        <v>61.5</v>
      </c>
      <c r="AK592" s="3"/>
      <c r="AV592" t="s">
        <v>366</v>
      </c>
      <c r="AX592" t="s">
        <v>366</v>
      </c>
      <c r="AZ592" t="s">
        <v>366</v>
      </c>
      <c r="BB592" t="s">
        <v>366</v>
      </c>
      <c r="BO592" t="s">
        <v>367</v>
      </c>
      <c r="BR592">
        <v>350828</v>
      </c>
      <c r="BS592" t="s">
        <v>1152</v>
      </c>
      <c r="BT592">
        <v>7</v>
      </c>
      <c r="BU592">
        <v>6</v>
      </c>
      <c r="BV592">
        <v>9</v>
      </c>
      <c r="BX592">
        <v>78</v>
      </c>
      <c r="BZ592">
        <v>61</v>
      </c>
      <c r="CM592">
        <v>1911</v>
      </c>
    </row>
    <row r="593" spans="1:91" x14ac:dyDescent="0.3">
      <c r="A593" t="s">
        <v>1151</v>
      </c>
      <c r="B593">
        <v>50475</v>
      </c>
      <c r="C593" t="s">
        <v>860</v>
      </c>
      <c r="D593">
        <v>12</v>
      </c>
      <c r="I593">
        <v>990000</v>
      </c>
      <c r="J593" t="s">
        <v>800</v>
      </c>
      <c r="V593" t="s">
        <v>350</v>
      </c>
      <c r="Y593">
        <v>100</v>
      </c>
      <c r="AA593">
        <v>80</v>
      </c>
      <c r="AC593" s="3">
        <v>81</v>
      </c>
      <c r="AE593" s="3">
        <v>80</v>
      </c>
      <c r="AI593">
        <v>80</v>
      </c>
      <c r="AK593" s="3"/>
      <c r="AV593" t="s">
        <v>366</v>
      </c>
      <c r="AX593" t="s">
        <v>366</v>
      </c>
      <c r="AZ593" t="s">
        <v>366</v>
      </c>
      <c r="BB593" t="s">
        <v>366</v>
      </c>
      <c r="BO593" t="s">
        <v>367</v>
      </c>
      <c r="BR593">
        <v>350828</v>
      </c>
      <c r="BS593" t="s">
        <v>1152</v>
      </c>
      <c r="BT593">
        <v>5</v>
      </c>
      <c r="BU593">
        <v>0</v>
      </c>
      <c r="BV593">
        <v>6</v>
      </c>
      <c r="BX593">
        <v>91</v>
      </c>
      <c r="BZ593">
        <v>79.25</v>
      </c>
      <c r="CM593">
        <v>1911</v>
      </c>
    </row>
    <row r="594" spans="1:91" x14ac:dyDescent="0.3">
      <c r="A594" t="s">
        <v>1151</v>
      </c>
      <c r="B594">
        <v>50477</v>
      </c>
      <c r="C594" t="s">
        <v>1154</v>
      </c>
      <c r="D594">
        <v>12</v>
      </c>
      <c r="I594">
        <v>950000</v>
      </c>
      <c r="J594" t="s">
        <v>800</v>
      </c>
      <c r="V594" t="s">
        <v>350</v>
      </c>
      <c r="Y594">
        <v>100</v>
      </c>
      <c r="AA594">
        <v>65.5</v>
      </c>
      <c r="AC594" s="3">
        <v>65.5</v>
      </c>
      <c r="AE594" s="3">
        <v>63.5</v>
      </c>
      <c r="AI594">
        <v>64.5</v>
      </c>
      <c r="AK594" s="3"/>
      <c r="AV594" t="s">
        <v>506</v>
      </c>
      <c r="AX594" t="s">
        <v>506</v>
      </c>
      <c r="AZ594" t="s">
        <v>506</v>
      </c>
      <c r="BB594" t="s">
        <v>506</v>
      </c>
      <c r="BO594" t="s">
        <v>367</v>
      </c>
      <c r="BR594">
        <v>350828</v>
      </c>
      <c r="BS594" t="s">
        <v>1152</v>
      </c>
      <c r="BT594">
        <v>5</v>
      </c>
      <c r="BU594">
        <v>9</v>
      </c>
      <c r="BV594">
        <v>9</v>
      </c>
      <c r="BX594">
        <v>72.75</v>
      </c>
      <c r="BZ594">
        <v>63.5</v>
      </c>
      <c r="CM594">
        <v>1911</v>
      </c>
    </row>
    <row r="595" spans="1:91" x14ac:dyDescent="0.3">
      <c r="A595" t="s">
        <v>1155</v>
      </c>
      <c r="B595">
        <v>50570</v>
      </c>
      <c r="D595">
        <v>12</v>
      </c>
      <c r="I595">
        <v>366000</v>
      </c>
      <c r="U595">
        <v>1</v>
      </c>
      <c r="Y595">
        <v>1</v>
      </c>
      <c r="AA595">
        <v>0.5</v>
      </c>
      <c r="AC595" s="3">
        <v>0.53</v>
      </c>
      <c r="AE595" s="3">
        <v>0.46</v>
      </c>
      <c r="AI595">
        <v>0.46</v>
      </c>
      <c r="AJ595" t="s">
        <v>379</v>
      </c>
      <c r="AK595" s="3"/>
      <c r="BK595" s="4">
        <v>3654</v>
      </c>
      <c r="BL595" s="4">
        <v>3835</v>
      </c>
      <c r="BM595" s="4">
        <v>4019</v>
      </c>
      <c r="BN595" s="4">
        <v>4200</v>
      </c>
      <c r="BR595">
        <v>111534</v>
      </c>
      <c r="BS595" t="s">
        <v>1156</v>
      </c>
      <c r="BT595">
        <v>10</v>
      </c>
      <c r="BU595">
        <v>14</v>
      </c>
      <c r="BV595">
        <v>3</v>
      </c>
      <c r="BX595">
        <v>0.56000000000000005</v>
      </c>
      <c r="BZ595">
        <v>0.46</v>
      </c>
      <c r="CM595">
        <v>1911</v>
      </c>
    </row>
    <row r="596" spans="1:91" x14ac:dyDescent="0.3">
      <c r="A596" t="s">
        <v>1155</v>
      </c>
      <c r="B596">
        <v>50571</v>
      </c>
      <c r="C596" t="s">
        <v>1157</v>
      </c>
      <c r="D596">
        <v>12</v>
      </c>
      <c r="I596" s="2">
        <v>1000000</v>
      </c>
      <c r="J596" t="s">
        <v>800</v>
      </c>
      <c r="V596" t="s">
        <v>350</v>
      </c>
      <c r="Y596">
        <v>100</v>
      </c>
      <c r="AA596">
        <v>61</v>
      </c>
      <c r="AC596" s="3">
        <v>62</v>
      </c>
      <c r="AE596" s="3">
        <v>60</v>
      </c>
      <c r="AI596">
        <v>60</v>
      </c>
      <c r="AJ596" t="s">
        <v>379</v>
      </c>
      <c r="AK596" s="3"/>
      <c r="AV596" t="s">
        <v>370</v>
      </c>
      <c r="AX596" t="s">
        <v>370</v>
      </c>
      <c r="AZ596" t="s">
        <v>370</v>
      </c>
      <c r="BB596" t="s">
        <v>370</v>
      </c>
      <c r="BO596" t="s">
        <v>367</v>
      </c>
      <c r="BR596">
        <v>111534</v>
      </c>
      <c r="BS596" t="s">
        <v>1156</v>
      </c>
      <c r="BT596">
        <v>6</v>
      </c>
      <c r="BU596">
        <v>13</v>
      </c>
      <c r="BV596">
        <v>6</v>
      </c>
      <c r="BX596">
        <v>65.5</v>
      </c>
      <c r="BZ596">
        <v>58</v>
      </c>
      <c r="CM596">
        <v>1911</v>
      </c>
    </row>
    <row r="597" spans="1:91" x14ac:dyDescent="0.3">
      <c r="A597" t="s">
        <v>1158</v>
      </c>
      <c r="B597">
        <v>50608</v>
      </c>
      <c r="D597">
        <v>12</v>
      </c>
      <c r="I597">
        <v>7500</v>
      </c>
      <c r="U597">
        <v>10</v>
      </c>
      <c r="Y597">
        <v>10</v>
      </c>
      <c r="AA597">
        <v>9.5</v>
      </c>
      <c r="AC597" s="3">
        <v>10.5</v>
      </c>
      <c r="AE597" s="3">
        <v>9.5</v>
      </c>
      <c r="AI597">
        <v>10</v>
      </c>
      <c r="AK597" s="3"/>
      <c r="AV597" t="s">
        <v>823</v>
      </c>
      <c r="AZ597" t="s">
        <v>823</v>
      </c>
      <c r="BG597">
        <v>5</v>
      </c>
      <c r="BH597">
        <v>15</v>
      </c>
      <c r="BI597">
        <v>5</v>
      </c>
      <c r="BJ597">
        <v>15</v>
      </c>
      <c r="BK597" s="4">
        <v>3805</v>
      </c>
      <c r="BL597" s="4">
        <v>3988</v>
      </c>
      <c r="BM597" s="4">
        <v>4170</v>
      </c>
      <c r="BN597" s="4">
        <v>4353</v>
      </c>
      <c r="BR597">
        <v>128341</v>
      </c>
      <c r="BS597" t="s">
        <v>1159</v>
      </c>
      <c r="BT597">
        <v>10</v>
      </c>
      <c r="BU597">
        <v>0</v>
      </c>
      <c r="BV597">
        <v>0</v>
      </c>
      <c r="BX597">
        <v>10</v>
      </c>
      <c r="BZ597">
        <v>8</v>
      </c>
      <c r="CK597" t="s">
        <v>584</v>
      </c>
      <c r="CM597">
        <v>1911</v>
      </c>
    </row>
    <row r="598" spans="1:91" x14ac:dyDescent="0.3">
      <c r="A598" t="s">
        <v>1158</v>
      </c>
      <c r="B598">
        <v>50609</v>
      </c>
      <c r="C598" t="s">
        <v>943</v>
      </c>
      <c r="D598">
        <v>12</v>
      </c>
      <c r="I598">
        <v>7500</v>
      </c>
      <c r="U598">
        <v>10</v>
      </c>
      <c r="Y598">
        <v>10</v>
      </c>
      <c r="AA598">
        <v>8.5</v>
      </c>
      <c r="AC598" s="3">
        <v>9</v>
      </c>
      <c r="AE598" s="3">
        <v>8.5</v>
      </c>
      <c r="AI598">
        <v>8.75</v>
      </c>
      <c r="AK598" s="3"/>
      <c r="AV598" t="s">
        <v>370</v>
      </c>
      <c r="AX598" t="s">
        <v>370</v>
      </c>
      <c r="AZ598" t="s">
        <v>370</v>
      </c>
      <c r="BB598" t="s">
        <v>370</v>
      </c>
      <c r="BO598" t="s">
        <v>367</v>
      </c>
      <c r="BR598">
        <v>128341</v>
      </c>
      <c r="BS598" t="s">
        <v>1159</v>
      </c>
      <c r="BT598">
        <v>6</v>
      </c>
      <c r="BU598">
        <v>17</v>
      </c>
      <c r="BV598">
        <v>3</v>
      </c>
      <c r="BX598">
        <v>9</v>
      </c>
      <c r="BZ598">
        <v>8</v>
      </c>
      <c r="CM598">
        <v>1911</v>
      </c>
    </row>
    <row r="599" spans="1:91" x14ac:dyDescent="0.3">
      <c r="A599" t="s">
        <v>1158</v>
      </c>
      <c r="B599">
        <v>50610</v>
      </c>
      <c r="C599" t="s">
        <v>839</v>
      </c>
      <c r="D599">
        <v>12</v>
      </c>
      <c r="I599">
        <v>100000</v>
      </c>
      <c r="J599" t="s">
        <v>800</v>
      </c>
      <c r="U599">
        <v>100</v>
      </c>
      <c r="Y599">
        <v>100</v>
      </c>
      <c r="AA599">
        <v>96</v>
      </c>
      <c r="AC599" s="3">
        <v>97</v>
      </c>
      <c r="AE599" s="3">
        <v>96</v>
      </c>
      <c r="AI599">
        <v>97</v>
      </c>
      <c r="AK599" s="3"/>
      <c r="AV599" t="s">
        <v>421</v>
      </c>
      <c r="AX599" t="s">
        <v>421</v>
      </c>
      <c r="AZ599" t="s">
        <v>421</v>
      </c>
      <c r="BB599" t="s">
        <v>421</v>
      </c>
      <c r="BO599" t="s">
        <v>367</v>
      </c>
      <c r="BR599">
        <v>128341</v>
      </c>
      <c r="BS599" t="s">
        <v>1159</v>
      </c>
      <c r="BT599">
        <v>4</v>
      </c>
      <c r="BU599">
        <v>13</v>
      </c>
      <c r="BV599">
        <v>9</v>
      </c>
      <c r="BX599">
        <v>97</v>
      </c>
      <c r="BZ599">
        <v>94</v>
      </c>
      <c r="CM599">
        <v>1911</v>
      </c>
    </row>
    <row r="600" spans="1:91" x14ac:dyDescent="0.3">
      <c r="A600" t="s">
        <v>1160</v>
      </c>
      <c r="B600">
        <v>50526</v>
      </c>
      <c r="D600">
        <v>12</v>
      </c>
      <c r="I600">
        <v>26600</v>
      </c>
      <c r="U600">
        <v>10</v>
      </c>
      <c r="Y600">
        <v>10</v>
      </c>
      <c r="AA600">
        <v>8.75</v>
      </c>
      <c r="AC600" s="3">
        <v>8.75</v>
      </c>
      <c r="AE600" s="3">
        <v>8.6199999999999992</v>
      </c>
      <c r="AI600">
        <v>8.75</v>
      </c>
      <c r="AK600" s="3"/>
      <c r="AV600" t="s">
        <v>366</v>
      </c>
      <c r="AX600" t="s">
        <v>366</v>
      </c>
      <c r="AZ600" t="s">
        <v>366</v>
      </c>
      <c r="BB600" t="s">
        <v>366</v>
      </c>
      <c r="BO600" t="s">
        <v>367</v>
      </c>
      <c r="BR600">
        <v>739801</v>
      </c>
      <c r="BS600" t="s">
        <v>1161</v>
      </c>
      <c r="BT600">
        <v>6</v>
      </c>
      <c r="BU600">
        <v>5</v>
      </c>
      <c r="BV600">
        <v>9</v>
      </c>
      <c r="BX600">
        <v>9.93</v>
      </c>
      <c r="BZ600">
        <v>8.5</v>
      </c>
      <c r="CK600" t="s">
        <v>360</v>
      </c>
      <c r="CM600">
        <v>1911</v>
      </c>
    </row>
    <row r="601" spans="1:91" x14ac:dyDescent="0.3">
      <c r="A601" t="s">
        <v>1160</v>
      </c>
      <c r="B601">
        <v>50528</v>
      </c>
      <c r="C601" t="s">
        <v>1162</v>
      </c>
      <c r="D601">
        <v>12</v>
      </c>
      <c r="I601">
        <v>50000</v>
      </c>
      <c r="U601">
        <v>10</v>
      </c>
      <c r="Y601">
        <v>10</v>
      </c>
      <c r="AA601">
        <v>7.87</v>
      </c>
      <c r="AC601" s="3">
        <v>8</v>
      </c>
      <c r="AE601" s="3">
        <v>7.87</v>
      </c>
      <c r="AI601">
        <v>8</v>
      </c>
      <c r="AK601" s="3"/>
      <c r="AV601" t="s">
        <v>366</v>
      </c>
      <c r="AX601" t="s">
        <v>366</v>
      </c>
      <c r="AZ601" t="s">
        <v>366</v>
      </c>
      <c r="BB601" t="s">
        <v>366</v>
      </c>
      <c r="BO601" t="s">
        <v>367</v>
      </c>
      <c r="BR601">
        <v>739801</v>
      </c>
      <c r="BS601" t="s">
        <v>1161</v>
      </c>
      <c r="BT601">
        <v>6</v>
      </c>
      <c r="BU601">
        <v>17</v>
      </c>
      <c r="BV601">
        <v>6</v>
      </c>
      <c r="BX601">
        <v>8.93</v>
      </c>
      <c r="BZ601">
        <v>7.56</v>
      </c>
      <c r="CM601">
        <v>1911</v>
      </c>
    </row>
    <row r="602" spans="1:91" x14ac:dyDescent="0.3">
      <c r="A602" t="s">
        <v>1160</v>
      </c>
      <c r="B602">
        <v>50527</v>
      </c>
      <c r="C602" t="s">
        <v>1163</v>
      </c>
      <c r="D602">
        <v>12</v>
      </c>
      <c r="I602">
        <v>266000</v>
      </c>
      <c r="J602" t="s">
        <v>800</v>
      </c>
      <c r="V602" t="s">
        <v>350</v>
      </c>
      <c r="Y602">
        <v>100</v>
      </c>
      <c r="AA602">
        <v>99.5</v>
      </c>
      <c r="AC602" s="3">
        <v>99.5</v>
      </c>
      <c r="AE602" s="3">
        <v>98.5</v>
      </c>
      <c r="AI602">
        <v>99.5</v>
      </c>
      <c r="AK602" s="3"/>
      <c r="AV602" t="s">
        <v>536</v>
      </c>
      <c r="AX602" t="s">
        <v>536</v>
      </c>
      <c r="AZ602" t="s">
        <v>536</v>
      </c>
      <c r="BB602" t="s">
        <v>536</v>
      </c>
      <c r="BO602" t="s">
        <v>367</v>
      </c>
      <c r="BR602">
        <v>739801</v>
      </c>
      <c r="BS602" t="s">
        <v>1161</v>
      </c>
      <c r="BT602">
        <v>4</v>
      </c>
      <c r="BU602">
        <v>11</v>
      </c>
      <c r="BV602">
        <v>0</v>
      </c>
      <c r="BX602">
        <v>105.5</v>
      </c>
      <c r="BZ602">
        <v>97.5</v>
      </c>
      <c r="CM602">
        <v>1911</v>
      </c>
    </row>
    <row r="603" spans="1:91" x14ac:dyDescent="0.3">
      <c r="A603" t="s">
        <v>1160</v>
      </c>
      <c r="B603">
        <v>50529</v>
      </c>
      <c r="C603" t="s">
        <v>1164</v>
      </c>
      <c r="D603">
        <v>12</v>
      </c>
      <c r="I603">
        <v>250000</v>
      </c>
      <c r="J603" t="s">
        <v>800</v>
      </c>
      <c r="V603" t="s">
        <v>350</v>
      </c>
      <c r="Y603">
        <v>100</v>
      </c>
      <c r="AA603">
        <v>69.5</v>
      </c>
      <c r="AC603" s="3">
        <v>69.5</v>
      </c>
      <c r="AE603" s="3">
        <v>69.5</v>
      </c>
      <c r="AI603">
        <v>69.5</v>
      </c>
      <c r="AK603" s="3"/>
      <c r="AV603" t="s">
        <v>536</v>
      </c>
      <c r="AX603" t="s">
        <v>536</v>
      </c>
      <c r="AZ603" t="s">
        <v>536</v>
      </c>
      <c r="BB603" t="s">
        <v>536</v>
      </c>
      <c r="BO603" t="s">
        <v>367</v>
      </c>
      <c r="BR603">
        <v>739801</v>
      </c>
      <c r="BS603" t="s">
        <v>1161</v>
      </c>
      <c r="BT603">
        <v>5</v>
      </c>
      <c r="BU603">
        <v>1</v>
      </c>
      <c r="BV603">
        <v>6</v>
      </c>
      <c r="BX603">
        <v>75.5</v>
      </c>
      <c r="BZ603">
        <v>68.5</v>
      </c>
      <c r="CM603">
        <v>1911</v>
      </c>
    </row>
    <row r="604" spans="1:91" x14ac:dyDescent="0.3">
      <c r="A604" t="s">
        <v>1165</v>
      </c>
      <c r="B604">
        <v>50704</v>
      </c>
      <c r="D604">
        <v>12</v>
      </c>
      <c r="I604">
        <v>25000</v>
      </c>
      <c r="U604">
        <v>10</v>
      </c>
      <c r="Y604">
        <v>10</v>
      </c>
      <c r="AA604">
        <v>9.18</v>
      </c>
      <c r="AC604" s="3">
        <v>9.18</v>
      </c>
      <c r="AE604" s="3">
        <v>9.18</v>
      </c>
      <c r="AI604">
        <v>9.18</v>
      </c>
      <c r="AK604" s="3"/>
      <c r="AV604" t="s">
        <v>373</v>
      </c>
      <c r="AX604" t="s">
        <v>373</v>
      </c>
      <c r="AZ604" t="s">
        <v>373</v>
      </c>
      <c r="BB604" t="s">
        <v>373</v>
      </c>
      <c r="BO604" t="s">
        <v>367</v>
      </c>
      <c r="BS604" t="s">
        <v>385</v>
      </c>
      <c r="BT604">
        <v>5</v>
      </c>
      <c r="BU604">
        <v>8</v>
      </c>
      <c r="BV604">
        <v>9</v>
      </c>
      <c r="BX604">
        <v>9.4600000000000009</v>
      </c>
      <c r="BZ604">
        <v>8.7100000000000009</v>
      </c>
      <c r="CK604" t="s">
        <v>454</v>
      </c>
      <c r="CM604">
        <v>1911</v>
      </c>
    </row>
    <row r="605" spans="1:91" x14ac:dyDescent="0.3">
      <c r="A605" t="s">
        <v>1166</v>
      </c>
      <c r="B605">
        <v>50706</v>
      </c>
      <c r="D605">
        <v>12</v>
      </c>
      <c r="I605">
        <v>10000</v>
      </c>
      <c r="U605">
        <v>10</v>
      </c>
      <c r="Y605">
        <v>10</v>
      </c>
      <c r="AA605">
        <v>8.1199999999999992</v>
      </c>
      <c r="AC605" s="3">
        <v>8.6199999999999992</v>
      </c>
      <c r="AE605" s="3">
        <v>8.1199999999999992</v>
      </c>
      <c r="AI605">
        <v>8.6199999999999992</v>
      </c>
      <c r="AK605" s="3"/>
      <c r="AV605" t="s">
        <v>366</v>
      </c>
      <c r="AX605" t="s">
        <v>366</v>
      </c>
      <c r="AZ605" t="s">
        <v>366</v>
      </c>
      <c r="BB605" t="s">
        <v>366</v>
      </c>
      <c r="BO605" t="s">
        <v>367</v>
      </c>
      <c r="BR605">
        <v>36429</v>
      </c>
      <c r="BT605">
        <v>5</v>
      </c>
      <c r="BU605">
        <v>16</v>
      </c>
      <c r="BV605">
        <v>0</v>
      </c>
      <c r="BX605">
        <v>8.3699999999999992</v>
      </c>
      <c r="BZ605">
        <v>7.37</v>
      </c>
      <c r="CK605" t="s">
        <v>454</v>
      </c>
      <c r="CM605">
        <v>1911</v>
      </c>
    </row>
    <row r="606" spans="1:91" x14ac:dyDescent="0.3">
      <c r="A606" t="s">
        <v>1167</v>
      </c>
      <c r="B606">
        <v>50708</v>
      </c>
      <c r="D606">
        <v>12</v>
      </c>
      <c r="I606">
        <v>5000</v>
      </c>
      <c r="U606">
        <v>100</v>
      </c>
      <c r="Y606">
        <v>100</v>
      </c>
      <c r="AA606">
        <v>98.5</v>
      </c>
      <c r="AC606" s="3">
        <v>98.5</v>
      </c>
      <c r="AE606" s="3">
        <v>98.5</v>
      </c>
      <c r="AI606">
        <v>98.5</v>
      </c>
      <c r="AK606" s="3"/>
      <c r="AV606" t="s">
        <v>506</v>
      </c>
      <c r="AX606" t="s">
        <v>506</v>
      </c>
      <c r="AZ606" t="s">
        <v>506</v>
      </c>
      <c r="BB606" t="s">
        <v>506</v>
      </c>
      <c r="BO606" t="s">
        <v>367</v>
      </c>
      <c r="BR606">
        <v>330650</v>
      </c>
      <c r="BS606" t="s">
        <v>1168</v>
      </c>
      <c r="BT606">
        <v>5</v>
      </c>
      <c r="BU606">
        <v>3</v>
      </c>
      <c r="BV606">
        <v>6</v>
      </c>
      <c r="BX606">
        <v>98.5</v>
      </c>
      <c r="BZ606">
        <v>95.5</v>
      </c>
      <c r="CK606" t="s">
        <v>1169</v>
      </c>
      <c r="CM606">
        <v>1911</v>
      </c>
    </row>
    <row r="607" spans="1:91" x14ac:dyDescent="0.3">
      <c r="A607" t="s">
        <v>1170</v>
      </c>
      <c r="B607">
        <v>50710</v>
      </c>
      <c r="C607" t="s">
        <v>1171</v>
      </c>
      <c r="D607">
        <v>12</v>
      </c>
      <c r="I607">
        <v>300000</v>
      </c>
      <c r="J607" t="s">
        <v>800</v>
      </c>
      <c r="V607" t="s">
        <v>350</v>
      </c>
      <c r="Y607">
        <v>100</v>
      </c>
      <c r="AA607">
        <v>78.5</v>
      </c>
      <c r="AC607" s="3">
        <v>78.5</v>
      </c>
      <c r="AE607" s="3">
        <v>76.75</v>
      </c>
      <c r="AI607">
        <v>76.75</v>
      </c>
      <c r="AJ607" t="s">
        <v>379</v>
      </c>
      <c r="AK607" s="3"/>
      <c r="AV607" t="s">
        <v>370</v>
      </c>
      <c r="AX607" t="s">
        <v>370</v>
      </c>
      <c r="AZ607" t="s">
        <v>370</v>
      </c>
      <c r="BB607" t="s">
        <v>370</v>
      </c>
      <c r="BO607" t="s">
        <v>367</v>
      </c>
      <c r="BR607">
        <v>330650</v>
      </c>
      <c r="BS607" t="s">
        <v>1168</v>
      </c>
      <c r="BT607">
        <v>4</v>
      </c>
      <c r="BU607">
        <v>19</v>
      </c>
      <c r="BV607">
        <v>3</v>
      </c>
      <c r="BX607">
        <v>80</v>
      </c>
      <c r="BZ607">
        <v>76.25</v>
      </c>
      <c r="CM607">
        <v>1911</v>
      </c>
    </row>
    <row r="608" spans="1:91" x14ac:dyDescent="0.3">
      <c r="A608" t="s">
        <v>1172</v>
      </c>
      <c r="B608">
        <v>40713</v>
      </c>
      <c r="D608">
        <v>12</v>
      </c>
      <c r="I608">
        <v>236700</v>
      </c>
      <c r="J608" t="s">
        <v>800</v>
      </c>
      <c r="V608" t="s">
        <v>350</v>
      </c>
      <c r="Y608">
        <v>100</v>
      </c>
      <c r="AA608">
        <v>75.75</v>
      </c>
      <c r="AB608" t="s">
        <v>379</v>
      </c>
      <c r="AC608" s="3">
        <v>75.75</v>
      </c>
      <c r="AE608" s="3">
        <v>75.75</v>
      </c>
      <c r="AI608">
        <v>75.75</v>
      </c>
      <c r="AK608" s="3"/>
      <c r="BG608">
        <v>3.25</v>
      </c>
      <c r="BH608">
        <v>3.25</v>
      </c>
      <c r="BI608">
        <v>3.25</v>
      </c>
      <c r="BJ608">
        <v>3.25</v>
      </c>
      <c r="BK608" s="4">
        <v>3623</v>
      </c>
      <c r="BL608" s="4">
        <v>3805</v>
      </c>
      <c r="BM608" s="4">
        <v>3988</v>
      </c>
      <c r="BN608" s="4">
        <v>4170</v>
      </c>
      <c r="BS608" t="s">
        <v>385</v>
      </c>
      <c r="BT608">
        <v>4</v>
      </c>
      <c r="BU608">
        <v>6</v>
      </c>
      <c r="BV608">
        <v>3</v>
      </c>
      <c r="BX608">
        <v>79</v>
      </c>
      <c r="BZ608">
        <v>75.75</v>
      </c>
      <c r="CK608" t="s">
        <v>465</v>
      </c>
      <c r="CM608">
        <v>1911</v>
      </c>
    </row>
    <row r="609" spans="1:91" x14ac:dyDescent="0.3">
      <c r="A609" t="s">
        <v>1172</v>
      </c>
      <c r="B609">
        <v>40715</v>
      </c>
      <c r="C609" t="s">
        <v>1173</v>
      </c>
      <c r="D609">
        <v>12</v>
      </c>
      <c r="I609">
        <v>163300</v>
      </c>
      <c r="J609" t="s">
        <v>800</v>
      </c>
      <c r="V609" t="s">
        <v>350</v>
      </c>
      <c r="Y609">
        <v>100</v>
      </c>
      <c r="AA609">
        <v>69.75</v>
      </c>
      <c r="AB609" t="s">
        <v>379</v>
      </c>
      <c r="AC609" s="3">
        <v>69.75</v>
      </c>
      <c r="AE609" s="3">
        <v>69.75</v>
      </c>
      <c r="AI609">
        <v>69.75</v>
      </c>
      <c r="AK609" s="3"/>
      <c r="BG609">
        <v>3.25</v>
      </c>
      <c r="BH609">
        <v>3.25</v>
      </c>
      <c r="BI609">
        <v>3.25</v>
      </c>
      <c r="BJ609">
        <v>3.25</v>
      </c>
      <c r="BK609" s="4">
        <v>3623</v>
      </c>
      <c r="BL609" s="4">
        <v>3805</v>
      </c>
      <c r="BM609" s="4">
        <v>3988</v>
      </c>
      <c r="BN609" s="4">
        <v>4170</v>
      </c>
      <c r="BS609" t="s">
        <v>385</v>
      </c>
      <c r="BT609">
        <v>4</v>
      </c>
      <c r="BU609">
        <v>13</v>
      </c>
      <c r="BV609">
        <v>9</v>
      </c>
      <c r="BX609">
        <v>74.25</v>
      </c>
      <c r="BZ609">
        <v>69.75</v>
      </c>
      <c r="CM609">
        <v>1911</v>
      </c>
    </row>
    <row r="610" spans="1:91" x14ac:dyDescent="0.3">
      <c r="A610" t="s">
        <v>1174</v>
      </c>
      <c r="B610">
        <v>40925</v>
      </c>
      <c r="D610">
        <v>12</v>
      </c>
      <c r="I610" s="2">
        <v>1553640</v>
      </c>
      <c r="J610" t="s">
        <v>800</v>
      </c>
      <c r="V610" t="s">
        <v>350</v>
      </c>
      <c r="Y610">
        <v>100</v>
      </c>
      <c r="AA610">
        <v>89</v>
      </c>
      <c r="AC610" s="3">
        <v>89</v>
      </c>
      <c r="AE610" s="3">
        <v>89</v>
      </c>
      <c r="AI610">
        <v>89</v>
      </c>
      <c r="AK610" s="3"/>
      <c r="AV610" t="s">
        <v>536</v>
      </c>
      <c r="AX610" t="s">
        <v>536</v>
      </c>
      <c r="AZ610" t="s">
        <v>536</v>
      </c>
      <c r="BB610" t="s">
        <v>536</v>
      </c>
      <c r="BO610" t="s">
        <v>367</v>
      </c>
      <c r="BS610" t="s">
        <v>385</v>
      </c>
      <c r="BT610">
        <v>3</v>
      </c>
      <c r="BU610">
        <v>19</v>
      </c>
      <c r="BV610">
        <v>0</v>
      </c>
      <c r="BX610">
        <v>91.5</v>
      </c>
      <c r="BZ610">
        <v>86.25</v>
      </c>
      <c r="CK610" t="s">
        <v>388</v>
      </c>
      <c r="CM610">
        <v>1911</v>
      </c>
    </row>
    <row r="611" spans="1:91" x14ac:dyDescent="0.3">
      <c r="A611" t="s">
        <v>1175</v>
      </c>
      <c r="B611">
        <v>41126</v>
      </c>
      <c r="D611">
        <v>12</v>
      </c>
      <c r="I611" s="2">
        <v>2439580</v>
      </c>
      <c r="J611" t="s">
        <v>800</v>
      </c>
      <c r="V611" t="s">
        <v>350</v>
      </c>
      <c r="Y611">
        <v>100</v>
      </c>
      <c r="AA611">
        <v>103</v>
      </c>
      <c r="AC611" s="3">
        <v>103.25</v>
      </c>
      <c r="AE611" s="3">
        <v>103</v>
      </c>
      <c r="AI611">
        <v>103</v>
      </c>
      <c r="AK611" s="3"/>
      <c r="AV611" t="s">
        <v>373</v>
      </c>
      <c r="AX611" t="s">
        <v>373</v>
      </c>
      <c r="AZ611" t="s">
        <v>373</v>
      </c>
      <c r="BB611" t="s">
        <v>373</v>
      </c>
      <c r="BO611" t="s">
        <v>367</v>
      </c>
      <c r="BS611" t="s">
        <v>385</v>
      </c>
      <c r="BT611">
        <v>3</v>
      </c>
      <c r="BU611">
        <v>18</v>
      </c>
      <c r="BV611">
        <v>3</v>
      </c>
      <c r="BX611">
        <v>108</v>
      </c>
      <c r="BZ611">
        <v>102.25</v>
      </c>
      <c r="CK611" t="s">
        <v>393</v>
      </c>
      <c r="CM611">
        <v>1911</v>
      </c>
    </row>
    <row r="612" spans="1:91" x14ac:dyDescent="0.3">
      <c r="A612" t="s">
        <v>1175</v>
      </c>
      <c r="B612">
        <v>41127</v>
      </c>
      <c r="C612" t="s">
        <v>1176</v>
      </c>
      <c r="D612">
        <v>12</v>
      </c>
      <c r="I612">
        <v>797400</v>
      </c>
      <c r="J612" t="s">
        <v>800</v>
      </c>
      <c r="V612" t="s">
        <v>350</v>
      </c>
      <c r="Y612">
        <v>100</v>
      </c>
      <c r="AA612">
        <v>103</v>
      </c>
      <c r="AC612" s="3">
        <v>105</v>
      </c>
      <c r="AE612" s="3">
        <v>103</v>
      </c>
      <c r="AI612">
        <v>103</v>
      </c>
      <c r="AK612" s="3"/>
      <c r="AV612" t="s">
        <v>370</v>
      </c>
      <c r="AX612" t="s">
        <v>370</v>
      </c>
      <c r="AZ612" t="s">
        <v>370</v>
      </c>
      <c r="BB612" t="s">
        <v>370</v>
      </c>
      <c r="BO612" t="s">
        <v>367</v>
      </c>
      <c r="BS612" t="s">
        <v>385</v>
      </c>
      <c r="BT612">
        <v>3</v>
      </c>
      <c r="BU612">
        <v>19</v>
      </c>
      <c r="BV612">
        <v>0</v>
      </c>
      <c r="BX612">
        <v>106.5</v>
      </c>
      <c r="BZ612">
        <v>103</v>
      </c>
      <c r="CK612" t="s">
        <v>393</v>
      </c>
      <c r="CL612" t="s">
        <v>457</v>
      </c>
      <c r="CM612">
        <v>1911</v>
      </c>
    </row>
    <row r="613" spans="1:91" x14ac:dyDescent="0.3">
      <c r="A613" t="s">
        <v>1177</v>
      </c>
      <c r="B613">
        <v>44258</v>
      </c>
      <c r="D613">
        <v>12</v>
      </c>
      <c r="I613">
        <v>33295</v>
      </c>
      <c r="U613">
        <v>10</v>
      </c>
      <c r="Y613">
        <v>10</v>
      </c>
      <c r="AA613">
        <v>7.75</v>
      </c>
      <c r="AC613" s="3">
        <v>7.75</v>
      </c>
      <c r="AE613" s="3">
        <v>7.62</v>
      </c>
      <c r="AI613">
        <v>7.62</v>
      </c>
      <c r="AK613" s="3"/>
      <c r="BG613">
        <v>4</v>
      </c>
      <c r="BH613">
        <v>4</v>
      </c>
      <c r="BI613">
        <v>4</v>
      </c>
      <c r="BJ613">
        <v>4.5</v>
      </c>
      <c r="BK613" s="4">
        <v>3713</v>
      </c>
      <c r="BL613" s="4">
        <v>3897</v>
      </c>
      <c r="BM613" s="4">
        <v>4078</v>
      </c>
      <c r="BN613" s="4">
        <v>4262</v>
      </c>
      <c r="BR613">
        <v>35378</v>
      </c>
      <c r="BS613" t="s">
        <v>1178</v>
      </c>
      <c r="BT613">
        <v>5</v>
      </c>
      <c r="BU613">
        <v>11</v>
      </c>
      <c r="BV613">
        <v>6</v>
      </c>
      <c r="BX613">
        <v>8.25</v>
      </c>
      <c r="BZ613">
        <v>7.62</v>
      </c>
      <c r="CK613" t="s">
        <v>1179</v>
      </c>
      <c r="CM613">
        <v>1911</v>
      </c>
    </row>
    <row r="614" spans="1:91" x14ac:dyDescent="0.3">
      <c r="A614" t="s">
        <v>1177</v>
      </c>
      <c r="B614">
        <v>44259</v>
      </c>
      <c r="C614" t="s">
        <v>1180</v>
      </c>
      <c r="D614">
        <v>12</v>
      </c>
      <c r="I614">
        <v>33295</v>
      </c>
      <c r="U614">
        <v>10</v>
      </c>
      <c r="Y614">
        <v>10</v>
      </c>
      <c r="AA614">
        <v>6.87</v>
      </c>
      <c r="AC614" s="3">
        <v>6.87</v>
      </c>
      <c r="AE614" s="3">
        <v>6.75</v>
      </c>
      <c r="AI614">
        <v>6.75</v>
      </c>
      <c r="AK614" s="3"/>
      <c r="AV614" t="s">
        <v>373</v>
      </c>
      <c r="AX614" t="s">
        <v>373</v>
      </c>
      <c r="AZ614" t="s">
        <v>373</v>
      </c>
      <c r="BB614" t="s">
        <v>373</v>
      </c>
      <c r="BO614" t="s">
        <v>367</v>
      </c>
      <c r="BR614">
        <v>35378</v>
      </c>
      <c r="BS614" t="s">
        <v>1178</v>
      </c>
      <c r="BT614">
        <v>4</v>
      </c>
      <c r="BU614">
        <v>8</v>
      </c>
      <c r="BV614">
        <v>9</v>
      </c>
      <c r="BX614">
        <v>7.25</v>
      </c>
      <c r="BZ614">
        <v>6.75</v>
      </c>
      <c r="CM614">
        <v>1911</v>
      </c>
    </row>
    <row r="615" spans="1:91" x14ac:dyDescent="0.3">
      <c r="A615" t="s">
        <v>1181</v>
      </c>
      <c r="B615">
        <v>44265</v>
      </c>
      <c r="D615">
        <v>12</v>
      </c>
      <c r="I615">
        <v>11300</v>
      </c>
      <c r="U615">
        <v>100</v>
      </c>
      <c r="Y615">
        <v>100</v>
      </c>
      <c r="AA615">
        <v>96</v>
      </c>
      <c r="AC615" s="3">
        <v>96</v>
      </c>
      <c r="AE615" s="3">
        <v>94</v>
      </c>
      <c r="AI615">
        <v>94</v>
      </c>
      <c r="AK615" s="3"/>
      <c r="BG615">
        <v>3</v>
      </c>
      <c r="BH615">
        <v>3</v>
      </c>
      <c r="BI615">
        <v>3</v>
      </c>
      <c r="BJ615">
        <v>3</v>
      </c>
      <c r="BK615" s="4">
        <v>3805</v>
      </c>
      <c r="BL615" s="4">
        <v>3988</v>
      </c>
      <c r="BM615" s="4">
        <v>4170</v>
      </c>
      <c r="BN615" s="4">
        <v>4353</v>
      </c>
      <c r="BR615">
        <v>44101</v>
      </c>
      <c r="BT615">
        <v>3</v>
      </c>
      <c r="BU615">
        <v>3</v>
      </c>
      <c r="BV615">
        <v>9</v>
      </c>
      <c r="BX615">
        <v>100.5</v>
      </c>
      <c r="BZ615">
        <v>94</v>
      </c>
      <c r="CK615" t="s">
        <v>1182</v>
      </c>
      <c r="CM615">
        <v>1911</v>
      </c>
    </row>
    <row r="616" spans="1:91" x14ac:dyDescent="0.3">
      <c r="A616" t="s">
        <v>1183</v>
      </c>
      <c r="B616">
        <v>44595</v>
      </c>
      <c r="D616">
        <v>12</v>
      </c>
      <c r="I616">
        <v>5500</v>
      </c>
      <c r="U616">
        <v>20</v>
      </c>
      <c r="Y616">
        <v>18</v>
      </c>
      <c r="AA616">
        <v>9.5</v>
      </c>
      <c r="AC616" s="3">
        <v>9.5</v>
      </c>
      <c r="AE616" s="3">
        <v>9.5</v>
      </c>
      <c r="AI616">
        <v>9.5</v>
      </c>
      <c r="AK616" s="3"/>
      <c r="AV616" t="s">
        <v>815</v>
      </c>
      <c r="AX616" t="s">
        <v>815</v>
      </c>
      <c r="AZ616" t="s">
        <v>815</v>
      </c>
      <c r="BB616" t="s">
        <v>815</v>
      </c>
      <c r="BG616">
        <v>3</v>
      </c>
      <c r="BH616">
        <v>4</v>
      </c>
      <c r="BI616">
        <v>4</v>
      </c>
      <c r="BJ616">
        <v>5</v>
      </c>
      <c r="BK616" s="4">
        <v>3136</v>
      </c>
      <c r="BL616" s="4">
        <v>3501</v>
      </c>
      <c r="BM616" s="4">
        <v>3866</v>
      </c>
      <c r="BN616" s="4">
        <v>4231</v>
      </c>
      <c r="BR616">
        <v>30270</v>
      </c>
      <c r="BT616">
        <v>9</v>
      </c>
      <c r="BU616">
        <v>9</v>
      </c>
      <c r="BV616">
        <v>6</v>
      </c>
      <c r="BX616">
        <v>9.5</v>
      </c>
      <c r="BZ616">
        <v>6.5</v>
      </c>
      <c r="CK616" t="s">
        <v>1184</v>
      </c>
      <c r="CM616">
        <v>1911</v>
      </c>
    </row>
    <row r="617" spans="1:91" x14ac:dyDescent="0.3">
      <c r="A617" t="s">
        <v>1185</v>
      </c>
      <c r="B617">
        <v>45372</v>
      </c>
      <c r="D617">
        <v>12</v>
      </c>
      <c r="I617" s="2">
        <v>1225000</v>
      </c>
      <c r="J617" t="s">
        <v>800</v>
      </c>
      <c r="V617" t="s">
        <v>350</v>
      </c>
      <c r="Y617">
        <v>100</v>
      </c>
      <c r="AA617">
        <v>15</v>
      </c>
      <c r="AC617" s="3">
        <v>15</v>
      </c>
      <c r="AE617" s="3">
        <v>15</v>
      </c>
      <c r="AI617">
        <v>15</v>
      </c>
      <c r="AK617" s="3"/>
      <c r="AV617" t="s">
        <v>815</v>
      </c>
      <c r="AX617" t="s">
        <v>815</v>
      </c>
      <c r="AZ617" t="s">
        <v>815</v>
      </c>
      <c r="BB617" t="s">
        <v>815</v>
      </c>
      <c r="BG617">
        <v>1</v>
      </c>
      <c r="BH617">
        <v>0.75</v>
      </c>
      <c r="BI617">
        <v>1</v>
      </c>
      <c r="BJ617">
        <v>1</v>
      </c>
      <c r="BK617" s="4">
        <v>3014</v>
      </c>
      <c r="BL617" s="4">
        <v>3379</v>
      </c>
      <c r="BM617" s="4">
        <v>3744</v>
      </c>
      <c r="BN617" s="4">
        <v>4109</v>
      </c>
      <c r="BR617">
        <v>31801</v>
      </c>
      <c r="BS617" t="s">
        <v>1186</v>
      </c>
      <c r="BT617">
        <v>6</v>
      </c>
      <c r="BU617">
        <v>13</v>
      </c>
      <c r="BV617">
        <v>3</v>
      </c>
      <c r="BX617">
        <v>15.75</v>
      </c>
      <c r="BZ617">
        <v>14.25</v>
      </c>
      <c r="CK617" t="s">
        <v>1187</v>
      </c>
      <c r="CM617">
        <v>1911</v>
      </c>
    </row>
    <row r="618" spans="1:91" x14ac:dyDescent="0.3">
      <c r="A618" t="s">
        <v>1185</v>
      </c>
      <c r="B618">
        <v>45373</v>
      </c>
      <c r="C618" t="s">
        <v>1188</v>
      </c>
      <c r="D618">
        <v>12</v>
      </c>
      <c r="I618">
        <v>378910</v>
      </c>
      <c r="J618" t="s">
        <v>800</v>
      </c>
      <c r="V618" t="s">
        <v>350</v>
      </c>
      <c r="Y618">
        <v>100</v>
      </c>
      <c r="AA618">
        <v>78</v>
      </c>
      <c r="AC618" s="3">
        <v>78</v>
      </c>
      <c r="AE618" s="3">
        <v>78</v>
      </c>
      <c r="AI618">
        <v>78</v>
      </c>
      <c r="AK618" s="3"/>
      <c r="AV618" t="s">
        <v>370</v>
      </c>
      <c r="AX618" t="s">
        <v>370</v>
      </c>
      <c r="AZ618" t="s">
        <v>370</v>
      </c>
      <c r="BB618" t="s">
        <v>370</v>
      </c>
      <c r="BO618" t="s">
        <v>367</v>
      </c>
      <c r="BR618">
        <v>31801</v>
      </c>
      <c r="BS618" t="s">
        <v>1186</v>
      </c>
      <c r="BT618">
        <v>4</v>
      </c>
      <c r="BU618">
        <v>11</v>
      </c>
      <c r="BV618">
        <v>6</v>
      </c>
      <c r="BX618">
        <v>79</v>
      </c>
      <c r="BZ618">
        <v>76</v>
      </c>
      <c r="CM618">
        <v>1911</v>
      </c>
    </row>
    <row r="619" spans="1:91" x14ac:dyDescent="0.3">
      <c r="A619" t="s">
        <v>1189</v>
      </c>
      <c r="B619">
        <v>45969</v>
      </c>
      <c r="D619">
        <v>12</v>
      </c>
      <c r="I619">
        <v>400000</v>
      </c>
      <c r="U619">
        <v>10</v>
      </c>
      <c r="Y619">
        <v>10</v>
      </c>
      <c r="AA619">
        <v>1.18</v>
      </c>
      <c r="AC619" s="3">
        <v>1.18</v>
      </c>
      <c r="AE619" s="3">
        <v>1.0900000000000001</v>
      </c>
      <c r="AI619">
        <v>1.1200000000000001</v>
      </c>
      <c r="AK619" s="3"/>
      <c r="BB619" t="s">
        <v>810</v>
      </c>
      <c r="BG619">
        <v>4</v>
      </c>
      <c r="BH619">
        <v>4</v>
      </c>
      <c r="BI619">
        <v>4</v>
      </c>
      <c r="BK619" t="s">
        <v>1190</v>
      </c>
      <c r="BL619" t="s">
        <v>1191</v>
      </c>
      <c r="BM619" t="s">
        <v>1192</v>
      </c>
      <c r="BR619">
        <v>6382</v>
      </c>
      <c r="BS619" t="s">
        <v>1193</v>
      </c>
      <c r="BW619" t="s">
        <v>802</v>
      </c>
      <c r="BX619">
        <v>1.31</v>
      </c>
      <c r="BZ619">
        <v>0.93</v>
      </c>
      <c r="CK619" t="s">
        <v>1194</v>
      </c>
      <c r="CM619">
        <v>1911</v>
      </c>
    </row>
    <row r="620" spans="1:91" x14ac:dyDescent="0.3">
      <c r="A620" t="s">
        <v>1189</v>
      </c>
      <c r="B620">
        <v>45971</v>
      </c>
      <c r="C620" t="s">
        <v>1195</v>
      </c>
      <c r="D620">
        <v>12</v>
      </c>
      <c r="I620">
        <v>400000</v>
      </c>
      <c r="U620">
        <v>10</v>
      </c>
      <c r="Y620">
        <v>10</v>
      </c>
      <c r="AA620">
        <v>1.71</v>
      </c>
      <c r="AC620" s="3">
        <v>1.71</v>
      </c>
      <c r="AE620" s="3">
        <v>1.68</v>
      </c>
      <c r="AI620">
        <v>1.68</v>
      </c>
      <c r="AK620" s="3"/>
      <c r="BB620" t="s">
        <v>810</v>
      </c>
      <c r="BG620">
        <v>4</v>
      </c>
      <c r="BH620">
        <v>4</v>
      </c>
      <c r="BI620">
        <v>4</v>
      </c>
      <c r="BK620" t="s">
        <v>1190</v>
      </c>
      <c r="BL620" t="s">
        <v>1191</v>
      </c>
      <c r="BM620" t="s">
        <v>1192</v>
      </c>
      <c r="BR620">
        <v>6382</v>
      </c>
      <c r="BS620" t="s">
        <v>1193</v>
      </c>
      <c r="BW620" t="s">
        <v>802</v>
      </c>
      <c r="BX620">
        <v>1.96</v>
      </c>
      <c r="BZ620">
        <v>1.5</v>
      </c>
      <c r="CM620">
        <v>1911</v>
      </c>
    </row>
    <row r="621" spans="1:91" x14ac:dyDescent="0.3">
      <c r="A621" t="s">
        <v>1189</v>
      </c>
      <c r="B621">
        <v>45974</v>
      </c>
      <c r="C621" t="s">
        <v>1196</v>
      </c>
      <c r="D621">
        <v>12</v>
      </c>
      <c r="I621" s="2">
        <v>1359000</v>
      </c>
      <c r="J621" t="s">
        <v>800</v>
      </c>
      <c r="U621">
        <v>100</v>
      </c>
      <c r="Y621">
        <v>100</v>
      </c>
      <c r="AA621">
        <v>90</v>
      </c>
      <c r="AC621" s="3">
        <v>90</v>
      </c>
      <c r="AE621" s="3">
        <v>88</v>
      </c>
      <c r="AI621">
        <v>88</v>
      </c>
      <c r="AJ621" t="s">
        <v>379</v>
      </c>
      <c r="AK621" s="3"/>
      <c r="AV621" t="s">
        <v>370</v>
      </c>
      <c r="AX621" t="s">
        <v>370</v>
      </c>
      <c r="AZ621" t="s">
        <v>370</v>
      </c>
      <c r="BB621" t="s">
        <v>370</v>
      </c>
      <c r="BO621" t="s">
        <v>367</v>
      </c>
      <c r="BR621">
        <v>6382</v>
      </c>
      <c r="BS621" t="s">
        <v>1193</v>
      </c>
      <c r="BT621">
        <v>3</v>
      </c>
      <c r="BU621">
        <v>19</v>
      </c>
      <c r="BV621">
        <v>6</v>
      </c>
      <c r="BX621">
        <v>91.75</v>
      </c>
      <c r="BZ621">
        <v>88</v>
      </c>
      <c r="CM621">
        <v>1911</v>
      </c>
    </row>
    <row r="622" spans="1:91" x14ac:dyDescent="0.3">
      <c r="A622" t="s">
        <v>1189</v>
      </c>
      <c r="B622">
        <v>45977</v>
      </c>
      <c r="C622" t="s">
        <v>1197</v>
      </c>
      <c r="D622">
        <v>12</v>
      </c>
      <c r="I622">
        <v>448000</v>
      </c>
      <c r="J622" t="s">
        <v>800</v>
      </c>
      <c r="U622">
        <v>100</v>
      </c>
      <c r="Y622">
        <v>100</v>
      </c>
      <c r="AA622">
        <v>99</v>
      </c>
      <c r="AC622" s="3">
        <v>99</v>
      </c>
      <c r="AE622" s="3">
        <v>97</v>
      </c>
      <c r="AI622">
        <v>97</v>
      </c>
      <c r="AJ622" t="s">
        <v>379</v>
      </c>
      <c r="AK622" s="3"/>
      <c r="AV622" t="s">
        <v>370</v>
      </c>
      <c r="AX622" t="s">
        <v>370</v>
      </c>
      <c r="AZ622" t="s">
        <v>370</v>
      </c>
      <c r="BB622" t="s">
        <v>370</v>
      </c>
      <c r="BO622" t="s">
        <v>367</v>
      </c>
      <c r="BR622">
        <v>6382</v>
      </c>
      <c r="BS622" t="s">
        <v>1193</v>
      </c>
      <c r="BT622">
        <v>4</v>
      </c>
      <c r="BU622">
        <v>2</v>
      </c>
      <c r="BV622">
        <v>6</v>
      </c>
      <c r="BX622">
        <v>100</v>
      </c>
      <c r="BZ622">
        <v>97</v>
      </c>
      <c r="CM622">
        <v>1911</v>
      </c>
    </row>
    <row r="623" spans="1:91" x14ac:dyDescent="0.3">
      <c r="A623" t="s">
        <v>1189</v>
      </c>
      <c r="B623">
        <v>45970</v>
      </c>
      <c r="C623" t="s">
        <v>1198</v>
      </c>
      <c r="D623">
        <v>12</v>
      </c>
      <c r="I623">
        <v>600000</v>
      </c>
      <c r="J623" t="s">
        <v>800</v>
      </c>
      <c r="U623">
        <v>100</v>
      </c>
      <c r="Y623">
        <v>100</v>
      </c>
      <c r="AA623">
        <v>99</v>
      </c>
      <c r="AC623" s="3">
        <v>99</v>
      </c>
      <c r="AE623" s="3">
        <v>97</v>
      </c>
      <c r="AI623">
        <v>97</v>
      </c>
      <c r="AJ623" t="s">
        <v>379</v>
      </c>
      <c r="AK623" s="3"/>
      <c r="AV623" t="s">
        <v>370</v>
      </c>
      <c r="AX623" t="s">
        <v>370</v>
      </c>
      <c r="AZ623" t="s">
        <v>370</v>
      </c>
      <c r="BB623" t="s">
        <v>370</v>
      </c>
      <c r="BO623" t="s">
        <v>367</v>
      </c>
      <c r="BR623">
        <v>6382</v>
      </c>
      <c r="BS623" t="s">
        <v>1193</v>
      </c>
      <c r="BT623">
        <v>4</v>
      </c>
      <c r="BU623">
        <v>2</v>
      </c>
      <c r="BV623">
        <v>6</v>
      </c>
      <c r="BX623">
        <v>100</v>
      </c>
      <c r="BZ623">
        <v>97</v>
      </c>
      <c r="CM623">
        <v>1911</v>
      </c>
    </row>
    <row r="624" spans="1:91" x14ac:dyDescent="0.3">
      <c r="A624" t="s">
        <v>1189</v>
      </c>
      <c r="B624">
        <v>45982</v>
      </c>
      <c r="C624" t="s">
        <v>1199</v>
      </c>
      <c r="D624">
        <v>12</v>
      </c>
      <c r="I624">
        <v>200000</v>
      </c>
      <c r="V624" t="s">
        <v>350</v>
      </c>
      <c r="Y624">
        <v>100</v>
      </c>
      <c r="AA624">
        <v>90</v>
      </c>
      <c r="AC624" s="3">
        <v>90</v>
      </c>
      <c r="AE624" s="3">
        <v>87</v>
      </c>
      <c r="AI624">
        <v>87</v>
      </c>
      <c r="AJ624" t="s">
        <v>379</v>
      </c>
      <c r="AK624" s="3"/>
      <c r="AV624" t="s">
        <v>370</v>
      </c>
      <c r="AX624" t="s">
        <v>370</v>
      </c>
      <c r="AZ624" t="s">
        <v>370</v>
      </c>
      <c r="BB624" t="s">
        <v>370</v>
      </c>
      <c r="BO624" t="s">
        <v>367</v>
      </c>
      <c r="BR624">
        <v>6382</v>
      </c>
      <c r="BS624" t="s">
        <v>1193</v>
      </c>
      <c r="BT624">
        <v>4</v>
      </c>
      <c r="BU624">
        <v>0</v>
      </c>
      <c r="BV624">
        <v>6</v>
      </c>
      <c r="BX624">
        <v>90</v>
      </c>
      <c r="BZ624">
        <v>85.5</v>
      </c>
      <c r="CM624">
        <v>1911</v>
      </c>
    </row>
    <row r="625" spans="1:91" x14ac:dyDescent="0.3">
      <c r="A625" t="s">
        <v>1200</v>
      </c>
      <c r="B625">
        <v>46434</v>
      </c>
      <c r="D625">
        <v>12</v>
      </c>
      <c r="I625">
        <v>402469</v>
      </c>
      <c r="J625" t="s">
        <v>800</v>
      </c>
      <c r="V625" t="s">
        <v>350</v>
      </c>
      <c r="Y625">
        <v>100</v>
      </c>
      <c r="AA625">
        <v>27.5</v>
      </c>
      <c r="AC625" s="3">
        <v>27.5</v>
      </c>
      <c r="AE625" s="3">
        <v>26</v>
      </c>
      <c r="AI625">
        <v>27.5</v>
      </c>
      <c r="AK625" s="3"/>
      <c r="AU625" t="s">
        <v>1201</v>
      </c>
      <c r="AV625" t="s">
        <v>1202</v>
      </c>
      <c r="AW625" t="s">
        <v>1203</v>
      </c>
      <c r="AX625" t="s">
        <v>1204</v>
      </c>
      <c r="AY625" t="s">
        <v>1205</v>
      </c>
      <c r="AZ625" t="s">
        <v>1206</v>
      </c>
      <c r="BA625" t="s">
        <v>1207</v>
      </c>
      <c r="BB625" s="5">
        <v>40769</v>
      </c>
      <c r="BC625">
        <v>336</v>
      </c>
      <c r="BD625">
        <v>144</v>
      </c>
      <c r="BE625">
        <v>300</v>
      </c>
      <c r="BF625">
        <v>176</v>
      </c>
      <c r="BK625" s="4">
        <v>3501</v>
      </c>
      <c r="BL625" s="4">
        <v>3685</v>
      </c>
      <c r="BM625" s="4">
        <v>3866</v>
      </c>
      <c r="BN625" s="4">
        <v>4050</v>
      </c>
      <c r="BS625" t="s">
        <v>385</v>
      </c>
      <c r="BT625">
        <v>7</v>
      </c>
      <c r="BU625">
        <v>4</v>
      </c>
      <c r="BV625">
        <v>3</v>
      </c>
      <c r="BX625">
        <v>31</v>
      </c>
      <c r="BZ625">
        <v>26</v>
      </c>
      <c r="CK625" t="s">
        <v>1208</v>
      </c>
      <c r="CL625" t="s">
        <v>457</v>
      </c>
      <c r="CM625">
        <v>1911</v>
      </c>
    </row>
    <row r="626" spans="1:91" x14ac:dyDescent="0.3">
      <c r="A626" t="s">
        <v>1209</v>
      </c>
      <c r="B626">
        <v>47002</v>
      </c>
      <c r="D626">
        <v>12</v>
      </c>
      <c r="I626">
        <v>302000</v>
      </c>
      <c r="J626" t="s">
        <v>800</v>
      </c>
      <c r="V626" t="s">
        <v>350</v>
      </c>
      <c r="Y626">
        <v>100</v>
      </c>
      <c r="AA626">
        <v>103</v>
      </c>
      <c r="AC626" s="3">
        <v>103</v>
      </c>
      <c r="AE626" s="3">
        <v>101</v>
      </c>
      <c r="AI626">
        <v>101</v>
      </c>
      <c r="AJ626" t="s">
        <v>379</v>
      </c>
      <c r="AK626" s="3"/>
      <c r="AV626" t="s">
        <v>370</v>
      </c>
      <c r="AX626" t="s">
        <v>370</v>
      </c>
      <c r="AZ626" t="s">
        <v>370</v>
      </c>
      <c r="BB626" t="s">
        <v>370</v>
      </c>
      <c r="BO626" t="s">
        <v>367</v>
      </c>
      <c r="BS626" t="s">
        <v>385</v>
      </c>
      <c r="BT626">
        <v>3</v>
      </c>
      <c r="BU626">
        <v>19</v>
      </c>
      <c r="BV626">
        <v>3</v>
      </c>
      <c r="BX626">
        <v>106</v>
      </c>
      <c r="BZ626">
        <v>100.5</v>
      </c>
      <c r="CK626" t="s">
        <v>360</v>
      </c>
      <c r="CL626" t="s">
        <v>457</v>
      </c>
      <c r="CM626">
        <v>1911</v>
      </c>
    </row>
    <row r="627" spans="1:91" x14ac:dyDescent="0.3">
      <c r="A627" t="s">
        <v>1210</v>
      </c>
      <c r="B627">
        <v>47982</v>
      </c>
      <c r="D627">
        <v>12</v>
      </c>
      <c r="I627" s="2">
        <v>1358100</v>
      </c>
      <c r="J627" t="s">
        <v>800</v>
      </c>
      <c r="V627" t="s">
        <v>350</v>
      </c>
      <c r="Y627">
        <v>100</v>
      </c>
      <c r="AA627">
        <v>42.5</v>
      </c>
      <c r="AC627" s="3">
        <v>42.5</v>
      </c>
      <c r="AE627" s="3">
        <v>42.5</v>
      </c>
      <c r="AI627">
        <v>42.5</v>
      </c>
      <c r="AK627" s="3"/>
      <c r="BG627">
        <v>2</v>
      </c>
      <c r="BH627">
        <v>1.75</v>
      </c>
      <c r="BI627">
        <v>2</v>
      </c>
      <c r="BJ627">
        <v>1.75</v>
      </c>
      <c r="BK627" s="4">
        <v>3685</v>
      </c>
      <c r="BL627" s="4">
        <v>3866</v>
      </c>
      <c r="BM627" s="4">
        <v>4050</v>
      </c>
      <c r="BN627" s="4">
        <v>4231</v>
      </c>
      <c r="BR627">
        <v>575</v>
      </c>
      <c r="BS627" t="s">
        <v>1211</v>
      </c>
      <c r="BT627">
        <v>4</v>
      </c>
      <c r="BU627">
        <v>8</v>
      </c>
      <c r="BV627">
        <v>3</v>
      </c>
      <c r="BX627">
        <v>50.75</v>
      </c>
      <c r="BZ627">
        <v>36</v>
      </c>
      <c r="CK627" t="s">
        <v>360</v>
      </c>
      <c r="CL627" t="s">
        <v>457</v>
      </c>
      <c r="CM627">
        <v>1911</v>
      </c>
    </row>
    <row r="628" spans="1:91" x14ac:dyDescent="0.3">
      <c r="A628" t="s">
        <v>1210</v>
      </c>
      <c r="B628">
        <v>47983</v>
      </c>
      <c r="C628" t="s">
        <v>372</v>
      </c>
      <c r="D628">
        <v>12</v>
      </c>
      <c r="I628">
        <v>730634</v>
      </c>
      <c r="J628" t="s">
        <v>800</v>
      </c>
      <c r="V628" t="s">
        <v>350</v>
      </c>
      <c r="Y628">
        <v>100</v>
      </c>
      <c r="AA628">
        <v>77</v>
      </c>
      <c r="AC628" s="3">
        <v>77</v>
      </c>
      <c r="AE628" s="3">
        <v>76</v>
      </c>
      <c r="AI628">
        <v>77</v>
      </c>
      <c r="AK628" s="3"/>
      <c r="AV628" t="s">
        <v>370</v>
      </c>
      <c r="AX628" t="s">
        <v>370</v>
      </c>
      <c r="AZ628" t="s">
        <v>370</v>
      </c>
      <c r="BB628" t="s">
        <v>370</v>
      </c>
      <c r="BO628" t="s">
        <v>367</v>
      </c>
      <c r="BR628">
        <v>575</v>
      </c>
      <c r="BS628" t="s">
        <v>1211</v>
      </c>
      <c r="BT628">
        <v>4</v>
      </c>
      <c r="BU628">
        <v>0</v>
      </c>
      <c r="BV628">
        <v>6</v>
      </c>
      <c r="BX628">
        <v>80</v>
      </c>
      <c r="BZ628">
        <v>76</v>
      </c>
      <c r="CM628">
        <v>1911</v>
      </c>
    </row>
    <row r="629" spans="1:91" x14ac:dyDescent="0.3">
      <c r="A629" t="s">
        <v>1212</v>
      </c>
      <c r="B629">
        <v>48147</v>
      </c>
      <c r="D629">
        <v>12</v>
      </c>
      <c r="I629">
        <v>752780</v>
      </c>
      <c r="J629" t="s">
        <v>800</v>
      </c>
      <c r="V629" t="s">
        <v>350</v>
      </c>
      <c r="Y629">
        <v>100</v>
      </c>
      <c r="AA629">
        <v>15.5</v>
      </c>
      <c r="AC629" s="3">
        <v>16</v>
      </c>
      <c r="AE629" s="3">
        <v>15.5</v>
      </c>
      <c r="AI629">
        <v>16</v>
      </c>
      <c r="AK629" s="3"/>
      <c r="BG629">
        <v>0.5</v>
      </c>
      <c r="BH629">
        <v>0.5</v>
      </c>
      <c r="BI629">
        <v>0.5</v>
      </c>
      <c r="BJ629">
        <v>0.75</v>
      </c>
      <c r="BK629" s="4">
        <v>3713</v>
      </c>
      <c r="BL629" s="4">
        <v>3866</v>
      </c>
      <c r="BM629" s="4">
        <v>4078</v>
      </c>
      <c r="BN629" s="4">
        <v>4262</v>
      </c>
      <c r="BR629">
        <v>2357</v>
      </c>
      <c r="BT629">
        <v>3</v>
      </c>
      <c r="BU629">
        <v>18</v>
      </c>
      <c r="BV629">
        <v>3</v>
      </c>
      <c r="BX629">
        <v>16</v>
      </c>
      <c r="BZ629">
        <v>13.5</v>
      </c>
      <c r="CK629" t="s">
        <v>399</v>
      </c>
      <c r="CM629">
        <v>1911</v>
      </c>
    </row>
    <row r="630" spans="1:91" x14ac:dyDescent="0.3">
      <c r="A630" t="s">
        <v>1213</v>
      </c>
      <c r="B630">
        <v>48626</v>
      </c>
      <c r="D630">
        <v>12</v>
      </c>
      <c r="I630">
        <v>303782</v>
      </c>
      <c r="J630" t="s">
        <v>800</v>
      </c>
      <c r="V630" t="s">
        <v>350</v>
      </c>
      <c r="Y630">
        <v>100</v>
      </c>
      <c r="AA630">
        <v>12.5</v>
      </c>
      <c r="AC630" s="3">
        <v>12.5</v>
      </c>
      <c r="AE630" s="3">
        <v>12.5</v>
      </c>
      <c r="AI630">
        <v>12.5</v>
      </c>
      <c r="AK630" s="3"/>
      <c r="BB630" t="s">
        <v>810</v>
      </c>
      <c r="BG630">
        <v>1</v>
      </c>
      <c r="BH630">
        <v>1</v>
      </c>
      <c r="BI630">
        <v>1</v>
      </c>
      <c r="BK630" s="4">
        <v>1767</v>
      </c>
      <c r="BL630" s="4">
        <v>2132</v>
      </c>
      <c r="BM630" s="4">
        <v>2497</v>
      </c>
      <c r="BR630">
        <v>29906</v>
      </c>
      <c r="BS630" t="s">
        <v>1214</v>
      </c>
      <c r="BW630" t="s">
        <v>802</v>
      </c>
      <c r="BX630">
        <v>14</v>
      </c>
      <c r="BZ630">
        <v>12</v>
      </c>
      <c r="CK630" t="s">
        <v>1215</v>
      </c>
      <c r="CL630" t="s">
        <v>457</v>
      </c>
      <c r="CM630">
        <v>1911</v>
      </c>
    </row>
    <row r="631" spans="1:91" x14ac:dyDescent="0.3">
      <c r="A631" t="s">
        <v>1213</v>
      </c>
      <c r="B631">
        <v>48641</v>
      </c>
      <c r="C631" t="s">
        <v>1216</v>
      </c>
      <c r="D631">
        <v>12</v>
      </c>
      <c r="I631">
        <v>109500</v>
      </c>
      <c r="J631" t="s">
        <v>800</v>
      </c>
      <c r="V631" t="s">
        <v>350</v>
      </c>
      <c r="Y631">
        <v>100</v>
      </c>
      <c r="AA631">
        <v>80.5</v>
      </c>
      <c r="AB631" t="s">
        <v>379</v>
      </c>
      <c r="AC631" s="3">
        <v>80.5</v>
      </c>
      <c r="AE631" s="3">
        <v>80.5</v>
      </c>
      <c r="AI631">
        <v>80.5</v>
      </c>
      <c r="AK631" s="3"/>
      <c r="BG631">
        <v>5</v>
      </c>
      <c r="BH631">
        <v>5</v>
      </c>
      <c r="BI631">
        <v>5</v>
      </c>
      <c r="BJ631">
        <v>5</v>
      </c>
      <c r="BK631" s="4">
        <v>3774</v>
      </c>
      <c r="BL631" s="4">
        <v>3958</v>
      </c>
      <c r="BM631" s="4">
        <v>4139</v>
      </c>
      <c r="BN631" s="4">
        <v>4323</v>
      </c>
      <c r="BR631">
        <v>29906</v>
      </c>
      <c r="BS631" t="s">
        <v>1214</v>
      </c>
      <c r="BT631">
        <v>6</v>
      </c>
      <c r="BU631">
        <v>4</v>
      </c>
      <c r="BV631">
        <v>9</v>
      </c>
      <c r="BX631">
        <v>83.25</v>
      </c>
      <c r="BZ631">
        <v>80.5</v>
      </c>
      <c r="CM631">
        <v>1911</v>
      </c>
    </row>
    <row r="632" spans="1:91" x14ac:dyDescent="0.3">
      <c r="A632" t="s">
        <v>1213</v>
      </c>
      <c r="B632">
        <v>48635</v>
      </c>
      <c r="C632" t="s">
        <v>1217</v>
      </c>
      <c r="D632">
        <v>12</v>
      </c>
      <c r="I632">
        <v>100000</v>
      </c>
      <c r="J632" t="s">
        <v>800</v>
      </c>
      <c r="V632" t="s">
        <v>350</v>
      </c>
      <c r="Y632">
        <v>100</v>
      </c>
      <c r="AA632">
        <v>67.5</v>
      </c>
      <c r="AB632" t="s">
        <v>379</v>
      </c>
      <c r="AC632" s="3">
        <v>67.5</v>
      </c>
      <c r="AE632" s="3">
        <v>67.5</v>
      </c>
      <c r="AI632">
        <v>67.5</v>
      </c>
      <c r="AK632" s="3"/>
      <c r="AV632" t="s">
        <v>815</v>
      </c>
      <c r="AX632" t="s">
        <v>969</v>
      </c>
      <c r="AZ632" t="s">
        <v>815</v>
      </c>
      <c r="BB632" t="s">
        <v>815</v>
      </c>
      <c r="BG632">
        <v>2.75</v>
      </c>
      <c r="BI632">
        <v>5.5</v>
      </c>
      <c r="BJ632">
        <v>5.5</v>
      </c>
      <c r="BK632" s="4">
        <v>2862</v>
      </c>
      <c r="BL632" t="s">
        <v>811</v>
      </c>
      <c r="BM632" s="4">
        <v>3958</v>
      </c>
      <c r="BN632" s="4">
        <v>4323</v>
      </c>
      <c r="BR632">
        <v>29906</v>
      </c>
      <c r="BS632" t="s">
        <v>1214</v>
      </c>
      <c r="BT632">
        <v>8</v>
      </c>
      <c r="BU632">
        <v>3</v>
      </c>
      <c r="BV632">
        <v>0</v>
      </c>
      <c r="BX632">
        <v>72.5</v>
      </c>
      <c r="BZ632">
        <v>67.5</v>
      </c>
      <c r="CM632">
        <v>1911</v>
      </c>
    </row>
    <row r="633" spans="1:91" x14ac:dyDescent="0.3">
      <c r="A633" t="s">
        <v>1213</v>
      </c>
      <c r="B633">
        <v>48634</v>
      </c>
      <c r="C633" t="s">
        <v>1218</v>
      </c>
      <c r="D633">
        <v>12</v>
      </c>
      <c r="I633">
        <v>120000</v>
      </c>
      <c r="J633" t="s">
        <v>800</v>
      </c>
      <c r="V633" t="s">
        <v>350</v>
      </c>
      <c r="Y633">
        <v>100</v>
      </c>
      <c r="AA633">
        <v>40.5</v>
      </c>
      <c r="AC633" s="3">
        <v>40.5</v>
      </c>
      <c r="AE633" s="3">
        <v>40.5</v>
      </c>
      <c r="AI633">
        <v>40.5</v>
      </c>
      <c r="AK633" s="3"/>
      <c r="AX633" t="s">
        <v>969</v>
      </c>
      <c r="AZ633" t="s">
        <v>815</v>
      </c>
      <c r="BB633" t="s">
        <v>810</v>
      </c>
      <c r="BG633">
        <v>5</v>
      </c>
      <c r="BI633">
        <v>2</v>
      </c>
      <c r="BK633" s="4">
        <v>2497</v>
      </c>
      <c r="BL633" t="s">
        <v>811</v>
      </c>
      <c r="BM633" s="4">
        <v>3958</v>
      </c>
      <c r="BR633">
        <v>29906</v>
      </c>
      <c r="BS633" t="s">
        <v>1214</v>
      </c>
      <c r="BW633" t="s">
        <v>802</v>
      </c>
      <c r="BX633">
        <v>43</v>
      </c>
      <c r="BZ633">
        <v>38.5</v>
      </c>
      <c r="CM633">
        <v>1911</v>
      </c>
    </row>
    <row r="634" spans="1:91" x14ac:dyDescent="0.3">
      <c r="A634" t="s">
        <v>1213</v>
      </c>
      <c r="B634">
        <v>48632</v>
      </c>
      <c r="C634" t="s">
        <v>718</v>
      </c>
      <c r="D634">
        <v>12</v>
      </c>
      <c r="I634">
        <v>557944</v>
      </c>
      <c r="J634" t="s">
        <v>800</v>
      </c>
      <c r="V634" t="s">
        <v>350</v>
      </c>
      <c r="Y634">
        <v>100</v>
      </c>
      <c r="AA634">
        <v>83.75</v>
      </c>
      <c r="AC634" s="3">
        <v>83.75</v>
      </c>
      <c r="AE634" s="3">
        <v>82.5</v>
      </c>
      <c r="AI634">
        <v>82.5</v>
      </c>
      <c r="AK634" s="3"/>
      <c r="AV634" t="s">
        <v>536</v>
      </c>
      <c r="AX634" t="s">
        <v>536</v>
      </c>
      <c r="AZ634" t="s">
        <v>536</v>
      </c>
      <c r="BB634" t="s">
        <v>536</v>
      </c>
      <c r="BO634" t="s">
        <v>367</v>
      </c>
      <c r="BR634">
        <v>29906</v>
      </c>
      <c r="BS634" t="s">
        <v>1214</v>
      </c>
      <c r="BT634">
        <v>4</v>
      </c>
      <c r="BU634">
        <v>17</v>
      </c>
      <c r="BV634">
        <v>6</v>
      </c>
      <c r="BX634">
        <v>84.5</v>
      </c>
      <c r="BZ634">
        <v>81</v>
      </c>
      <c r="CM634">
        <v>1911</v>
      </c>
    </row>
    <row r="635" spans="1:91" x14ac:dyDescent="0.3">
      <c r="A635" t="s">
        <v>1219</v>
      </c>
      <c r="B635">
        <v>49141</v>
      </c>
      <c r="D635">
        <v>12</v>
      </c>
      <c r="I635">
        <v>210000</v>
      </c>
      <c r="J635" t="s">
        <v>800</v>
      </c>
      <c r="V635" t="s">
        <v>350</v>
      </c>
      <c r="Y635">
        <v>100</v>
      </c>
      <c r="AA635">
        <v>45</v>
      </c>
      <c r="AC635" s="3">
        <v>45</v>
      </c>
      <c r="AE635" s="3">
        <v>44.5</v>
      </c>
      <c r="AI635">
        <v>45</v>
      </c>
      <c r="AK635" s="3"/>
      <c r="BG635">
        <v>3</v>
      </c>
      <c r="BH635">
        <v>3</v>
      </c>
      <c r="BI635">
        <v>3</v>
      </c>
      <c r="BJ635">
        <v>3</v>
      </c>
      <c r="BK635" s="4">
        <v>3713</v>
      </c>
      <c r="BL635" s="4">
        <v>3897</v>
      </c>
      <c r="BM635" s="4">
        <v>4078</v>
      </c>
      <c r="BN635" s="4">
        <v>4262</v>
      </c>
      <c r="BR635">
        <v>11657</v>
      </c>
      <c r="BS635" t="s">
        <v>1220</v>
      </c>
      <c r="BT635">
        <v>6</v>
      </c>
      <c r="BU635">
        <v>13</v>
      </c>
      <c r="BV635">
        <v>3</v>
      </c>
      <c r="BX635">
        <v>50</v>
      </c>
      <c r="BZ635">
        <v>39.369999999999997</v>
      </c>
      <c r="CK635" t="s">
        <v>393</v>
      </c>
      <c r="CM635">
        <v>1911</v>
      </c>
    </row>
    <row r="636" spans="1:91" x14ac:dyDescent="0.3">
      <c r="A636" t="s">
        <v>1221</v>
      </c>
      <c r="B636">
        <v>49142</v>
      </c>
      <c r="C636" t="s">
        <v>1222</v>
      </c>
      <c r="D636">
        <v>12</v>
      </c>
      <c r="I636">
        <v>84874</v>
      </c>
      <c r="J636" t="s">
        <v>800</v>
      </c>
      <c r="V636" t="s">
        <v>350</v>
      </c>
      <c r="Y636">
        <v>100</v>
      </c>
      <c r="AA636">
        <v>100</v>
      </c>
      <c r="AC636" s="3">
        <v>100</v>
      </c>
      <c r="AE636" s="3">
        <v>99</v>
      </c>
      <c r="AI636">
        <v>99</v>
      </c>
      <c r="AJ636" t="s">
        <v>379</v>
      </c>
      <c r="AK636" s="3"/>
      <c r="AV636" t="s">
        <v>370</v>
      </c>
      <c r="AX636" t="s">
        <v>370</v>
      </c>
      <c r="AZ636" t="s">
        <v>370</v>
      </c>
      <c r="BB636" t="s">
        <v>370</v>
      </c>
      <c r="BO636" t="s">
        <v>367</v>
      </c>
      <c r="BR636">
        <v>11657</v>
      </c>
      <c r="BS636" t="s">
        <v>1220</v>
      </c>
      <c r="BT636">
        <v>4</v>
      </c>
      <c r="BU636">
        <v>11</v>
      </c>
      <c r="BV636">
        <v>0</v>
      </c>
      <c r="BX636">
        <v>100</v>
      </c>
      <c r="BZ636">
        <v>98</v>
      </c>
      <c r="CM636">
        <v>1911</v>
      </c>
    </row>
    <row r="637" spans="1:91" x14ac:dyDescent="0.3">
      <c r="A637" t="s">
        <v>1223</v>
      </c>
      <c r="B637">
        <v>49325</v>
      </c>
      <c r="D637">
        <v>12</v>
      </c>
      <c r="I637">
        <v>384572</v>
      </c>
      <c r="U637">
        <v>20</v>
      </c>
      <c r="Y637">
        <v>20</v>
      </c>
      <c r="AA637">
        <v>225</v>
      </c>
      <c r="AC637" s="3">
        <v>235</v>
      </c>
      <c r="AE637" s="3">
        <v>225</v>
      </c>
      <c r="AI637">
        <v>234.5</v>
      </c>
      <c r="AK637" s="3"/>
      <c r="BG637">
        <v>28.2</v>
      </c>
      <c r="BH637">
        <v>28.2</v>
      </c>
      <c r="BI637">
        <v>30</v>
      </c>
      <c r="BJ637">
        <v>31.6</v>
      </c>
      <c r="BK637" t="s">
        <v>1224</v>
      </c>
      <c r="BL637" t="s">
        <v>1225</v>
      </c>
      <c r="BM637" t="s">
        <v>913</v>
      </c>
      <c r="BN637" t="s">
        <v>1226</v>
      </c>
      <c r="BR637">
        <v>765294</v>
      </c>
      <c r="BT637">
        <v>2</v>
      </c>
      <c r="BU637">
        <v>14</v>
      </c>
      <c r="BV637">
        <v>0</v>
      </c>
      <c r="BX637">
        <v>235</v>
      </c>
      <c r="BZ637">
        <v>212</v>
      </c>
      <c r="CK637" t="s">
        <v>1227</v>
      </c>
      <c r="CM637">
        <v>1911</v>
      </c>
    </row>
    <row r="638" spans="1:91" x14ac:dyDescent="0.3">
      <c r="A638" t="s">
        <v>1228</v>
      </c>
      <c r="B638">
        <v>40049</v>
      </c>
      <c r="D638">
        <v>12</v>
      </c>
      <c r="I638">
        <v>30000</v>
      </c>
      <c r="U638">
        <v>5</v>
      </c>
      <c r="Y638">
        <v>5</v>
      </c>
      <c r="AA638">
        <v>5.37</v>
      </c>
      <c r="AC638" s="3">
        <v>5.5</v>
      </c>
      <c r="AE638" s="3">
        <v>5.37</v>
      </c>
      <c r="AI638">
        <v>5.5</v>
      </c>
      <c r="AK638" s="3"/>
      <c r="AV638" t="s">
        <v>373</v>
      </c>
      <c r="AX638" t="s">
        <v>373</v>
      </c>
      <c r="AZ638" t="s">
        <v>373</v>
      </c>
      <c r="BB638" t="s">
        <v>373</v>
      </c>
      <c r="BO638" t="s">
        <v>367</v>
      </c>
      <c r="BR638">
        <v>14385</v>
      </c>
      <c r="BT638">
        <v>5</v>
      </c>
      <c r="BU638">
        <v>9</v>
      </c>
      <c r="BV638">
        <v>0</v>
      </c>
      <c r="BX638">
        <v>5.75</v>
      </c>
      <c r="BZ638">
        <v>5.37</v>
      </c>
      <c r="CK638" t="s">
        <v>360</v>
      </c>
      <c r="CM638">
        <v>1911</v>
      </c>
    </row>
    <row r="639" spans="1:91" x14ac:dyDescent="0.3">
      <c r="A639" t="s">
        <v>1229</v>
      </c>
      <c r="B639">
        <v>41259</v>
      </c>
      <c r="D639">
        <v>12</v>
      </c>
      <c r="I639">
        <v>15000</v>
      </c>
      <c r="U639">
        <v>10</v>
      </c>
      <c r="Y639">
        <v>10</v>
      </c>
      <c r="AA639">
        <v>8.25</v>
      </c>
      <c r="AC639" s="3">
        <v>8.25</v>
      </c>
      <c r="AE639" s="3">
        <v>8.25</v>
      </c>
      <c r="AI639">
        <v>8.25</v>
      </c>
      <c r="AK639" s="3"/>
      <c r="AX639" t="s">
        <v>823</v>
      </c>
      <c r="BB639" t="s">
        <v>823</v>
      </c>
      <c r="BG639">
        <v>6</v>
      </c>
      <c r="BH639">
        <v>5</v>
      </c>
      <c r="BI639">
        <v>6</v>
      </c>
      <c r="BJ639">
        <v>5</v>
      </c>
      <c r="BK639" s="4">
        <v>3713</v>
      </c>
      <c r="BL639" s="4">
        <v>3866</v>
      </c>
      <c r="BM639" s="4">
        <v>4078</v>
      </c>
      <c r="BN639" s="4">
        <v>4231</v>
      </c>
      <c r="BR639">
        <v>41279</v>
      </c>
      <c r="BS639" t="s">
        <v>1230</v>
      </c>
      <c r="BT639">
        <v>6</v>
      </c>
      <c r="BU639">
        <v>13</v>
      </c>
      <c r="BV639">
        <v>3</v>
      </c>
      <c r="BX639">
        <v>8.9</v>
      </c>
      <c r="BZ639">
        <v>8</v>
      </c>
      <c r="CK639" t="s">
        <v>360</v>
      </c>
      <c r="CM639">
        <v>1911</v>
      </c>
    </row>
    <row r="640" spans="1:91" x14ac:dyDescent="0.3">
      <c r="A640" t="s">
        <v>1231</v>
      </c>
      <c r="B640">
        <v>41260</v>
      </c>
      <c r="D640">
        <v>12</v>
      </c>
      <c r="I640">
        <v>7500</v>
      </c>
      <c r="U640">
        <v>10</v>
      </c>
      <c r="Y640">
        <v>10</v>
      </c>
      <c r="AA640">
        <v>9.25</v>
      </c>
      <c r="AC640" s="3">
        <v>9.5</v>
      </c>
      <c r="AE640" s="3">
        <v>9.25</v>
      </c>
      <c r="AI640">
        <v>9.25</v>
      </c>
      <c r="AK640" s="3"/>
      <c r="AV640" t="s">
        <v>506</v>
      </c>
      <c r="AX640" t="s">
        <v>506</v>
      </c>
      <c r="AZ640" t="s">
        <v>506</v>
      </c>
      <c r="BB640" t="s">
        <v>506</v>
      </c>
      <c r="BO640" t="s">
        <v>367</v>
      </c>
      <c r="BR640">
        <v>41279</v>
      </c>
      <c r="BS640" t="s">
        <v>1230</v>
      </c>
      <c r="BT640">
        <v>4</v>
      </c>
      <c r="BU640">
        <v>17</v>
      </c>
      <c r="BV640">
        <v>3</v>
      </c>
      <c r="BX640">
        <v>9.56</v>
      </c>
      <c r="BZ640">
        <v>9</v>
      </c>
      <c r="CM640">
        <v>1911</v>
      </c>
    </row>
    <row r="641" spans="1:91" x14ac:dyDescent="0.3">
      <c r="A641" t="s">
        <v>1231</v>
      </c>
      <c r="B641">
        <v>41262</v>
      </c>
      <c r="C641" t="s">
        <v>1232</v>
      </c>
      <c r="D641">
        <v>12</v>
      </c>
      <c r="I641">
        <v>15000</v>
      </c>
      <c r="U641">
        <v>10</v>
      </c>
      <c r="Y641">
        <v>10</v>
      </c>
      <c r="AA641">
        <v>10.75</v>
      </c>
      <c r="AC641" s="3">
        <v>10.75</v>
      </c>
      <c r="AE641" s="3">
        <v>10.75</v>
      </c>
      <c r="AI641">
        <v>10.75</v>
      </c>
      <c r="AK641" s="3"/>
      <c r="AV641" t="s">
        <v>506</v>
      </c>
      <c r="AX641" t="s">
        <v>506</v>
      </c>
      <c r="AZ641" t="s">
        <v>506</v>
      </c>
      <c r="BB641" t="s">
        <v>506</v>
      </c>
      <c r="BO641" t="s">
        <v>367</v>
      </c>
      <c r="BR641">
        <v>41279</v>
      </c>
      <c r="BS641" t="s">
        <v>1230</v>
      </c>
      <c r="BT641">
        <v>5</v>
      </c>
      <c r="BU641">
        <v>11</v>
      </c>
      <c r="BV641">
        <v>6</v>
      </c>
      <c r="BX641">
        <v>10.75</v>
      </c>
      <c r="BZ641">
        <v>10.119999999999999</v>
      </c>
      <c r="CM641">
        <v>1911</v>
      </c>
    </row>
    <row r="642" spans="1:91" x14ac:dyDescent="0.3">
      <c r="A642" t="s">
        <v>1233</v>
      </c>
      <c r="B642">
        <v>41750</v>
      </c>
      <c r="D642">
        <v>12</v>
      </c>
      <c r="I642">
        <v>30449</v>
      </c>
      <c r="U642">
        <v>5</v>
      </c>
      <c r="Y642">
        <v>5</v>
      </c>
      <c r="AA642">
        <v>8.1199999999999992</v>
      </c>
      <c r="AC642" s="3">
        <v>8.1199999999999992</v>
      </c>
      <c r="AE642" s="3">
        <v>8.1199999999999992</v>
      </c>
      <c r="AI642">
        <v>8.1199999999999992</v>
      </c>
      <c r="AK642" s="3"/>
      <c r="AX642" t="s">
        <v>823</v>
      </c>
      <c r="BB642" t="s">
        <v>823</v>
      </c>
      <c r="BG642">
        <v>11</v>
      </c>
      <c r="BH642">
        <v>9</v>
      </c>
      <c r="BI642">
        <v>11</v>
      </c>
      <c r="BJ642">
        <v>9</v>
      </c>
      <c r="BK642" s="4">
        <v>3713</v>
      </c>
      <c r="BL642" s="4">
        <v>3866</v>
      </c>
      <c r="BM642" s="4">
        <v>4078</v>
      </c>
      <c r="BN642" s="4">
        <v>4231</v>
      </c>
      <c r="BR642">
        <v>31443</v>
      </c>
      <c r="BS642" t="s">
        <v>1234</v>
      </c>
      <c r="BT642">
        <v>6</v>
      </c>
      <c r="BU642">
        <v>3</v>
      </c>
      <c r="BV642">
        <v>0</v>
      </c>
      <c r="BX642">
        <v>8.25</v>
      </c>
      <c r="BZ642">
        <v>6.93</v>
      </c>
      <c r="CK642" t="s">
        <v>360</v>
      </c>
      <c r="CM642">
        <v>1911</v>
      </c>
    </row>
    <row r="643" spans="1:91" x14ac:dyDescent="0.3">
      <c r="A643" t="s">
        <v>1235</v>
      </c>
      <c r="B643">
        <v>41752</v>
      </c>
      <c r="D643">
        <v>12</v>
      </c>
      <c r="I643">
        <v>9551</v>
      </c>
      <c r="U643">
        <v>5</v>
      </c>
      <c r="Y643">
        <v>5</v>
      </c>
      <c r="AA643">
        <v>7.75</v>
      </c>
      <c r="AC643" s="3">
        <v>7.75</v>
      </c>
      <c r="AE643" s="3">
        <v>7.75</v>
      </c>
      <c r="AI643">
        <v>7.75</v>
      </c>
      <c r="AK643" s="3"/>
      <c r="AV643" t="s">
        <v>373</v>
      </c>
      <c r="AX643" t="s">
        <v>373</v>
      </c>
      <c r="AZ643" t="s">
        <v>373</v>
      </c>
      <c r="BB643" t="s">
        <v>373</v>
      </c>
      <c r="BO643" t="s">
        <v>367</v>
      </c>
      <c r="BR643">
        <v>31443</v>
      </c>
      <c r="BS643" t="s">
        <v>1234</v>
      </c>
      <c r="BT643">
        <v>4</v>
      </c>
      <c r="BU643">
        <v>10</v>
      </c>
      <c r="BV643">
        <v>3</v>
      </c>
      <c r="BX643">
        <v>7.75</v>
      </c>
      <c r="BZ643">
        <v>7.12</v>
      </c>
      <c r="CM643">
        <v>1911</v>
      </c>
    </row>
    <row r="644" spans="1:91" x14ac:dyDescent="0.3">
      <c r="A644" t="s">
        <v>1236</v>
      </c>
      <c r="B644">
        <v>41795</v>
      </c>
      <c r="D644">
        <v>12</v>
      </c>
      <c r="I644">
        <v>140976</v>
      </c>
      <c r="U644">
        <v>1</v>
      </c>
      <c r="Y644">
        <v>1</v>
      </c>
      <c r="AA644">
        <v>0.12</v>
      </c>
      <c r="AC644" s="3">
        <v>0.12</v>
      </c>
      <c r="AE644" s="3">
        <v>0.12</v>
      </c>
      <c r="AI644">
        <v>0.12</v>
      </c>
      <c r="AK644" s="3"/>
      <c r="AX644" t="s">
        <v>969</v>
      </c>
      <c r="BB644" t="s">
        <v>810</v>
      </c>
      <c r="BG644">
        <v>5</v>
      </c>
      <c r="BI644">
        <v>2.5</v>
      </c>
      <c r="BK644" s="4">
        <v>426</v>
      </c>
      <c r="BL644" t="s">
        <v>811</v>
      </c>
      <c r="BM644" s="4">
        <v>2252</v>
      </c>
      <c r="BR644">
        <v>61139</v>
      </c>
      <c r="BS644" t="s">
        <v>1237</v>
      </c>
      <c r="BW644" t="s">
        <v>802</v>
      </c>
      <c r="BX644">
        <v>0.25</v>
      </c>
      <c r="BZ644">
        <v>0.06</v>
      </c>
      <c r="CK644" t="s">
        <v>360</v>
      </c>
      <c r="CM644">
        <v>1911</v>
      </c>
    </row>
    <row r="645" spans="1:91" x14ac:dyDescent="0.3">
      <c r="A645" t="s">
        <v>1236</v>
      </c>
      <c r="B645">
        <v>41801</v>
      </c>
      <c r="C645" t="s">
        <v>1049</v>
      </c>
      <c r="D645">
        <v>12</v>
      </c>
      <c r="I645">
        <v>200000</v>
      </c>
      <c r="U645">
        <v>1</v>
      </c>
      <c r="Y645">
        <v>1</v>
      </c>
      <c r="AA645">
        <v>0.12</v>
      </c>
      <c r="AC645" s="3">
        <v>0.12</v>
      </c>
      <c r="AE645" s="3">
        <v>0.12</v>
      </c>
      <c r="AI645">
        <v>0.12</v>
      </c>
      <c r="AK645" s="3"/>
      <c r="AV645" t="s">
        <v>815</v>
      </c>
      <c r="BB645" t="s">
        <v>810</v>
      </c>
      <c r="BG645">
        <v>6</v>
      </c>
      <c r="BH645">
        <v>6</v>
      </c>
      <c r="BI645">
        <v>6</v>
      </c>
      <c r="BK645" s="4">
        <v>1583</v>
      </c>
      <c r="BL645" s="4">
        <v>1948</v>
      </c>
      <c r="BM645" s="4">
        <v>2313</v>
      </c>
      <c r="BR645">
        <v>61139</v>
      </c>
      <c r="BS645" t="s">
        <v>1237</v>
      </c>
      <c r="BW645" t="s">
        <v>802</v>
      </c>
      <c r="BX645">
        <v>0.37</v>
      </c>
      <c r="BZ645">
        <v>0.06</v>
      </c>
      <c r="CM645">
        <v>1911</v>
      </c>
    </row>
    <row r="646" spans="1:91" x14ac:dyDescent="0.3">
      <c r="A646" t="s">
        <v>1236</v>
      </c>
      <c r="B646">
        <v>41797</v>
      </c>
      <c r="C646" t="s">
        <v>1222</v>
      </c>
      <c r="D646">
        <v>12</v>
      </c>
      <c r="I646">
        <v>125000</v>
      </c>
      <c r="J646" t="s">
        <v>800</v>
      </c>
      <c r="V646" t="s">
        <v>350</v>
      </c>
      <c r="Y646">
        <v>100</v>
      </c>
      <c r="AA646">
        <v>58.5</v>
      </c>
      <c r="AC646" s="3">
        <v>58.5</v>
      </c>
      <c r="AE646" s="3">
        <v>58.5</v>
      </c>
      <c r="AI646">
        <v>58.5</v>
      </c>
      <c r="AK646" s="3"/>
      <c r="AV646" t="s">
        <v>373</v>
      </c>
      <c r="AX646" t="s">
        <v>373</v>
      </c>
      <c r="AZ646" t="s">
        <v>373</v>
      </c>
      <c r="BB646" t="s">
        <v>373</v>
      </c>
      <c r="BO646" t="s">
        <v>367</v>
      </c>
      <c r="BR646">
        <v>61139</v>
      </c>
      <c r="BS646" t="s">
        <v>1237</v>
      </c>
      <c r="BT646">
        <v>7</v>
      </c>
      <c r="BU646">
        <v>13</v>
      </c>
      <c r="BV646">
        <v>9</v>
      </c>
      <c r="BX646">
        <v>61.5</v>
      </c>
      <c r="BZ646">
        <v>39.5</v>
      </c>
      <c r="CM646">
        <v>1911</v>
      </c>
    </row>
    <row r="647" spans="1:91" x14ac:dyDescent="0.3">
      <c r="A647" t="s">
        <v>1236</v>
      </c>
      <c r="B647">
        <v>41798</v>
      </c>
      <c r="C647" t="s">
        <v>1238</v>
      </c>
      <c r="D647">
        <v>12</v>
      </c>
      <c r="I647">
        <v>125000</v>
      </c>
      <c r="J647" t="s">
        <v>800</v>
      </c>
      <c r="V647" t="s">
        <v>350</v>
      </c>
      <c r="Y647">
        <v>100</v>
      </c>
      <c r="AA647">
        <v>41.5</v>
      </c>
      <c r="AC647" s="3">
        <v>41.5</v>
      </c>
      <c r="AE647" s="3">
        <v>39</v>
      </c>
      <c r="AI647">
        <v>39.5</v>
      </c>
      <c r="AJ647" t="s">
        <v>379</v>
      </c>
      <c r="AK647" s="3"/>
      <c r="AV647" t="s">
        <v>370</v>
      </c>
      <c r="AX647" t="s">
        <v>370</v>
      </c>
      <c r="AZ647" t="s">
        <v>370</v>
      </c>
      <c r="BB647" t="s">
        <v>370</v>
      </c>
      <c r="BO647" t="s">
        <v>367</v>
      </c>
      <c r="BR647">
        <v>61139</v>
      </c>
      <c r="BS647" t="s">
        <v>1237</v>
      </c>
      <c r="BT647">
        <v>11</v>
      </c>
      <c r="BU647">
        <v>8</v>
      </c>
      <c r="BV647">
        <v>0</v>
      </c>
      <c r="BX647">
        <v>43.5</v>
      </c>
      <c r="BZ647">
        <v>23</v>
      </c>
      <c r="CM647">
        <v>1911</v>
      </c>
    </row>
    <row r="648" spans="1:91" x14ac:dyDescent="0.3">
      <c r="A648" t="s">
        <v>1239</v>
      </c>
      <c r="B648">
        <v>41953</v>
      </c>
      <c r="D648">
        <v>12</v>
      </c>
      <c r="I648">
        <v>100000</v>
      </c>
      <c r="U648">
        <v>5</v>
      </c>
      <c r="Y648">
        <v>5</v>
      </c>
      <c r="AA648">
        <v>6.75</v>
      </c>
      <c r="AC648" s="3">
        <v>6.75</v>
      </c>
      <c r="AE648" s="3">
        <v>6.03</v>
      </c>
      <c r="AI648">
        <v>6.37</v>
      </c>
      <c r="AK648" s="3"/>
      <c r="AX648" t="s">
        <v>823</v>
      </c>
      <c r="BB648" t="s">
        <v>823</v>
      </c>
      <c r="BG648">
        <v>9.5</v>
      </c>
      <c r="BH648">
        <v>7</v>
      </c>
      <c r="BI648">
        <v>10</v>
      </c>
      <c r="BJ648">
        <v>7</v>
      </c>
      <c r="BK648" s="4">
        <v>3774</v>
      </c>
      <c r="BL648" s="4">
        <v>3958</v>
      </c>
      <c r="BM648" s="4">
        <v>4139</v>
      </c>
      <c r="BN648" s="4">
        <v>4323</v>
      </c>
      <c r="BR648">
        <v>143750</v>
      </c>
      <c r="BS648" t="s">
        <v>1240</v>
      </c>
      <c r="BT648">
        <v>6</v>
      </c>
      <c r="BU648">
        <v>13</v>
      </c>
      <c r="BV648">
        <v>3</v>
      </c>
      <c r="BX648">
        <v>7.31</v>
      </c>
      <c r="BZ648">
        <v>6.03</v>
      </c>
      <c r="CK648" t="s">
        <v>360</v>
      </c>
      <c r="CM648">
        <v>1911</v>
      </c>
    </row>
    <row r="649" spans="1:91" x14ac:dyDescent="0.3">
      <c r="A649" t="s">
        <v>1239</v>
      </c>
      <c r="B649">
        <v>41954</v>
      </c>
      <c r="C649" t="s">
        <v>817</v>
      </c>
      <c r="D649">
        <v>12</v>
      </c>
      <c r="I649">
        <v>20000</v>
      </c>
      <c r="U649">
        <v>5</v>
      </c>
      <c r="Y649">
        <v>5</v>
      </c>
      <c r="AA649">
        <v>5.12</v>
      </c>
      <c r="AC649" s="3">
        <v>5.18</v>
      </c>
      <c r="AE649" s="3">
        <v>5.0599999999999996</v>
      </c>
      <c r="AI649">
        <v>5.12</v>
      </c>
      <c r="AK649" s="3"/>
      <c r="BG649">
        <v>5</v>
      </c>
      <c r="BH649">
        <v>5</v>
      </c>
      <c r="BI649">
        <v>5</v>
      </c>
      <c r="BJ649">
        <v>5</v>
      </c>
      <c r="BK649" s="4">
        <v>3685</v>
      </c>
      <c r="BL649" s="4">
        <v>3866</v>
      </c>
      <c r="BM649" s="4">
        <v>4050</v>
      </c>
      <c r="BN649" s="4">
        <v>4231</v>
      </c>
      <c r="BR649">
        <v>143750</v>
      </c>
      <c r="BS649" t="s">
        <v>1240</v>
      </c>
      <c r="BT649">
        <v>4</v>
      </c>
      <c r="BU649">
        <v>17</v>
      </c>
      <c r="BV649">
        <v>6</v>
      </c>
      <c r="BX649">
        <v>5.25</v>
      </c>
      <c r="BZ649">
        <v>5</v>
      </c>
      <c r="CM649">
        <v>1911</v>
      </c>
    </row>
    <row r="650" spans="1:91" x14ac:dyDescent="0.3">
      <c r="A650" t="s">
        <v>1241</v>
      </c>
      <c r="B650">
        <v>41986</v>
      </c>
      <c r="D650">
        <v>12</v>
      </c>
      <c r="I650">
        <v>256800</v>
      </c>
      <c r="J650" t="s">
        <v>800</v>
      </c>
      <c r="U650">
        <v>100</v>
      </c>
      <c r="Y650">
        <v>100</v>
      </c>
      <c r="AA650">
        <v>97.5</v>
      </c>
      <c r="AC650" s="3">
        <v>98</v>
      </c>
      <c r="AE650" s="3">
        <v>96.75</v>
      </c>
      <c r="AI650">
        <v>97.5</v>
      </c>
      <c r="AK650" s="3"/>
      <c r="AV650" t="s">
        <v>370</v>
      </c>
      <c r="AX650" t="s">
        <v>370</v>
      </c>
      <c r="AZ650" t="s">
        <v>370</v>
      </c>
      <c r="BB650" t="s">
        <v>370</v>
      </c>
      <c r="BO650" t="s">
        <v>367</v>
      </c>
      <c r="BT650">
        <v>5</v>
      </c>
      <c r="BU650">
        <v>5</v>
      </c>
      <c r="BV650">
        <v>3</v>
      </c>
      <c r="BX650">
        <v>98.25</v>
      </c>
      <c r="BZ650">
        <v>89.62</v>
      </c>
      <c r="CM650">
        <v>1911</v>
      </c>
    </row>
    <row r="651" spans="1:91" x14ac:dyDescent="0.3">
      <c r="A651" t="s">
        <v>1242</v>
      </c>
      <c r="B651">
        <v>42094</v>
      </c>
      <c r="D651">
        <v>12</v>
      </c>
      <c r="I651">
        <v>56400</v>
      </c>
      <c r="U651">
        <v>100</v>
      </c>
      <c r="V651" t="s">
        <v>773</v>
      </c>
      <c r="Y651">
        <v>100</v>
      </c>
      <c r="Z651" t="s">
        <v>773</v>
      </c>
      <c r="AA651">
        <v>117.5</v>
      </c>
      <c r="AC651" s="3">
        <v>117.5</v>
      </c>
      <c r="AE651" s="3">
        <v>112.37</v>
      </c>
      <c r="AI651">
        <v>112.5</v>
      </c>
      <c r="AK651" s="3"/>
      <c r="BG651">
        <v>7</v>
      </c>
      <c r="BH651">
        <v>7</v>
      </c>
      <c r="BI651">
        <v>7</v>
      </c>
      <c r="BJ651">
        <v>7</v>
      </c>
      <c r="BK651" s="4">
        <v>4109</v>
      </c>
      <c r="BL651" s="4">
        <v>4200</v>
      </c>
      <c r="BM651" s="4">
        <v>4292</v>
      </c>
      <c r="BN651" s="4">
        <v>4384</v>
      </c>
      <c r="BS651" t="s">
        <v>385</v>
      </c>
      <c r="BT651">
        <v>6</v>
      </c>
      <c r="BU651">
        <v>4</v>
      </c>
      <c r="BV651">
        <v>6</v>
      </c>
      <c r="BX651">
        <v>121</v>
      </c>
      <c r="BZ651">
        <v>103.25</v>
      </c>
      <c r="CM651">
        <v>1911</v>
      </c>
    </row>
    <row r="652" spans="1:91" x14ac:dyDescent="0.3">
      <c r="A652" t="s">
        <v>1242</v>
      </c>
      <c r="B652">
        <v>42095</v>
      </c>
      <c r="C652" t="s">
        <v>1243</v>
      </c>
      <c r="D652">
        <v>12</v>
      </c>
      <c r="I652" s="2">
        <v>2000000</v>
      </c>
      <c r="J652" t="s">
        <v>773</v>
      </c>
      <c r="U652">
        <v>100</v>
      </c>
      <c r="V652" t="s">
        <v>773</v>
      </c>
      <c r="Y652">
        <v>100</v>
      </c>
      <c r="Z652" t="s">
        <v>773</v>
      </c>
      <c r="AA652">
        <v>120</v>
      </c>
      <c r="AC652" s="3">
        <v>122.75</v>
      </c>
      <c r="AE652" s="3">
        <v>120</v>
      </c>
      <c r="AI652">
        <v>120</v>
      </c>
      <c r="AK652" s="3"/>
      <c r="AV652" t="s">
        <v>373</v>
      </c>
      <c r="AX652" t="s">
        <v>373</v>
      </c>
      <c r="AZ652" t="s">
        <v>373</v>
      </c>
      <c r="BB652" t="s">
        <v>373</v>
      </c>
      <c r="BO652" t="s">
        <v>367</v>
      </c>
      <c r="BS652" t="s">
        <v>385</v>
      </c>
      <c r="BT652">
        <v>5</v>
      </c>
      <c r="BU652">
        <v>17</v>
      </c>
      <c r="BV652">
        <v>3</v>
      </c>
      <c r="BX652">
        <v>124</v>
      </c>
      <c r="BZ652">
        <v>117.5</v>
      </c>
      <c r="CM652">
        <v>1911</v>
      </c>
    </row>
    <row r="653" spans="1:91" x14ac:dyDescent="0.3">
      <c r="A653" t="s">
        <v>1244</v>
      </c>
      <c r="B653">
        <v>42230</v>
      </c>
      <c r="D653">
        <v>12</v>
      </c>
      <c r="I653">
        <v>450000</v>
      </c>
      <c r="J653" t="s">
        <v>800</v>
      </c>
      <c r="V653" t="s">
        <v>350</v>
      </c>
      <c r="Y653">
        <v>100</v>
      </c>
      <c r="AA653">
        <v>99.5</v>
      </c>
      <c r="AB653" t="s">
        <v>379</v>
      </c>
      <c r="AC653" s="3">
        <v>99.5</v>
      </c>
      <c r="AE653" s="3">
        <v>99.5</v>
      </c>
      <c r="AI653">
        <v>99.5</v>
      </c>
      <c r="AK653" s="3"/>
      <c r="AV653" t="s">
        <v>421</v>
      </c>
      <c r="AX653" t="s">
        <v>421</v>
      </c>
      <c r="AZ653" t="s">
        <v>421</v>
      </c>
      <c r="BB653" t="s">
        <v>421</v>
      </c>
      <c r="BO653" t="s">
        <v>367</v>
      </c>
      <c r="BR653">
        <v>87944</v>
      </c>
      <c r="BS653" t="s">
        <v>1245</v>
      </c>
      <c r="BT653">
        <v>4</v>
      </c>
      <c r="BU653">
        <v>1</v>
      </c>
      <c r="BV653">
        <v>0</v>
      </c>
      <c r="BX653">
        <v>102.5</v>
      </c>
      <c r="BZ653">
        <v>99.5</v>
      </c>
      <c r="CM653">
        <v>1911</v>
      </c>
    </row>
    <row r="654" spans="1:91" x14ac:dyDescent="0.3">
      <c r="A654" t="s">
        <v>1246</v>
      </c>
      <c r="B654">
        <v>42295</v>
      </c>
      <c r="D654">
        <v>12</v>
      </c>
      <c r="I654">
        <v>80000</v>
      </c>
      <c r="U654">
        <v>5</v>
      </c>
      <c r="Y654">
        <v>5</v>
      </c>
      <c r="AA654">
        <v>3.75</v>
      </c>
      <c r="AC654" s="3">
        <v>3.87</v>
      </c>
      <c r="AE654" s="3">
        <v>3.59</v>
      </c>
      <c r="AI654">
        <v>3.75</v>
      </c>
      <c r="AK654" s="3"/>
      <c r="AX654" t="s">
        <v>823</v>
      </c>
      <c r="BB654" t="s">
        <v>823</v>
      </c>
      <c r="BG654">
        <v>5</v>
      </c>
      <c r="BH654">
        <v>5</v>
      </c>
      <c r="BI654">
        <v>5</v>
      </c>
      <c r="BJ654">
        <v>5</v>
      </c>
      <c r="BK654" s="4">
        <v>3685</v>
      </c>
      <c r="BL654" s="4">
        <v>3866</v>
      </c>
      <c r="BM654" s="4">
        <v>4050</v>
      </c>
      <c r="BN654" s="4">
        <v>4231</v>
      </c>
      <c r="BR654">
        <v>257138</v>
      </c>
      <c r="BS654" t="s">
        <v>1247</v>
      </c>
      <c r="BT654">
        <v>6</v>
      </c>
      <c r="BU654">
        <v>13</v>
      </c>
      <c r="BV654">
        <v>3</v>
      </c>
      <c r="BX654">
        <v>4.62</v>
      </c>
      <c r="BZ654">
        <v>3.5</v>
      </c>
      <c r="CK654" t="s">
        <v>360</v>
      </c>
      <c r="CM654">
        <v>1911</v>
      </c>
    </row>
    <row r="655" spans="1:91" x14ac:dyDescent="0.3">
      <c r="A655" t="s">
        <v>1246</v>
      </c>
      <c r="B655">
        <v>42297</v>
      </c>
      <c r="C655" t="s">
        <v>977</v>
      </c>
      <c r="D655">
        <v>12</v>
      </c>
      <c r="I655">
        <v>80000</v>
      </c>
      <c r="U655">
        <v>5</v>
      </c>
      <c r="Y655">
        <v>5</v>
      </c>
      <c r="AA655">
        <v>4.68</v>
      </c>
      <c r="AC655" s="3">
        <v>4.68</v>
      </c>
      <c r="AE655" s="3">
        <v>4.68</v>
      </c>
      <c r="AI655">
        <v>4.68</v>
      </c>
      <c r="AK655" s="3"/>
      <c r="AV655" t="s">
        <v>506</v>
      </c>
      <c r="AX655" t="s">
        <v>506</v>
      </c>
      <c r="AZ655" t="s">
        <v>506</v>
      </c>
      <c r="BB655" t="s">
        <v>506</v>
      </c>
      <c r="BO655" t="s">
        <v>367</v>
      </c>
      <c r="BR655">
        <v>257138</v>
      </c>
      <c r="BS655" t="s">
        <v>1247</v>
      </c>
      <c r="BT655">
        <v>4</v>
      </c>
      <c r="BU655">
        <v>16</v>
      </c>
      <c r="BV655">
        <v>0</v>
      </c>
      <c r="BX655">
        <v>5</v>
      </c>
      <c r="BZ655">
        <v>4.3099999999999996</v>
      </c>
      <c r="CM655">
        <v>1911</v>
      </c>
    </row>
    <row r="656" spans="1:91" x14ac:dyDescent="0.3">
      <c r="A656" t="s">
        <v>1246</v>
      </c>
      <c r="B656">
        <v>42298</v>
      </c>
      <c r="C656" t="s">
        <v>922</v>
      </c>
      <c r="D656">
        <v>12</v>
      </c>
      <c r="I656">
        <v>445736</v>
      </c>
      <c r="J656" t="s">
        <v>800</v>
      </c>
      <c r="V656" t="s">
        <v>350</v>
      </c>
      <c r="Y656">
        <v>100</v>
      </c>
      <c r="AA656">
        <v>96</v>
      </c>
      <c r="AC656" s="3">
        <v>97</v>
      </c>
      <c r="AE656" s="3">
        <v>94.5</v>
      </c>
      <c r="AI656">
        <v>94.5</v>
      </c>
      <c r="AK656" s="3"/>
      <c r="AV656" t="s">
        <v>370</v>
      </c>
      <c r="AX656" t="s">
        <v>370</v>
      </c>
      <c r="AZ656" t="s">
        <v>370</v>
      </c>
      <c r="BB656" t="s">
        <v>370</v>
      </c>
      <c r="BO656" t="s">
        <v>367</v>
      </c>
      <c r="BR656">
        <v>257138</v>
      </c>
      <c r="BS656" t="s">
        <v>1247</v>
      </c>
      <c r="BT656">
        <v>4</v>
      </c>
      <c r="BU656">
        <v>6</v>
      </c>
      <c r="BV656">
        <v>6</v>
      </c>
      <c r="BX656">
        <v>98</v>
      </c>
      <c r="BZ656">
        <v>94.5</v>
      </c>
      <c r="CM656">
        <v>1911</v>
      </c>
    </row>
    <row r="657" spans="1:91" x14ac:dyDescent="0.3">
      <c r="A657" t="s">
        <v>1246</v>
      </c>
      <c r="B657">
        <v>42300</v>
      </c>
      <c r="C657" t="s">
        <v>1248</v>
      </c>
      <c r="D657">
        <v>12</v>
      </c>
      <c r="I657">
        <v>630281</v>
      </c>
      <c r="J657" t="s">
        <v>800</v>
      </c>
      <c r="V657" t="s">
        <v>350</v>
      </c>
      <c r="Y657">
        <v>100</v>
      </c>
      <c r="AA657">
        <v>101.5</v>
      </c>
      <c r="AC657" s="3">
        <v>102.5</v>
      </c>
      <c r="AE657" s="3">
        <v>101</v>
      </c>
      <c r="AI657">
        <v>101.5</v>
      </c>
      <c r="AK657" s="3"/>
      <c r="AV657" t="s">
        <v>370</v>
      </c>
      <c r="AX657" t="s">
        <v>370</v>
      </c>
      <c r="AZ657" t="s">
        <v>370</v>
      </c>
      <c r="BB657" t="s">
        <v>370</v>
      </c>
      <c r="BO657" t="s">
        <v>367</v>
      </c>
      <c r="BR657">
        <v>257138</v>
      </c>
      <c r="BS657" t="s">
        <v>1247</v>
      </c>
      <c r="BT657">
        <v>4</v>
      </c>
      <c r="BU657">
        <v>10</v>
      </c>
      <c r="BV657">
        <v>6</v>
      </c>
      <c r="BX657">
        <v>103.75</v>
      </c>
      <c r="BZ657">
        <v>100.5</v>
      </c>
      <c r="CM657">
        <v>1911</v>
      </c>
    </row>
    <row r="658" spans="1:91" x14ac:dyDescent="0.3">
      <c r="A658" t="s">
        <v>1246</v>
      </c>
      <c r="B658">
        <v>42296</v>
      </c>
      <c r="C658" t="s">
        <v>1249</v>
      </c>
      <c r="D658">
        <v>12</v>
      </c>
      <c r="I658">
        <v>80000</v>
      </c>
      <c r="U658">
        <v>5</v>
      </c>
      <c r="Y658">
        <v>5</v>
      </c>
      <c r="AA658">
        <v>4</v>
      </c>
      <c r="AC658" s="3">
        <v>4</v>
      </c>
      <c r="AE658" s="3">
        <v>4</v>
      </c>
      <c r="AI658">
        <v>4</v>
      </c>
      <c r="AK658" s="3"/>
      <c r="AV658" t="s">
        <v>370</v>
      </c>
      <c r="AX658" t="s">
        <v>370</v>
      </c>
      <c r="AZ658" t="s">
        <v>370</v>
      </c>
      <c r="BB658" t="s">
        <v>370</v>
      </c>
      <c r="BO658" t="s">
        <v>367</v>
      </c>
      <c r="BR658">
        <v>257138</v>
      </c>
      <c r="BS658" t="s">
        <v>1247</v>
      </c>
      <c r="BT658">
        <v>5</v>
      </c>
      <c r="BU658">
        <v>12</v>
      </c>
      <c r="BV658">
        <v>6</v>
      </c>
      <c r="BX658">
        <v>4.12</v>
      </c>
      <c r="BZ658">
        <v>3.68</v>
      </c>
      <c r="CM658">
        <v>1911</v>
      </c>
    </row>
    <row r="659" spans="1:91" x14ac:dyDescent="0.3">
      <c r="A659" t="s">
        <v>1250</v>
      </c>
      <c r="B659">
        <v>42326</v>
      </c>
      <c r="D659">
        <v>12</v>
      </c>
      <c r="I659">
        <v>49436</v>
      </c>
      <c r="U659">
        <v>5</v>
      </c>
      <c r="Y659">
        <v>5</v>
      </c>
      <c r="AA659">
        <v>4.12</v>
      </c>
      <c r="AC659" s="3">
        <v>4.37</v>
      </c>
      <c r="AE659" s="3">
        <v>4.0599999999999996</v>
      </c>
      <c r="AI659">
        <v>4.25</v>
      </c>
      <c r="AK659" s="3"/>
      <c r="AX659" t="s">
        <v>823</v>
      </c>
      <c r="BB659" t="s">
        <v>823</v>
      </c>
      <c r="BG659">
        <v>5</v>
      </c>
      <c r="BH659">
        <v>4</v>
      </c>
      <c r="BI659">
        <v>6</v>
      </c>
      <c r="BJ659">
        <v>4</v>
      </c>
      <c r="BK659" s="4">
        <v>3713</v>
      </c>
      <c r="BL659" s="4">
        <v>3897</v>
      </c>
      <c r="BM659" s="4">
        <v>4078</v>
      </c>
      <c r="BN659" s="4">
        <v>4262</v>
      </c>
      <c r="BR659">
        <v>97433</v>
      </c>
      <c r="BS659" t="s">
        <v>1251</v>
      </c>
      <c r="BT659">
        <v>5</v>
      </c>
      <c r="BU659">
        <v>17</v>
      </c>
      <c r="BV659">
        <v>9</v>
      </c>
      <c r="BX659">
        <v>4.5</v>
      </c>
      <c r="BZ659">
        <v>3.37</v>
      </c>
      <c r="CK659" t="s">
        <v>360</v>
      </c>
      <c r="CM659">
        <v>1911</v>
      </c>
    </row>
    <row r="660" spans="1:91" x14ac:dyDescent="0.3">
      <c r="A660" t="s">
        <v>1252</v>
      </c>
      <c r="B660">
        <v>42327</v>
      </c>
      <c r="C660" t="s">
        <v>1253</v>
      </c>
      <c r="D660">
        <v>12</v>
      </c>
      <c r="I660">
        <v>175000</v>
      </c>
      <c r="J660" t="s">
        <v>800</v>
      </c>
      <c r="V660" t="s">
        <v>350</v>
      </c>
      <c r="Y660">
        <v>100</v>
      </c>
      <c r="AA660">
        <v>99</v>
      </c>
      <c r="AC660" s="3">
        <v>100.5</v>
      </c>
      <c r="AE660" s="3">
        <v>98.5</v>
      </c>
      <c r="AI660">
        <v>98.5</v>
      </c>
      <c r="AJ660" t="s">
        <v>379</v>
      </c>
      <c r="AK660" s="3"/>
      <c r="AV660" t="s">
        <v>370</v>
      </c>
      <c r="AX660" t="s">
        <v>370</v>
      </c>
      <c r="AZ660" t="s">
        <v>370</v>
      </c>
      <c r="BB660" t="s">
        <v>370</v>
      </c>
      <c r="BO660" t="s">
        <v>367</v>
      </c>
      <c r="BR660">
        <v>97433</v>
      </c>
      <c r="BS660" t="s">
        <v>1251</v>
      </c>
      <c r="BT660">
        <v>4</v>
      </c>
      <c r="BU660">
        <v>11</v>
      </c>
      <c r="BV660">
        <v>6</v>
      </c>
      <c r="BX660">
        <v>101</v>
      </c>
      <c r="BZ660">
        <v>97.5</v>
      </c>
      <c r="CM660">
        <v>1911</v>
      </c>
    </row>
    <row r="661" spans="1:91" x14ac:dyDescent="0.3">
      <c r="A661" t="s">
        <v>1254</v>
      </c>
      <c r="B661">
        <v>42437</v>
      </c>
      <c r="D661">
        <v>12</v>
      </c>
      <c r="I661">
        <v>70595</v>
      </c>
      <c r="U661">
        <v>10</v>
      </c>
      <c r="Y661">
        <v>10</v>
      </c>
      <c r="AA661">
        <v>12.62</v>
      </c>
      <c r="AC661" s="3">
        <v>13.12</v>
      </c>
      <c r="AE661" s="3">
        <v>12.81</v>
      </c>
      <c r="AI661">
        <v>12.87</v>
      </c>
      <c r="AK661" s="3"/>
      <c r="AX661" t="s">
        <v>823</v>
      </c>
      <c r="BB661" t="s">
        <v>823</v>
      </c>
      <c r="BG661">
        <v>9</v>
      </c>
      <c r="BH661">
        <v>6</v>
      </c>
      <c r="BI661">
        <v>8</v>
      </c>
      <c r="BJ661">
        <v>6</v>
      </c>
      <c r="BK661" s="4">
        <v>3713</v>
      </c>
      <c r="BL661" s="4">
        <v>3866</v>
      </c>
      <c r="BM661" s="4">
        <v>4078</v>
      </c>
      <c r="BN661" s="4">
        <v>4231</v>
      </c>
      <c r="BR661">
        <v>402314</v>
      </c>
      <c r="BS661" t="s">
        <v>1255</v>
      </c>
      <c r="BT661">
        <v>5</v>
      </c>
      <c r="BU661">
        <v>8</v>
      </c>
      <c r="BV661">
        <v>9</v>
      </c>
      <c r="BX661">
        <v>13.12</v>
      </c>
      <c r="BZ661">
        <v>11.25</v>
      </c>
      <c r="CK661" t="s">
        <v>360</v>
      </c>
      <c r="CM661">
        <v>1911</v>
      </c>
    </row>
    <row r="662" spans="1:91" x14ac:dyDescent="0.3">
      <c r="A662" t="s">
        <v>1254</v>
      </c>
      <c r="B662">
        <v>42438</v>
      </c>
      <c r="C662" t="s">
        <v>844</v>
      </c>
      <c r="D662">
        <v>12</v>
      </c>
      <c r="I662">
        <v>40000</v>
      </c>
      <c r="U662">
        <v>10</v>
      </c>
      <c r="Y662">
        <v>10</v>
      </c>
      <c r="AA662">
        <v>12.5</v>
      </c>
      <c r="AC662" s="3">
        <v>12.68</v>
      </c>
      <c r="AE662" s="3">
        <v>12.12</v>
      </c>
      <c r="AI662">
        <v>12.5</v>
      </c>
      <c r="AK662" s="3"/>
      <c r="AV662" t="s">
        <v>1256</v>
      </c>
      <c r="AX662" t="s">
        <v>1256</v>
      </c>
      <c r="AZ662" t="s">
        <v>1256</v>
      </c>
      <c r="BB662" t="s">
        <v>1256</v>
      </c>
      <c r="BO662" t="s">
        <v>367</v>
      </c>
      <c r="BR662">
        <v>402314</v>
      </c>
      <c r="BS662" t="s">
        <v>1255</v>
      </c>
      <c r="BT662">
        <v>4</v>
      </c>
      <c r="BU662">
        <v>16</v>
      </c>
      <c r="BV662">
        <v>0</v>
      </c>
      <c r="BX662">
        <v>13</v>
      </c>
      <c r="BZ662">
        <v>11.25</v>
      </c>
      <c r="CM662">
        <v>1911</v>
      </c>
    </row>
    <row r="663" spans="1:91" x14ac:dyDescent="0.3">
      <c r="A663" t="s">
        <v>1254</v>
      </c>
      <c r="B663">
        <v>42439</v>
      </c>
      <c r="C663" t="s">
        <v>1257</v>
      </c>
      <c r="D663">
        <v>12</v>
      </c>
      <c r="I663">
        <v>400000</v>
      </c>
      <c r="J663" t="s">
        <v>800</v>
      </c>
      <c r="V663" t="s">
        <v>350</v>
      </c>
      <c r="Y663">
        <v>100</v>
      </c>
      <c r="AA663">
        <v>121</v>
      </c>
      <c r="AC663" s="3">
        <v>121</v>
      </c>
      <c r="AE663" s="3">
        <v>119</v>
      </c>
      <c r="AI663">
        <v>119</v>
      </c>
      <c r="AJ663" t="s">
        <v>379</v>
      </c>
      <c r="AK663" s="3"/>
      <c r="AV663" t="s">
        <v>370</v>
      </c>
      <c r="AX663" t="s">
        <v>370</v>
      </c>
      <c r="AZ663" t="s">
        <v>370</v>
      </c>
      <c r="BB663" t="s">
        <v>370</v>
      </c>
      <c r="BO663" t="s">
        <v>367</v>
      </c>
      <c r="BR663">
        <v>402314</v>
      </c>
      <c r="BS663" t="s">
        <v>1255</v>
      </c>
      <c r="BT663">
        <v>4</v>
      </c>
      <c r="BU663">
        <v>4</v>
      </c>
      <c r="BV663">
        <v>0</v>
      </c>
      <c r="BX663">
        <v>123</v>
      </c>
      <c r="BZ663">
        <v>119</v>
      </c>
      <c r="CM663">
        <v>1911</v>
      </c>
    </row>
    <row r="664" spans="1:91" x14ac:dyDescent="0.3">
      <c r="A664" t="s">
        <v>1254</v>
      </c>
      <c r="B664">
        <v>42441</v>
      </c>
      <c r="C664" t="s">
        <v>1258</v>
      </c>
      <c r="D664">
        <v>12</v>
      </c>
      <c r="I664">
        <v>300000</v>
      </c>
      <c r="J664" t="s">
        <v>800</v>
      </c>
      <c r="V664" t="s">
        <v>350</v>
      </c>
      <c r="Y664">
        <v>100</v>
      </c>
      <c r="AA664">
        <v>102.5</v>
      </c>
      <c r="AC664" s="3">
        <v>103.75</v>
      </c>
      <c r="AE664" s="3">
        <v>101.5</v>
      </c>
      <c r="AI664">
        <v>101.5</v>
      </c>
      <c r="AJ664" t="s">
        <v>379</v>
      </c>
      <c r="AK664" s="3"/>
      <c r="AV664" t="s">
        <v>370</v>
      </c>
      <c r="AX664" t="s">
        <v>370</v>
      </c>
      <c r="AZ664" t="s">
        <v>370</v>
      </c>
      <c r="BB664" t="s">
        <v>370</v>
      </c>
      <c r="BO664" t="s">
        <v>367</v>
      </c>
      <c r="BR664">
        <v>402314</v>
      </c>
      <c r="BS664" t="s">
        <v>1255</v>
      </c>
      <c r="BT664">
        <v>4</v>
      </c>
      <c r="BU664">
        <v>8</v>
      </c>
      <c r="BV664">
        <v>9</v>
      </c>
      <c r="BX664">
        <v>104</v>
      </c>
      <c r="BZ664">
        <v>99.5</v>
      </c>
      <c r="CM664">
        <v>1911</v>
      </c>
    </row>
    <row r="665" spans="1:91" x14ac:dyDescent="0.3">
      <c r="A665" t="s">
        <v>1259</v>
      </c>
      <c r="B665">
        <v>42774</v>
      </c>
      <c r="D665">
        <v>12</v>
      </c>
      <c r="I665">
        <v>473407</v>
      </c>
      <c r="U665">
        <v>1</v>
      </c>
      <c r="Y665">
        <v>1</v>
      </c>
      <c r="AA665">
        <v>0.93</v>
      </c>
      <c r="AB665" t="s">
        <v>379</v>
      </c>
      <c r="AC665" s="3">
        <v>0.93</v>
      </c>
      <c r="AE665" s="3">
        <v>0.93</v>
      </c>
      <c r="AI665">
        <v>0.93</v>
      </c>
      <c r="AK665" s="3"/>
      <c r="AV665" t="s">
        <v>815</v>
      </c>
      <c r="AX665" t="s">
        <v>815</v>
      </c>
      <c r="AZ665" t="s">
        <v>815</v>
      </c>
      <c r="BH665">
        <v>2</v>
      </c>
      <c r="BI665">
        <v>3</v>
      </c>
      <c r="BJ665">
        <v>4</v>
      </c>
      <c r="BK665" t="s">
        <v>1260</v>
      </c>
      <c r="BL665" t="s">
        <v>1261</v>
      </c>
      <c r="BM665" t="s">
        <v>1262</v>
      </c>
      <c r="BR665">
        <v>9220</v>
      </c>
      <c r="BT665">
        <v>4</v>
      </c>
      <c r="BU665">
        <v>5</v>
      </c>
      <c r="BV665">
        <v>4</v>
      </c>
      <c r="BX665">
        <v>0.93</v>
      </c>
      <c r="BZ665">
        <v>0.78</v>
      </c>
      <c r="CM665">
        <v>1911</v>
      </c>
    </row>
    <row r="666" spans="1:91" x14ac:dyDescent="0.3">
      <c r="A666" t="s">
        <v>1259</v>
      </c>
      <c r="B666">
        <v>42775</v>
      </c>
      <c r="C666" t="s">
        <v>1263</v>
      </c>
      <c r="D666">
        <v>12</v>
      </c>
      <c r="I666">
        <v>500000</v>
      </c>
      <c r="J666" t="s">
        <v>800</v>
      </c>
      <c r="V666" t="s">
        <v>350</v>
      </c>
      <c r="Y666">
        <v>100</v>
      </c>
      <c r="AA666">
        <v>94.5</v>
      </c>
      <c r="AC666" s="3">
        <v>97</v>
      </c>
      <c r="AE666" s="3">
        <v>94.5</v>
      </c>
      <c r="AI666">
        <v>95.5</v>
      </c>
      <c r="AK666" s="3"/>
      <c r="AV666" t="s">
        <v>373</v>
      </c>
      <c r="AX666" t="s">
        <v>373</v>
      </c>
      <c r="AZ666" t="s">
        <v>373</v>
      </c>
      <c r="BB666" t="s">
        <v>373</v>
      </c>
      <c r="BO666" t="s">
        <v>367</v>
      </c>
      <c r="BT666">
        <v>5</v>
      </c>
      <c r="BU666">
        <v>6</v>
      </c>
      <c r="BV666">
        <v>0</v>
      </c>
      <c r="BX666">
        <v>97</v>
      </c>
      <c r="BZ666">
        <v>90.75</v>
      </c>
      <c r="CM666">
        <v>1911</v>
      </c>
    </row>
    <row r="667" spans="1:91" x14ac:dyDescent="0.3">
      <c r="A667" t="s">
        <v>1264</v>
      </c>
      <c r="B667">
        <v>42839</v>
      </c>
      <c r="D667">
        <v>12</v>
      </c>
      <c r="I667">
        <v>50000</v>
      </c>
      <c r="U667">
        <v>5</v>
      </c>
      <c r="Y667">
        <v>5</v>
      </c>
      <c r="AA667">
        <v>0.68</v>
      </c>
      <c r="AC667" s="3">
        <v>0.68</v>
      </c>
      <c r="AE667" s="3">
        <v>0.68</v>
      </c>
      <c r="AI667">
        <v>0.68</v>
      </c>
      <c r="AK667" s="3"/>
      <c r="BB667" t="s">
        <v>810</v>
      </c>
      <c r="BG667">
        <v>4</v>
      </c>
      <c r="BH667">
        <v>4</v>
      </c>
      <c r="BI667">
        <v>2</v>
      </c>
      <c r="BK667" t="s">
        <v>1265</v>
      </c>
      <c r="BL667" t="s">
        <v>1266</v>
      </c>
      <c r="BM667" t="s">
        <v>1224</v>
      </c>
      <c r="BR667">
        <v>25948</v>
      </c>
      <c r="BS667" t="s">
        <v>1267</v>
      </c>
      <c r="BW667" t="s">
        <v>802</v>
      </c>
      <c r="BX667">
        <v>1.75</v>
      </c>
      <c r="BZ667">
        <v>0.75</v>
      </c>
      <c r="CK667" t="s">
        <v>1268</v>
      </c>
      <c r="CM667">
        <v>1911</v>
      </c>
    </row>
    <row r="668" spans="1:91" x14ac:dyDescent="0.3">
      <c r="A668" t="s">
        <v>1264</v>
      </c>
      <c r="B668">
        <v>42840</v>
      </c>
      <c r="C668" t="s">
        <v>1269</v>
      </c>
      <c r="D668">
        <v>12</v>
      </c>
      <c r="I668">
        <v>50000</v>
      </c>
      <c r="U668">
        <v>5</v>
      </c>
      <c r="Y668">
        <v>5</v>
      </c>
      <c r="AA668">
        <v>2.75</v>
      </c>
      <c r="AC668" s="3">
        <v>2.75</v>
      </c>
      <c r="AE668" s="3">
        <v>2</v>
      </c>
      <c r="AI668">
        <v>2</v>
      </c>
      <c r="AK668" s="3"/>
      <c r="BG668">
        <v>5</v>
      </c>
      <c r="BH668">
        <v>5</v>
      </c>
      <c r="BI668">
        <v>5</v>
      </c>
      <c r="BJ668">
        <v>2.5</v>
      </c>
      <c r="BK668" s="4">
        <v>3562</v>
      </c>
      <c r="BL668" s="4">
        <v>3744</v>
      </c>
      <c r="BM668" s="4">
        <v>3927</v>
      </c>
      <c r="BN668" s="4">
        <v>4109</v>
      </c>
      <c r="BR668">
        <v>25948</v>
      </c>
      <c r="BS668" t="s">
        <v>1267</v>
      </c>
      <c r="BT668">
        <v>9</v>
      </c>
      <c r="BU668">
        <v>7</v>
      </c>
      <c r="BV668">
        <v>6</v>
      </c>
      <c r="BX668">
        <v>3.62</v>
      </c>
      <c r="BZ668">
        <v>2</v>
      </c>
      <c r="CM668">
        <v>1911</v>
      </c>
    </row>
    <row r="669" spans="1:91" x14ac:dyDescent="0.3">
      <c r="A669" t="s">
        <v>1264</v>
      </c>
      <c r="B669">
        <v>42841</v>
      </c>
      <c r="C669" t="s">
        <v>1270</v>
      </c>
      <c r="D669">
        <v>12</v>
      </c>
      <c r="I669">
        <v>250000</v>
      </c>
      <c r="J669" t="s">
        <v>800</v>
      </c>
      <c r="V669" t="s">
        <v>350</v>
      </c>
      <c r="Y669">
        <v>100</v>
      </c>
      <c r="AA669">
        <v>90.5</v>
      </c>
      <c r="AC669" s="3">
        <v>90.5</v>
      </c>
      <c r="AE669" s="3">
        <v>88</v>
      </c>
      <c r="AI669">
        <v>88</v>
      </c>
      <c r="AJ669" t="s">
        <v>379</v>
      </c>
      <c r="AK669" s="3"/>
      <c r="AV669" t="s">
        <v>370</v>
      </c>
      <c r="AX669" t="s">
        <v>370</v>
      </c>
      <c r="AZ669" t="s">
        <v>370</v>
      </c>
      <c r="BB669" t="s">
        <v>370</v>
      </c>
      <c r="BO669" t="s">
        <v>367</v>
      </c>
      <c r="BR669">
        <v>25948</v>
      </c>
      <c r="BS669" t="s">
        <v>1267</v>
      </c>
      <c r="BT669">
        <v>5</v>
      </c>
      <c r="BU669">
        <v>13</v>
      </c>
      <c r="BV669">
        <v>9</v>
      </c>
      <c r="BX669">
        <v>93</v>
      </c>
      <c r="BZ669">
        <v>88</v>
      </c>
      <c r="CM669">
        <v>1911</v>
      </c>
    </row>
    <row r="670" spans="1:91" x14ac:dyDescent="0.3">
      <c r="A670" t="s">
        <v>1271</v>
      </c>
      <c r="B670">
        <v>42829</v>
      </c>
      <c r="D670">
        <v>12</v>
      </c>
      <c r="I670">
        <v>40000</v>
      </c>
      <c r="U670">
        <v>10</v>
      </c>
      <c r="Y670">
        <v>10</v>
      </c>
      <c r="AA670">
        <v>8.8699999999999992</v>
      </c>
      <c r="AC670" s="3">
        <v>9.31</v>
      </c>
      <c r="AE670" s="3">
        <v>8.84</v>
      </c>
      <c r="AI670">
        <v>9.1199999999999992</v>
      </c>
      <c r="AK670" s="3"/>
      <c r="AX670" t="s">
        <v>823</v>
      </c>
      <c r="BB670" t="s">
        <v>823</v>
      </c>
      <c r="BG670">
        <v>6</v>
      </c>
      <c r="BH670">
        <v>4</v>
      </c>
      <c r="BI670">
        <v>6</v>
      </c>
      <c r="BJ670">
        <v>4</v>
      </c>
      <c r="BK670" s="4">
        <v>3713</v>
      </c>
      <c r="BL670" s="4">
        <v>3866</v>
      </c>
      <c r="BM670" s="4">
        <v>4078</v>
      </c>
      <c r="BN670" s="4">
        <v>4231</v>
      </c>
      <c r="BR670">
        <v>63538</v>
      </c>
      <c r="BS670" t="s">
        <v>1272</v>
      </c>
      <c r="BT670">
        <v>5</v>
      </c>
      <c r="BU670">
        <v>9</v>
      </c>
      <c r="BV670">
        <v>6</v>
      </c>
      <c r="BX670">
        <v>9.8699999999999992</v>
      </c>
      <c r="BZ670">
        <v>7.25</v>
      </c>
      <c r="CK670" t="s">
        <v>360</v>
      </c>
      <c r="CM670">
        <v>1911</v>
      </c>
    </row>
    <row r="671" spans="1:91" x14ac:dyDescent="0.3">
      <c r="A671" t="s">
        <v>1273</v>
      </c>
      <c r="B671">
        <v>42828</v>
      </c>
      <c r="D671">
        <v>12</v>
      </c>
      <c r="I671">
        <v>55000</v>
      </c>
      <c r="U671">
        <v>10</v>
      </c>
      <c r="Y671">
        <v>10</v>
      </c>
      <c r="AA671">
        <v>11.25</v>
      </c>
      <c r="AC671" s="3">
        <v>11.37</v>
      </c>
      <c r="AE671" s="3">
        <v>11.12</v>
      </c>
      <c r="AI671">
        <v>11.25</v>
      </c>
      <c r="AK671" s="3"/>
      <c r="AV671" t="s">
        <v>1256</v>
      </c>
      <c r="AX671" t="s">
        <v>1256</v>
      </c>
      <c r="AZ671" t="s">
        <v>1256</v>
      </c>
      <c r="BB671" t="s">
        <v>1256</v>
      </c>
      <c r="BO671" t="s">
        <v>367</v>
      </c>
      <c r="BR671">
        <v>63538</v>
      </c>
      <c r="BS671" t="s">
        <v>1272</v>
      </c>
      <c r="BT671">
        <v>5</v>
      </c>
      <c r="BU671">
        <v>6</v>
      </c>
      <c r="BV671">
        <v>9</v>
      </c>
      <c r="BX671">
        <v>11.68</v>
      </c>
      <c r="BZ671">
        <v>10.75</v>
      </c>
      <c r="CK671" t="s">
        <v>360</v>
      </c>
      <c r="CM671">
        <v>1911</v>
      </c>
    </row>
    <row r="672" spans="1:91" x14ac:dyDescent="0.3">
      <c r="A672" t="s">
        <v>1273</v>
      </c>
      <c r="B672">
        <v>42830</v>
      </c>
      <c r="C672" t="s">
        <v>1248</v>
      </c>
      <c r="D672">
        <v>12</v>
      </c>
      <c r="I672">
        <v>489495</v>
      </c>
      <c r="J672" t="s">
        <v>800</v>
      </c>
      <c r="V672" t="s">
        <v>350</v>
      </c>
      <c r="Y672">
        <v>100</v>
      </c>
      <c r="AA672">
        <v>109</v>
      </c>
      <c r="AC672" s="3">
        <v>109.75</v>
      </c>
      <c r="AE672" s="3">
        <v>107</v>
      </c>
      <c r="AI672">
        <v>107</v>
      </c>
      <c r="AJ672" t="s">
        <v>379</v>
      </c>
      <c r="AK672" s="3"/>
      <c r="AV672" t="s">
        <v>370</v>
      </c>
      <c r="AX672" t="s">
        <v>370</v>
      </c>
      <c r="AZ672" t="s">
        <v>370</v>
      </c>
      <c r="BB672" t="s">
        <v>370</v>
      </c>
      <c r="BO672" t="s">
        <v>367</v>
      </c>
      <c r="BR672">
        <v>63538</v>
      </c>
      <c r="BS672" t="s">
        <v>1272</v>
      </c>
      <c r="BT672">
        <v>4</v>
      </c>
      <c r="BU672">
        <v>4</v>
      </c>
      <c r="BV672">
        <v>0</v>
      </c>
      <c r="BX672">
        <v>112</v>
      </c>
      <c r="BZ672">
        <v>103.5</v>
      </c>
      <c r="CM672">
        <v>1911</v>
      </c>
    </row>
    <row r="673" spans="1:91" x14ac:dyDescent="0.3">
      <c r="A673" t="s">
        <v>1273</v>
      </c>
      <c r="B673">
        <v>42831</v>
      </c>
      <c r="C673" t="s">
        <v>1274</v>
      </c>
      <c r="D673">
        <v>12</v>
      </c>
      <c r="I673">
        <v>450000</v>
      </c>
      <c r="J673" t="s">
        <v>800</v>
      </c>
      <c r="V673" t="s">
        <v>350</v>
      </c>
      <c r="Y673">
        <v>100</v>
      </c>
      <c r="AA673">
        <v>100.5</v>
      </c>
      <c r="AC673" s="3">
        <v>100.5</v>
      </c>
      <c r="AE673" s="3">
        <v>100.5</v>
      </c>
      <c r="AI673">
        <v>100.5</v>
      </c>
      <c r="AK673" s="3"/>
      <c r="AV673" t="s">
        <v>366</v>
      </c>
      <c r="AX673" t="s">
        <v>366</v>
      </c>
      <c r="AZ673" t="s">
        <v>366</v>
      </c>
      <c r="BB673" t="s">
        <v>366</v>
      </c>
      <c r="BO673" t="s">
        <v>367</v>
      </c>
      <c r="BR673">
        <v>63538</v>
      </c>
      <c r="BS673" t="s">
        <v>1272</v>
      </c>
      <c r="BT673">
        <v>4</v>
      </c>
      <c r="BU673">
        <v>8</v>
      </c>
      <c r="BV673">
        <v>9</v>
      </c>
      <c r="BX673">
        <v>102.75</v>
      </c>
      <c r="BZ673">
        <v>99.5</v>
      </c>
      <c r="CM673">
        <v>1911</v>
      </c>
    </row>
    <row r="674" spans="1:91" x14ac:dyDescent="0.3">
      <c r="A674" t="s">
        <v>1275</v>
      </c>
      <c r="B674">
        <v>42920</v>
      </c>
      <c r="D674">
        <v>12</v>
      </c>
      <c r="I674">
        <v>85000</v>
      </c>
      <c r="U674">
        <v>3</v>
      </c>
      <c r="Y674">
        <v>3</v>
      </c>
      <c r="AA674">
        <v>0.25</v>
      </c>
      <c r="AC674" s="3">
        <v>0.25</v>
      </c>
      <c r="AE674" s="3">
        <v>0.25</v>
      </c>
      <c r="AI674">
        <v>0.25</v>
      </c>
      <c r="AK674" s="3"/>
      <c r="BB674" t="s">
        <v>810</v>
      </c>
      <c r="BG674">
        <v>2.5</v>
      </c>
      <c r="BH674">
        <v>5</v>
      </c>
      <c r="BI674">
        <v>5</v>
      </c>
      <c r="BK674" s="4">
        <v>2374</v>
      </c>
      <c r="BL674" s="4">
        <v>2739</v>
      </c>
      <c r="BM674" s="4">
        <v>3105</v>
      </c>
      <c r="BR674">
        <v>7376</v>
      </c>
      <c r="BS674" t="s">
        <v>1276</v>
      </c>
      <c r="BW674" t="s">
        <v>802</v>
      </c>
      <c r="BX674">
        <v>0.31</v>
      </c>
      <c r="BZ674">
        <v>0.25</v>
      </c>
      <c r="CK674" t="s">
        <v>360</v>
      </c>
      <c r="CM674">
        <v>1911</v>
      </c>
    </row>
    <row r="675" spans="1:91" x14ac:dyDescent="0.3">
      <c r="A675" t="s">
        <v>1275</v>
      </c>
      <c r="B675">
        <v>42921</v>
      </c>
      <c r="C675" t="s">
        <v>1277</v>
      </c>
      <c r="D675">
        <v>12</v>
      </c>
      <c r="I675">
        <v>100000</v>
      </c>
      <c r="J675" t="s">
        <v>800</v>
      </c>
      <c r="U675">
        <v>100</v>
      </c>
      <c r="Y675">
        <v>100</v>
      </c>
      <c r="AA675">
        <v>65</v>
      </c>
      <c r="AC675" s="3">
        <v>65</v>
      </c>
      <c r="AE675" s="3">
        <v>65</v>
      </c>
      <c r="AI675">
        <v>65</v>
      </c>
      <c r="AK675" s="3"/>
      <c r="BG675">
        <v>5</v>
      </c>
      <c r="BH675">
        <v>5</v>
      </c>
      <c r="BI675">
        <v>5</v>
      </c>
      <c r="BJ675">
        <v>5</v>
      </c>
      <c r="BK675" s="4">
        <v>3654</v>
      </c>
      <c r="BL675" s="4">
        <v>3835</v>
      </c>
      <c r="BM675" s="4">
        <v>4019</v>
      </c>
      <c r="BN675" s="4">
        <v>4200</v>
      </c>
      <c r="BR675">
        <v>7376</v>
      </c>
      <c r="BS675" t="s">
        <v>1276</v>
      </c>
      <c r="BT675">
        <v>7</v>
      </c>
      <c r="BU675">
        <v>17</v>
      </c>
      <c r="BV675">
        <v>6</v>
      </c>
      <c r="BX675">
        <v>82.5</v>
      </c>
      <c r="BZ675">
        <v>55.25</v>
      </c>
      <c r="CM675">
        <v>1911</v>
      </c>
    </row>
    <row r="676" spans="1:91" x14ac:dyDescent="0.3">
      <c r="A676" t="s">
        <v>1278</v>
      </c>
      <c r="B676">
        <v>43582</v>
      </c>
      <c r="D676">
        <v>12</v>
      </c>
      <c r="I676">
        <v>80000</v>
      </c>
      <c r="U676">
        <v>5</v>
      </c>
      <c r="Y676">
        <v>5</v>
      </c>
      <c r="AA676">
        <v>0.5</v>
      </c>
      <c r="AC676" s="3">
        <v>0.5</v>
      </c>
      <c r="AE676" s="3">
        <v>0.5</v>
      </c>
      <c r="AI676">
        <v>0.5</v>
      </c>
      <c r="AK676" s="3"/>
      <c r="AV676" t="s">
        <v>385</v>
      </c>
      <c r="AX676" t="s">
        <v>823</v>
      </c>
      <c r="BB676" t="s">
        <v>810</v>
      </c>
      <c r="BH676">
        <v>5</v>
      </c>
      <c r="BI676">
        <v>3</v>
      </c>
      <c r="BL676" s="4">
        <v>2193</v>
      </c>
      <c r="BM676" s="4">
        <v>2374</v>
      </c>
      <c r="BR676">
        <v>136716</v>
      </c>
      <c r="BS676" t="s">
        <v>1279</v>
      </c>
      <c r="BW676" t="s">
        <v>802</v>
      </c>
      <c r="BX676">
        <v>1</v>
      </c>
      <c r="BZ676">
        <v>0.34</v>
      </c>
      <c r="CK676" t="s">
        <v>360</v>
      </c>
      <c r="CM676">
        <v>1911</v>
      </c>
    </row>
    <row r="677" spans="1:91" x14ac:dyDescent="0.3">
      <c r="A677" t="s">
        <v>1278</v>
      </c>
      <c r="B677">
        <v>43583</v>
      </c>
      <c r="C677" t="s">
        <v>844</v>
      </c>
      <c r="D677">
        <v>12</v>
      </c>
      <c r="I677">
        <v>80000</v>
      </c>
      <c r="U677">
        <v>5</v>
      </c>
      <c r="Y677">
        <v>5</v>
      </c>
      <c r="AA677">
        <v>2.25</v>
      </c>
      <c r="AC677" s="3">
        <v>2.25</v>
      </c>
      <c r="AE677" s="3">
        <v>2.25</v>
      </c>
      <c r="AI677">
        <v>2.25</v>
      </c>
      <c r="AK677" s="3"/>
      <c r="AV677" t="s">
        <v>385</v>
      </c>
      <c r="BB677" t="s">
        <v>810</v>
      </c>
      <c r="BH677">
        <v>6</v>
      </c>
      <c r="BI677">
        <v>6</v>
      </c>
      <c r="BL677" s="4">
        <v>2313</v>
      </c>
      <c r="BM677" s="4">
        <v>2497</v>
      </c>
      <c r="BR677">
        <v>136716</v>
      </c>
      <c r="BS677" t="s">
        <v>1279</v>
      </c>
      <c r="BW677" t="s">
        <v>802</v>
      </c>
      <c r="BX677">
        <v>3.81</v>
      </c>
      <c r="BZ677">
        <v>1.5</v>
      </c>
      <c r="CM677">
        <v>1911</v>
      </c>
    </row>
    <row r="678" spans="1:91" x14ac:dyDescent="0.3">
      <c r="A678" t="s">
        <v>1278</v>
      </c>
      <c r="B678">
        <v>43585</v>
      </c>
      <c r="C678" t="s">
        <v>1248</v>
      </c>
      <c r="D678">
        <v>12</v>
      </c>
      <c r="I678">
        <v>430500</v>
      </c>
      <c r="J678" t="s">
        <v>800</v>
      </c>
      <c r="V678" t="s">
        <v>350</v>
      </c>
      <c r="Y678">
        <v>100</v>
      </c>
      <c r="AA678">
        <v>83.5</v>
      </c>
      <c r="AC678" s="3">
        <v>85.5</v>
      </c>
      <c r="AE678" s="3">
        <v>83.5</v>
      </c>
      <c r="AI678">
        <v>84.5</v>
      </c>
      <c r="AK678" s="3"/>
      <c r="AV678" t="s">
        <v>370</v>
      </c>
      <c r="AX678" t="s">
        <v>370</v>
      </c>
      <c r="AZ678" t="s">
        <v>370</v>
      </c>
      <c r="BB678" t="s">
        <v>370</v>
      </c>
      <c r="BO678" t="s">
        <v>367</v>
      </c>
      <c r="BR678">
        <v>136716</v>
      </c>
      <c r="BS678" t="s">
        <v>1279</v>
      </c>
      <c r="BT678">
        <v>5</v>
      </c>
      <c r="BU678">
        <v>9</v>
      </c>
      <c r="BV678">
        <v>0</v>
      </c>
      <c r="BX678">
        <v>88</v>
      </c>
      <c r="BZ678">
        <v>73.5</v>
      </c>
      <c r="CM678">
        <v>1911</v>
      </c>
    </row>
    <row r="679" spans="1:91" x14ac:dyDescent="0.3">
      <c r="A679" t="s">
        <v>1280</v>
      </c>
      <c r="B679">
        <v>43624</v>
      </c>
      <c r="D679">
        <v>12</v>
      </c>
      <c r="I679">
        <v>293740</v>
      </c>
      <c r="J679" t="s">
        <v>800</v>
      </c>
      <c r="V679" t="s">
        <v>385</v>
      </c>
      <c r="Z679" t="s">
        <v>385</v>
      </c>
      <c r="AA679">
        <v>95</v>
      </c>
      <c r="AC679" s="3">
        <v>95</v>
      </c>
      <c r="AE679" s="3">
        <v>92</v>
      </c>
      <c r="AI679">
        <v>92</v>
      </c>
      <c r="AK679" s="3"/>
      <c r="AV679" t="s">
        <v>421</v>
      </c>
      <c r="AX679" t="s">
        <v>421</v>
      </c>
      <c r="AZ679" t="s">
        <v>421</v>
      </c>
      <c r="BB679" t="s">
        <v>421</v>
      </c>
      <c r="BO679" t="s">
        <v>367</v>
      </c>
      <c r="BS679" t="s">
        <v>385</v>
      </c>
      <c r="BT679">
        <v>6</v>
      </c>
      <c r="BU679">
        <v>10</v>
      </c>
      <c r="BV679">
        <v>6</v>
      </c>
      <c r="BX679">
        <v>98.5</v>
      </c>
      <c r="BZ679">
        <v>92</v>
      </c>
      <c r="CK679" t="s">
        <v>1281</v>
      </c>
      <c r="CM679">
        <v>1911</v>
      </c>
    </row>
    <row r="680" spans="1:91" x14ac:dyDescent="0.3">
      <c r="A680" t="s">
        <v>1282</v>
      </c>
      <c r="B680">
        <v>43833</v>
      </c>
      <c r="D680">
        <v>12</v>
      </c>
      <c r="I680">
        <v>10000</v>
      </c>
      <c r="U680">
        <v>5</v>
      </c>
      <c r="Y680">
        <v>5</v>
      </c>
      <c r="AA680">
        <v>4.75</v>
      </c>
      <c r="AC680" s="3">
        <v>4.75</v>
      </c>
      <c r="AE680" s="3">
        <v>4.75</v>
      </c>
      <c r="AI680">
        <v>4.75</v>
      </c>
      <c r="AK680" s="3"/>
      <c r="AX680" t="s">
        <v>823</v>
      </c>
      <c r="BB680" t="s">
        <v>823</v>
      </c>
      <c r="BG680">
        <v>7</v>
      </c>
      <c r="BH680">
        <v>4</v>
      </c>
      <c r="BI680">
        <v>8</v>
      </c>
      <c r="BJ680">
        <v>6</v>
      </c>
      <c r="BK680" s="4">
        <v>3744</v>
      </c>
      <c r="BL680" s="4">
        <v>3927</v>
      </c>
      <c r="BM680" s="4">
        <v>4109</v>
      </c>
      <c r="BN680" s="4">
        <v>4292</v>
      </c>
      <c r="BR680">
        <v>23202</v>
      </c>
      <c r="BS680" t="s">
        <v>1245</v>
      </c>
      <c r="BT680">
        <v>7</v>
      </c>
      <c r="BU680">
        <v>7</v>
      </c>
      <c r="BV680">
        <v>3</v>
      </c>
      <c r="BX680">
        <v>4.75</v>
      </c>
      <c r="BZ680">
        <v>4.37</v>
      </c>
      <c r="CK680" t="s">
        <v>360</v>
      </c>
      <c r="CM680">
        <v>1911</v>
      </c>
    </row>
    <row r="681" spans="1:91" x14ac:dyDescent="0.3">
      <c r="A681" t="s">
        <v>1283</v>
      </c>
      <c r="B681">
        <v>44712</v>
      </c>
      <c r="D681">
        <v>12</v>
      </c>
      <c r="I681">
        <v>15000</v>
      </c>
      <c r="U681">
        <v>5</v>
      </c>
      <c r="Y681">
        <v>5</v>
      </c>
      <c r="AA681">
        <v>7</v>
      </c>
      <c r="AC681" s="3">
        <v>7</v>
      </c>
      <c r="AE681" s="3">
        <v>7</v>
      </c>
      <c r="AI681">
        <v>7</v>
      </c>
      <c r="AK681" s="3"/>
      <c r="AX681" t="s">
        <v>823</v>
      </c>
      <c r="BB681" t="s">
        <v>823</v>
      </c>
      <c r="BG681">
        <v>9</v>
      </c>
      <c r="BH681">
        <v>8</v>
      </c>
      <c r="BI681">
        <v>10</v>
      </c>
      <c r="BJ681">
        <v>8</v>
      </c>
      <c r="BK681" s="4">
        <v>3744</v>
      </c>
      <c r="BL681" s="4">
        <v>3927</v>
      </c>
      <c r="BM681" s="4">
        <v>4109</v>
      </c>
      <c r="BN681" s="4">
        <v>4292</v>
      </c>
      <c r="BR681">
        <v>63617</v>
      </c>
      <c r="BS681" t="s">
        <v>1245</v>
      </c>
      <c r="BT681">
        <v>6</v>
      </c>
      <c r="BU681">
        <v>8</v>
      </c>
      <c r="BV681">
        <v>6</v>
      </c>
      <c r="BX681">
        <v>7.12</v>
      </c>
      <c r="BZ681">
        <v>6.75</v>
      </c>
      <c r="CK681" t="s">
        <v>360</v>
      </c>
      <c r="CM681">
        <v>1911</v>
      </c>
    </row>
    <row r="682" spans="1:91" x14ac:dyDescent="0.3">
      <c r="A682" t="s">
        <v>1284</v>
      </c>
      <c r="B682">
        <v>44906</v>
      </c>
      <c r="D682">
        <v>12</v>
      </c>
      <c r="I682">
        <v>26007</v>
      </c>
      <c r="U682">
        <v>5</v>
      </c>
      <c r="Y682">
        <v>5</v>
      </c>
      <c r="AA682">
        <v>1.25</v>
      </c>
      <c r="AC682" s="3">
        <v>1.25</v>
      </c>
      <c r="AE682" s="3">
        <v>1.25</v>
      </c>
      <c r="AI682">
        <v>1.25</v>
      </c>
      <c r="AK682" s="3"/>
      <c r="AV682" t="s">
        <v>385</v>
      </c>
      <c r="AX682" t="s">
        <v>385</v>
      </c>
      <c r="AZ682" t="s">
        <v>385</v>
      </c>
      <c r="BB682" t="s">
        <v>385</v>
      </c>
      <c r="BS682" t="s">
        <v>385</v>
      </c>
      <c r="BW682" t="s">
        <v>802</v>
      </c>
      <c r="BX682">
        <v>1.37</v>
      </c>
      <c r="BZ682">
        <v>1.25</v>
      </c>
      <c r="CM682">
        <v>1911</v>
      </c>
    </row>
    <row r="683" spans="1:91" x14ac:dyDescent="0.3">
      <c r="A683" t="s">
        <v>1285</v>
      </c>
      <c r="B683">
        <v>45097</v>
      </c>
      <c r="D683">
        <v>12</v>
      </c>
      <c r="I683">
        <v>150000</v>
      </c>
      <c r="U683">
        <v>1</v>
      </c>
      <c r="Y683">
        <v>1</v>
      </c>
      <c r="AA683">
        <v>0.71</v>
      </c>
      <c r="AC683" s="3">
        <v>0.71</v>
      </c>
      <c r="AE683" s="3">
        <v>0.62</v>
      </c>
      <c r="AI683">
        <v>0.68</v>
      </c>
      <c r="AK683" s="3"/>
      <c r="BG683">
        <v>6</v>
      </c>
      <c r="BH683">
        <v>6</v>
      </c>
      <c r="BI683">
        <v>6</v>
      </c>
      <c r="BJ683">
        <v>6</v>
      </c>
      <c r="BK683" s="4">
        <v>3744</v>
      </c>
      <c r="BL683" s="4">
        <v>3927</v>
      </c>
      <c r="BM683" s="4">
        <v>4109</v>
      </c>
      <c r="BN683" s="4">
        <v>4292</v>
      </c>
      <c r="BR683">
        <v>23000</v>
      </c>
      <c r="BT683">
        <v>8</v>
      </c>
      <c r="BU683">
        <v>14</v>
      </c>
      <c r="BV683">
        <v>6</v>
      </c>
      <c r="BX683">
        <v>0.71</v>
      </c>
      <c r="BZ683">
        <v>0.53</v>
      </c>
      <c r="CK683" t="s">
        <v>360</v>
      </c>
      <c r="CM683">
        <v>1911</v>
      </c>
    </row>
    <row r="684" spans="1:91" x14ac:dyDescent="0.3">
      <c r="A684" t="s">
        <v>1286</v>
      </c>
      <c r="B684">
        <v>45142</v>
      </c>
      <c r="D684">
        <v>12</v>
      </c>
      <c r="I684">
        <v>21000</v>
      </c>
      <c r="U684">
        <v>5</v>
      </c>
      <c r="Y684">
        <v>5</v>
      </c>
      <c r="AA684">
        <v>7</v>
      </c>
      <c r="AC684" s="3">
        <v>7</v>
      </c>
      <c r="AE684" s="3">
        <v>7</v>
      </c>
      <c r="AI684">
        <v>7</v>
      </c>
      <c r="AK684" s="3"/>
      <c r="AX684" t="s">
        <v>823</v>
      </c>
      <c r="BB684" t="s">
        <v>823</v>
      </c>
      <c r="BG684">
        <v>8</v>
      </c>
      <c r="BH684">
        <v>8</v>
      </c>
      <c r="BI684">
        <v>10</v>
      </c>
      <c r="BJ684">
        <v>8</v>
      </c>
      <c r="BK684" s="4">
        <v>3713</v>
      </c>
      <c r="BL684" s="4">
        <v>3866</v>
      </c>
      <c r="BM684" s="4">
        <v>4078</v>
      </c>
      <c r="BN684" s="4">
        <v>4231</v>
      </c>
      <c r="BR684">
        <v>98400</v>
      </c>
      <c r="BS684" t="s">
        <v>1245</v>
      </c>
      <c r="BT684">
        <v>6</v>
      </c>
      <c r="BU684">
        <v>8</v>
      </c>
      <c r="BV684">
        <v>6</v>
      </c>
      <c r="BX684">
        <v>7.75</v>
      </c>
      <c r="BZ684">
        <v>6.5</v>
      </c>
      <c r="CK684" t="s">
        <v>360</v>
      </c>
      <c r="CM684">
        <v>1911</v>
      </c>
    </row>
    <row r="685" spans="1:91" x14ac:dyDescent="0.3">
      <c r="A685" t="s">
        <v>1287</v>
      </c>
      <c r="B685">
        <v>45471</v>
      </c>
      <c r="D685">
        <v>12</v>
      </c>
      <c r="I685" s="2">
        <v>1176100</v>
      </c>
      <c r="J685" t="s">
        <v>800</v>
      </c>
      <c r="V685" t="s">
        <v>385</v>
      </c>
      <c r="Z685" t="s">
        <v>385</v>
      </c>
      <c r="AA685">
        <v>98.5</v>
      </c>
      <c r="AC685" s="3">
        <v>100.75</v>
      </c>
      <c r="AE685" s="3">
        <v>98.5</v>
      </c>
      <c r="AI685">
        <v>100</v>
      </c>
      <c r="AK685" s="3"/>
      <c r="AV685" t="s">
        <v>370</v>
      </c>
      <c r="AX685" t="s">
        <v>370</v>
      </c>
      <c r="AZ685" t="s">
        <v>370</v>
      </c>
      <c r="BB685" t="s">
        <v>370</v>
      </c>
      <c r="BO685" t="s">
        <v>367</v>
      </c>
      <c r="BS685" t="s">
        <v>385</v>
      </c>
      <c r="BT685">
        <v>5</v>
      </c>
      <c r="BU685">
        <v>12</v>
      </c>
      <c r="BV685">
        <v>9</v>
      </c>
      <c r="BX685">
        <v>100.75</v>
      </c>
      <c r="BZ685">
        <v>96.75</v>
      </c>
      <c r="CM685">
        <v>1911</v>
      </c>
    </row>
    <row r="686" spans="1:91" x14ac:dyDescent="0.3">
      <c r="A686" t="s">
        <v>1288</v>
      </c>
      <c r="B686">
        <v>45754</v>
      </c>
      <c r="D686">
        <v>12</v>
      </c>
      <c r="I686">
        <v>111000</v>
      </c>
      <c r="U686">
        <v>3</v>
      </c>
      <c r="Y686">
        <v>3</v>
      </c>
      <c r="AA686">
        <v>1.62</v>
      </c>
      <c r="AC686" s="3">
        <v>1.62</v>
      </c>
      <c r="AE686" s="3">
        <v>1.25</v>
      </c>
      <c r="AI686">
        <v>1.62</v>
      </c>
      <c r="AK686" s="3"/>
      <c r="AV686" t="s">
        <v>815</v>
      </c>
      <c r="AX686" t="s">
        <v>815</v>
      </c>
      <c r="AZ686" t="s">
        <v>815</v>
      </c>
      <c r="BB686" t="s">
        <v>815</v>
      </c>
      <c r="BG686">
        <v>2.5</v>
      </c>
      <c r="BH686">
        <v>3</v>
      </c>
      <c r="BI686">
        <v>2</v>
      </c>
      <c r="BJ686">
        <v>2</v>
      </c>
      <c r="BK686" s="4">
        <v>2983</v>
      </c>
      <c r="BL686" s="4">
        <v>3348</v>
      </c>
      <c r="BM686" s="4">
        <v>3713</v>
      </c>
      <c r="BN686" s="4">
        <v>4078</v>
      </c>
      <c r="BR686">
        <v>76160</v>
      </c>
      <c r="BS686" t="s">
        <v>1289</v>
      </c>
      <c r="BT686">
        <v>3</v>
      </c>
      <c r="BU686">
        <v>13</v>
      </c>
      <c r="BV686">
        <v>9</v>
      </c>
      <c r="BX686">
        <v>2</v>
      </c>
      <c r="BZ686">
        <v>1.25</v>
      </c>
      <c r="CK686" t="s">
        <v>360</v>
      </c>
      <c r="CM686">
        <v>1911</v>
      </c>
    </row>
    <row r="687" spans="1:91" x14ac:dyDescent="0.3">
      <c r="A687" t="s">
        <v>1288</v>
      </c>
      <c r="B687">
        <v>45755</v>
      </c>
      <c r="C687" t="s">
        <v>902</v>
      </c>
      <c r="D687">
        <v>12</v>
      </c>
      <c r="I687">
        <v>90000</v>
      </c>
      <c r="U687">
        <v>5</v>
      </c>
      <c r="Y687">
        <v>5</v>
      </c>
      <c r="AA687">
        <v>4.68</v>
      </c>
      <c r="AC687" s="3">
        <v>4.84</v>
      </c>
      <c r="AE687" s="3">
        <v>4.6500000000000004</v>
      </c>
      <c r="AI687">
        <v>4.68</v>
      </c>
      <c r="AK687" s="3"/>
      <c r="BG687">
        <v>6</v>
      </c>
      <c r="BH687">
        <v>6</v>
      </c>
      <c r="BI687">
        <v>6</v>
      </c>
      <c r="BJ687">
        <v>6</v>
      </c>
      <c r="BK687" s="4">
        <v>3532</v>
      </c>
      <c r="BL687" s="4">
        <v>3713</v>
      </c>
      <c r="BM687" s="4">
        <v>3897</v>
      </c>
      <c r="BN687" s="4">
        <v>4078</v>
      </c>
      <c r="BR687">
        <v>76160</v>
      </c>
      <c r="BS687" t="s">
        <v>1289</v>
      </c>
      <c r="BT687">
        <v>6</v>
      </c>
      <c r="BU687">
        <v>8</v>
      </c>
      <c r="BV687">
        <v>0</v>
      </c>
      <c r="BX687">
        <v>5.12</v>
      </c>
      <c r="BZ687">
        <v>4.62</v>
      </c>
      <c r="CM687">
        <v>1911</v>
      </c>
    </row>
    <row r="688" spans="1:91" x14ac:dyDescent="0.3">
      <c r="A688" t="s">
        <v>1288</v>
      </c>
      <c r="B688">
        <v>45756</v>
      </c>
      <c r="C688" t="s">
        <v>1290</v>
      </c>
      <c r="D688">
        <v>12</v>
      </c>
      <c r="I688">
        <v>387355</v>
      </c>
      <c r="J688" t="s">
        <v>800</v>
      </c>
      <c r="V688" t="s">
        <v>350</v>
      </c>
      <c r="Y688">
        <v>100</v>
      </c>
      <c r="AA688">
        <v>90.5</v>
      </c>
      <c r="AC688" s="3">
        <v>91.25</v>
      </c>
      <c r="AE688" s="3">
        <v>88.5</v>
      </c>
      <c r="AI688">
        <v>88.5</v>
      </c>
      <c r="AK688" s="3"/>
      <c r="AV688" t="s">
        <v>370</v>
      </c>
      <c r="AX688" t="s">
        <v>370</v>
      </c>
      <c r="AZ688" t="s">
        <v>370</v>
      </c>
      <c r="BB688" t="s">
        <v>370</v>
      </c>
      <c r="BO688" t="s">
        <v>367</v>
      </c>
      <c r="BR688">
        <v>76160</v>
      </c>
      <c r="BS688" t="s">
        <v>1289</v>
      </c>
      <c r="BT688">
        <v>4</v>
      </c>
      <c r="BU688">
        <v>12</v>
      </c>
      <c r="BV688">
        <v>6</v>
      </c>
      <c r="BX688">
        <v>93.5</v>
      </c>
      <c r="BZ688">
        <v>88.5</v>
      </c>
      <c r="CM688">
        <v>1911</v>
      </c>
    </row>
    <row r="689" spans="1:91" x14ac:dyDescent="0.3">
      <c r="A689" t="s">
        <v>1291</v>
      </c>
      <c r="B689">
        <v>45889</v>
      </c>
      <c r="D689">
        <v>12</v>
      </c>
      <c r="I689">
        <v>60000</v>
      </c>
      <c r="U689">
        <v>5</v>
      </c>
      <c r="Y689">
        <v>5</v>
      </c>
      <c r="AA689">
        <v>2.87</v>
      </c>
      <c r="AC689" s="3">
        <v>2.9</v>
      </c>
      <c r="AE689" s="3">
        <v>2.81</v>
      </c>
      <c r="AI689">
        <v>2.87</v>
      </c>
      <c r="AK689" s="3"/>
      <c r="AV689" t="s">
        <v>385</v>
      </c>
      <c r="AX689" t="s">
        <v>385</v>
      </c>
      <c r="AZ689" t="s">
        <v>385</v>
      </c>
      <c r="BB689" t="s">
        <v>385</v>
      </c>
      <c r="BS689" t="s">
        <v>385</v>
      </c>
      <c r="BW689" t="s">
        <v>802</v>
      </c>
      <c r="BX689">
        <v>3.37</v>
      </c>
      <c r="BZ689">
        <v>2.62</v>
      </c>
      <c r="CM689">
        <v>1911</v>
      </c>
    </row>
    <row r="690" spans="1:91" x14ac:dyDescent="0.3">
      <c r="A690" t="s">
        <v>1292</v>
      </c>
      <c r="B690">
        <v>46315</v>
      </c>
      <c r="D690">
        <v>12</v>
      </c>
      <c r="I690">
        <v>200000</v>
      </c>
      <c r="U690">
        <v>5</v>
      </c>
      <c r="Y690">
        <v>5</v>
      </c>
      <c r="AA690">
        <v>3.75</v>
      </c>
      <c r="AC690" s="3">
        <v>3.75</v>
      </c>
      <c r="AE690" s="3">
        <v>3.62</v>
      </c>
      <c r="AI690">
        <v>3.75</v>
      </c>
      <c r="AK690" s="3"/>
      <c r="AX690" t="s">
        <v>823</v>
      </c>
      <c r="BB690" t="s">
        <v>823</v>
      </c>
      <c r="BG690">
        <v>5</v>
      </c>
      <c r="BH690">
        <v>4</v>
      </c>
      <c r="BI690">
        <v>6</v>
      </c>
      <c r="BJ690">
        <v>4</v>
      </c>
      <c r="BK690" s="4">
        <v>3713</v>
      </c>
      <c r="BL690" s="4">
        <v>3866</v>
      </c>
      <c r="BM690" s="4">
        <v>4078</v>
      </c>
      <c r="BN690" s="4">
        <v>4231</v>
      </c>
      <c r="BR690">
        <v>261127</v>
      </c>
      <c r="BS690" t="s">
        <v>1293</v>
      </c>
      <c r="BT690">
        <v>6</v>
      </c>
      <c r="BU690">
        <v>13</v>
      </c>
      <c r="BV690">
        <v>3</v>
      </c>
      <c r="BX690">
        <v>4.62</v>
      </c>
      <c r="BZ690">
        <v>3.37</v>
      </c>
      <c r="CK690" t="s">
        <v>360</v>
      </c>
      <c r="CM690">
        <v>1911</v>
      </c>
    </row>
    <row r="691" spans="1:91" x14ac:dyDescent="0.3">
      <c r="A691" t="s">
        <v>1294</v>
      </c>
      <c r="B691">
        <v>46320</v>
      </c>
      <c r="C691" t="s">
        <v>977</v>
      </c>
      <c r="D691">
        <v>12</v>
      </c>
      <c r="I691">
        <v>76121</v>
      </c>
      <c r="U691">
        <v>5</v>
      </c>
      <c r="Y691">
        <v>5</v>
      </c>
      <c r="AA691">
        <v>4.62</v>
      </c>
      <c r="AC691" s="3">
        <v>4.68</v>
      </c>
      <c r="AE691" s="3">
        <v>4.37</v>
      </c>
      <c r="AI691">
        <v>4.5</v>
      </c>
      <c r="AJ691" t="s">
        <v>379</v>
      </c>
      <c r="AK691" s="3"/>
      <c r="AV691" t="s">
        <v>370</v>
      </c>
      <c r="AX691" t="s">
        <v>370</v>
      </c>
      <c r="AZ691" t="s">
        <v>370</v>
      </c>
      <c r="BB691" t="s">
        <v>370</v>
      </c>
      <c r="BO691" t="s">
        <v>367</v>
      </c>
      <c r="BR691">
        <v>261127</v>
      </c>
      <c r="BS691" t="s">
        <v>1293</v>
      </c>
      <c r="BT691">
        <v>5</v>
      </c>
      <c r="BU691">
        <v>0</v>
      </c>
      <c r="BV691">
        <v>0</v>
      </c>
      <c r="BX691">
        <v>4.75</v>
      </c>
      <c r="BZ691">
        <v>4</v>
      </c>
      <c r="CM691">
        <v>1911</v>
      </c>
    </row>
    <row r="692" spans="1:91" x14ac:dyDescent="0.3">
      <c r="A692" t="s">
        <v>1294</v>
      </c>
      <c r="B692">
        <v>46316</v>
      </c>
      <c r="C692" t="s">
        <v>805</v>
      </c>
      <c r="D692">
        <v>12</v>
      </c>
      <c r="I692">
        <v>250000</v>
      </c>
      <c r="J692" t="s">
        <v>800</v>
      </c>
      <c r="V692" t="s">
        <v>350</v>
      </c>
      <c r="Y692">
        <v>100</v>
      </c>
      <c r="AA692">
        <v>103.5</v>
      </c>
      <c r="AC692" s="3">
        <v>103.5</v>
      </c>
      <c r="AE692" s="3">
        <v>101.5</v>
      </c>
      <c r="AI692">
        <v>101.5</v>
      </c>
      <c r="AJ692" t="s">
        <v>379</v>
      </c>
      <c r="AK692" s="3"/>
      <c r="AV692" t="s">
        <v>370</v>
      </c>
      <c r="AX692" t="s">
        <v>370</v>
      </c>
      <c r="AZ692" t="s">
        <v>370</v>
      </c>
      <c r="BB692" t="s">
        <v>370</v>
      </c>
      <c r="BO692" t="s">
        <v>367</v>
      </c>
      <c r="BR692">
        <v>261127</v>
      </c>
      <c r="BS692" t="s">
        <v>1293</v>
      </c>
      <c r="BT692">
        <v>4</v>
      </c>
      <c r="BU692">
        <v>8</v>
      </c>
      <c r="BV692">
        <v>9</v>
      </c>
      <c r="BX692">
        <v>104.75</v>
      </c>
      <c r="BZ692">
        <v>100.5</v>
      </c>
      <c r="CM692">
        <v>1911</v>
      </c>
    </row>
    <row r="693" spans="1:91" x14ac:dyDescent="0.3">
      <c r="A693" t="s">
        <v>1294</v>
      </c>
      <c r="B693">
        <v>46318</v>
      </c>
      <c r="C693" t="s">
        <v>1295</v>
      </c>
      <c r="D693">
        <v>12</v>
      </c>
      <c r="I693">
        <v>248000</v>
      </c>
      <c r="J693" t="s">
        <v>800</v>
      </c>
      <c r="V693" t="s">
        <v>350</v>
      </c>
      <c r="Y693">
        <v>100</v>
      </c>
      <c r="AA693">
        <v>86</v>
      </c>
      <c r="AC693" s="3">
        <v>87.5</v>
      </c>
      <c r="AE693" s="3">
        <v>85.5</v>
      </c>
      <c r="AI693">
        <v>85.5</v>
      </c>
      <c r="AJ693" t="s">
        <v>379</v>
      </c>
      <c r="AK693" s="3"/>
      <c r="AV693" t="s">
        <v>370</v>
      </c>
      <c r="AX693" t="s">
        <v>370</v>
      </c>
      <c r="AZ693" t="s">
        <v>370</v>
      </c>
      <c r="BB693" t="s">
        <v>370</v>
      </c>
      <c r="BO693" t="s">
        <v>367</v>
      </c>
      <c r="BR693">
        <v>261127</v>
      </c>
      <c r="BS693" t="s">
        <v>1293</v>
      </c>
      <c r="BT693">
        <v>4</v>
      </c>
      <c r="BU693">
        <v>1</v>
      </c>
      <c r="BV693">
        <v>9</v>
      </c>
      <c r="BX693">
        <v>87.5</v>
      </c>
      <c r="BZ693">
        <v>83.5</v>
      </c>
      <c r="CM693">
        <v>1911</v>
      </c>
    </row>
    <row r="694" spans="1:91" x14ac:dyDescent="0.3">
      <c r="A694" t="s">
        <v>1296</v>
      </c>
      <c r="B694">
        <v>46361</v>
      </c>
      <c r="D694">
        <v>12</v>
      </c>
      <c r="I694">
        <v>135850</v>
      </c>
      <c r="V694" t="s">
        <v>350</v>
      </c>
      <c r="Y694">
        <v>100</v>
      </c>
      <c r="Z694" t="s">
        <v>773</v>
      </c>
      <c r="AA694">
        <v>90</v>
      </c>
      <c r="AC694" s="3">
        <v>90.5</v>
      </c>
      <c r="AE694" s="3">
        <v>88</v>
      </c>
      <c r="AI694">
        <v>89.5</v>
      </c>
      <c r="AK694" s="3"/>
      <c r="BG694">
        <v>4</v>
      </c>
      <c r="BH694">
        <v>4</v>
      </c>
      <c r="BI694">
        <v>4</v>
      </c>
      <c r="BJ694">
        <v>4</v>
      </c>
      <c r="BK694" s="4">
        <v>3927</v>
      </c>
      <c r="BL694" s="4">
        <v>4019</v>
      </c>
      <c r="BM694" s="4">
        <v>4109</v>
      </c>
      <c r="BN694" s="4">
        <v>4200</v>
      </c>
      <c r="BR694" s="2">
        <v>1123730</v>
      </c>
      <c r="BS694" t="s">
        <v>1297</v>
      </c>
      <c r="BT694">
        <v>4</v>
      </c>
      <c r="BU694">
        <v>9</v>
      </c>
      <c r="BV694">
        <v>6</v>
      </c>
      <c r="BX694">
        <v>95.5</v>
      </c>
      <c r="BZ694">
        <v>79.5</v>
      </c>
      <c r="CM694">
        <v>1911</v>
      </c>
    </row>
    <row r="695" spans="1:91" x14ac:dyDescent="0.3">
      <c r="A695" t="s">
        <v>1296</v>
      </c>
      <c r="B695">
        <v>46362</v>
      </c>
      <c r="C695" t="s">
        <v>1298</v>
      </c>
      <c r="D695">
        <v>12</v>
      </c>
      <c r="I695" s="2">
        <v>11728500</v>
      </c>
      <c r="J695" t="s">
        <v>773</v>
      </c>
      <c r="U695">
        <v>500</v>
      </c>
      <c r="V695" t="s">
        <v>773</v>
      </c>
      <c r="Y695">
        <v>500</v>
      </c>
      <c r="Z695" t="s">
        <v>773</v>
      </c>
      <c r="AA695">
        <v>96.5</v>
      </c>
      <c r="AC695" s="3">
        <v>97.12</v>
      </c>
      <c r="AE695" s="3">
        <v>95.75</v>
      </c>
      <c r="AI695">
        <v>96.5</v>
      </c>
      <c r="AK695" s="3"/>
      <c r="AV695" t="s">
        <v>506</v>
      </c>
      <c r="AX695" t="s">
        <v>506</v>
      </c>
      <c r="AZ695" t="s">
        <v>506</v>
      </c>
      <c r="BB695" t="s">
        <v>506</v>
      </c>
      <c r="BO695" t="s">
        <v>367</v>
      </c>
      <c r="BR695" s="2">
        <v>1123730</v>
      </c>
      <c r="BS695" t="s">
        <v>1297</v>
      </c>
      <c r="BT695">
        <v>5</v>
      </c>
      <c r="BU695">
        <v>4</v>
      </c>
      <c r="BV695">
        <v>3</v>
      </c>
      <c r="BX695">
        <v>100</v>
      </c>
      <c r="BZ695">
        <v>93.12</v>
      </c>
      <c r="CM695">
        <v>1911</v>
      </c>
    </row>
    <row r="696" spans="1:91" x14ac:dyDescent="0.3">
      <c r="A696" t="s">
        <v>1299</v>
      </c>
      <c r="B696">
        <v>46409</v>
      </c>
      <c r="D696">
        <v>12</v>
      </c>
      <c r="I696">
        <v>250000</v>
      </c>
      <c r="J696" t="s">
        <v>800</v>
      </c>
      <c r="U696">
        <v>100</v>
      </c>
      <c r="Y696">
        <v>100</v>
      </c>
      <c r="AA696">
        <v>97.5</v>
      </c>
      <c r="AC696" s="3">
        <v>97.5</v>
      </c>
      <c r="AE696" s="3">
        <v>97.5</v>
      </c>
      <c r="AI696">
        <v>97.5</v>
      </c>
      <c r="AK696" s="3"/>
      <c r="AV696" t="s">
        <v>1300</v>
      </c>
      <c r="AX696" t="s">
        <v>1300</v>
      </c>
      <c r="AZ696" t="s">
        <v>1300</v>
      </c>
      <c r="BB696" t="s">
        <v>1300</v>
      </c>
      <c r="BO696" t="s">
        <v>367</v>
      </c>
      <c r="BS696" t="s">
        <v>385</v>
      </c>
      <c r="BT696">
        <v>4</v>
      </c>
      <c r="BU696">
        <v>15</v>
      </c>
      <c r="BV696">
        <v>3</v>
      </c>
      <c r="BX696">
        <v>99</v>
      </c>
      <c r="BZ696">
        <v>96</v>
      </c>
      <c r="CK696" t="s">
        <v>360</v>
      </c>
      <c r="CM696">
        <v>1911</v>
      </c>
    </row>
    <row r="697" spans="1:91" x14ac:dyDescent="0.3">
      <c r="A697" t="s">
        <v>1301</v>
      </c>
      <c r="B697">
        <v>46533</v>
      </c>
      <c r="D697">
        <v>12</v>
      </c>
      <c r="I697" s="2">
        <v>1000000</v>
      </c>
      <c r="J697" t="s">
        <v>800</v>
      </c>
      <c r="V697" t="s">
        <v>350</v>
      </c>
      <c r="Y697">
        <v>100</v>
      </c>
      <c r="AA697">
        <v>91.5</v>
      </c>
      <c r="AC697" s="3">
        <v>92</v>
      </c>
      <c r="AE697" s="3">
        <v>90.5</v>
      </c>
      <c r="AI697">
        <v>92</v>
      </c>
      <c r="AK697" s="3"/>
      <c r="AV697" t="s">
        <v>1302</v>
      </c>
      <c r="AX697" t="s">
        <v>1302</v>
      </c>
      <c r="AZ697" t="s">
        <v>1302</v>
      </c>
      <c r="BB697" t="s">
        <v>1302</v>
      </c>
      <c r="BO697" t="s">
        <v>367</v>
      </c>
      <c r="BS697" t="s">
        <v>385</v>
      </c>
      <c r="BT697">
        <v>5</v>
      </c>
      <c r="BU697">
        <v>11</v>
      </c>
      <c r="BV697">
        <v>0</v>
      </c>
      <c r="BX697">
        <v>93.5</v>
      </c>
      <c r="BZ697">
        <v>88</v>
      </c>
      <c r="CM697">
        <v>1911</v>
      </c>
    </row>
    <row r="698" spans="1:91" x14ac:dyDescent="0.3">
      <c r="A698" t="s">
        <v>1303</v>
      </c>
      <c r="B698">
        <v>46564</v>
      </c>
      <c r="D698">
        <v>12</v>
      </c>
      <c r="I698" s="2">
        <v>17000000</v>
      </c>
      <c r="J698" t="s">
        <v>773</v>
      </c>
      <c r="U698">
        <v>100</v>
      </c>
      <c r="V698" t="s">
        <v>773</v>
      </c>
      <c r="Y698">
        <v>100</v>
      </c>
      <c r="Z698" t="s">
        <v>773</v>
      </c>
      <c r="AA698">
        <v>187.5</v>
      </c>
      <c r="AC698" s="3">
        <v>198.5</v>
      </c>
      <c r="AE698" s="3">
        <v>187.5</v>
      </c>
      <c r="AI698">
        <v>198</v>
      </c>
      <c r="AK698" s="3"/>
      <c r="BG698">
        <v>8</v>
      </c>
      <c r="BH698">
        <v>8</v>
      </c>
      <c r="BI698">
        <v>8</v>
      </c>
      <c r="BJ698">
        <v>8</v>
      </c>
      <c r="BK698" s="4">
        <v>4050</v>
      </c>
      <c r="BL698" s="4">
        <v>4139</v>
      </c>
      <c r="BM698" s="4">
        <v>4231</v>
      </c>
      <c r="BN698" s="4">
        <v>4323</v>
      </c>
      <c r="BS698" t="s">
        <v>385</v>
      </c>
      <c r="BT698">
        <v>4</v>
      </c>
      <c r="BU698">
        <v>0</v>
      </c>
      <c r="BV698">
        <v>9</v>
      </c>
      <c r="BX698">
        <v>198.5</v>
      </c>
      <c r="BZ698">
        <v>142.5</v>
      </c>
      <c r="CM698">
        <v>1911</v>
      </c>
    </row>
    <row r="699" spans="1:91" x14ac:dyDescent="0.3">
      <c r="A699" t="s">
        <v>1304</v>
      </c>
      <c r="B699">
        <v>46984</v>
      </c>
      <c r="D699">
        <v>12</v>
      </c>
      <c r="I699">
        <v>137500</v>
      </c>
      <c r="U699">
        <v>5</v>
      </c>
      <c r="Y699">
        <v>5</v>
      </c>
      <c r="AA699">
        <v>3.75</v>
      </c>
      <c r="AC699" s="3">
        <v>3.75</v>
      </c>
      <c r="AE699" s="3">
        <v>3.75</v>
      </c>
      <c r="AI699">
        <v>3.75</v>
      </c>
      <c r="AK699" s="3"/>
      <c r="AV699" t="s">
        <v>815</v>
      </c>
      <c r="AX699" t="s">
        <v>823</v>
      </c>
      <c r="BB699" t="s">
        <v>823</v>
      </c>
      <c r="BG699">
        <v>4</v>
      </c>
      <c r="BH699">
        <v>3</v>
      </c>
      <c r="BI699">
        <v>5</v>
      </c>
      <c r="BJ699">
        <v>4</v>
      </c>
      <c r="BK699" s="4">
        <v>3713</v>
      </c>
      <c r="BL699" s="4">
        <v>3835</v>
      </c>
      <c r="BM699" s="4">
        <v>4078</v>
      </c>
      <c r="BN699" s="4">
        <v>4200</v>
      </c>
      <c r="BR699">
        <v>124044</v>
      </c>
      <c r="BS699" t="s">
        <v>1305</v>
      </c>
      <c r="BT699">
        <v>6</v>
      </c>
      <c r="BU699">
        <v>0</v>
      </c>
      <c r="BV699">
        <v>0</v>
      </c>
      <c r="BX699">
        <v>4.37</v>
      </c>
      <c r="BZ699">
        <v>3.62</v>
      </c>
      <c r="CM699">
        <v>1911</v>
      </c>
    </row>
    <row r="700" spans="1:91" x14ac:dyDescent="0.3">
      <c r="A700" t="s">
        <v>1304</v>
      </c>
      <c r="B700">
        <v>46985</v>
      </c>
      <c r="C700" t="s">
        <v>1306</v>
      </c>
      <c r="D700">
        <v>12</v>
      </c>
      <c r="I700">
        <v>137500</v>
      </c>
      <c r="U700">
        <v>5</v>
      </c>
      <c r="Y700">
        <v>5</v>
      </c>
      <c r="AA700">
        <v>4.25</v>
      </c>
      <c r="AC700" s="3">
        <v>4.25</v>
      </c>
      <c r="AE700" s="3">
        <v>4.25</v>
      </c>
      <c r="AI700">
        <v>4.25</v>
      </c>
      <c r="AK700" s="3"/>
      <c r="AV700" t="s">
        <v>1307</v>
      </c>
      <c r="AX700" t="s">
        <v>1307</v>
      </c>
      <c r="AZ700" t="s">
        <v>1307</v>
      </c>
      <c r="BB700" t="s">
        <v>1307</v>
      </c>
      <c r="BO700" t="s">
        <v>367</v>
      </c>
      <c r="BR700">
        <v>124044</v>
      </c>
      <c r="BS700" t="s">
        <v>1305</v>
      </c>
      <c r="BT700">
        <v>5</v>
      </c>
      <c r="BU700">
        <v>17</v>
      </c>
      <c r="BV700">
        <v>9</v>
      </c>
      <c r="BX700">
        <v>5</v>
      </c>
      <c r="BZ700">
        <v>4.12</v>
      </c>
      <c r="CK700" t="s">
        <v>1308</v>
      </c>
      <c r="CM700">
        <v>1911</v>
      </c>
    </row>
    <row r="701" spans="1:91" x14ac:dyDescent="0.3">
      <c r="A701" t="s">
        <v>1304</v>
      </c>
      <c r="B701">
        <v>46986</v>
      </c>
      <c r="C701" t="s">
        <v>1309</v>
      </c>
      <c r="D701">
        <v>12</v>
      </c>
      <c r="I701">
        <v>618500</v>
      </c>
      <c r="J701" t="s">
        <v>800</v>
      </c>
      <c r="V701" t="s">
        <v>350</v>
      </c>
      <c r="Y701">
        <v>100</v>
      </c>
      <c r="AA701">
        <v>98</v>
      </c>
      <c r="AC701" s="3">
        <v>98</v>
      </c>
      <c r="AE701" s="3">
        <v>96</v>
      </c>
      <c r="AI701">
        <v>96</v>
      </c>
      <c r="AJ701" t="s">
        <v>379</v>
      </c>
      <c r="AK701" s="3"/>
      <c r="AV701" t="s">
        <v>370</v>
      </c>
      <c r="AX701" t="s">
        <v>370</v>
      </c>
      <c r="AZ701" t="s">
        <v>370</v>
      </c>
      <c r="BB701" t="s">
        <v>370</v>
      </c>
      <c r="BO701" t="s">
        <v>367</v>
      </c>
      <c r="BS701" t="s">
        <v>385</v>
      </c>
      <c r="BT701">
        <v>4</v>
      </c>
      <c r="BU701">
        <v>13</v>
      </c>
      <c r="BV701">
        <v>9</v>
      </c>
      <c r="BX701">
        <v>101</v>
      </c>
      <c r="BZ701">
        <v>96</v>
      </c>
      <c r="CM701">
        <v>1911</v>
      </c>
    </row>
    <row r="702" spans="1:91" x14ac:dyDescent="0.3">
      <c r="A702" t="s">
        <v>1310</v>
      </c>
      <c r="B702">
        <v>47337</v>
      </c>
      <c r="D702">
        <v>12</v>
      </c>
      <c r="I702">
        <v>20000</v>
      </c>
      <c r="U702">
        <v>5</v>
      </c>
      <c r="Y702">
        <v>5</v>
      </c>
      <c r="AA702">
        <v>6.37</v>
      </c>
      <c r="AC702" s="3">
        <v>6.37</v>
      </c>
      <c r="AE702" s="3">
        <v>6.37</v>
      </c>
      <c r="AI702">
        <v>6.37</v>
      </c>
      <c r="AK702" s="3"/>
      <c r="AX702" t="s">
        <v>823</v>
      </c>
      <c r="BB702" t="s">
        <v>823</v>
      </c>
      <c r="BG702">
        <v>9</v>
      </c>
      <c r="BH702">
        <v>6</v>
      </c>
      <c r="BI702">
        <v>8.5</v>
      </c>
      <c r="BJ702">
        <v>6</v>
      </c>
      <c r="BK702" s="4">
        <v>3713</v>
      </c>
      <c r="BL702" s="4">
        <v>3897</v>
      </c>
      <c r="BM702" s="4">
        <v>4078</v>
      </c>
      <c r="BN702" s="4">
        <v>4262</v>
      </c>
      <c r="BR702">
        <v>18400</v>
      </c>
      <c r="BT702">
        <v>5</v>
      </c>
      <c r="BU702">
        <v>13</v>
      </c>
      <c r="BV702">
        <v>9</v>
      </c>
      <c r="BX702">
        <v>6.5</v>
      </c>
      <c r="BZ702">
        <v>6.06</v>
      </c>
      <c r="CK702" t="s">
        <v>360</v>
      </c>
      <c r="CM702">
        <v>1911</v>
      </c>
    </row>
    <row r="703" spans="1:91" x14ac:dyDescent="0.3">
      <c r="A703" t="s">
        <v>1311</v>
      </c>
      <c r="B703">
        <v>47359</v>
      </c>
      <c r="D703">
        <v>12</v>
      </c>
      <c r="I703">
        <v>800000</v>
      </c>
      <c r="J703" t="s">
        <v>800</v>
      </c>
      <c r="U703">
        <v>100</v>
      </c>
      <c r="V703" t="s">
        <v>615</v>
      </c>
      <c r="Y703">
        <v>100</v>
      </c>
      <c r="Z703" t="s">
        <v>615</v>
      </c>
      <c r="AA703">
        <v>91.5</v>
      </c>
      <c r="AC703" s="3">
        <v>91.75</v>
      </c>
      <c r="AE703" s="3">
        <v>91</v>
      </c>
      <c r="AI703">
        <v>91</v>
      </c>
      <c r="AK703" s="3"/>
      <c r="AV703" t="s">
        <v>536</v>
      </c>
      <c r="AX703" t="s">
        <v>536</v>
      </c>
      <c r="AZ703" t="s">
        <v>536</v>
      </c>
      <c r="BB703" t="s">
        <v>536</v>
      </c>
      <c r="BO703" t="s">
        <v>367</v>
      </c>
      <c r="BS703" t="s">
        <v>385</v>
      </c>
      <c r="BT703">
        <v>5</v>
      </c>
      <c r="BU703">
        <v>10</v>
      </c>
      <c r="BV703">
        <v>6</v>
      </c>
      <c r="BX703">
        <v>93.5</v>
      </c>
      <c r="BZ703">
        <v>89</v>
      </c>
      <c r="CM703">
        <v>1911</v>
      </c>
    </row>
    <row r="704" spans="1:91" x14ac:dyDescent="0.3">
      <c r="A704" t="s">
        <v>1312</v>
      </c>
      <c r="B704">
        <v>47572</v>
      </c>
      <c r="D704">
        <v>12</v>
      </c>
      <c r="I704" s="2">
        <v>7580000</v>
      </c>
      <c r="J704" t="s">
        <v>773</v>
      </c>
      <c r="U704">
        <v>1000</v>
      </c>
      <c r="V704" t="s">
        <v>773</v>
      </c>
      <c r="Y704">
        <v>1000</v>
      </c>
      <c r="Z704" t="s">
        <v>773</v>
      </c>
      <c r="AA704">
        <v>95.5</v>
      </c>
      <c r="AC704" s="3">
        <v>97.5</v>
      </c>
      <c r="AE704" s="3">
        <v>95.12</v>
      </c>
      <c r="AI704">
        <v>97.5</v>
      </c>
      <c r="AK704" s="3"/>
      <c r="AV704" t="s">
        <v>385</v>
      </c>
      <c r="AX704" t="s">
        <v>385</v>
      </c>
      <c r="AZ704" t="s">
        <v>385</v>
      </c>
      <c r="BB704" t="s">
        <v>385</v>
      </c>
      <c r="BS704" t="s">
        <v>385</v>
      </c>
      <c r="BT704">
        <v>5</v>
      </c>
      <c r="BU704">
        <v>2</v>
      </c>
      <c r="BV704">
        <v>6</v>
      </c>
      <c r="BY704" t="s">
        <v>385</v>
      </c>
      <c r="CA704" t="s">
        <v>385</v>
      </c>
      <c r="CM704">
        <v>1911</v>
      </c>
    </row>
    <row r="705" spans="1:91" x14ac:dyDescent="0.3">
      <c r="A705" t="s">
        <v>1313</v>
      </c>
      <c r="B705">
        <v>48105</v>
      </c>
      <c r="D705">
        <v>12</v>
      </c>
      <c r="I705">
        <v>120000</v>
      </c>
      <c r="J705" t="s">
        <v>800</v>
      </c>
      <c r="V705" t="s">
        <v>350</v>
      </c>
      <c r="Y705">
        <v>100</v>
      </c>
      <c r="AA705">
        <v>238</v>
      </c>
      <c r="AC705" s="3">
        <v>240</v>
      </c>
      <c r="AE705" s="3">
        <v>235.5</v>
      </c>
      <c r="AI705">
        <v>240</v>
      </c>
      <c r="AK705" s="3"/>
      <c r="AV705" t="s">
        <v>815</v>
      </c>
      <c r="AX705" t="s">
        <v>815</v>
      </c>
      <c r="AZ705" t="s">
        <v>815</v>
      </c>
      <c r="BB705" t="s">
        <v>815</v>
      </c>
      <c r="BG705">
        <v>6</v>
      </c>
      <c r="BH705">
        <v>8</v>
      </c>
      <c r="BI705">
        <v>9</v>
      </c>
      <c r="BJ705">
        <v>10</v>
      </c>
      <c r="BK705" s="4">
        <v>3044</v>
      </c>
      <c r="BL705" s="4">
        <v>3409</v>
      </c>
      <c r="BM705" s="4">
        <v>3774</v>
      </c>
      <c r="BN705" s="4">
        <v>4139</v>
      </c>
      <c r="BR705">
        <v>118151</v>
      </c>
      <c r="BS705" t="s">
        <v>1314</v>
      </c>
      <c r="BT705">
        <v>4</v>
      </c>
      <c r="BU705">
        <v>3</v>
      </c>
      <c r="BV705">
        <v>3</v>
      </c>
      <c r="BX705">
        <v>240</v>
      </c>
      <c r="BZ705">
        <v>220</v>
      </c>
      <c r="CK705" t="s">
        <v>360</v>
      </c>
      <c r="CM705">
        <v>1911</v>
      </c>
    </row>
    <row r="706" spans="1:91" x14ac:dyDescent="0.3">
      <c r="A706" t="s">
        <v>1313</v>
      </c>
      <c r="B706">
        <v>48107</v>
      </c>
      <c r="C706" t="s">
        <v>1315</v>
      </c>
      <c r="D706">
        <v>12</v>
      </c>
      <c r="I706">
        <v>100000</v>
      </c>
      <c r="J706" t="s">
        <v>800</v>
      </c>
      <c r="V706" t="s">
        <v>350</v>
      </c>
      <c r="Y706">
        <v>100</v>
      </c>
      <c r="AA706">
        <v>107</v>
      </c>
      <c r="AB706" t="s">
        <v>379</v>
      </c>
      <c r="AC706" s="3">
        <v>108</v>
      </c>
      <c r="AE706" s="3">
        <v>107</v>
      </c>
      <c r="AI706">
        <v>107</v>
      </c>
      <c r="AK706" s="3"/>
      <c r="AV706" t="s">
        <v>815</v>
      </c>
      <c r="AX706" t="s">
        <v>815</v>
      </c>
      <c r="AZ706" t="s">
        <v>815</v>
      </c>
      <c r="BB706" t="s">
        <v>815</v>
      </c>
      <c r="BG706">
        <v>6</v>
      </c>
      <c r="BH706">
        <v>6</v>
      </c>
      <c r="BI706">
        <v>6</v>
      </c>
      <c r="BJ706">
        <v>6</v>
      </c>
      <c r="BK706" s="4">
        <v>3044</v>
      </c>
      <c r="BL706" s="4">
        <v>3409</v>
      </c>
      <c r="BM706" s="4">
        <v>3774</v>
      </c>
      <c r="BN706" s="4">
        <v>4139</v>
      </c>
      <c r="BR706">
        <v>118151</v>
      </c>
      <c r="BS706" t="s">
        <v>1314</v>
      </c>
      <c r="BT706">
        <v>5</v>
      </c>
      <c r="BU706">
        <v>12</v>
      </c>
      <c r="BV706">
        <v>9</v>
      </c>
      <c r="BX706">
        <v>114.75</v>
      </c>
      <c r="BZ706">
        <v>107</v>
      </c>
      <c r="CM706">
        <v>1911</v>
      </c>
    </row>
    <row r="707" spans="1:91" x14ac:dyDescent="0.3">
      <c r="A707" t="s">
        <v>1313</v>
      </c>
      <c r="B707">
        <v>48106</v>
      </c>
      <c r="C707" t="s">
        <v>1316</v>
      </c>
      <c r="D707">
        <v>12</v>
      </c>
      <c r="I707">
        <v>200000</v>
      </c>
      <c r="J707" t="s">
        <v>800</v>
      </c>
      <c r="V707" t="s">
        <v>350</v>
      </c>
      <c r="Y707">
        <v>100</v>
      </c>
      <c r="AA707">
        <v>103</v>
      </c>
      <c r="AC707" s="3">
        <v>103</v>
      </c>
      <c r="AE707" s="3">
        <v>101</v>
      </c>
      <c r="AI707">
        <v>101</v>
      </c>
      <c r="AJ707" t="s">
        <v>379</v>
      </c>
      <c r="AK707" s="3"/>
      <c r="AV707" t="s">
        <v>370</v>
      </c>
      <c r="AX707" t="s">
        <v>370</v>
      </c>
      <c r="AZ707" t="s">
        <v>370</v>
      </c>
      <c r="BB707" t="s">
        <v>370</v>
      </c>
      <c r="BO707" t="s">
        <v>367</v>
      </c>
      <c r="BR707">
        <v>118151</v>
      </c>
      <c r="BS707" t="s">
        <v>1314</v>
      </c>
      <c r="BT707">
        <v>4</v>
      </c>
      <c r="BU707">
        <v>19</v>
      </c>
      <c r="BV707">
        <v>0</v>
      </c>
      <c r="BX707">
        <v>105.75</v>
      </c>
      <c r="BZ707">
        <v>99</v>
      </c>
      <c r="CM707">
        <v>1911</v>
      </c>
    </row>
    <row r="708" spans="1:91" x14ac:dyDescent="0.3">
      <c r="A708" t="s">
        <v>1317</v>
      </c>
      <c r="B708">
        <v>49114</v>
      </c>
      <c r="D708">
        <v>12</v>
      </c>
      <c r="I708">
        <v>40000</v>
      </c>
      <c r="U708">
        <v>5</v>
      </c>
      <c r="Y708">
        <v>5</v>
      </c>
      <c r="AA708">
        <v>8.5</v>
      </c>
      <c r="AC708" s="3">
        <v>8.5</v>
      </c>
      <c r="AE708" s="3">
        <v>7.75</v>
      </c>
      <c r="AI708">
        <v>8</v>
      </c>
      <c r="AK708" s="3"/>
      <c r="AX708" t="s">
        <v>823</v>
      </c>
      <c r="BB708" t="s">
        <v>823</v>
      </c>
      <c r="BG708">
        <v>10</v>
      </c>
      <c r="BH708">
        <v>10</v>
      </c>
      <c r="BI708">
        <v>10</v>
      </c>
      <c r="BJ708">
        <v>10</v>
      </c>
      <c r="BK708" s="4">
        <v>3685</v>
      </c>
      <c r="BL708" s="4">
        <v>3866</v>
      </c>
      <c r="BM708" s="4">
        <v>4050</v>
      </c>
      <c r="BN708" s="4">
        <v>4231</v>
      </c>
      <c r="BR708">
        <v>68645</v>
      </c>
      <c r="BS708" t="s">
        <v>1318</v>
      </c>
      <c r="BT708">
        <v>6</v>
      </c>
      <c r="BU708">
        <v>5</v>
      </c>
      <c r="BV708">
        <v>0</v>
      </c>
      <c r="BX708">
        <v>9.5</v>
      </c>
      <c r="BZ708">
        <v>7.5</v>
      </c>
      <c r="CK708" t="s">
        <v>360</v>
      </c>
      <c r="CM708">
        <v>1911</v>
      </c>
    </row>
    <row r="709" spans="1:91" x14ac:dyDescent="0.3">
      <c r="A709" t="s">
        <v>1319</v>
      </c>
      <c r="B709">
        <v>49113</v>
      </c>
      <c r="D709">
        <v>12</v>
      </c>
      <c r="I709">
        <v>20000</v>
      </c>
      <c r="U709">
        <v>5</v>
      </c>
      <c r="Y709">
        <v>5</v>
      </c>
      <c r="AA709">
        <v>7</v>
      </c>
      <c r="AC709" s="3">
        <v>7.06</v>
      </c>
      <c r="AE709" s="3">
        <v>6.75</v>
      </c>
      <c r="AI709">
        <v>6.87</v>
      </c>
      <c r="AK709" s="3"/>
      <c r="AV709" t="s">
        <v>506</v>
      </c>
      <c r="AX709" t="s">
        <v>506</v>
      </c>
      <c r="AZ709" t="s">
        <v>506</v>
      </c>
      <c r="BB709" t="s">
        <v>506</v>
      </c>
      <c r="BO709" t="s">
        <v>367</v>
      </c>
      <c r="BR709">
        <v>68645</v>
      </c>
      <c r="BS709" t="s">
        <v>1318</v>
      </c>
      <c r="BT709">
        <v>5</v>
      </c>
      <c r="BU709">
        <v>1</v>
      </c>
      <c r="BV709">
        <v>9</v>
      </c>
      <c r="BX709">
        <v>7.12</v>
      </c>
      <c r="BZ709">
        <v>6.75</v>
      </c>
      <c r="CM709">
        <v>1911</v>
      </c>
    </row>
    <row r="710" spans="1:91" x14ac:dyDescent="0.3">
      <c r="A710" t="s">
        <v>1320</v>
      </c>
      <c r="B710">
        <v>48657</v>
      </c>
      <c r="D710">
        <v>12</v>
      </c>
      <c r="I710" s="2">
        <v>9000000</v>
      </c>
      <c r="J710" t="s">
        <v>773</v>
      </c>
      <c r="U710">
        <v>100</v>
      </c>
      <c r="V710" t="s">
        <v>773</v>
      </c>
      <c r="Y710">
        <v>100</v>
      </c>
      <c r="Z710" t="s">
        <v>773</v>
      </c>
      <c r="AA710">
        <v>124.5</v>
      </c>
      <c r="AC710" s="3">
        <v>127.75</v>
      </c>
      <c r="AE710" s="3">
        <v>124.5</v>
      </c>
      <c r="AI710">
        <v>126</v>
      </c>
      <c r="AK710" s="3"/>
      <c r="BG710">
        <v>4</v>
      </c>
      <c r="BH710">
        <v>5</v>
      </c>
      <c r="BI710">
        <v>5</v>
      </c>
      <c r="BJ710">
        <v>5</v>
      </c>
      <c r="BK710" s="4">
        <v>4019</v>
      </c>
      <c r="BL710" s="4">
        <v>4109</v>
      </c>
      <c r="BM710" s="4">
        <v>4200</v>
      </c>
      <c r="BN710" s="4">
        <v>4292</v>
      </c>
      <c r="BS710" t="s">
        <v>385</v>
      </c>
      <c r="BT710">
        <v>3</v>
      </c>
      <c r="BU710">
        <v>19</v>
      </c>
      <c r="BV710">
        <v>9</v>
      </c>
      <c r="BX710">
        <v>127.75</v>
      </c>
      <c r="BZ710">
        <v>111.5</v>
      </c>
      <c r="CM710">
        <v>1911</v>
      </c>
    </row>
    <row r="711" spans="1:91" x14ac:dyDescent="0.3">
      <c r="A711" t="s">
        <v>1321</v>
      </c>
      <c r="B711">
        <v>48658</v>
      </c>
      <c r="C711" t="s">
        <v>1322</v>
      </c>
      <c r="D711">
        <v>12</v>
      </c>
      <c r="I711" s="2">
        <v>3222500</v>
      </c>
      <c r="J711" t="s">
        <v>773</v>
      </c>
      <c r="U711">
        <v>500</v>
      </c>
      <c r="V711" t="s">
        <v>773</v>
      </c>
      <c r="Y711">
        <v>500</v>
      </c>
      <c r="Z711" t="s">
        <v>773</v>
      </c>
      <c r="AA711">
        <v>108</v>
      </c>
      <c r="AC711" s="3">
        <v>108.5</v>
      </c>
      <c r="AE711" s="3">
        <v>108</v>
      </c>
      <c r="AI711">
        <v>108</v>
      </c>
      <c r="AK711" s="3"/>
      <c r="AV711" t="s">
        <v>370</v>
      </c>
      <c r="AX711" t="s">
        <v>370</v>
      </c>
      <c r="AZ711" t="s">
        <v>370</v>
      </c>
      <c r="BB711" t="s">
        <v>370</v>
      </c>
      <c r="BO711" t="s">
        <v>367</v>
      </c>
      <c r="BS711" t="s">
        <v>385</v>
      </c>
      <c r="BT711">
        <v>4</v>
      </c>
      <c r="BU711">
        <v>14</v>
      </c>
      <c r="BV711">
        <v>9</v>
      </c>
      <c r="BX711">
        <v>110.75</v>
      </c>
      <c r="BZ711">
        <v>106</v>
      </c>
      <c r="CM711">
        <v>1911</v>
      </c>
    </row>
    <row r="712" spans="1:91" x14ac:dyDescent="0.3">
      <c r="A712" t="s">
        <v>1320</v>
      </c>
      <c r="B712">
        <v>48659</v>
      </c>
      <c r="C712" t="s">
        <v>1323</v>
      </c>
      <c r="D712">
        <v>12</v>
      </c>
      <c r="I712">
        <v>821946</v>
      </c>
      <c r="J712" t="s">
        <v>800</v>
      </c>
      <c r="V712" t="s">
        <v>350</v>
      </c>
      <c r="Y712">
        <v>100</v>
      </c>
      <c r="AA712">
        <v>103.5</v>
      </c>
      <c r="AC712" s="3">
        <v>104</v>
      </c>
      <c r="AE712" s="3">
        <v>103.12</v>
      </c>
      <c r="AI712">
        <v>103.5</v>
      </c>
      <c r="AK712" s="3"/>
      <c r="AV712" t="s">
        <v>366</v>
      </c>
      <c r="AX712" t="s">
        <v>366</v>
      </c>
      <c r="AZ712" t="s">
        <v>366</v>
      </c>
      <c r="BB712" t="s">
        <v>366</v>
      </c>
      <c r="BO712" t="s">
        <v>367</v>
      </c>
      <c r="BS712" t="s">
        <v>385</v>
      </c>
      <c r="BT712">
        <v>4</v>
      </c>
      <c r="BU712">
        <v>7</v>
      </c>
      <c r="BV712">
        <v>6</v>
      </c>
      <c r="BX712">
        <v>105.75</v>
      </c>
      <c r="BZ712">
        <v>102</v>
      </c>
      <c r="CM712">
        <v>1911</v>
      </c>
    </row>
    <row r="713" spans="1:91" x14ac:dyDescent="0.3">
      <c r="A713" t="s">
        <v>1324</v>
      </c>
      <c r="B713">
        <v>48898</v>
      </c>
      <c r="D713">
        <v>12</v>
      </c>
      <c r="I713">
        <v>12000</v>
      </c>
      <c r="U713">
        <v>5</v>
      </c>
      <c r="Y713">
        <v>5</v>
      </c>
      <c r="AA713">
        <v>1.62</v>
      </c>
      <c r="AC713" s="3">
        <v>1.62</v>
      </c>
      <c r="AE713" s="3">
        <v>1.62</v>
      </c>
      <c r="AI713">
        <v>1.62</v>
      </c>
      <c r="AK713" s="3"/>
      <c r="BB713" t="s">
        <v>810</v>
      </c>
      <c r="BG713">
        <v>4</v>
      </c>
      <c r="BH713">
        <v>4</v>
      </c>
      <c r="BI713">
        <v>4</v>
      </c>
      <c r="BK713" s="4">
        <v>1493</v>
      </c>
      <c r="BL713" s="4">
        <v>1859</v>
      </c>
      <c r="BM713" s="4">
        <v>2224</v>
      </c>
      <c r="BR713">
        <v>19856</v>
      </c>
      <c r="BW713" t="s">
        <v>802</v>
      </c>
      <c r="BX713">
        <v>2</v>
      </c>
      <c r="BZ713">
        <v>1.43</v>
      </c>
      <c r="CK713" t="s">
        <v>360</v>
      </c>
      <c r="CM713">
        <v>1911</v>
      </c>
    </row>
    <row r="714" spans="1:91" x14ac:dyDescent="0.3">
      <c r="A714" t="s">
        <v>1325</v>
      </c>
      <c r="B714">
        <v>48979</v>
      </c>
      <c r="D714">
        <v>12</v>
      </c>
      <c r="I714">
        <v>65000</v>
      </c>
      <c r="U714">
        <v>4</v>
      </c>
      <c r="Y714">
        <v>4</v>
      </c>
      <c r="AA714">
        <v>3</v>
      </c>
      <c r="AC714" s="3">
        <v>3</v>
      </c>
      <c r="AE714" s="3">
        <v>2.96</v>
      </c>
      <c r="AI714">
        <v>3</v>
      </c>
      <c r="AK714" s="3"/>
      <c r="BB714" t="s">
        <v>815</v>
      </c>
      <c r="BG714">
        <v>4</v>
      </c>
      <c r="BH714">
        <v>5</v>
      </c>
      <c r="BI714">
        <v>5</v>
      </c>
      <c r="BJ714">
        <v>5</v>
      </c>
      <c r="BK714" t="s">
        <v>1224</v>
      </c>
      <c r="BL714" t="s">
        <v>1225</v>
      </c>
      <c r="BM714" t="s">
        <v>913</v>
      </c>
      <c r="BN714" t="s">
        <v>1226</v>
      </c>
      <c r="BR714">
        <v>34862</v>
      </c>
      <c r="BS714" t="s">
        <v>1326</v>
      </c>
      <c r="BT714">
        <v>6</v>
      </c>
      <c r="BU714">
        <v>13</v>
      </c>
      <c r="BV714">
        <v>3</v>
      </c>
      <c r="BX714">
        <v>3.31</v>
      </c>
      <c r="BZ714">
        <v>2.5</v>
      </c>
      <c r="CK714" t="s">
        <v>360</v>
      </c>
      <c r="CM714">
        <v>1911</v>
      </c>
    </row>
    <row r="715" spans="1:91" x14ac:dyDescent="0.3">
      <c r="A715" t="s">
        <v>1327</v>
      </c>
      <c r="B715">
        <v>48307</v>
      </c>
      <c r="D715">
        <v>12</v>
      </c>
      <c r="I715">
        <v>142968</v>
      </c>
      <c r="U715">
        <v>1</v>
      </c>
      <c r="Y715">
        <v>1</v>
      </c>
      <c r="AA715">
        <v>1.06</v>
      </c>
      <c r="AC715" s="3">
        <v>1.06</v>
      </c>
      <c r="AE715" s="3">
        <v>1.06</v>
      </c>
      <c r="AI715">
        <v>1.06</v>
      </c>
      <c r="AK715" s="3"/>
      <c r="AV715" t="s">
        <v>506</v>
      </c>
      <c r="AX715" t="s">
        <v>506</v>
      </c>
      <c r="AZ715" t="s">
        <v>506</v>
      </c>
      <c r="BB715" t="s">
        <v>506</v>
      </c>
      <c r="BO715" t="s">
        <v>367</v>
      </c>
      <c r="BR715">
        <v>32912</v>
      </c>
      <c r="BS715" t="s">
        <v>1328</v>
      </c>
      <c r="BT715">
        <v>6</v>
      </c>
      <c r="BU715">
        <v>11</v>
      </c>
      <c r="BV715">
        <v>9</v>
      </c>
      <c r="BX715">
        <v>1.18</v>
      </c>
      <c r="BZ715">
        <v>0.96</v>
      </c>
      <c r="CM715">
        <v>1911</v>
      </c>
    </row>
    <row r="716" spans="1:91" x14ac:dyDescent="0.3">
      <c r="A716" t="s">
        <v>1327</v>
      </c>
      <c r="B716">
        <v>48305</v>
      </c>
      <c r="C716" t="s">
        <v>1329</v>
      </c>
      <c r="D716">
        <v>12</v>
      </c>
      <c r="I716">
        <v>240000</v>
      </c>
      <c r="J716" t="s">
        <v>800</v>
      </c>
      <c r="V716" t="s">
        <v>350</v>
      </c>
      <c r="Y716">
        <v>100</v>
      </c>
      <c r="AA716">
        <v>96.5</v>
      </c>
      <c r="AC716" s="3">
        <v>98</v>
      </c>
      <c r="AE716" s="3">
        <v>96.5</v>
      </c>
      <c r="AI716">
        <v>96.5</v>
      </c>
      <c r="AK716" s="3"/>
      <c r="AV716" t="s">
        <v>536</v>
      </c>
      <c r="AX716" t="s">
        <v>536</v>
      </c>
      <c r="AZ716" t="s">
        <v>536</v>
      </c>
      <c r="BB716" t="s">
        <v>536</v>
      </c>
      <c r="BO716" t="s">
        <v>367</v>
      </c>
      <c r="BR716">
        <v>32912</v>
      </c>
      <c r="BS716" t="s">
        <v>1328</v>
      </c>
      <c r="BT716">
        <v>4</v>
      </c>
      <c r="BU716">
        <v>14</v>
      </c>
      <c r="BV716">
        <v>9</v>
      </c>
      <c r="BX716">
        <v>98.5</v>
      </c>
      <c r="BZ716">
        <v>95.5</v>
      </c>
      <c r="CM716">
        <v>1911</v>
      </c>
    </row>
    <row r="717" spans="1:91" x14ac:dyDescent="0.3">
      <c r="A717" t="s">
        <v>1330</v>
      </c>
      <c r="B717">
        <v>49643</v>
      </c>
      <c r="D717">
        <v>12</v>
      </c>
      <c r="I717">
        <v>450000</v>
      </c>
      <c r="J717" t="s">
        <v>800</v>
      </c>
      <c r="V717" t="s">
        <v>350</v>
      </c>
      <c r="Y717">
        <v>100</v>
      </c>
      <c r="AA717">
        <v>101</v>
      </c>
      <c r="AC717" s="3">
        <v>101</v>
      </c>
      <c r="AE717" s="3">
        <v>99</v>
      </c>
      <c r="AI717">
        <v>99</v>
      </c>
      <c r="AK717" s="3"/>
      <c r="AV717" t="s">
        <v>370</v>
      </c>
      <c r="AX717" t="s">
        <v>370</v>
      </c>
      <c r="AZ717" t="s">
        <v>370</v>
      </c>
      <c r="BB717" t="s">
        <v>370</v>
      </c>
      <c r="BO717" t="s">
        <v>367</v>
      </c>
      <c r="BS717" t="s">
        <v>385</v>
      </c>
      <c r="BT717">
        <v>4</v>
      </c>
      <c r="BU717">
        <v>12</v>
      </c>
      <c r="BV717">
        <v>9</v>
      </c>
      <c r="BX717">
        <v>102.87</v>
      </c>
      <c r="BZ717">
        <v>99</v>
      </c>
      <c r="CK717" t="s">
        <v>360</v>
      </c>
      <c r="CM717">
        <v>1911</v>
      </c>
    </row>
    <row r="718" spans="1:91" x14ac:dyDescent="0.3">
      <c r="A718" t="s">
        <v>1331</v>
      </c>
      <c r="B718">
        <v>49999</v>
      </c>
      <c r="D718">
        <v>12</v>
      </c>
      <c r="I718">
        <v>80000</v>
      </c>
      <c r="U718">
        <v>5</v>
      </c>
      <c r="Y718">
        <v>5</v>
      </c>
      <c r="AA718">
        <v>0.5</v>
      </c>
      <c r="AC718" s="3">
        <v>0.5</v>
      </c>
      <c r="AE718" s="3">
        <v>0.5</v>
      </c>
      <c r="AI718">
        <v>0.5</v>
      </c>
      <c r="AK718" s="3"/>
      <c r="BG718">
        <v>5</v>
      </c>
      <c r="BH718">
        <v>5</v>
      </c>
      <c r="BI718">
        <v>5</v>
      </c>
      <c r="BJ718">
        <v>2.5</v>
      </c>
      <c r="BK718" s="4">
        <v>3562</v>
      </c>
      <c r="BL718" s="4">
        <v>3744</v>
      </c>
      <c r="BM718" s="4">
        <v>3927</v>
      </c>
      <c r="BN718" s="4">
        <v>4109</v>
      </c>
      <c r="BS718" t="s">
        <v>385</v>
      </c>
      <c r="BT718">
        <v>37</v>
      </c>
      <c r="BU718">
        <v>10</v>
      </c>
      <c r="BV718">
        <v>0</v>
      </c>
      <c r="BX718">
        <v>1.1200000000000001</v>
      </c>
      <c r="BZ718">
        <v>0.4</v>
      </c>
      <c r="CK718" t="s">
        <v>360</v>
      </c>
      <c r="CM718">
        <v>1911</v>
      </c>
    </row>
    <row r="719" spans="1:91" x14ac:dyDescent="0.3">
      <c r="A719" t="s">
        <v>1331</v>
      </c>
      <c r="B719">
        <v>50000</v>
      </c>
      <c r="C719" t="s">
        <v>817</v>
      </c>
      <c r="D719">
        <v>12</v>
      </c>
      <c r="I719">
        <v>50000</v>
      </c>
      <c r="U719">
        <v>5</v>
      </c>
      <c r="Y719">
        <v>5</v>
      </c>
      <c r="AA719">
        <v>2.25</v>
      </c>
      <c r="AC719" s="3">
        <v>2.25</v>
      </c>
      <c r="AE719" s="3">
        <v>2.25</v>
      </c>
      <c r="AI719">
        <v>2.25</v>
      </c>
      <c r="AK719" s="3"/>
      <c r="BG719">
        <v>5</v>
      </c>
      <c r="BH719">
        <v>5</v>
      </c>
      <c r="BI719">
        <v>5</v>
      </c>
      <c r="BJ719">
        <v>2.5</v>
      </c>
      <c r="BK719" s="4">
        <v>3562</v>
      </c>
      <c r="BL719" s="4">
        <v>3744</v>
      </c>
      <c r="BM719" s="4">
        <v>3927</v>
      </c>
      <c r="BN719" s="4">
        <v>4475</v>
      </c>
      <c r="BS719" t="s">
        <v>385</v>
      </c>
      <c r="BT719">
        <v>8</v>
      </c>
      <c r="BU719">
        <v>6</v>
      </c>
      <c r="BV719">
        <v>9</v>
      </c>
      <c r="BX719">
        <v>2.87</v>
      </c>
      <c r="BZ719">
        <v>1.4</v>
      </c>
      <c r="CM719">
        <v>1911</v>
      </c>
    </row>
    <row r="720" spans="1:91" x14ac:dyDescent="0.3">
      <c r="A720" t="s">
        <v>1332</v>
      </c>
      <c r="B720">
        <v>50001</v>
      </c>
      <c r="C720" t="s">
        <v>805</v>
      </c>
      <c r="D720">
        <v>12</v>
      </c>
      <c r="I720">
        <v>275000</v>
      </c>
      <c r="J720" t="s">
        <v>800</v>
      </c>
      <c r="V720" t="s">
        <v>350</v>
      </c>
      <c r="Y720">
        <v>100</v>
      </c>
      <c r="AA720">
        <v>87.5</v>
      </c>
      <c r="AC720" s="3">
        <v>87.5</v>
      </c>
      <c r="AE720" s="3">
        <v>86.5</v>
      </c>
      <c r="AI720">
        <v>87.5</v>
      </c>
      <c r="AK720" s="3"/>
      <c r="AV720" t="s">
        <v>536</v>
      </c>
      <c r="AX720" t="s">
        <v>536</v>
      </c>
      <c r="AZ720" t="s">
        <v>536</v>
      </c>
      <c r="BB720" t="s">
        <v>536</v>
      </c>
      <c r="BO720" t="s">
        <v>367</v>
      </c>
      <c r="BS720" t="s">
        <v>385</v>
      </c>
      <c r="BT720">
        <v>5</v>
      </c>
      <c r="BU720">
        <v>3</v>
      </c>
      <c r="BV720">
        <v>9</v>
      </c>
      <c r="BX720">
        <v>89</v>
      </c>
      <c r="BZ720">
        <v>80.5</v>
      </c>
      <c r="CM720">
        <v>1911</v>
      </c>
    </row>
    <row r="721" spans="1:91" x14ac:dyDescent="0.3">
      <c r="A721" t="s">
        <v>1333</v>
      </c>
      <c r="B721">
        <v>50058</v>
      </c>
      <c r="D721">
        <v>12</v>
      </c>
      <c r="I721">
        <v>250000</v>
      </c>
      <c r="J721" t="s">
        <v>800</v>
      </c>
      <c r="U721">
        <v>100</v>
      </c>
      <c r="Y721">
        <v>100</v>
      </c>
      <c r="AA721">
        <v>93</v>
      </c>
      <c r="AC721" s="3">
        <v>94.12</v>
      </c>
      <c r="AE721" s="3">
        <v>93</v>
      </c>
      <c r="AI721">
        <v>93.5</v>
      </c>
      <c r="AK721" s="3"/>
      <c r="AV721" t="s">
        <v>370</v>
      </c>
      <c r="AX721" t="s">
        <v>370</v>
      </c>
      <c r="AZ721" t="s">
        <v>370</v>
      </c>
      <c r="BB721" t="s">
        <v>370</v>
      </c>
      <c r="BO721" t="s">
        <v>367</v>
      </c>
      <c r="BR721">
        <v>10294</v>
      </c>
      <c r="BT721">
        <v>5</v>
      </c>
      <c r="BU721">
        <v>7</v>
      </c>
      <c r="BV721">
        <v>0</v>
      </c>
      <c r="BX721">
        <v>94.25</v>
      </c>
      <c r="BZ721">
        <v>91</v>
      </c>
      <c r="CK721" t="s">
        <v>360</v>
      </c>
      <c r="CM721">
        <v>1911</v>
      </c>
    </row>
    <row r="722" spans="1:91" x14ac:dyDescent="0.3">
      <c r="A722" t="s">
        <v>1334</v>
      </c>
      <c r="B722">
        <v>50092</v>
      </c>
      <c r="D722">
        <v>12</v>
      </c>
      <c r="I722" s="2">
        <v>1708000</v>
      </c>
      <c r="U722">
        <v>1</v>
      </c>
      <c r="Y722">
        <v>1</v>
      </c>
      <c r="AA722">
        <v>0.87</v>
      </c>
      <c r="AC722" s="3">
        <v>0.87</v>
      </c>
      <c r="AE722" s="3">
        <v>0.68</v>
      </c>
      <c r="AI722">
        <v>0.75</v>
      </c>
      <c r="AK722" s="3"/>
      <c r="AV722" t="s">
        <v>1335</v>
      </c>
      <c r="BG722">
        <v>6</v>
      </c>
      <c r="BR722">
        <v>37400</v>
      </c>
      <c r="BT722">
        <v>8</v>
      </c>
      <c r="BU722">
        <v>0</v>
      </c>
      <c r="BV722">
        <v>0</v>
      </c>
      <c r="BX722">
        <v>1.06</v>
      </c>
      <c r="BZ722">
        <v>0.68</v>
      </c>
      <c r="CK722" t="s">
        <v>360</v>
      </c>
      <c r="CM722">
        <v>1911</v>
      </c>
    </row>
    <row r="723" spans="1:91" x14ac:dyDescent="0.3">
      <c r="A723" t="s">
        <v>1336</v>
      </c>
      <c r="B723">
        <v>50155</v>
      </c>
      <c r="D723">
        <v>12</v>
      </c>
      <c r="I723">
        <v>302100</v>
      </c>
      <c r="J723" t="s">
        <v>800</v>
      </c>
      <c r="U723">
        <v>100</v>
      </c>
      <c r="Y723">
        <v>100</v>
      </c>
      <c r="AA723">
        <v>107.5</v>
      </c>
      <c r="AC723" s="3">
        <v>107.5</v>
      </c>
      <c r="AE723" s="3">
        <v>107</v>
      </c>
      <c r="AI723">
        <v>107.5</v>
      </c>
      <c r="AK723" s="3"/>
      <c r="AV723" t="s">
        <v>373</v>
      </c>
      <c r="AX723" t="s">
        <v>373</v>
      </c>
      <c r="AZ723" t="s">
        <v>373</v>
      </c>
      <c r="BB723" t="s">
        <v>373</v>
      </c>
      <c r="BO723" t="s">
        <v>367</v>
      </c>
      <c r="BS723" t="s">
        <v>385</v>
      </c>
      <c r="BT723">
        <v>5</v>
      </c>
      <c r="BU723">
        <v>13</v>
      </c>
      <c r="BV723">
        <v>3</v>
      </c>
      <c r="BX723">
        <v>110.25</v>
      </c>
      <c r="BZ723">
        <v>105.5</v>
      </c>
      <c r="CM723">
        <v>1911</v>
      </c>
    </row>
    <row r="724" spans="1:91" x14ac:dyDescent="0.3">
      <c r="A724" t="s">
        <v>1337</v>
      </c>
      <c r="B724">
        <v>50439</v>
      </c>
      <c r="D724">
        <v>12</v>
      </c>
      <c r="I724">
        <v>110000</v>
      </c>
      <c r="U724">
        <v>5</v>
      </c>
      <c r="Y724">
        <v>5</v>
      </c>
      <c r="AA724">
        <v>8.1199999999999992</v>
      </c>
      <c r="AC724" s="3">
        <v>8.25</v>
      </c>
      <c r="AE724" s="3">
        <v>7.93</v>
      </c>
      <c r="AI724">
        <v>8.1199999999999992</v>
      </c>
      <c r="AK724" s="3"/>
      <c r="AV724" t="s">
        <v>823</v>
      </c>
      <c r="AZ724" t="s">
        <v>823</v>
      </c>
      <c r="BG724">
        <v>10</v>
      </c>
      <c r="BH724">
        <v>10</v>
      </c>
      <c r="BI724">
        <v>10</v>
      </c>
      <c r="BJ724">
        <v>10</v>
      </c>
      <c r="BK724" s="4">
        <v>3713</v>
      </c>
      <c r="BL724" s="4">
        <v>3897</v>
      </c>
      <c r="BM724" s="4">
        <v>4078</v>
      </c>
      <c r="BN724" s="4">
        <v>4262</v>
      </c>
      <c r="BR724">
        <v>342043</v>
      </c>
      <c r="BS724" t="s">
        <v>1338</v>
      </c>
      <c r="BT724">
        <v>6</v>
      </c>
      <c r="BU724">
        <v>3</v>
      </c>
      <c r="BV724">
        <v>0</v>
      </c>
      <c r="BX724">
        <v>8.5</v>
      </c>
      <c r="BZ724">
        <v>7.37</v>
      </c>
      <c r="CK724" t="s">
        <v>360</v>
      </c>
      <c r="CM724">
        <v>1911</v>
      </c>
    </row>
    <row r="725" spans="1:91" x14ac:dyDescent="0.3">
      <c r="A725" t="s">
        <v>1337</v>
      </c>
      <c r="B725">
        <v>50441</v>
      </c>
      <c r="C725" t="s">
        <v>977</v>
      </c>
      <c r="D725">
        <v>12</v>
      </c>
      <c r="I725">
        <v>81279</v>
      </c>
      <c r="U725">
        <v>5</v>
      </c>
      <c r="Y725">
        <v>5</v>
      </c>
      <c r="AA725">
        <v>5.12</v>
      </c>
      <c r="AC725" s="3">
        <v>5.18</v>
      </c>
      <c r="AE725" s="3">
        <v>5</v>
      </c>
      <c r="AI725">
        <v>5</v>
      </c>
      <c r="AJ725" t="s">
        <v>379</v>
      </c>
      <c r="AK725" s="3"/>
      <c r="AV725" t="s">
        <v>370</v>
      </c>
      <c r="AX725" t="s">
        <v>370</v>
      </c>
      <c r="AZ725" t="s">
        <v>370</v>
      </c>
      <c r="BB725" t="s">
        <v>370</v>
      </c>
      <c r="BO725" t="s">
        <v>367</v>
      </c>
      <c r="BR725">
        <v>342043</v>
      </c>
      <c r="BS725" t="s">
        <v>1338</v>
      </c>
      <c r="BT725">
        <v>4</v>
      </c>
      <c r="BU725">
        <v>10</v>
      </c>
      <c r="BV725">
        <v>0</v>
      </c>
      <c r="BX725">
        <v>5.25</v>
      </c>
      <c r="BZ725">
        <v>4.93</v>
      </c>
      <c r="CM725">
        <v>1911</v>
      </c>
    </row>
    <row r="726" spans="1:91" x14ac:dyDescent="0.3">
      <c r="A726" t="s">
        <v>1339</v>
      </c>
      <c r="B726">
        <v>40158</v>
      </c>
      <c r="D726">
        <v>12</v>
      </c>
      <c r="I726" s="2">
        <v>1551870</v>
      </c>
      <c r="J726" t="s">
        <v>800</v>
      </c>
      <c r="V726" t="s">
        <v>350</v>
      </c>
      <c r="Y726">
        <v>100</v>
      </c>
      <c r="AA726">
        <v>80.5</v>
      </c>
      <c r="AC726" s="3">
        <v>80.5</v>
      </c>
      <c r="AE726" s="3">
        <v>80.5</v>
      </c>
      <c r="AI726">
        <v>80.5</v>
      </c>
      <c r="AK726" s="3"/>
      <c r="BG726">
        <v>5</v>
      </c>
      <c r="BH726">
        <v>5</v>
      </c>
      <c r="BI726">
        <v>5</v>
      </c>
      <c r="BJ726">
        <v>5</v>
      </c>
      <c r="BK726" s="4">
        <v>3744</v>
      </c>
      <c r="BL726" s="4">
        <v>3927</v>
      </c>
      <c r="BM726" s="4">
        <v>4109</v>
      </c>
      <c r="BN726" s="4">
        <v>4292</v>
      </c>
      <c r="BR726">
        <v>58893</v>
      </c>
      <c r="BS726" t="s">
        <v>1340</v>
      </c>
      <c r="BT726">
        <v>6</v>
      </c>
      <c r="BU726">
        <v>5</v>
      </c>
      <c r="BV726">
        <v>0</v>
      </c>
      <c r="BX726">
        <v>85.5</v>
      </c>
      <c r="BZ726">
        <v>79</v>
      </c>
      <c r="CK726" t="s">
        <v>1179</v>
      </c>
      <c r="CM726">
        <v>1911</v>
      </c>
    </row>
    <row r="727" spans="1:91" x14ac:dyDescent="0.3">
      <c r="A727" t="s">
        <v>1341</v>
      </c>
      <c r="B727">
        <v>40157</v>
      </c>
      <c r="D727">
        <v>12</v>
      </c>
      <c r="I727">
        <v>374000</v>
      </c>
      <c r="J727" t="s">
        <v>800</v>
      </c>
      <c r="V727" t="s">
        <v>350</v>
      </c>
      <c r="Y727">
        <v>100</v>
      </c>
      <c r="AA727">
        <v>94</v>
      </c>
      <c r="AC727" s="3">
        <v>94</v>
      </c>
      <c r="AE727" s="3">
        <v>94</v>
      </c>
      <c r="AI727">
        <v>94</v>
      </c>
      <c r="AK727" s="3"/>
      <c r="AV727" t="s">
        <v>370</v>
      </c>
      <c r="AX727" t="s">
        <v>370</v>
      </c>
      <c r="AZ727" t="s">
        <v>370</v>
      </c>
      <c r="BB727" t="s">
        <v>370</v>
      </c>
      <c r="BO727" t="s">
        <v>367</v>
      </c>
      <c r="BR727">
        <v>58893</v>
      </c>
      <c r="BS727" t="s">
        <v>1340</v>
      </c>
      <c r="BT727">
        <v>4</v>
      </c>
      <c r="BU727">
        <v>7</v>
      </c>
      <c r="BV727">
        <v>3</v>
      </c>
      <c r="BX727">
        <v>97</v>
      </c>
      <c r="BZ727">
        <v>94</v>
      </c>
      <c r="CM727">
        <v>1911</v>
      </c>
    </row>
    <row r="728" spans="1:91" x14ac:dyDescent="0.3">
      <c r="A728" t="s">
        <v>1342</v>
      </c>
      <c r="B728">
        <v>41218</v>
      </c>
      <c r="D728">
        <v>12</v>
      </c>
      <c r="I728">
        <v>50000</v>
      </c>
      <c r="U728">
        <v>5</v>
      </c>
      <c r="Y728">
        <v>5</v>
      </c>
      <c r="AA728">
        <v>6.25</v>
      </c>
      <c r="AC728" s="3">
        <v>6.25</v>
      </c>
      <c r="AE728" s="3">
        <v>6.25</v>
      </c>
      <c r="AI728">
        <v>6.25</v>
      </c>
      <c r="AK728" s="3"/>
      <c r="AX728" t="s">
        <v>823</v>
      </c>
      <c r="BB728" t="s">
        <v>823</v>
      </c>
      <c r="BG728">
        <v>8</v>
      </c>
      <c r="BH728">
        <v>6</v>
      </c>
      <c r="BI728">
        <v>8</v>
      </c>
      <c r="BJ728">
        <v>6</v>
      </c>
      <c r="BK728" s="4">
        <v>3805</v>
      </c>
      <c r="BL728" s="4">
        <v>3988</v>
      </c>
      <c r="BM728" s="4">
        <v>4170</v>
      </c>
      <c r="BN728" s="4">
        <v>4292</v>
      </c>
      <c r="BR728">
        <v>29088</v>
      </c>
      <c r="BS728" t="s">
        <v>1326</v>
      </c>
      <c r="BT728">
        <v>5</v>
      </c>
      <c r="BU728">
        <v>12</v>
      </c>
      <c r="BV728">
        <v>0</v>
      </c>
      <c r="BX728">
        <v>6.87</v>
      </c>
      <c r="BZ728">
        <v>6.25</v>
      </c>
      <c r="CK728" t="s">
        <v>360</v>
      </c>
      <c r="CM728">
        <v>1911</v>
      </c>
    </row>
    <row r="729" spans="1:91" x14ac:dyDescent="0.3">
      <c r="A729" t="s">
        <v>1343</v>
      </c>
      <c r="B729">
        <v>41266</v>
      </c>
      <c r="D729">
        <v>12</v>
      </c>
      <c r="I729">
        <v>5000</v>
      </c>
      <c r="U729">
        <v>10</v>
      </c>
      <c r="Y729">
        <v>10</v>
      </c>
      <c r="AA729">
        <v>29</v>
      </c>
      <c r="AC729" s="3">
        <v>29.5</v>
      </c>
      <c r="AE729" s="3">
        <v>29</v>
      </c>
      <c r="AI729">
        <v>29.5</v>
      </c>
      <c r="AK729" s="3"/>
      <c r="BG729">
        <v>15</v>
      </c>
      <c r="BH729">
        <v>15</v>
      </c>
      <c r="BI729">
        <v>15</v>
      </c>
      <c r="BJ729">
        <v>15</v>
      </c>
      <c r="BK729" s="4">
        <v>3685</v>
      </c>
      <c r="BL729" s="4">
        <v>3866</v>
      </c>
      <c r="BM729" s="4">
        <v>4050</v>
      </c>
      <c r="BN729" s="4">
        <v>4231</v>
      </c>
      <c r="BR729">
        <v>93770</v>
      </c>
      <c r="BS729" t="s">
        <v>1344</v>
      </c>
      <c r="BT729">
        <v>5</v>
      </c>
      <c r="BU729">
        <v>1</v>
      </c>
      <c r="BV729">
        <v>9</v>
      </c>
      <c r="BX729">
        <v>29.5</v>
      </c>
      <c r="BZ729">
        <v>28.5</v>
      </c>
      <c r="CK729" t="s">
        <v>360</v>
      </c>
      <c r="CM729">
        <v>1911</v>
      </c>
    </row>
    <row r="730" spans="1:91" x14ac:dyDescent="0.3">
      <c r="A730" t="s">
        <v>1345</v>
      </c>
      <c r="B730">
        <v>41267</v>
      </c>
      <c r="D730">
        <v>12</v>
      </c>
      <c r="I730">
        <v>33200</v>
      </c>
      <c r="U730">
        <v>10</v>
      </c>
      <c r="Y730">
        <v>10</v>
      </c>
      <c r="AA730">
        <v>16.25</v>
      </c>
      <c r="AC730" s="3">
        <v>16.25</v>
      </c>
      <c r="AE730" s="3">
        <v>16.25</v>
      </c>
      <c r="AI730">
        <v>16.25</v>
      </c>
      <c r="AK730" s="3"/>
      <c r="AV730" t="s">
        <v>506</v>
      </c>
      <c r="AX730" t="s">
        <v>506</v>
      </c>
      <c r="AZ730" t="s">
        <v>506</v>
      </c>
      <c r="BB730" t="s">
        <v>506</v>
      </c>
      <c r="BO730" t="s">
        <v>367</v>
      </c>
      <c r="BR730">
        <v>93770</v>
      </c>
      <c r="BS730" t="s">
        <v>1344</v>
      </c>
      <c r="BT730">
        <v>4</v>
      </c>
      <c r="BU730">
        <v>4</v>
      </c>
      <c r="BV730">
        <v>9</v>
      </c>
      <c r="BX730">
        <v>16.809999999999999</v>
      </c>
      <c r="BZ730">
        <v>16.12</v>
      </c>
      <c r="CM730">
        <v>1911</v>
      </c>
    </row>
    <row r="731" spans="1:91" x14ac:dyDescent="0.3">
      <c r="A731" t="s">
        <v>1345</v>
      </c>
      <c r="B731">
        <v>41268</v>
      </c>
      <c r="C731" t="s">
        <v>902</v>
      </c>
      <c r="D731">
        <v>12</v>
      </c>
      <c r="I731">
        <v>7500</v>
      </c>
      <c r="U731">
        <v>10</v>
      </c>
      <c r="Y731">
        <v>10</v>
      </c>
      <c r="AA731">
        <v>14.5</v>
      </c>
      <c r="AC731" s="3">
        <v>15</v>
      </c>
      <c r="AE731" s="3">
        <v>15</v>
      </c>
      <c r="AI731">
        <v>15</v>
      </c>
      <c r="AK731" s="3"/>
      <c r="AV731" t="s">
        <v>506</v>
      </c>
      <c r="AX731" t="s">
        <v>506</v>
      </c>
      <c r="AZ731" t="s">
        <v>506</v>
      </c>
      <c r="BB731" t="s">
        <v>506</v>
      </c>
      <c r="BO731" t="s">
        <v>367</v>
      </c>
      <c r="BR731">
        <v>93770</v>
      </c>
      <c r="BS731" t="s">
        <v>1344</v>
      </c>
      <c r="BT731">
        <v>4</v>
      </c>
      <c r="BU731">
        <v>2</v>
      </c>
      <c r="BV731">
        <v>9</v>
      </c>
      <c r="BX731">
        <v>15</v>
      </c>
      <c r="BZ731">
        <v>14.37</v>
      </c>
      <c r="CM731">
        <v>1911</v>
      </c>
    </row>
    <row r="732" spans="1:91" x14ac:dyDescent="0.3">
      <c r="A732" t="s">
        <v>1346</v>
      </c>
      <c r="B732">
        <v>41351</v>
      </c>
      <c r="D732">
        <v>12</v>
      </c>
      <c r="I732">
        <v>380000</v>
      </c>
      <c r="J732" t="s">
        <v>800</v>
      </c>
      <c r="V732" t="s">
        <v>350</v>
      </c>
      <c r="Y732">
        <v>100</v>
      </c>
      <c r="AA732">
        <v>258.5</v>
      </c>
      <c r="AC732" s="3">
        <v>260.5</v>
      </c>
      <c r="AE732" s="3">
        <v>258.5</v>
      </c>
      <c r="AI732">
        <v>258.5</v>
      </c>
      <c r="AK732" s="3"/>
      <c r="BG732">
        <v>12.5</v>
      </c>
      <c r="BH732">
        <v>12.5</v>
      </c>
      <c r="BI732">
        <v>12.5</v>
      </c>
      <c r="BJ732">
        <v>13</v>
      </c>
      <c r="BK732" s="4">
        <v>3713</v>
      </c>
      <c r="BL732" s="4">
        <v>3897</v>
      </c>
      <c r="BM732" s="4">
        <v>4078</v>
      </c>
      <c r="BN732" s="4">
        <v>4262</v>
      </c>
      <c r="BR732">
        <v>125620</v>
      </c>
      <c r="BS732" t="s">
        <v>1347</v>
      </c>
      <c r="BT732">
        <v>4</v>
      </c>
      <c r="BU732">
        <v>19</v>
      </c>
      <c r="BV732">
        <v>9</v>
      </c>
      <c r="BX732">
        <v>262.5</v>
      </c>
      <c r="BZ732">
        <v>252.5</v>
      </c>
      <c r="CK732" t="s">
        <v>360</v>
      </c>
      <c r="CL732" t="s">
        <v>457</v>
      </c>
      <c r="CM732">
        <v>1911</v>
      </c>
    </row>
    <row r="733" spans="1:91" x14ac:dyDescent="0.3">
      <c r="A733" t="s">
        <v>1346</v>
      </c>
      <c r="B733">
        <v>41354</v>
      </c>
      <c r="C733" t="s">
        <v>1348</v>
      </c>
      <c r="D733">
        <v>12</v>
      </c>
      <c r="I733">
        <v>330000</v>
      </c>
      <c r="J733" t="s">
        <v>800</v>
      </c>
      <c r="V733" t="s">
        <v>350</v>
      </c>
      <c r="Y733">
        <v>100</v>
      </c>
      <c r="AA733">
        <v>200.5</v>
      </c>
      <c r="AC733" s="3">
        <v>200.5</v>
      </c>
      <c r="AE733" s="3">
        <v>199</v>
      </c>
      <c r="AI733">
        <v>200.5</v>
      </c>
      <c r="AK733" s="3"/>
      <c r="BG733">
        <v>9.5</v>
      </c>
      <c r="BH733">
        <v>9.5</v>
      </c>
      <c r="BI733">
        <v>9.5</v>
      </c>
      <c r="BJ733">
        <v>10</v>
      </c>
      <c r="BK733" s="4">
        <v>3713</v>
      </c>
      <c r="BL733" s="4">
        <v>3897</v>
      </c>
      <c r="BM733" s="4">
        <v>4078</v>
      </c>
      <c r="BN733" s="4">
        <v>4628</v>
      </c>
      <c r="BR733">
        <v>125620</v>
      </c>
      <c r="BS733" t="s">
        <v>1347</v>
      </c>
      <c r="BT733">
        <v>4</v>
      </c>
      <c r="BU733">
        <v>18</v>
      </c>
      <c r="BV733">
        <v>3</v>
      </c>
      <c r="BX733">
        <v>206.5</v>
      </c>
      <c r="BZ733">
        <v>194.5</v>
      </c>
      <c r="CM733">
        <v>1911</v>
      </c>
    </row>
    <row r="734" spans="1:91" x14ac:dyDescent="0.3">
      <c r="A734" t="s">
        <v>1346</v>
      </c>
      <c r="B734">
        <v>41355</v>
      </c>
      <c r="C734" t="s">
        <v>860</v>
      </c>
      <c r="D734">
        <v>12</v>
      </c>
      <c r="I734">
        <v>206250</v>
      </c>
      <c r="J734" t="s">
        <v>800</v>
      </c>
      <c r="V734" t="s">
        <v>350</v>
      </c>
      <c r="Y734">
        <v>100</v>
      </c>
      <c r="AA734">
        <v>99</v>
      </c>
      <c r="AC734" s="3">
        <v>99</v>
      </c>
      <c r="AE734" s="3">
        <v>99</v>
      </c>
      <c r="AI734">
        <v>99</v>
      </c>
      <c r="AK734" s="3"/>
      <c r="AV734" t="s">
        <v>421</v>
      </c>
      <c r="AX734" t="s">
        <v>421</v>
      </c>
      <c r="AZ734" t="s">
        <v>421</v>
      </c>
      <c r="BB734" t="s">
        <v>421</v>
      </c>
      <c r="BO734" t="s">
        <v>367</v>
      </c>
      <c r="BR734">
        <v>125620</v>
      </c>
      <c r="BS734" t="s">
        <v>1347</v>
      </c>
      <c r="BT734">
        <v>4</v>
      </c>
      <c r="BU734">
        <v>2</v>
      </c>
      <c r="BV734">
        <v>6</v>
      </c>
      <c r="BX734">
        <v>100</v>
      </c>
      <c r="BZ734">
        <v>97.5</v>
      </c>
      <c r="CM734">
        <v>1911</v>
      </c>
    </row>
    <row r="735" spans="1:91" x14ac:dyDescent="0.3">
      <c r="A735" t="s">
        <v>1349</v>
      </c>
      <c r="B735">
        <v>41400</v>
      </c>
      <c r="D735">
        <v>12</v>
      </c>
      <c r="I735">
        <v>220000</v>
      </c>
      <c r="J735" t="s">
        <v>800</v>
      </c>
      <c r="V735" t="s">
        <v>350</v>
      </c>
      <c r="Y735">
        <v>100</v>
      </c>
      <c r="AA735">
        <v>219</v>
      </c>
      <c r="AC735" s="3">
        <v>219</v>
      </c>
      <c r="AE735" s="3">
        <v>219</v>
      </c>
      <c r="AI735">
        <v>219</v>
      </c>
      <c r="AK735" s="3"/>
      <c r="BG735">
        <v>11</v>
      </c>
      <c r="BH735">
        <v>11</v>
      </c>
      <c r="BI735">
        <v>11</v>
      </c>
      <c r="BJ735">
        <v>11</v>
      </c>
      <c r="BK735" s="4">
        <v>3713</v>
      </c>
      <c r="BL735" s="4">
        <v>3897</v>
      </c>
      <c r="BM735" s="4">
        <v>4078</v>
      </c>
      <c r="BN735" s="4">
        <v>4262</v>
      </c>
      <c r="BR735">
        <v>102434</v>
      </c>
      <c r="BS735" t="s">
        <v>1350</v>
      </c>
      <c r="BT735">
        <v>5</v>
      </c>
      <c r="BU735">
        <v>0</v>
      </c>
      <c r="BV735">
        <v>9</v>
      </c>
      <c r="BX735">
        <v>222</v>
      </c>
      <c r="BZ735">
        <v>216</v>
      </c>
      <c r="CK735" t="s">
        <v>360</v>
      </c>
      <c r="CL735" t="s">
        <v>457</v>
      </c>
      <c r="CM735">
        <v>1911</v>
      </c>
    </row>
    <row r="736" spans="1:91" x14ac:dyDescent="0.3">
      <c r="A736" t="s">
        <v>1349</v>
      </c>
      <c r="B736">
        <v>41403</v>
      </c>
      <c r="C736" t="s">
        <v>1351</v>
      </c>
      <c r="D736">
        <v>12</v>
      </c>
      <c r="I736">
        <v>244560</v>
      </c>
      <c r="J736" t="s">
        <v>800</v>
      </c>
      <c r="V736" t="s">
        <v>350</v>
      </c>
      <c r="Y736">
        <v>100</v>
      </c>
      <c r="AA736">
        <v>157.5</v>
      </c>
      <c r="AC736" s="3">
        <v>157.5</v>
      </c>
      <c r="AE736" s="3">
        <v>157.5</v>
      </c>
      <c r="AI736">
        <v>157.5</v>
      </c>
      <c r="AK736" s="3"/>
      <c r="BG736">
        <v>8</v>
      </c>
      <c r="BH736">
        <v>8</v>
      </c>
      <c r="BI736">
        <v>8</v>
      </c>
      <c r="BJ736">
        <v>8</v>
      </c>
      <c r="BK736" s="4">
        <v>3713</v>
      </c>
      <c r="BL736" s="4">
        <v>3897</v>
      </c>
      <c r="BM736" s="4">
        <v>4078</v>
      </c>
      <c r="BN736" s="4">
        <v>4628</v>
      </c>
      <c r="BR736">
        <v>102434</v>
      </c>
      <c r="BS736" t="s">
        <v>1350</v>
      </c>
      <c r="BT736">
        <v>5</v>
      </c>
      <c r="BU736">
        <v>3</v>
      </c>
      <c r="BV736">
        <v>0</v>
      </c>
      <c r="BX736">
        <v>162</v>
      </c>
      <c r="BZ736">
        <v>156.5</v>
      </c>
      <c r="CM736">
        <v>1911</v>
      </c>
    </row>
    <row r="737" spans="1:91" x14ac:dyDescent="0.3">
      <c r="A737" t="s">
        <v>1352</v>
      </c>
      <c r="B737">
        <v>41630</v>
      </c>
      <c r="D737">
        <v>12</v>
      </c>
      <c r="I737">
        <v>24500</v>
      </c>
      <c r="U737">
        <v>20</v>
      </c>
      <c r="Y737">
        <v>20</v>
      </c>
      <c r="AA737">
        <v>45</v>
      </c>
      <c r="AC737" s="3">
        <v>45.5</v>
      </c>
      <c r="AE737" s="3">
        <v>45</v>
      </c>
      <c r="AI737">
        <v>45</v>
      </c>
      <c r="AK737" s="3"/>
      <c r="BG737">
        <v>11.25</v>
      </c>
      <c r="BH737">
        <v>11.25</v>
      </c>
      <c r="BI737">
        <v>12.5</v>
      </c>
      <c r="BJ737">
        <v>12.5</v>
      </c>
      <c r="BK737" s="4">
        <v>3744</v>
      </c>
      <c r="BL737" s="4">
        <v>3927</v>
      </c>
      <c r="BM737" s="4">
        <v>4109</v>
      </c>
      <c r="BN737" s="4">
        <v>4292</v>
      </c>
      <c r="BS737" t="s">
        <v>385</v>
      </c>
      <c r="BT737">
        <v>5</v>
      </c>
      <c r="BU737">
        <v>11</v>
      </c>
      <c r="BV737">
        <v>0</v>
      </c>
      <c r="BX737">
        <v>46.5</v>
      </c>
      <c r="BZ737">
        <v>43.75</v>
      </c>
      <c r="CK737" t="s">
        <v>360</v>
      </c>
      <c r="CL737" t="s">
        <v>457</v>
      </c>
      <c r="CM737">
        <v>1911</v>
      </c>
    </row>
    <row r="738" spans="1:91" x14ac:dyDescent="0.3">
      <c r="A738" t="s">
        <v>1353</v>
      </c>
      <c r="B738">
        <v>41742</v>
      </c>
      <c r="D738">
        <v>12</v>
      </c>
      <c r="I738">
        <v>109000</v>
      </c>
      <c r="J738" t="s">
        <v>800</v>
      </c>
      <c r="V738" t="s">
        <v>350</v>
      </c>
      <c r="Y738">
        <v>100</v>
      </c>
      <c r="AA738">
        <v>129.5</v>
      </c>
      <c r="AC738" s="3">
        <v>129.5</v>
      </c>
      <c r="AE738" s="3">
        <v>129.5</v>
      </c>
      <c r="AI738">
        <v>129.5</v>
      </c>
      <c r="AK738" s="3"/>
      <c r="BG738">
        <v>6</v>
      </c>
      <c r="BH738">
        <v>6</v>
      </c>
      <c r="BI738">
        <v>6</v>
      </c>
      <c r="BJ738">
        <v>6</v>
      </c>
      <c r="BK738" t="s">
        <v>1354</v>
      </c>
      <c r="BL738">
        <v>1910</v>
      </c>
      <c r="BM738" s="4">
        <v>3897</v>
      </c>
      <c r="BN738" s="4">
        <v>4078</v>
      </c>
      <c r="BR738">
        <v>17602</v>
      </c>
      <c r="BS738" t="s">
        <v>1355</v>
      </c>
      <c r="BT738">
        <v>4</v>
      </c>
      <c r="BU738">
        <v>14</v>
      </c>
      <c r="BV738">
        <v>3</v>
      </c>
      <c r="BX738">
        <v>131</v>
      </c>
      <c r="BZ738">
        <v>114</v>
      </c>
      <c r="CK738" t="s">
        <v>360</v>
      </c>
      <c r="CM738">
        <v>1911</v>
      </c>
    </row>
    <row r="739" spans="1:91" x14ac:dyDescent="0.3">
      <c r="A739" t="s">
        <v>1353</v>
      </c>
      <c r="B739">
        <v>41743</v>
      </c>
      <c r="C739" t="s">
        <v>1356</v>
      </c>
      <c r="D739">
        <v>12</v>
      </c>
      <c r="I739">
        <v>165700</v>
      </c>
      <c r="J739" t="s">
        <v>800</v>
      </c>
      <c r="V739" t="s">
        <v>350</v>
      </c>
      <c r="Y739">
        <v>100</v>
      </c>
      <c r="AA739">
        <v>99.5</v>
      </c>
      <c r="AC739" s="3">
        <v>99.5</v>
      </c>
      <c r="AE739" s="3">
        <v>99.5</v>
      </c>
      <c r="AI739">
        <v>99.5</v>
      </c>
      <c r="AK739" s="3"/>
      <c r="BG739">
        <v>4.5</v>
      </c>
      <c r="BH739">
        <v>4.5</v>
      </c>
      <c r="BI739">
        <v>4.5</v>
      </c>
      <c r="BJ739">
        <v>4.5</v>
      </c>
      <c r="BK739" t="s">
        <v>1354</v>
      </c>
      <c r="BL739">
        <v>1910</v>
      </c>
      <c r="BM739" s="4">
        <v>3897</v>
      </c>
      <c r="BN739" s="4">
        <v>4078</v>
      </c>
      <c r="BR739">
        <v>17602</v>
      </c>
      <c r="BS739" t="s">
        <v>1355</v>
      </c>
      <c r="BT739">
        <v>4</v>
      </c>
      <c r="BU739">
        <v>12</v>
      </c>
      <c r="BV739">
        <v>0</v>
      </c>
      <c r="BX739">
        <v>99.5</v>
      </c>
      <c r="BZ739">
        <v>86</v>
      </c>
      <c r="CM739">
        <v>1911</v>
      </c>
    </row>
    <row r="740" spans="1:91" x14ac:dyDescent="0.3">
      <c r="A740" t="s">
        <v>1357</v>
      </c>
      <c r="B740">
        <v>42125</v>
      </c>
      <c r="D740">
        <v>12</v>
      </c>
      <c r="I740">
        <v>10000</v>
      </c>
      <c r="U740">
        <v>10</v>
      </c>
      <c r="Y740">
        <v>10</v>
      </c>
      <c r="AA740">
        <v>2.5</v>
      </c>
      <c r="AC740" s="3">
        <v>2.5</v>
      </c>
      <c r="AE740" s="3">
        <v>2.5</v>
      </c>
      <c r="AI740">
        <v>2.5</v>
      </c>
      <c r="AK740" s="3"/>
      <c r="AX740" t="s">
        <v>823</v>
      </c>
      <c r="BB740" t="s">
        <v>810</v>
      </c>
      <c r="BG740">
        <v>10</v>
      </c>
      <c r="BH740">
        <v>8</v>
      </c>
      <c r="BI740">
        <v>6</v>
      </c>
      <c r="BK740" s="4">
        <v>2313</v>
      </c>
      <c r="BL740" s="4">
        <v>2466</v>
      </c>
      <c r="BM740" s="4">
        <v>2678</v>
      </c>
      <c r="BR740">
        <v>13010</v>
      </c>
      <c r="BS740" t="s">
        <v>1358</v>
      </c>
      <c r="BW740" t="s">
        <v>802</v>
      </c>
      <c r="BX740">
        <v>4.5</v>
      </c>
      <c r="BZ740">
        <v>2</v>
      </c>
      <c r="CK740" t="s">
        <v>360</v>
      </c>
      <c r="CM740">
        <v>1911</v>
      </c>
    </row>
    <row r="741" spans="1:91" x14ac:dyDescent="0.3">
      <c r="A741" t="s">
        <v>1359</v>
      </c>
      <c r="B741">
        <v>42126</v>
      </c>
      <c r="D741">
        <v>12</v>
      </c>
      <c r="I741">
        <v>10000</v>
      </c>
      <c r="U741">
        <v>10</v>
      </c>
      <c r="Y741">
        <v>10</v>
      </c>
      <c r="AA741">
        <v>5</v>
      </c>
      <c r="AC741" s="3">
        <v>5</v>
      </c>
      <c r="AE741" s="3">
        <v>5</v>
      </c>
      <c r="AI741">
        <v>5</v>
      </c>
      <c r="AK741" s="3"/>
      <c r="AX741" t="s">
        <v>802</v>
      </c>
      <c r="AZ741" t="s">
        <v>802</v>
      </c>
      <c r="BB741" t="s">
        <v>810</v>
      </c>
      <c r="BG741">
        <v>4.5</v>
      </c>
      <c r="BK741" s="4">
        <v>2678</v>
      </c>
      <c r="BL741" s="4">
        <v>2862</v>
      </c>
      <c r="BM741" s="4">
        <v>3044</v>
      </c>
      <c r="BR741">
        <v>13010</v>
      </c>
      <c r="BS741" t="s">
        <v>1358</v>
      </c>
      <c r="BW741" t="s">
        <v>802</v>
      </c>
      <c r="BX741">
        <v>6.5</v>
      </c>
      <c r="BZ741">
        <v>4</v>
      </c>
      <c r="CM741">
        <v>1911</v>
      </c>
    </row>
    <row r="742" spans="1:91" x14ac:dyDescent="0.3">
      <c r="A742" t="s">
        <v>1360</v>
      </c>
      <c r="B742">
        <v>42656</v>
      </c>
      <c r="D742">
        <v>12</v>
      </c>
      <c r="I742" s="2">
        <v>1513280</v>
      </c>
      <c r="J742" t="s">
        <v>800</v>
      </c>
      <c r="V742" t="s">
        <v>350</v>
      </c>
      <c r="Y742">
        <v>100</v>
      </c>
      <c r="AA742">
        <v>111</v>
      </c>
      <c r="AC742" s="3">
        <v>111.5</v>
      </c>
      <c r="AE742" s="3">
        <v>110.25</v>
      </c>
      <c r="AI742">
        <v>111</v>
      </c>
      <c r="AK742" s="3"/>
      <c r="BG742">
        <v>5.5</v>
      </c>
      <c r="BH742">
        <v>5.2</v>
      </c>
      <c r="BI742">
        <v>5.2</v>
      </c>
      <c r="BJ742">
        <v>5.2</v>
      </c>
      <c r="BK742" s="4">
        <v>3713</v>
      </c>
      <c r="BL742" s="4">
        <v>3897</v>
      </c>
      <c r="BM742" s="4">
        <v>4078</v>
      </c>
      <c r="BN742" s="4">
        <v>4262</v>
      </c>
      <c r="BR742">
        <v>122670</v>
      </c>
      <c r="BS742" t="s">
        <v>1361</v>
      </c>
      <c r="BT742">
        <v>4</v>
      </c>
      <c r="BU742">
        <v>19</v>
      </c>
      <c r="BV742">
        <v>9</v>
      </c>
      <c r="BX742">
        <v>116.5</v>
      </c>
      <c r="BZ742">
        <v>107.5</v>
      </c>
      <c r="CK742" t="s">
        <v>360</v>
      </c>
      <c r="CM742">
        <v>1911</v>
      </c>
    </row>
    <row r="743" spans="1:91" x14ac:dyDescent="0.3">
      <c r="A743" t="s">
        <v>1360</v>
      </c>
      <c r="B743">
        <v>42660</v>
      </c>
      <c r="C743" t="s">
        <v>478</v>
      </c>
      <c r="D743">
        <v>12</v>
      </c>
      <c r="I743">
        <v>560000</v>
      </c>
      <c r="J743" t="s">
        <v>800</v>
      </c>
      <c r="V743" t="s">
        <v>350</v>
      </c>
      <c r="Y743">
        <v>100</v>
      </c>
      <c r="AA743">
        <v>106</v>
      </c>
      <c r="AC743" s="3">
        <v>106</v>
      </c>
      <c r="AE743" s="3">
        <v>105.25</v>
      </c>
      <c r="AI743">
        <v>106</v>
      </c>
      <c r="AK743" s="3"/>
      <c r="BG743">
        <v>5</v>
      </c>
      <c r="BH743">
        <v>5</v>
      </c>
      <c r="BI743">
        <v>5.33</v>
      </c>
      <c r="BJ743">
        <v>5.33</v>
      </c>
      <c r="BK743" s="4">
        <v>3713</v>
      </c>
      <c r="BL743" s="4">
        <v>3897</v>
      </c>
      <c r="BM743" s="4">
        <v>4078</v>
      </c>
      <c r="BN743" s="4">
        <v>4628</v>
      </c>
      <c r="BR743">
        <v>122670</v>
      </c>
      <c r="BS743" t="s">
        <v>1361</v>
      </c>
      <c r="BT743">
        <v>5</v>
      </c>
      <c r="BU743">
        <v>1</v>
      </c>
      <c r="BV743">
        <v>0</v>
      </c>
      <c r="BX743">
        <v>116</v>
      </c>
      <c r="BZ743">
        <v>101.75</v>
      </c>
      <c r="CM743">
        <v>1911</v>
      </c>
    </row>
    <row r="744" spans="1:91" x14ac:dyDescent="0.3">
      <c r="A744" t="s">
        <v>1360</v>
      </c>
      <c r="B744">
        <v>42658</v>
      </c>
      <c r="C744" t="s">
        <v>1362</v>
      </c>
      <c r="D744">
        <v>12</v>
      </c>
      <c r="I744">
        <v>475000</v>
      </c>
      <c r="J744" t="s">
        <v>800</v>
      </c>
      <c r="V744" t="s">
        <v>350</v>
      </c>
      <c r="Y744">
        <v>100</v>
      </c>
      <c r="AA744">
        <v>77</v>
      </c>
      <c r="AC744" s="3">
        <v>77</v>
      </c>
      <c r="AE744" s="3">
        <v>76</v>
      </c>
      <c r="AI744">
        <v>76</v>
      </c>
      <c r="AK744" s="3"/>
      <c r="AV744" t="s">
        <v>421</v>
      </c>
      <c r="AX744" t="s">
        <v>421</v>
      </c>
      <c r="AZ744" t="s">
        <v>421</v>
      </c>
      <c r="BB744" t="s">
        <v>421</v>
      </c>
      <c r="BO744" t="s">
        <v>367</v>
      </c>
      <c r="BR744">
        <v>122670</v>
      </c>
      <c r="BS744" t="s">
        <v>1361</v>
      </c>
      <c r="BT744">
        <v>3</v>
      </c>
      <c r="BU744">
        <v>19</v>
      </c>
      <c r="BV744">
        <v>0</v>
      </c>
      <c r="BX744">
        <v>79</v>
      </c>
      <c r="BZ744">
        <v>76</v>
      </c>
      <c r="CM744">
        <v>1911</v>
      </c>
    </row>
    <row r="745" spans="1:91" x14ac:dyDescent="0.3">
      <c r="A745" t="s">
        <v>1363</v>
      </c>
      <c r="B745">
        <v>42732</v>
      </c>
      <c r="D745">
        <v>12</v>
      </c>
      <c r="I745">
        <v>800000</v>
      </c>
      <c r="J745" t="s">
        <v>800</v>
      </c>
      <c r="V745" t="s">
        <v>350</v>
      </c>
      <c r="Y745">
        <v>100</v>
      </c>
      <c r="AA745">
        <v>90.5</v>
      </c>
      <c r="AC745" s="3">
        <v>90.5</v>
      </c>
      <c r="AE745" s="3">
        <v>85.5</v>
      </c>
      <c r="AI745">
        <v>87</v>
      </c>
      <c r="AK745" s="3"/>
      <c r="AV745" t="s">
        <v>823</v>
      </c>
      <c r="AZ745" t="s">
        <v>823</v>
      </c>
      <c r="BG745">
        <v>4</v>
      </c>
      <c r="BH745">
        <v>4</v>
      </c>
      <c r="BI745">
        <v>4</v>
      </c>
      <c r="BJ745">
        <v>4</v>
      </c>
      <c r="BK745" s="4">
        <v>3805</v>
      </c>
      <c r="BL745" s="4">
        <v>4019</v>
      </c>
      <c r="BM745" s="4">
        <v>4170</v>
      </c>
      <c r="BN745" s="4">
        <v>4384</v>
      </c>
      <c r="BR745">
        <v>51783</v>
      </c>
      <c r="BS745" t="s">
        <v>1364</v>
      </c>
      <c r="BT745">
        <v>4</v>
      </c>
      <c r="BU745">
        <v>12</v>
      </c>
      <c r="BV745">
        <v>0</v>
      </c>
      <c r="BX745">
        <v>97</v>
      </c>
      <c r="BZ745">
        <v>80</v>
      </c>
      <c r="CK745" t="s">
        <v>360</v>
      </c>
      <c r="CM745">
        <v>1911</v>
      </c>
    </row>
    <row r="746" spans="1:91" x14ac:dyDescent="0.3">
      <c r="A746" t="s">
        <v>1363</v>
      </c>
      <c r="B746">
        <v>42733</v>
      </c>
      <c r="C746" t="s">
        <v>1365</v>
      </c>
      <c r="D746">
        <v>12</v>
      </c>
      <c r="I746">
        <v>200000</v>
      </c>
      <c r="J746" t="s">
        <v>800</v>
      </c>
      <c r="V746" t="s">
        <v>350</v>
      </c>
      <c r="Y746">
        <v>100</v>
      </c>
      <c r="AA746">
        <v>136</v>
      </c>
      <c r="AC746" s="3">
        <v>136.5</v>
      </c>
      <c r="AE746" s="3">
        <v>133</v>
      </c>
      <c r="AI746">
        <v>133</v>
      </c>
      <c r="AK746" s="3"/>
      <c r="AV746" t="s">
        <v>370</v>
      </c>
      <c r="AX746" t="s">
        <v>370</v>
      </c>
      <c r="AZ746" t="s">
        <v>370</v>
      </c>
      <c r="BB746" t="s">
        <v>370</v>
      </c>
      <c r="BO746" t="s">
        <v>367</v>
      </c>
      <c r="BR746">
        <v>51783</v>
      </c>
      <c r="BS746" t="s">
        <v>1364</v>
      </c>
      <c r="BT746">
        <v>5</v>
      </c>
      <c r="BU746">
        <v>8</v>
      </c>
      <c r="BV746">
        <v>0</v>
      </c>
      <c r="BX746">
        <v>137.5</v>
      </c>
      <c r="BZ746">
        <v>133</v>
      </c>
      <c r="CM746">
        <v>1911</v>
      </c>
    </row>
    <row r="747" spans="1:91" x14ac:dyDescent="0.3">
      <c r="A747" t="s">
        <v>1366</v>
      </c>
      <c r="B747">
        <v>43711</v>
      </c>
      <c r="D747">
        <v>12</v>
      </c>
      <c r="I747">
        <v>100218</v>
      </c>
      <c r="U747">
        <v>10</v>
      </c>
      <c r="Y747">
        <v>10</v>
      </c>
      <c r="AA747">
        <v>20</v>
      </c>
      <c r="AC747" s="3">
        <v>20.75</v>
      </c>
      <c r="AE747" s="3">
        <v>20</v>
      </c>
      <c r="AI747">
        <v>20.5</v>
      </c>
      <c r="AK747" s="3"/>
      <c r="AV747" t="s">
        <v>823</v>
      </c>
      <c r="AZ747" t="s">
        <v>823</v>
      </c>
      <c r="BG747">
        <v>10</v>
      </c>
      <c r="BH747">
        <v>14</v>
      </c>
      <c r="BI747">
        <v>10</v>
      </c>
      <c r="BJ747">
        <v>22</v>
      </c>
      <c r="BK747" s="4">
        <v>3685</v>
      </c>
      <c r="BL747" s="4">
        <v>3866</v>
      </c>
      <c r="BM747" s="4">
        <v>4050</v>
      </c>
      <c r="BN747" s="4">
        <v>4231</v>
      </c>
      <c r="BS747" t="s">
        <v>385</v>
      </c>
      <c r="BT747">
        <v>5</v>
      </c>
      <c r="BU747">
        <v>9</v>
      </c>
      <c r="BV747">
        <v>9</v>
      </c>
      <c r="BX747">
        <v>27</v>
      </c>
      <c r="BZ747">
        <v>18.25</v>
      </c>
      <c r="CK747" t="s">
        <v>360</v>
      </c>
      <c r="CM747">
        <v>1911</v>
      </c>
    </row>
    <row r="748" spans="1:91" x14ac:dyDescent="0.3">
      <c r="A748" t="s">
        <v>1367</v>
      </c>
      <c r="B748">
        <v>44004</v>
      </c>
      <c r="D748">
        <v>12</v>
      </c>
      <c r="I748" s="2">
        <v>16160600</v>
      </c>
      <c r="J748" t="s">
        <v>800</v>
      </c>
      <c r="V748" t="s">
        <v>350</v>
      </c>
      <c r="Y748">
        <v>100</v>
      </c>
      <c r="AA748">
        <v>104.75</v>
      </c>
      <c r="AC748" s="3">
        <v>105.5</v>
      </c>
      <c r="AE748" s="3">
        <v>104.5</v>
      </c>
      <c r="AI748">
        <v>105</v>
      </c>
      <c r="AK748" s="3"/>
      <c r="BG748">
        <v>4.53</v>
      </c>
      <c r="BH748">
        <v>4.53</v>
      </c>
      <c r="BI748">
        <v>4.53</v>
      </c>
      <c r="BJ748">
        <v>4.66</v>
      </c>
      <c r="BK748" s="4">
        <v>3713</v>
      </c>
      <c r="BL748" s="4">
        <v>3897</v>
      </c>
      <c r="BM748" s="4">
        <v>4078</v>
      </c>
      <c r="BN748" s="4">
        <v>4262</v>
      </c>
      <c r="BR748" s="2">
        <v>1049200</v>
      </c>
      <c r="BS748" t="s">
        <v>1368</v>
      </c>
      <c r="BT748">
        <v>4</v>
      </c>
      <c r="BU748">
        <v>6</v>
      </c>
      <c r="BV748">
        <v>0</v>
      </c>
      <c r="BX748">
        <v>108.75</v>
      </c>
      <c r="BZ748">
        <v>104.12</v>
      </c>
      <c r="CK748" t="s">
        <v>360</v>
      </c>
      <c r="CM748">
        <v>1911</v>
      </c>
    </row>
    <row r="749" spans="1:91" x14ac:dyDescent="0.3">
      <c r="A749" t="s">
        <v>1367</v>
      </c>
      <c r="B749">
        <v>44005</v>
      </c>
      <c r="C749" t="s">
        <v>1369</v>
      </c>
      <c r="D749">
        <v>12</v>
      </c>
      <c r="I749" s="2">
        <v>2600000</v>
      </c>
      <c r="J749" t="s">
        <v>800</v>
      </c>
      <c r="V749" t="s">
        <v>350</v>
      </c>
      <c r="Y749">
        <v>100</v>
      </c>
      <c r="AA749">
        <v>85.5</v>
      </c>
      <c r="AC749" s="3">
        <v>86.75</v>
      </c>
      <c r="AE749" s="3">
        <v>85.25</v>
      </c>
      <c r="AI749">
        <v>85.5</v>
      </c>
      <c r="AK749" s="3"/>
      <c r="BG749">
        <v>3.5</v>
      </c>
      <c r="BH749">
        <v>3.5</v>
      </c>
      <c r="BI749">
        <v>3.5</v>
      </c>
      <c r="BJ749">
        <v>3.5</v>
      </c>
      <c r="BK749" s="4">
        <v>3713</v>
      </c>
      <c r="BL749" s="4">
        <v>3897</v>
      </c>
      <c r="BM749" s="4">
        <v>4078</v>
      </c>
      <c r="BN749" s="4">
        <v>4262</v>
      </c>
      <c r="BR749" s="2">
        <v>1049200</v>
      </c>
      <c r="BS749" t="s">
        <v>1368</v>
      </c>
      <c r="BT749">
        <v>4</v>
      </c>
      <c r="BU749">
        <v>3</v>
      </c>
      <c r="BV749">
        <v>0</v>
      </c>
      <c r="BX749">
        <v>88.25</v>
      </c>
      <c r="BZ749">
        <v>82</v>
      </c>
      <c r="CM749">
        <v>1911</v>
      </c>
    </row>
    <row r="750" spans="1:91" x14ac:dyDescent="0.3">
      <c r="A750" t="s">
        <v>1367</v>
      </c>
      <c r="B750">
        <v>44007</v>
      </c>
      <c r="C750" t="s">
        <v>1370</v>
      </c>
      <c r="D750">
        <v>12</v>
      </c>
      <c r="I750" s="2">
        <v>4062240</v>
      </c>
      <c r="J750" t="s">
        <v>800</v>
      </c>
      <c r="V750" t="s">
        <v>350</v>
      </c>
      <c r="Y750">
        <v>100</v>
      </c>
      <c r="AA750">
        <v>103</v>
      </c>
      <c r="AC750" s="3">
        <v>104</v>
      </c>
      <c r="AE750" s="3">
        <v>103</v>
      </c>
      <c r="AI750">
        <v>103</v>
      </c>
      <c r="AK750" s="3"/>
      <c r="AV750" t="s">
        <v>373</v>
      </c>
      <c r="AX750" t="s">
        <v>373</v>
      </c>
      <c r="AZ750" t="s">
        <v>373</v>
      </c>
      <c r="BB750" t="s">
        <v>373</v>
      </c>
      <c r="BO750" t="s">
        <v>367</v>
      </c>
      <c r="BR750" s="2">
        <v>1049200</v>
      </c>
      <c r="BS750" t="s">
        <v>1368</v>
      </c>
      <c r="BT750">
        <v>3</v>
      </c>
      <c r="BU750">
        <v>18</v>
      </c>
      <c r="BV750">
        <v>3</v>
      </c>
      <c r="BX750">
        <v>105</v>
      </c>
      <c r="BZ750">
        <v>101</v>
      </c>
      <c r="CM750">
        <v>1911</v>
      </c>
    </row>
    <row r="751" spans="1:91" x14ac:dyDescent="0.3">
      <c r="A751" t="s">
        <v>1367</v>
      </c>
      <c r="B751">
        <v>44006</v>
      </c>
      <c r="C751" t="s">
        <v>1371</v>
      </c>
      <c r="D751">
        <v>12</v>
      </c>
      <c r="I751" s="2">
        <v>4531700</v>
      </c>
      <c r="J751" t="s">
        <v>800</v>
      </c>
      <c r="V751" t="s">
        <v>350</v>
      </c>
      <c r="Y751">
        <v>100</v>
      </c>
      <c r="AA751">
        <v>81</v>
      </c>
      <c r="AC751" s="3">
        <v>82</v>
      </c>
      <c r="AE751" s="3">
        <v>79</v>
      </c>
      <c r="AI751">
        <v>80</v>
      </c>
      <c r="AK751" s="3"/>
      <c r="AV751" t="s">
        <v>370</v>
      </c>
      <c r="AX751" t="s">
        <v>370</v>
      </c>
      <c r="AZ751" t="s">
        <v>370</v>
      </c>
      <c r="BB751" t="s">
        <v>370</v>
      </c>
      <c r="BO751" t="s">
        <v>367</v>
      </c>
      <c r="BR751" s="2">
        <v>1049200</v>
      </c>
      <c r="BS751" t="s">
        <v>1368</v>
      </c>
      <c r="BT751">
        <v>3</v>
      </c>
      <c r="BU751">
        <v>16</v>
      </c>
      <c r="BV751">
        <v>6</v>
      </c>
      <c r="BX751">
        <v>82</v>
      </c>
      <c r="BZ751">
        <v>78.25</v>
      </c>
      <c r="CM751">
        <v>1911</v>
      </c>
    </row>
    <row r="752" spans="1:91" x14ac:dyDescent="0.3">
      <c r="A752" t="s">
        <v>1372</v>
      </c>
      <c r="B752">
        <v>44501</v>
      </c>
      <c r="D752">
        <v>12</v>
      </c>
      <c r="I752">
        <v>258740</v>
      </c>
      <c r="J752" t="s">
        <v>800</v>
      </c>
      <c r="V752" t="s">
        <v>350</v>
      </c>
      <c r="Y752">
        <v>100</v>
      </c>
      <c r="AA752">
        <v>95</v>
      </c>
      <c r="AC752" s="3">
        <v>95</v>
      </c>
      <c r="AE752" s="3">
        <v>95</v>
      </c>
      <c r="AI752">
        <v>95</v>
      </c>
      <c r="AK752" s="3"/>
      <c r="BG752">
        <v>5</v>
      </c>
      <c r="BH752">
        <v>5</v>
      </c>
      <c r="BI752">
        <v>5</v>
      </c>
      <c r="BJ752">
        <v>5</v>
      </c>
      <c r="BK752" s="4">
        <v>3713</v>
      </c>
      <c r="BL752" s="4">
        <v>3897</v>
      </c>
      <c r="BM752" s="4">
        <v>4078</v>
      </c>
      <c r="BN752" s="4">
        <v>4262</v>
      </c>
      <c r="BR752">
        <v>52935</v>
      </c>
      <c r="BT752">
        <v>5</v>
      </c>
      <c r="BU752">
        <v>6</v>
      </c>
      <c r="BV752">
        <v>9</v>
      </c>
      <c r="BX752">
        <v>97</v>
      </c>
      <c r="BZ752">
        <v>93</v>
      </c>
      <c r="CK752" t="s">
        <v>360</v>
      </c>
      <c r="CM752">
        <v>1911</v>
      </c>
    </row>
    <row r="753" spans="1:91" x14ac:dyDescent="0.3">
      <c r="A753" t="s">
        <v>1373</v>
      </c>
      <c r="B753">
        <v>44653</v>
      </c>
      <c r="D753">
        <v>12</v>
      </c>
      <c r="I753">
        <v>7000</v>
      </c>
      <c r="U753">
        <v>10</v>
      </c>
      <c r="Y753">
        <v>10</v>
      </c>
      <c r="AA753">
        <v>17.25</v>
      </c>
      <c r="AC753" s="3">
        <v>17.5</v>
      </c>
      <c r="AE753" s="3">
        <v>17.25</v>
      </c>
      <c r="AI753">
        <v>17.25</v>
      </c>
      <c r="AK753" s="3"/>
      <c r="AX753" t="s">
        <v>823</v>
      </c>
      <c r="BB753" t="s">
        <v>823</v>
      </c>
      <c r="BG753">
        <v>12</v>
      </c>
      <c r="BH753">
        <v>10</v>
      </c>
      <c r="BI753">
        <v>12</v>
      </c>
      <c r="BJ753">
        <v>10</v>
      </c>
      <c r="BK753" s="4">
        <v>3744</v>
      </c>
      <c r="BL753" s="4">
        <v>3927</v>
      </c>
      <c r="BM753" s="4">
        <v>4109</v>
      </c>
      <c r="BN753" s="4">
        <v>4292</v>
      </c>
      <c r="BR753">
        <v>61926</v>
      </c>
      <c r="BT753">
        <v>6</v>
      </c>
      <c r="BU753">
        <v>7</v>
      </c>
      <c r="BV753">
        <v>6</v>
      </c>
      <c r="BX753">
        <v>17.75</v>
      </c>
      <c r="BZ753">
        <v>17.25</v>
      </c>
      <c r="CK753" t="s">
        <v>360</v>
      </c>
      <c r="CM753">
        <v>1911</v>
      </c>
    </row>
    <row r="754" spans="1:91" x14ac:dyDescent="0.3">
      <c r="A754" t="s">
        <v>153</v>
      </c>
      <c r="B754">
        <v>44841</v>
      </c>
      <c r="D754">
        <v>12</v>
      </c>
      <c r="I754" s="2">
        <v>4940000</v>
      </c>
      <c r="J754" t="s">
        <v>800</v>
      </c>
      <c r="V754" t="s">
        <v>350</v>
      </c>
      <c r="Y754">
        <v>100</v>
      </c>
      <c r="AA754">
        <v>185</v>
      </c>
      <c r="AC754" s="3">
        <v>192</v>
      </c>
      <c r="AE754" s="3">
        <v>184.75</v>
      </c>
      <c r="AI754">
        <v>191.5</v>
      </c>
      <c r="AK754" s="3"/>
      <c r="BG754">
        <v>8</v>
      </c>
      <c r="BH754">
        <v>9</v>
      </c>
      <c r="BI754">
        <v>9</v>
      </c>
      <c r="BJ754">
        <v>9</v>
      </c>
      <c r="BK754" s="4">
        <v>3774</v>
      </c>
      <c r="BL754" s="4">
        <v>3958</v>
      </c>
      <c r="BM754" s="4">
        <v>4139</v>
      </c>
      <c r="BN754" s="4">
        <v>4323</v>
      </c>
      <c r="BS754" t="s">
        <v>385</v>
      </c>
      <c r="BT754">
        <v>4</v>
      </c>
      <c r="BU754">
        <v>14</v>
      </c>
      <c r="BV754">
        <v>0</v>
      </c>
      <c r="BX754">
        <v>192.5</v>
      </c>
      <c r="BZ754">
        <v>180</v>
      </c>
      <c r="CK754" t="s">
        <v>360</v>
      </c>
      <c r="CM754">
        <v>1911</v>
      </c>
    </row>
    <row r="755" spans="1:91" x14ac:dyDescent="0.3">
      <c r="A755" t="s">
        <v>153</v>
      </c>
      <c r="B755">
        <v>44843</v>
      </c>
      <c r="C755" t="s">
        <v>1188</v>
      </c>
      <c r="D755">
        <v>12</v>
      </c>
      <c r="I755" s="2">
        <v>1235000</v>
      </c>
      <c r="J755" t="s">
        <v>800</v>
      </c>
      <c r="V755" t="s">
        <v>350</v>
      </c>
      <c r="Y755">
        <v>100</v>
      </c>
      <c r="AA755">
        <v>91</v>
      </c>
      <c r="AC755" s="3">
        <v>91.5</v>
      </c>
      <c r="AE755" s="3">
        <v>90.75</v>
      </c>
      <c r="AI755">
        <v>91</v>
      </c>
      <c r="AK755" s="3"/>
      <c r="AV755" t="s">
        <v>506</v>
      </c>
      <c r="AX755" t="s">
        <v>506</v>
      </c>
      <c r="AZ755" t="s">
        <v>506</v>
      </c>
      <c r="BB755" t="s">
        <v>506</v>
      </c>
      <c r="BO755" t="s">
        <v>367</v>
      </c>
      <c r="BS755" t="s">
        <v>385</v>
      </c>
      <c r="BT755">
        <v>3</v>
      </c>
      <c r="BU755">
        <v>17</v>
      </c>
      <c r="BV755">
        <v>3</v>
      </c>
      <c r="BX755">
        <v>95.5</v>
      </c>
      <c r="BZ755">
        <v>90.25</v>
      </c>
      <c r="CM755">
        <v>1911</v>
      </c>
    </row>
    <row r="756" spans="1:91" x14ac:dyDescent="0.3">
      <c r="A756" t="s">
        <v>1374</v>
      </c>
      <c r="B756">
        <v>45356</v>
      </c>
      <c r="D756">
        <v>12</v>
      </c>
      <c r="I756">
        <v>200242</v>
      </c>
      <c r="J756" t="s">
        <v>800</v>
      </c>
      <c r="V756" t="s">
        <v>350</v>
      </c>
      <c r="Y756">
        <v>100</v>
      </c>
      <c r="AA756">
        <v>127.5</v>
      </c>
      <c r="AC756" s="3">
        <v>127.5</v>
      </c>
      <c r="AE756" s="3">
        <v>127.5</v>
      </c>
      <c r="AI756">
        <v>127.5</v>
      </c>
      <c r="AK756" s="3"/>
      <c r="BG756">
        <v>6</v>
      </c>
      <c r="BH756">
        <v>6</v>
      </c>
      <c r="BI756">
        <v>6</v>
      </c>
      <c r="BJ756">
        <v>6</v>
      </c>
      <c r="BK756" s="4">
        <v>3713</v>
      </c>
      <c r="BL756" s="4">
        <v>3897</v>
      </c>
      <c r="BM756" s="4">
        <v>4078</v>
      </c>
      <c r="BN756" s="4">
        <v>4262</v>
      </c>
      <c r="BR756">
        <v>23209</v>
      </c>
      <c r="BT756">
        <v>4</v>
      </c>
      <c r="BU756">
        <v>15</v>
      </c>
      <c r="BV756">
        <v>6</v>
      </c>
      <c r="BX756">
        <v>128.25</v>
      </c>
      <c r="BZ756">
        <v>119</v>
      </c>
      <c r="CK756" t="s">
        <v>360</v>
      </c>
      <c r="CM756">
        <v>1911</v>
      </c>
    </row>
    <row r="757" spans="1:91" x14ac:dyDescent="0.3">
      <c r="A757" t="s">
        <v>1375</v>
      </c>
      <c r="B757">
        <v>45575</v>
      </c>
      <c r="D757">
        <v>12</v>
      </c>
      <c r="I757">
        <v>561000</v>
      </c>
      <c r="J757" t="s">
        <v>800</v>
      </c>
      <c r="V757" t="s">
        <v>350</v>
      </c>
      <c r="Y757">
        <v>100</v>
      </c>
      <c r="AA757">
        <v>219</v>
      </c>
      <c r="AC757" s="3">
        <v>219</v>
      </c>
      <c r="AE757" s="3">
        <v>219</v>
      </c>
      <c r="AI757">
        <v>219</v>
      </c>
      <c r="AK757" s="3"/>
      <c r="BG757">
        <v>10</v>
      </c>
      <c r="BH757">
        <v>10</v>
      </c>
      <c r="BI757">
        <v>10</v>
      </c>
      <c r="BJ757">
        <v>10</v>
      </c>
      <c r="BK757" s="4">
        <v>3713</v>
      </c>
      <c r="BL757" s="4">
        <v>3866</v>
      </c>
      <c r="BM757" s="4">
        <v>4078</v>
      </c>
      <c r="BN757" s="4">
        <v>4231</v>
      </c>
      <c r="BR757">
        <v>179620</v>
      </c>
      <c r="BS757" t="s">
        <v>1376</v>
      </c>
      <c r="BT757">
        <v>4</v>
      </c>
      <c r="BU757">
        <v>12</v>
      </c>
      <c r="BV757">
        <v>9</v>
      </c>
      <c r="BX757">
        <v>221</v>
      </c>
      <c r="BZ757">
        <v>211</v>
      </c>
      <c r="CK757" t="s">
        <v>616</v>
      </c>
      <c r="CM757">
        <v>1911</v>
      </c>
    </row>
    <row r="758" spans="1:91" x14ac:dyDescent="0.3">
      <c r="A758" t="s">
        <v>1377</v>
      </c>
      <c r="B758">
        <v>45579</v>
      </c>
      <c r="C758" t="s">
        <v>1378</v>
      </c>
      <c r="D758">
        <v>12</v>
      </c>
      <c r="I758">
        <v>718100</v>
      </c>
      <c r="J758" t="s">
        <v>800</v>
      </c>
      <c r="V758" t="s">
        <v>350</v>
      </c>
      <c r="Y758">
        <v>100</v>
      </c>
      <c r="AA758">
        <v>165</v>
      </c>
      <c r="AC758" s="3">
        <v>165</v>
      </c>
      <c r="AE758" s="3">
        <v>164</v>
      </c>
      <c r="AI758">
        <v>164</v>
      </c>
      <c r="AK758" s="3"/>
      <c r="BG758">
        <v>7</v>
      </c>
      <c r="BH758">
        <v>7</v>
      </c>
      <c r="BI758">
        <v>7</v>
      </c>
      <c r="BJ758">
        <v>7</v>
      </c>
      <c r="BK758" s="4">
        <v>3713</v>
      </c>
      <c r="BL758" s="4">
        <v>3866</v>
      </c>
      <c r="BM758" s="4">
        <v>4078</v>
      </c>
      <c r="BN758" s="4">
        <v>4597</v>
      </c>
      <c r="BR758">
        <v>179620</v>
      </c>
      <c r="BS758" t="s">
        <v>1376</v>
      </c>
      <c r="BT758">
        <v>4</v>
      </c>
      <c r="BU758">
        <v>6</v>
      </c>
      <c r="BV758">
        <v>6</v>
      </c>
      <c r="BX758">
        <v>166</v>
      </c>
      <c r="BZ758">
        <v>161</v>
      </c>
      <c r="CM758">
        <v>1911</v>
      </c>
    </row>
    <row r="759" spans="1:91" x14ac:dyDescent="0.3">
      <c r="A759" t="s">
        <v>1377</v>
      </c>
      <c r="B759">
        <v>45581</v>
      </c>
      <c r="C759" t="s">
        <v>860</v>
      </c>
      <c r="D759">
        <v>12</v>
      </c>
      <c r="I759">
        <v>306083</v>
      </c>
      <c r="J759" t="s">
        <v>800</v>
      </c>
      <c r="V759" t="s">
        <v>350</v>
      </c>
      <c r="Y759">
        <v>100</v>
      </c>
      <c r="AA759">
        <v>103</v>
      </c>
      <c r="AC759" s="3">
        <v>103</v>
      </c>
      <c r="AE759" s="3">
        <v>101</v>
      </c>
      <c r="AI759">
        <v>101</v>
      </c>
      <c r="AJ759" t="s">
        <v>379</v>
      </c>
      <c r="AK759" s="3"/>
      <c r="AV759" t="s">
        <v>370</v>
      </c>
      <c r="AX759" t="s">
        <v>370</v>
      </c>
      <c r="AZ759" t="s">
        <v>370</v>
      </c>
      <c r="BB759" t="s">
        <v>370</v>
      </c>
      <c r="BO759" t="s">
        <v>367</v>
      </c>
      <c r="BS759" t="s">
        <v>385</v>
      </c>
      <c r="BT759">
        <v>3</v>
      </c>
      <c r="BU759">
        <v>19</v>
      </c>
      <c r="BV759">
        <v>3</v>
      </c>
      <c r="BX759">
        <v>105</v>
      </c>
      <c r="BZ759">
        <v>101</v>
      </c>
      <c r="CM759">
        <v>1911</v>
      </c>
    </row>
    <row r="760" spans="1:91" x14ac:dyDescent="0.3">
      <c r="A760" t="s">
        <v>1379</v>
      </c>
      <c r="B760">
        <v>45925</v>
      </c>
      <c r="D760">
        <v>12</v>
      </c>
      <c r="I760">
        <v>15000</v>
      </c>
      <c r="U760">
        <v>5</v>
      </c>
      <c r="Y760">
        <v>5</v>
      </c>
      <c r="AA760">
        <v>5</v>
      </c>
      <c r="AC760" s="3">
        <v>5</v>
      </c>
      <c r="AE760" s="3">
        <v>4.87</v>
      </c>
      <c r="AI760">
        <v>4.87</v>
      </c>
      <c r="AK760" s="3"/>
      <c r="AX760" t="s">
        <v>823</v>
      </c>
      <c r="BB760" t="s">
        <v>823</v>
      </c>
      <c r="BG760">
        <v>8</v>
      </c>
      <c r="BH760">
        <v>4</v>
      </c>
      <c r="BI760">
        <v>8</v>
      </c>
      <c r="BJ760">
        <v>4</v>
      </c>
      <c r="BK760" s="4">
        <v>3805</v>
      </c>
      <c r="BL760" s="4">
        <v>3988</v>
      </c>
      <c r="BM760" s="4">
        <v>4170</v>
      </c>
      <c r="BN760" s="4">
        <v>4353</v>
      </c>
      <c r="BR760">
        <v>42199</v>
      </c>
      <c r="BT760">
        <v>6</v>
      </c>
      <c r="BU760">
        <v>3</v>
      </c>
      <c r="BV760">
        <v>0</v>
      </c>
      <c r="BX760">
        <v>5</v>
      </c>
      <c r="BZ760">
        <v>4.75</v>
      </c>
      <c r="CK760" t="s">
        <v>360</v>
      </c>
      <c r="CL760" t="s">
        <v>457</v>
      </c>
      <c r="CM760">
        <v>1911</v>
      </c>
    </row>
    <row r="761" spans="1:91" x14ac:dyDescent="0.3">
      <c r="A761" t="s">
        <v>1380</v>
      </c>
      <c r="B761">
        <v>46220</v>
      </c>
      <c r="D761">
        <v>12</v>
      </c>
      <c r="I761">
        <v>500000</v>
      </c>
      <c r="J761" t="s">
        <v>800</v>
      </c>
      <c r="U761">
        <v>100</v>
      </c>
      <c r="Y761">
        <v>100</v>
      </c>
      <c r="AA761">
        <v>101</v>
      </c>
      <c r="AC761" s="3">
        <v>101</v>
      </c>
      <c r="AE761" s="3">
        <v>101</v>
      </c>
      <c r="AI761">
        <v>101</v>
      </c>
      <c r="AK761" s="3"/>
      <c r="AV761" t="s">
        <v>536</v>
      </c>
      <c r="AX761" t="s">
        <v>536</v>
      </c>
      <c r="AZ761" t="s">
        <v>536</v>
      </c>
      <c r="BB761" t="s">
        <v>536</v>
      </c>
      <c r="BO761" t="s">
        <v>367</v>
      </c>
      <c r="BR761">
        <v>95781</v>
      </c>
      <c r="BS761" t="s">
        <v>1381</v>
      </c>
      <c r="BT761">
        <v>5</v>
      </c>
      <c r="BU761">
        <v>0</v>
      </c>
      <c r="BV761">
        <v>0</v>
      </c>
      <c r="BX761">
        <v>103</v>
      </c>
      <c r="BZ761">
        <v>100.75</v>
      </c>
      <c r="CK761" t="s">
        <v>360</v>
      </c>
      <c r="CM761">
        <v>1911</v>
      </c>
    </row>
    <row r="762" spans="1:91" x14ac:dyDescent="0.3">
      <c r="A762" t="s">
        <v>1382</v>
      </c>
      <c r="B762">
        <v>46223</v>
      </c>
      <c r="C762" t="s">
        <v>1383</v>
      </c>
      <c r="D762">
        <v>12</v>
      </c>
      <c r="I762">
        <v>250000</v>
      </c>
      <c r="U762">
        <v>100</v>
      </c>
      <c r="Y762">
        <v>100</v>
      </c>
      <c r="AA762">
        <v>101</v>
      </c>
      <c r="AC762" s="3">
        <v>101</v>
      </c>
      <c r="AE762" s="3">
        <v>101</v>
      </c>
      <c r="AI762">
        <v>101</v>
      </c>
      <c r="AK762" s="3"/>
      <c r="AV762" t="s">
        <v>536</v>
      </c>
      <c r="AX762" t="s">
        <v>536</v>
      </c>
      <c r="AZ762" t="s">
        <v>536</v>
      </c>
      <c r="BB762" t="s">
        <v>536</v>
      </c>
      <c r="BO762" t="s">
        <v>367</v>
      </c>
      <c r="BR762">
        <v>95781</v>
      </c>
      <c r="BS762" t="s">
        <v>1381</v>
      </c>
      <c r="BT762">
        <v>4</v>
      </c>
      <c r="BU762">
        <v>10</v>
      </c>
      <c r="BV762">
        <v>0</v>
      </c>
      <c r="BX762">
        <v>103</v>
      </c>
      <c r="BZ762">
        <v>100</v>
      </c>
      <c r="CK762" t="s">
        <v>360</v>
      </c>
      <c r="CM762">
        <v>1911</v>
      </c>
    </row>
    <row r="763" spans="1:91" x14ac:dyDescent="0.3">
      <c r="A763" t="s">
        <v>1384</v>
      </c>
      <c r="B763">
        <v>46530</v>
      </c>
      <c r="D763">
        <v>12</v>
      </c>
      <c r="I763">
        <v>27096</v>
      </c>
      <c r="U763">
        <v>20</v>
      </c>
      <c r="Y763">
        <v>20</v>
      </c>
      <c r="AA763">
        <v>12.25</v>
      </c>
      <c r="AC763" s="3">
        <v>12.25</v>
      </c>
      <c r="AE763" s="3">
        <v>12.12</v>
      </c>
      <c r="AI763">
        <v>12.25</v>
      </c>
      <c r="AK763" s="3"/>
      <c r="AV763" t="s">
        <v>823</v>
      </c>
      <c r="AZ763" t="s">
        <v>823</v>
      </c>
      <c r="BG763">
        <v>3</v>
      </c>
      <c r="BH763">
        <v>4</v>
      </c>
      <c r="BI763">
        <v>3</v>
      </c>
      <c r="BJ763">
        <v>4</v>
      </c>
      <c r="BK763" s="4">
        <v>3593</v>
      </c>
      <c r="BL763" s="4">
        <v>3805</v>
      </c>
      <c r="BM763" s="4">
        <v>3958</v>
      </c>
      <c r="BN763" s="4">
        <v>4170</v>
      </c>
      <c r="BR763">
        <v>77797</v>
      </c>
      <c r="BS763" t="s">
        <v>1326</v>
      </c>
      <c r="BT763">
        <v>5</v>
      </c>
      <c r="BU763">
        <v>14</v>
      </c>
      <c r="BV763">
        <v>3</v>
      </c>
      <c r="BX763">
        <v>13.43</v>
      </c>
      <c r="BZ763">
        <v>12</v>
      </c>
      <c r="CK763" t="s">
        <v>360</v>
      </c>
      <c r="CM763">
        <v>1911</v>
      </c>
    </row>
    <row r="764" spans="1:91" x14ac:dyDescent="0.3">
      <c r="A764" t="s">
        <v>1385</v>
      </c>
      <c r="B764">
        <v>46956</v>
      </c>
      <c r="D764">
        <v>12</v>
      </c>
      <c r="I764" s="2">
        <v>1775890</v>
      </c>
      <c r="J764" t="s">
        <v>800</v>
      </c>
      <c r="V764" t="s">
        <v>350</v>
      </c>
      <c r="Y764">
        <v>100</v>
      </c>
      <c r="AA764">
        <v>101.5</v>
      </c>
      <c r="AC764" s="3">
        <v>101.5</v>
      </c>
      <c r="AE764" s="3">
        <v>101</v>
      </c>
      <c r="AI764">
        <v>101.5</v>
      </c>
      <c r="AK764" s="3"/>
      <c r="AX764" t="s">
        <v>823</v>
      </c>
      <c r="BB764" t="s">
        <v>823</v>
      </c>
      <c r="BG764">
        <v>4.37</v>
      </c>
      <c r="BH764">
        <v>4.37</v>
      </c>
      <c r="BI764">
        <v>4.37</v>
      </c>
      <c r="BJ764">
        <v>4.37</v>
      </c>
      <c r="BK764" s="4">
        <v>3685</v>
      </c>
      <c r="BL764" s="4">
        <v>3866</v>
      </c>
      <c r="BM764" s="4">
        <v>4050</v>
      </c>
      <c r="BN764" s="4">
        <v>4231</v>
      </c>
      <c r="BR764">
        <v>75917</v>
      </c>
      <c r="BT764">
        <v>4</v>
      </c>
      <c r="BU764">
        <v>6</v>
      </c>
      <c r="BV764">
        <v>9</v>
      </c>
      <c r="BX764">
        <v>104</v>
      </c>
      <c r="BZ764">
        <v>100</v>
      </c>
      <c r="CK764" t="s">
        <v>1076</v>
      </c>
      <c r="CM764">
        <v>1911</v>
      </c>
    </row>
    <row r="765" spans="1:91" x14ac:dyDescent="0.3">
      <c r="A765" t="s">
        <v>1386</v>
      </c>
      <c r="B765">
        <v>47288</v>
      </c>
      <c r="D765">
        <v>12</v>
      </c>
      <c r="I765">
        <v>300000</v>
      </c>
      <c r="J765" t="s">
        <v>800</v>
      </c>
      <c r="V765" t="s">
        <v>350</v>
      </c>
      <c r="Y765">
        <v>100</v>
      </c>
      <c r="AA765">
        <v>139</v>
      </c>
      <c r="AC765" s="3">
        <v>139</v>
      </c>
      <c r="AE765" s="3">
        <v>134.5</v>
      </c>
      <c r="AI765">
        <v>135</v>
      </c>
      <c r="AK765" s="3"/>
      <c r="BG765">
        <v>7</v>
      </c>
      <c r="BH765">
        <v>9</v>
      </c>
      <c r="BI765">
        <v>7</v>
      </c>
      <c r="BJ765">
        <v>9</v>
      </c>
      <c r="BK765" s="4">
        <v>3774</v>
      </c>
      <c r="BL765" s="4">
        <v>3958</v>
      </c>
      <c r="BM765" s="4">
        <v>4139</v>
      </c>
      <c r="BN765" s="4">
        <v>4323</v>
      </c>
      <c r="BR765">
        <v>106963</v>
      </c>
      <c r="BS765" t="s">
        <v>1326</v>
      </c>
      <c r="BT765">
        <v>5</v>
      </c>
      <c r="BU765">
        <v>18</v>
      </c>
      <c r="BV765">
        <v>6</v>
      </c>
      <c r="BX765">
        <v>140.5</v>
      </c>
      <c r="BZ765">
        <v>134.5</v>
      </c>
      <c r="CK765" t="s">
        <v>360</v>
      </c>
      <c r="CM765">
        <v>1911</v>
      </c>
    </row>
    <row r="766" spans="1:91" x14ac:dyDescent="0.3">
      <c r="A766" t="s">
        <v>1387</v>
      </c>
      <c r="B766">
        <v>47325</v>
      </c>
      <c r="D766">
        <v>12</v>
      </c>
      <c r="I766">
        <v>12000</v>
      </c>
      <c r="U766">
        <v>5</v>
      </c>
      <c r="Y766">
        <v>5</v>
      </c>
      <c r="AA766">
        <v>7</v>
      </c>
      <c r="AC766" s="3">
        <v>7</v>
      </c>
      <c r="AE766" s="3">
        <v>7</v>
      </c>
      <c r="AI766">
        <v>7</v>
      </c>
      <c r="AK766" s="3"/>
      <c r="BG766">
        <v>8</v>
      </c>
      <c r="BH766">
        <v>8</v>
      </c>
      <c r="BI766">
        <v>8</v>
      </c>
      <c r="BJ766">
        <v>8</v>
      </c>
      <c r="BK766" s="4">
        <v>3713</v>
      </c>
      <c r="BL766" s="4">
        <v>3927</v>
      </c>
      <c r="BM766" t="s">
        <v>1354</v>
      </c>
      <c r="BN766">
        <v>1911</v>
      </c>
      <c r="BR766">
        <v>60929</v>
      </c>
      <c r="BS766" t="s">
        <v>1326</v>
      </c>
      <c r="BT766">
        <v>5</v>
      </c>
      <c r="BU766">
        <v>14</v>
      </c>
      <c r="BV766">
        <v>3</v>
      </c>
      <c r="BX766">
        <v>7.25</v>
      </c>
      <c r="BZ766">
        <v>6.5</v>
      </c>
      <c r="CK766" t="s">
        <v>360</v>
      </c>
      <c r="CL766" t="s">
        <v>457</v>
      </c>
      <c r="CM766">
        <v>1911</v>
      </c>
    </row>
    <row r="767" spans="1:91" x14ac:dyDescent="0.3">
      <c r="A767" t="s">
        <v>1388</v>
      </c>
      <c r="B767">
        <v>47791</v>
      </c>
      <c r="D767">
        <v>12</v>
      </c>
      <c r="I767">
        <v>249980</v>
      </c>
      <c r="U767">
        <v>5</v>
      </c>
      <c r="Y767">
        <v>5</v>
      </c>
      <c r="AA767">
        <v>7.5</v>
      </c>
      <c r="AC767" s="3">
        <v>7.56</v>
      </c>
      <c r="AE767" s="3">
        <v>7.37</v>
      </c>
      <c r="AI767">
        <v>7.5</v>
      </c>
      <c r="AK767" s="3"/>
      <c r="AX767" t="s">
        <v>823</v>
      </c>
      <c r="BB767" t="s">
        <v>823</v>
      </c>
      <c r="BG767">
        <v>9</v>
      </c>
      <c r="BH767">
        <v>6</v>
      </c>
      <c r="BI767">
        <v>10</v>
      </c>
      <c r="BJ767">
        <v>7</v>
      </c>
      <c r="BK767" s="4">
        <v>3744</v>
      </c>
      <c r="BL767" s="4">
        <v>3927</v>
      </c>
      <c r="BM767" s="4">
        <v>4109</v>
      </c>
      <c r="BN767" s="4">
        <v>4292</v>
      </c>
      <c r="BR767">
        <v>155023</v>
      </c>
      <c r="BS767" t="s">
        <v>1389</v>
      </c>
      <c r="BT767">
        <v>4</v>
      </c>
      <c r="BU767">
        <v>13</v>
      </c>
      <c r="BV767">
        <v>3</v>
      </c>
      <c r="BX767">
        <v>8.06</v>
      </c>
      <c r="BZ767">
        <v>7.28</v>
      </c>
      <c r="CK767" t="s">
        <v>360</v>
      </c>
      <c r="CM767">
        <v>1911</v>
      </c>
    </row>
    <row r="768" spans="1:91" x14ac:dyDescent="0.3">
      <c r="A768" t="s">
        <v>1390</v>
      </c>
      <c r="B768">
        <v>47790</v>
      </c>
      <c r="D768">
        <v>12</v>
      </c>
      <c r="I768">
        <v>499960</v>
      </c>
      <c r="U768">
        <v>5</v>
      </c>
      <c r="Y768">
        <v>5</v>
      </c>
      <c r="AA768">
        <v>5.25</v>
      </c>
      <c r="AC768" s="3">
        <v>5.37</v>
      </c>
      <c r="AE768" s="3">
        <v>5.12</v>
      </c>
      <c r="AI768">
        <v>5.18</v>
      </c>
      <c r="AJ768" t="s">
        <v>379</v>
      </c>
      <c r="AK768" s="3"/>
      <c r="AV768" t="s">
        <v>506</v>
      </c>
      <c r="AX768" t="s">
        <v>506</v>
      </c>
      <c r="AZ768" t="s">
        <v>506</v>
      </c>
      <c r="BB768" t="s">
        <v>506</v>
      </c>
      <c r="BO768" t="s">
        <v>367</v>
      </c>
      <c r="BR768">
        <v>155023</v>
      </c>
      <c r="BS768" t="s">
        <v>1389</v>
      </c>
      <c r="BT768">
        <v>4</v>
      </c>
      <c r="BU768">
        <v>16</v>
      </c>
      <c r="BV768">
        <v>3</v>
      </c>
      <c r="BX768">
        <v>5.56</v>
      </c>
      <c r="BZ768">
        <v>5.12</v>
      </c>
      <c r="CM768">
        <v>1911</v>
      </c>
    </row>
    <row r="769" spans="1:91" x14ac:dyDescent="0.3">
      <c r="A769" t="s">
        <v>1390</v>
      </c>
      <c r="B769">
        <v>47784</v>
      </c>
      <c r="C769" t="s">
        <v>684</v>
      </c>
      <c r="D769">
        <v>12</v>
      </c>
      <c r="I769">
        <v>516900</v>
      </c>
      <c r="J769" t="s">
        <v>800</v>
      </c>
      <c r="U769">
        <v>100</v>
      </c>
      <c r="Y769">
        <v>100</v>
      </c>
      <c r="AA769">
        <v>98</v>
      </c>
      <c r="AC769" s="3">
        <v>98</v>
      </c>
      <c r="AE769" s="3">
        <v>96</v>
      </c>
      <c r="AI769">
        <v>98</v>
      </c>
      <c r="AK769" s="3"/>
      <c r="AV769" t="s">
        <v>370</v>
      </c>
      <c r="AX769" t="s">
        <v>370</v>
      </c>
      <c r="AZ769" t="s">
        <v>370</v>
      </c>
      <c r="BB769" t="s">
        <v>370</v>
      </c>
      <c r="BO769" t="s">
        <v>367</v>
      </c>
      <c r="BR769">
        <v>155023</v>
      </c>
      <c r="BS769" t="s">
        <v>1389</v>
      </c>
      <c r="BT769">
        <v>4</v>
      </c>
      <c r="BU769">
        <v>6</v>
      </c>
      <c r="BV769">
        <v>0</v>
      </c>
      <c r="BX769">
        <v>99.5</v>
      </c>
      <c r="BZ769">
        <v>96</v>
      </c>
      <c r="CM769">
        <v>1911</v>
      </c>
    </row>
    <row r="770" spans="1:91" x14ac:dyDescent="0.3">
      <c r="A770" t="s">
        <v>1390</v>
      </c>
      <c r="B770">
        <v>47787</v>
      </c>
      <c r="C770" t="s">
        <v>1391</v>
      </c>
      <c r="D770">
        <v>12</v>
      </c>
      <c r="I770">
        <v>245771</v>
      </c>
      <c r="J770" t="s">
        <v>800</v>
      </c>
      <c r="V770" t="s">
        <v>350</v>
      </c>
      <c r="Y770">
        <v>100</v>
      </c>
      <c r="AA770">
        <v>96</v>
      </c>
      <c r="AC770" s="3">
        <v>97</v>
      </c>
      <c r="AE770" s="3">
        <v>96</v>
      </c>
      <c r="AI770">
        <v>97</v>
      </c>
      <c r="AK770" s="3"/>
      <c r="AV770" t="s">
        <v>370</v>
      </c>
      <c r="AX770" t="s">
        <v>370</v>
      </c>
      <c r="AZ770" t="s">
        <v>370</v>
      </c>
      <c r="BB770" t="s">
        <v>370</v>
      </c>
      <c r="BO770" t="s">
        <v>367</v>
      </c>
      <c r="BR770">
        <v>155023</v>
      </c>
      <c r="BS770" t="s">
        <v>1389</v>
      </c>
      <c r="BT770">
        <v>4</v>
      </c>
      <c r="BU770">
        <v>4</v>
      </c>
      <c r="BV770">
        <v>3</v>
      </c>
      <c r="BX770">
        <v>98</v>
      </c>
      <c r="BZ770">
        <v>95.5</v>
      </c>
      <c r="CM770">
        <v>1911</v>
      </c>
    </row>
    <row r="771" spans="1:91" x14ac:dyDescent="0.3">
      <c r="A771" t="s">
        <v>1390</v>
      </c>
      <c r="B771">
        <v>47789</v>
      </c>
      <c r="C771" t="s">
        <v>1392</v>
      </c>
      <c r="D771">
        <v>12</v>
      </c>
      <c r="I771">
        <v>346198</v>
      </c>
      <c r="J771" t="s">
        <v>800</v>
      </c>
      <c r="V771" t="s">
        <v>350</v>
      </c>
      <c r="Y771">
        <v>100</v>
      </c>
      <c r="AA771">
        <v>96</v>
      </c>
      <c r="AC771" s="3">
        <v>97</v>
      </c>
      <c r="AE771" s="3">
        <v>96</v>
      </c>
      <c r="AI771">
        <v>97</v>
      </c>
      <c r="AK771" s="3"/>
      <c r="AV771" t="s">
        <v>370</v>
      </c>
      <c r="AX771" t="s">
        <v>370</v>
      </c>
      <c r="AZ771" t="s">
        <v>370</v>
      </c>
      <c r="BB771" t="s">
        <v>370</v>
      </c>
      <c r="BO771" t="s">
        <v>367</v>
      </c>
      <c r="BR771">
        <v>155023</v>
      </c>
      <c r="BS771" t="s">
        <v>1389</v>
      </c>
      <c r="BT771">
        <v>5</v>
      </c>
      <c r="BU771">
        <v>4</v>
      </c>
      <c r="BV771">
        <v>3</v>
      </c>
      <c r="BX771">
        <v>98</v>
      </c>
      <c r="BZ771">
        <v>96</v>
      </c>
      <c r="CM771">
        <v>1911</v>
      </c>
    </row>
    <row r="772" spans="1:91" x14ac:dyDescent="0.3">
      <c r="A772" t="s">
        <v>1393</v>
      </c>
      <c r="B772">
        <v>48383</v>
      </c>
      <c r="D772">
        <v>12</v>
      </c>
      <c r="I772">
        <v>50000</v>
      </c>
      <c r="U772">
        <v>5</v>
      </c>
      <c r="Y772">
        <v>5</v>
      </c>
      <c r="AA772">
        <v>10.75</v>
      </c>
      <c r="AC772" s="3">
        <v>10.75</v>
      </c>
      <c r="AE772" s="3">
        <v>10.75</v>
      </c>
      <c r="AI772">
        <v>10.75</v>
      </c>
      <c r="AK772" s="3"/>
      <c r="AX772" t="s">
        <v>823</v>
      </c>
      <c r="BB772" t="s">
        <v>823</v>
      </c>
      <c r="BG772">
        <v>12</v>
      </c>
      <c r="BH772">
        <v>8</v>
      </c>
      <c r="BI772">
        <v>10</v>
      </c>
      <c r="BJ772">
        <v>12</v>
      </c>
      <c r="BK772" s="4">
        <v>3713</v>
      </c>
      <c r="BL772" s="4">
        <v>3897</v>
      </c>
      <c r="BM772" s="4">
        <v>4078</v>
      </c>
      <c r="BN772" s="4">
        <v>4262</v>
      </c>
      <c r="BR772">
        <v>91442</v>
      </c>
      <c r="BT772">
        <v>4</v>
      </c>
      <c r="BU772">
        <v>2</v>
      </c>
      <c r="BV772">
        <v>6</v>
      </c>
      <c r="BX772">
        <v>10.93</v>
      </c>
      <c r="BZ772">
        <v>10.81</v>
      </c>
      <c r="CK772" t="s">
        <v>560</v>
      </c>
      <c r="CL772" t="s">
        <v>457</v>
      </c>
      <c r="CM772">
        <v>1911</v>
      </c>
    </row>
    <row r="773" spans="1:91" x14ac:dyDescent="0.3">
      <c r="A773" t="s">
        <v>1394</v>
      </c>
      <c r="B773">
        <v>48742</v>
      </c>
      <c r="D773">
        <v>12</v>
      </c>
      <c r="I773">
        <v>135000</v>
      </c>
      <c r="J773" t="s">
        <v>800</v>
      </c>
      <c r="V773" t="s">
        <v>350</v>
      </c>
      <c r="Y773">
        <v>100</v>
      </c>
      <c r="AA773">
        <v>240</v>
      </c>
      <c r="AC773" s="3">
        <v>240</v>
      </c>
      <c r="AE773" s="3">
        <v>240</v>
      </c>
      <c r="AI773">
        <v>240</v>
      </c>
      <c r="AK773" s="3"/>
      <c r="BG773">
        <v>10</v>
      </c>
      <c r="BH773">
        <v>10</v>
      </c>
      <c r="BI773">
        <v>10</v>
      </c>
      <c r="BJ773">
        <v>10</v>
      </c>
      <c r="BK773" s="4">
        <v>3713</v>
      </c>
      <c r="BL773" s="4">
        <v>3897</v>
      </c>
      <c r="BM773" s="4">
        <v>4078</v>
      </c>
      <c r="BN773" s="4">
        <v>4628</v>
      </c>
      <c r="BR773">
        <v>165776</v>
      </c>
      <c r="BS773" t="s">
        <v>1395</v>
      </c>
      <c r="BT773">
        <v>4</v>
      </c>
      <c r="BU773">
        <v>4</v>
      </c>
      <c r="BV773">
        <v>9</v>
      </c>
      <c r="BX773">
        <v>240</v>
      </c>
      <c r="BZ773">
        <v>230</v>
      </c>
      <c r="CK773" t="s">
        <v>541</v>
      </c>
      <c r="CM773">
        <v>1911</v>
      </c>
    </row>
    <row r="774" spans="1:91" x14ac:dyDescent="0.3">
      <c r="A774" t="s">
        <v>1396</v>
      </c>
      <c r="B774">
        <v>48679</v>
      </c>
      <c r="C774" t="s">
        <v>1356</v>
      </c>
      <c r="D774">
        <v>12</v>
      </c>
      <c r="I774">
        <v>209984</v>
      </c>
      <c r="J774" t="s">
        <v>800</v>
      </c>
      <c r="V774" t="s">
        <v>350</v>
      </c>
      <c r="Y774">
        <v>100</v>
      </c>
      <c r="AA774">
        <v>240</v>
      </c>
      <c r="AC774" s="3">
        <v>240</v>
      </c>
      <c r="AE774" s="3">
        <v>240</v>
      </c>
      <c r="AI774">
        <v>240</v>
      </c>
      <c r="AK774" s="3"/>
      <c r="BG774">
        <v>10</v>
      </c>
      <c r="BH774">
        <v>10</v>
      </c>
      <c r="BI774">
        <v>10</v>
      </c>
      <c r="BJ774">
        <v>10</v>
      </c>
      <c r="BK774" s="4">
        <v>3713</v>
      </c>
      <c r="BL774" s="4">
        <v>3897</v>
      </c>
      <c r="BM774" s="4">
        <v>4078</v>
      </c>
      <c r="BN774" s="4">
        <v>4262</v>
      </c>
      <c r="BR774">
        <v>165776</v>
      </c>
      <c r="BS774" t="s">
        <v>1395</v>
      </c>
      <c r="BT774">
        <v>4</v>
      </c>
      <c r="BU774">
        <v>4</v>
      </c>
      <c r="BV774">
        <v>9</v>
      </c>
      <c r="BX774">
        <v>240</v>
      </c>
      <c r="BZ774">
        <v>230</v>
      </c>
      <c r="CM774">
        <v>1911</v>
      </c>
    </row>
    <row r="775" spans="1:91" x14ac:dyDescent="0.3">
      <c r="A775" t="s">
        <v>1396</v>
      </c>
      <c r="B775">
        <v>48680</v>
      </c>
      <c r="C775" t="s">
        <v>1397</v>
      </c>
      <c r="D775">
        <v>12</v>
      </c>
      <c r="I775">
        <v>523500</v>
      </c>
      <c r="J775" t="s">
        <v>800</v>
      </c>
      <c r="V775" t="s">
        <v>350</v>
      </c>
      <c r="Y775">
        <v>100</v>
      </c>
      <c r="AA775">
        <v>240</v>
      </c>
      <c r="AC775" s="3">
        <v>240</v>
      </c>
      <c r="AE775" s="3">
        <v>240</v>
      </c>
      <c r="AI775">
        <v>240</v>
      </c>
      <c r="AK775" s="3"/>
      <c r="BG775">
        <v>10</v>
      </c>
      <c r="BH775">
        <v>10</v>
      </c>
      <c r="BI775">
        <v>10</v>
      </c>
      <c r="BJ775">
        <v>10</v>
      </c>
      <c r="BK775" s="4">
        <v>3713</v>
      </c>
      <c r="BL775" s="4">
        <v>3897</v>
      </c>
      <c r="BM775" s="4">
        <v>4078</v>
      </c>
      <c r="BN775" s="4">
        <v>4262</v>
      </c>
      <c r="BR775">
        <v>165776</v>
      </c>
      <c r="BS775" t="s">
        <v>1395</v>
      </c>
      <c r="BT775">
        <v>4</v>
      </c>
      <c r="BU775">
        <v>9</v>
      </c>
      <c r="BV775">
        <v>0</v>
      </c>
      <c r="BX775">
        <v>240</v>
      </c>
      <c r="BZ775">
        <v>230</v>
      </c>
      <c r="CM775">
        <v>1911</v>
      </c>
    </row>
    <row r="776" spans="1:91" x14ac:dyDescent="0.3">
      <c r="A776" t="s">
        <v>1398</v>
      </c>
      <c r="B776">
        <v>48962</v>
      </c>
      <c r="D776">
        <v>12</v>
      </c>
      <c r="I776">
        <v>200000</v>
      </c>
      <c r="U776">
        <v>1</v>
      </c>
      <c r="Y776">
        <v>1</v>
      </c>
      <c r="AA776">
        <v>1.1200000000000001</v>
      </c>
      <c r="AC776" s="3">
        <v>1.1200000000000001</v>
      </c>
      <c r="AE776" s="3">
        <v>1.0900000000000001</v>
      </c>
      <c r="AI776">
        <v>1.1200000000000001</v>
      </c>
      <c r="AK776" s="3"/>
      <c r="AX776" t="s">
        <v>823</v>
      </c>
      <c r="BB776" t="s">
        <v>823</v>
      </c>
      <c r="BG776">
        <v>5</v>
      </c>
      <c r="BH776">
        <v>4</v>
      </c>
      <c r="BI776">
        <v>6</v>
      </c>
      <c r="BJ776">
        <v>4</v>
      </c>
      <c r="BK776" t="s">
        <v>913</v>
      </c>
      <c r="BL776" s="4">
        <v>3927</v>
      </c>
      <c r="BM776" s="4">
        <v>4109</v>
      </c>
      <c r="BN776" s="4">
        <v>4292</v>
      </c>
      <c r="BS776" t="s">
        <v>385</v>
      </c>
      <c r="BT776">
        <v>4</v>
      </c>
      <c r="BU776">
        <v>12</v>
      </c>
      <c r="BV776">
        <v>9</v>
      </c>
      <c r="BY776" t="s">
        <v>385</v>
      </c>
      <c r="CA776" t="s">
        <v>385</v>
      </c>
      <c r="CM776">
        <v>1911</v>
      </c>
    </row>
    <row r="777" spans="1:91" x14ac:dyDescent="0.3">
      <c r="A777" t="s">
        <v>291</v>
      </c>
      <c r="B777">
        <v>48984</v>
      </c>
      <c r="D777">
        <v>12</v>
      </c>
      <c r="I777" s="2">
        <v>6429900</v>
      </c>
      <c r="J777" t="s">
        <v>800</v>
      </c>
      <c r="V777" t="s">
        <v>350</v>
      </c>
      <c r="Y777">
        <v>100</v>
      </c>
      <c r="AA777">
        <v>117</v>
      </c>
      <c r="AC777" s="3">
        <v>117</v>
      </c>
      <c r="AE777" s="3">
        <v>116</v>
      </c>
      <c r="AI777">
        <v>117</v>
      </c>
      <c r="AK777" s="3"/>
      <c r="BG777">
        <v>5.46</v>
      </c>
      <c r="BH777">
        <v>5.46</v>
      </c>
      <c r="BI777">
        <v>5.46</v>
      </c>
      <c r="BJ777">
        <v>5.46</v>
      </c>
      <c r="BK777" s="4">
        <v>3713</v>
      </c>
      <c r="BL777" s="4">
        <v>3897</v>
      </c>
      <c r="BM777" s="4">
        <v>4078</v>
      </c>
      <c r="BN777" s="4">
        <v>4262</v>
      </c>
      <c r="BR777">
        <v>355018</v>
      </c>
      <c r="BS777" t="s">
        <v>1399</v>
      </c>
      <c r="BT777">
        <v>3</v>
      </c>
      <c r="BU777">
        <v>16</v>
      </c>
      <c r="BV777">
        <v>3</v>
      </c>
      <c r="BX777">
        <v>122.5</v>
      </c>
      <c r="BZ777">
        <v>116</v>
      </c>
      <c r="CK777" t="s">
        <v>360</v>
      </c>
      <c r="CM777">
        <v>1911</v>
      </c>
    </row>
    <row r="778" spans="1:91" x14ac:dyDescent="0.3">
      <c r="A778" t="s">
        <v>291</v>
      </c>
      <c r="B778">
        <v>48992</v>
      </c>
      <c r="C778" t="s">
        <v>1400</v>
      </c>
      <c r="D778">
        <v>12</v>
      </c>
      <c r="I778" s="2">
        <v>1895440</v>
      </c>
      <c r="J778" t="s">
        <v>800</v>
      </c>
      <c r="V778" t="s">
        <v>350</v>
      </c>
      <c r="Y778">
        <v>100</v>
      </c>
      <c r="AA778">
        <v>80</v>
      </c>
      <c r="AC778" s="3">
        <v>80.5</v>
      </c>
      <c r="AE778" s="3">
        <v>79.25</v>
      </c>
      <c r="AI778">
        <v>80</v>
      </c>
      <c r="AK778" s="3"/>
      <c r="AV778" t="s">
        <v>370</v>
      </c>
      <c r="AX778" t="s">
        <v>370</v>
      </c>
      <c r="AZ778" t="s">
        <v>370</v>
      </c>
      <c r="BB778" t="s">
        <v>370</v>
      </c>
      <c r="BO778" t="s">
        <v>367</v>
      </c>
      <c r="BR778">
        <v>355018</v>
      </c>
      <c r="BS778" t="s">
        <v>1399</v>
      </c>
      <c r="BT778">
        <v>4</v>
      </c>
      <c r="BU778">
        <v>12</v>
      </c>
      <c r="BV778">
        <v>9</v>
      </c>
      <c r="BX778">
        <v>81.75</v>
      </c>
      <c r="BZ778">
        <v>78.5</v>
      </c>
      <c r="CM778">
        <v>1911</v>
      </c>
    </row>
    <row r="779" spans="1:91" x14ac:dyDescent="0.3">
      <c r="A779" t="s">
        <v>1401</v>
      </c>
      <c r="B779">
        <v>49003</v>
      </c>
      <c r="D779">
        <v>12</v>
      </c>
      <c r="I779">
        <v>605000</v>
      </c>
      <c r="J779" t="s">
        <v>800</v>
      </c>
      <c r="V779" t="s">
        <v>350</v>
      </c>
      <c r="Y779">
        <v>100</v>
      </c>
      <c r="AA779">
        <v>120</v>
      </c>
      <c r="AC779" s="3">
        <v>122.5</v>
      </c>
      <c r="AE779" s="3">
        <v>120</v>
      </c>
      <c r="AI779">
        <v>122</v>
      </c>
      <c r="AK779" s="3"/>
      <c r="BG779">
        <v>5.66</v>
      </c>
      <c r="BH779">
        <v>5.66</v>
      </c>
      <c r="BI779">
        <v>5.66</v>
      </c>
      <c r="BJ779">
        <v>5.66</v>
      </c>
      <c r="BK779" s="4">
        <v>3713</v>
      </c>
      <c r="BL779" s="4">
        <v>3897</v>
      </c>
      <c r="BM779" s="4">
        <v>4078</v>
      </c>
      <c r="BN779" s="4">
        <v>4262</v>
      </c>
      <c r="BR779">
        <v>88773</v>
      </c>
      <c r="BS779" t="s">
        <v>1402</v>
      </c>
      <c r="BT779">
        <v>4</v>
      </c>
      <c r="BU779">
        <v>6</v>
      </c>
      <c r="BV779">
        <v>0</v>
      </c>
      <c r="BX779">
        <v>122.5</v>
      </c>
      <c r="BZ779">
        <v>118.25</v>
      </c>
      <c r="CK779" t="s">
        <v>360</v>
      </c>
      <c r="CM779">
        <v>1911</v>
      </c>
    </row>
    <row r="780" spans="1:91" x14ac:dyDescent="0.3">
      <c r="A780" t="s">
        <v>1403</v>
      </c>
      <c r="B780">
        <v>49004</v>
      </c>
      <c r="C780" t="s">
        <v>1404</v>
      </c>
      <c r="D780">
        <v>12</v>
      </c>
      <c r="I780">
        <v>60000</v>
      </c>
      <c r="J780" t="s">
        <v>800</v>
      </c>
      <c r="V780" t="s">
        <v>350</v>
      </c>
      <c r="Y780">
        <v>100</v>
      </c>
      <c r="AA780">
        <v>118.5</v>
      </c>
      <c r="AC780" s="3">
        <v>118.5</v>
      </c>
      <c r="AE780" s="3">
        <v>118.5</v>
      </c>
      <c r="AI780">
        <v>118.5</v>
      </c>
      <c r="AK780" s="3"/>
      <c r="AV780" t="s">
        <v>506</v>
      </c>
      <c r="AX780" t="s">
        <v>506</v>
      </c>
      <c r="AZ780" t="s">
        <v>506</v>
      </c>
      <c r="BB780" t="s">
        <v>506</v>
      </c>
      <c r="BO780" t="s">
        <v>367</v>
      </c>
      <c r="BR780">
        <v>88773</v>
      </c>
      <c r="BS780" t="s">
        <v>1402</v>
      </c>
      <c r="BT780">
        <v>4</v>
      </c>
      <c r="BU780">
        <v>12</v>
      </c>
      <c r="BV780">
        <v>6</v>
      </c>
      <c r="BX780">
        <v>121</v>
      </c>
      <c r="BZ780">
        <v>116</v>
      </c>
      <c r="CM780">
        <v>1911</v>
      </c>
    </row>
    <row r="781" spans="1:91" x14ac:dyDescent="0.3">
      <c r="A781" t="s">
        <v>1405</v>
      </c>
      <c r="B781">
        <v>49020</v>
      </c>
      <c r="D781">
        <v>12</v>
      </c>
      <c r="I781">
        <v>583730</v>
      </c>
      <c r="J781" t="s">
        <v>800</v>
      </c>
      <c r="V781" t="s">
        <v>350</v>
      </c>
      <c r="Y781">
        <v>100</v>
      </c>
      <c r="AA781">
        <v>107</v>
      </c>
      <c r="AC781" s="3">
        <v>108</v>
      </c>
      <c r="AE781" s="3">
        <v>106.5</v>
      </c>
      <c r="AI781">
        <v>108</v>
      </c>
      <c r="AK781" s="3"/>
      <c r="BG781">
        <v>5</v>
      </c>
      <c r="BH781">
        <v>5</v>
      </c>
      <c r="BI781">
        <v>5</v>
      </c>
      <c r="BJ781">
        <v>5</v>
      </c>
      <c r="BK781" s="4">
        <v>3774</v>
      </c>
      <c r="BL781" s="4">
        <v>3958</v>
      </c>
      <c r="BM781" s="4">
        <v>4139</v>
      </c>
      <c r="BN781" s="4">
        <v>4323</v>
      </c>
      <c r="BR781">
        <v>49853</v>
      </c>
      <c r="BT781">
        <v>4</v>
      </c>
      <c r="BU781">
        <v>4</v>
      </c>
      <c r="BV781">
        <v>6</v>
      </c>
      <c r="BX781">
        <v>112</v>
      </c>
      <c r="BZ781">
        <v>106.5</v>
      </c>
      <c r="CK781" t="s">
        <v>360</v>
      </c>
      <c r="CM781">
        <v>1911</v>
      </c>
    </row>
    <row r="782" spans="1:91" x14ac:dyDescent="0.3">
      <c r="A782" t="s">
        <v>1406</v>
      </c>
      <c r="B782">
        <v>48999</v>
      </c>
      <c r="D782">
        <v>12</v>
      </c>
      <c r="I782">
        <v>291500</v>
      </c>
      <c r="J782" t="s">
        <v>800</v>
      </c>
      <c r="V782" t="s">
        <v>350</v>
      </c>
      <c r="Y782">
        <v>100</v>
      </c>
      <c r="AA782">
        <v>156</v>
      </c>
      <c r="AC782" s="3">
        <v>156</v>
      </c>
      <c r="AE782" s="3">
        <v>156</v>
      </c>
      <c r="AI782">
        <v>156</v>
      </c>
      <c r="AK782" s="3"/>
      <c r="AX782" t="s">
        <v>823</v>
      </c>
      <c r="BB782" t="s">
        <v>823</v>
      </c>
      <c r="BG782">
        <v>8</v>
      </c>
      <c r="BH782">
        <v>8</v>
      </c>
      <c r="BI782">
        <v>8</v>
      </c>
      <c r="BJ782">
        <v>8</v>
      </c>
      <c r="BK782" s="4">
        <v>3713</v>
      </c>
      <c r="BL782" s="4">
        <v>3897</v>
      </c>
      <c r="BM782" s="4">
        <v>4078</v>
      </c>
      <c r="BN782" s="4">
        <v>4262</v>
      </c>
      <c r="BR782">
        <v>20088</v>
      </c>
      <c r="BS782" t="s">
        <v>1326</v>
      </c>
      <c r="BT782">
        <v>5</v>
      </c>
      <c r="BU782">
        <v>0</v>
      </c>
      <c r="BV782">
        <v>0</v>
      </c>
      <c r="BX782">
        <v>158</v>
      </c>
      <c r="BZ782">
        <v>151</v>
      </c>
      <c r="CK782" t="s">
        <v>1076</v>
      </c>
      <c r="CM782">
        <v>1911</v>
      </c>
    </row>
    <row r="783" spans="1:91" x14ac:dyDescent="0.3">
      <c r="A783" t="s">
        <v>1407</v>
      </c>
      <c r="B783">
        <v>49348</v>
      </c>
      <c r="D783">
        <v>12</v>
      </c>
      <c r="I783">
        <v>90600</v>
      </c>
      <c r="J783" t="s">
        <v>800</v>
      </c>
      <c r="V783" t="s">
        <v>350</v>
      </c>
      <c r="Y783">
        <v>100</v>
      </c>
      <c r="AA783">
        <v>203</v>
      </c>
      <c r="AC783" s="3">
        <v>203</v>
      </c>
      <c r="AE783" s="3">
        <v>203</v>
      </c>
      <c r="AI783">
        <v>203</v>
      </c>
      <c r="AK783" s="3"/>
      <c r="BG783">
        <v>10</v>
      </c>
      <c r="BH783">
        <v>10</v>
      </c>
      <c r="BI783">
        <v>10</v>
      </c>
      <c r="BJ783">
        <v>10</v>
      </c>
      <c r="BK783" s="4">
        <v>3713</v>
      </c>
      <c r="BL783" s="4">
        <v>3897</v>
      </c>
      <c r="BM783" s="4">
        <v>4078</v>
      </c>
      <c r="BN783" s="4">
        <v>4262</v>
      </c>
      <c r="BR783">
        <v>27576</v>
      </c>
      <c r="BS783" t="s">
        <v>1408</v>
      </c>
      <c r="BT783">
        <v>5</v>
      </c>
      <c r="BU783">
        <v>10</v>
      </c>
      <c r="BV783">
        <v>6</v>
      </c>
      <c r="BX783">
        <v>206.25</v>
      </c>
      <c r="BZ783">
        <v>194</v>
      </c>
      <c r="CK783" t="s">
        <v>1076</v>
      </c>
      <c r="CL783" t="s">
        <v>457</v>
      </c>
      <c r="CM783">
        <v>1911</v>
      </c>
    </row>
    <row r="784" spans="1:91" x14ac:dyDescent="0.3">
      <c r="A784" t="s">
        <v>1407</v>
      </c>
      <c r="B784">
        <v>49352</v>
      </c>
      <c r="C784" t="s">
        <v>1409</v>
      </c>
      <c r="D784">
        <v>12</v>
      </c>
      <c r="I784">
        <v>62500</v>
      </c>
      <c r="J784" t="s">
        <v>800</v>
      </c>
      <c r="V784" t="s">
        <v>350</v>
      </c>
      <c r="Y784">
        <v>100</v>
      </c>
      <c r="AA784">
        <v>156</v>
      </c>
      <c r="AC784" s="3">
        <v>156</v>
      </c>
      <c r="AE784" s="3">
        <v>156</v>
      </c>
      <c r="AI784">
        <v>156</v>
      </c>
      <c r="AK784" s="3"/>
      <c r="BG784">
        <v>8.5</v>
      </c>
      <c r="BH784">
        <v>8.5</v>
      </c>
      <c r="BI784">
        <v>8.5</v>
      </c>
      <c r="BJ784">
        <v>8.5</v>
      </c>
      <c r="BK784" s="4">
        <v>3713</v>
      </c>
      <c r="BL784" s="4">
        <v>3897</v>
      </c>
      <c r="BM784" s="4">
        <v>4078</v>
      </c>
      <c r="BN784" s="4">
        <v>4262</v>
      </c>
      <c r="BR784">
        <v>27576</v>
      </c>
      <c r="BS784" t="s">
        <v>1408</v>
      </c>
      <c r="BT784">
        <v>5</v>
      </c>
      <c r="BU784">
        <v>17</v>
      </c>
      <c r="BV784">
        <v>6</v>
      </c>
      <c r="BX784">
        <v>160</v>
      </c>
      <c r="BZ784">
        <v>152</v>
      </c>
      <c r="CM784">
        <v>1911</v>
      </c>
    </row>
    <row r="785" spans="1:91" x14ac:dyDescent="0.3">
      <c r="A785" t="s">
        <v>1410</v>
      </c>
      <c r="B785">
        <v>49655</v>
      </c>
      <c r="D785">
        <v>12</v>
      </c>
      <c r="I785">
        <v>120000</v>
      </c>
      <c r="J785" t="s">
        <v>800</v>
      </c>
      <c r="V785" t="s">
        <v>350</v>
      </c>
      <c r="Y785">
        <v>100</v>
      </c>
      <c r="AA785">
        <v>146.5</v>
      </c>
      <c r="AC785" s="3">
        <v>146.5</v>
      </c>
      <c r="AE785" s="3">
        <v>146.5</v>
      </c>
      <c r="AI785">
        <v>146.5</v>
      </c>
      <c r="AK785" s="3"/>
      <c r="BG785">
        <v>6.87</v>
      </c>
      <c r="BH785">
        <v>7</v>
      </c>
      <c r="BI785">
        <v>7</v>
      </c>
      <c r="BJ785">
        <v>7.12</v>
      </c>
      <c r="BK785" s="4">
        <v>3713</v>
      </c>
      <c r="BL785" s="4">
        <v>3897</v>
      </c>
      <c r="BM785" s="4">
        <v>4078</v>
      </c>
      <c r="BN785" s="4">
        <v>4262</v>
      </c>
      <c r="BR785">
        <v>71416</v>
      </c>
      <c r="BS785" t="s">
        <v>1411</v>
      </c>
      <c r="BT785">
        <v>4</v>
      </c>
      <c r="BU785">
        <v>16</v>
      </c>
      <c r="BV785">
        <v>9</v>
      </c>
      <c r="BX785">
        <v>148.5</v>
      </c>
      <c r="BZ785">
        <v>141.5</v>
      </c>
      <c r="CK785" t="s">
        <v>360</v>
      </c>
      <c r="CM785">
        <v>1911</v>
      </c>
    </row>
    <row r="786" spans="1:91" x14ac:dyDescent="0.3">
      <c r="A786" t="s">
        <v>1412</v>
      </c>
      <c r="B786">
        <v>49656</v>
      </c>
      <c r="D786">
        <v>12</v>
      </c>
      <c r="I786">
        <v>483940</v>
      </c>
      <c r="J786" t="s">
        <v>800</v>
      </c>
      <c r="V786" t="s">
        <v>350</v>
      </c>
      <c r="Y786">
        <v>100</v>
      </c>
      <c r="AA786">
        <v>116</v>
      </c>
      <c r="AC786" s="3">
        <v>116</v>
      </c>
      <c r="AE786" s="3">
        <v>116</v>
      </c>
      <c r="AI786">
        <v>116</v>
      </c>
      <c r="AK786" s="3"/>
      <c r="BG786">
        <v>5.37</v>
      </c>
      <c r="BH786">
        <v>5.5</v>
      </c>
      <c r="BI786">
        <v>5.5</v>
      </c>
      <c r="BJ786">
        <v>5.62</v>
      </c>
      <c r="BK786" s="4">
        <v>3713</v>
      </c>
      <c r="BL786" s="4">
        <v>3897</v>
      </c>
      <c r="BM786" s="4">
        <v>4078</v>
      </c>
      <c r="BN786" s="4">
        <v>4262</v>
      </c>
      <c r="BR786">
        <v>71416</v>
      </c>
      <c r="BS786" t="s">
        <v>1411</v>
      </c>
      <c r="BT786">
        <v>4</v>
      </c>
      <c r="BU786">
        <v>11</v>
      </c>
      <c r="BV786">
        <v>0</v>
      </c>
      <c r="BX786">
        <v>118</v>
      </c>
      <c r="BZ786">
        <v>113.5</v>
      </c>
      <c r="CM786">
        <v>1911</v>
      </c>
    </row>
    <row r="787" spans="1:91" x14ac:dyDescent="0.3">
      <c r="A787" t="s">
        <v>1413</v>
      </c>
      <c r="B787">
        <v>49788</v>
      </c>
      <c r="D787">
        <v>12</v>
      </c>
      <c r="I787">
        <v>18238</v>
      </c>
      <c r="U787">
        <v>10</v>
      </c>
      <c r="Y787">
        <v>10</v>
      </c>
      <c r="AA787">
        <v>9</v>
      </c>
      <c r="AC787" s="3">
        <v>9</v>
      </c>
      <c r="AE787" s="3">
        <v>8.75</v>
      </c>
      <c r="AI787">
        <v>9</v>
      </c>
      <c r="AK787" s="3"/>
      <c r="AX787" t="s">
        <v>823</v>
      </c>
      <c r="BB787" t="s">
        <v>823</v>
      </c>
      <c r="BG787">
        <v>5</v>
      </c>
      <c r="BH787">
        <v>5</v>
      </c>
      <c r="BI787">
        <v>5</v>
      </c>
      <c r="BJ787">
        <v>5</v>
      </c>
      <c r="BK787" s="4">
        <v>3654</v>
      </c>
      <c r="BL787" s="4">
        <v>3805</v>
      </c>
      <c r="BM787" s="4">
        <v>4019</v>
      </c>
      <c r="BN787" s="4">
        <v>4170</v>
      </c>
      <c r="BR787">
        <v>2266</v>
      </c>
      <c r="BT787">
        <v>5</v>
      </c>
      <c r="BU787">
        <v>17</v>
      </c>
      <c r="BV787">
        <v>9</v>
      </c>
      <c r="BX787">
        <v>9.25</v>
      </c>
      <c r="BZ787">
        <v>8.75</v>
      </c>
      <c r="CK787" t="s">
        <v>360</v>
      </c>
      <c r="CM787">
        <v>1911</v>
      </c>
    </row>
    <row r="788" spans="1:91" x14ac:dyDescent="0.3">
      <c r="A788" t="s">
        <v>1414</v>
      </c>
      <c r="B788">
        <v>50604</v>
      </c>
      <c r="D788">
        <v>12</v>
      </c>
      <c r="I788">
        <v>98960</v>
      </c>
      <c r="J788" t="s">
        <v>800</v>
      </c>
      <c r="V788" t="s">
        <v>350</v>
      </c>
      <c r="Y788">
        <v>100</v>
      </c>
      <c r="AA788">
        <v>205</v>
      </c>
      <c r="AC788" s="3">
        <v>210</v>
      </c>
      <c r="AE788" s="3">
        <v>205</v>
      </c>
      <c r="AI788">
        <v>210</v>
      </c>
      <c r="AK788" s="3"/>
      <c r="BG788">
        <v>10.25</v>
      </c>
      <c r="BH788">
        <v>10.25</v>
      </c>
      <c r="BI788">
        <v>10.25</v>
      </c>
      <c r="BJ788">
        <v>10.25</v>
      </c>
      <c r="BK788" s="4">
        <v>3713</v>
      </c>
      <c r="BL788" s="4">
        <v>3897</v>
      </c>
      <c r="BM788" s="4">
        <v>4078</v>
      </c>
      <c r="BN788" s="4">
        <v>4262</v>
      </c>
      <c r="BR788">
        <v>32844</v>
      </c>
      <c r="BS788" t="s">
        <v>1415</v>
      </c>
      <c r="BT788">
        <v>4</v>
      </c>
      <c r="BU788">
        <v>6</v>
      </c>
      <c r="BV788">
        <v>9</v>
      </c>
      <c r="BX788">
        <v>210</v>
      </c>
      <c r="BZ788">
        <v>204</v>
      </c>
      <c r="CK788" t="s">
        <v>393</v>
      </c>
      <c r="CL788" t="s">
        <v>457</v>
      </c>
      <c r="CM788">
        <v>1911</v>
      </c>
    </row>
    <row r="789" spans="1:91" x14ac:dyDescent="0.3">
      <c r="A789" t="s">
        <v>1414</v>
      </c>
      <c r="B789">
        <v>50606</v>
      </c>
      <c r="C789" t="s">
        <v>955</v>
      </c>
      <c r="D789">
        <v>12</v>
      </c>
      <c r="I789">
        <v>49480</v>
      </c>
      <c r="J789" t="s">
        <v>800</v>
      </c>
      <c r="V789" t="s">
        <v>350</v>
      </c>
      <c r="Y789">
        <v>100</v>
      </c>
      <c r="AA789">
        <v>140</v>
      </c>
      <c r="AC789" s="3">
        <v>140</v>
      </c>
      <c r="AE789" s="3">
        <v>140</v>
      </c>
      <c r="AI789">
        <v>140</v>
      </c>
      <c r="AK789" s="3"/>
      <c r="AV789" t="s">
        <v>506</v>
      </c>
      <c r="AX789" t="s">
        <v>506</v>
      </c>
      <c r="AZ789" t="s">
        <v>506</v>
      </c>
      <c r="BB789" t="s">
        <v>506</v>
      </c>
      <c r="BO789" t="s">
        <v>367</v>
      </c>
      <c r="BR789">
        <v>32844</v>
      </c>
      <c r="BS789" t="s">
        <v>1415</v>
      </c>
      <c r="BT789">
        <v>4</v>
      </c>
      <c r="BU789">
        <v>7</v>
      </c>
      <c r="BV789">
        <v>0</v>
      </c>
      <c r="BX789">
        <v>140</v>
      </c>
      <c r="BZ789">
        <v>165</v>
      </c>
      <c r="CM789">
        <v>1911</v>
      </c>
    </row>
    <row r="790" spans="1:91" x14ac:dyDescent="0.3">
      <c r="A790" t="s">
        <v>1416</v>
      </c>
      <c r="B790">
        <v>40047</v>
      </c>
      <c r="D790">
        <v>12</v>
      </c>
      <c r="I790">
        <v>10000</v>
      </c>
      <c r="U790">
        <v>7</v>
      </c>
      <c r="Y790">
        <v>7</v>
      </c>
      <c r="AA790">
        <v>3.75</v>
      </c>
      <c r="AC790" s="3">
        <v>3.75</v>
      </c>
      <c r="AE790" s="3">
        <v>3.75</v>
      </c>
      <c r="AI790">
        <v>3.75</v>
      </c>
      <c r="AK790" s="3"/>
      <c r="BB790" t="s">
        <v>802</v>
      </c>
      <c r="BG790">
        <v>6</v>
      </c>
      <c r="BH790">
        <v>6</v>
      </c>
      <c r="BI790">
        <v>6</v>
      </c>
      <c r="BK790" s="4">
        <v>3654</v>
      </c>
      <c r="BL790" s="4">
        <v>3835</v>
      </c>
      <c r="BM790" s="4">
        <v>4019</v>
      </c>
      <c r="BN790" s="4">
        <v>4200</v>
      </c>
      <c r="BR790">
        <v>44256</v>
      </c>
      <c r="BS790" t="s">
        <v>1417</v>
      </c>
      <c r="BT790">
        <v>5</v>
      </c>
      <c r="BU790">
        <v>12</v>
      </c>
      <c r="BV790">
        <v>0</v>
      </c>
      <c r="BX790">
        <v>6.5</v>
      </c>
      <c r="BZ790">
        <v>3.75</v>
      </c>
      <c r="CK790" t="s">
        <v>1418</v>
      </c>
      <c r="CM790">
        <v>1911</v>
      </c>
    </row>
    <row r="791" spans="1:91" x14ac:dyDescent="0.3">
      <c r="A791" t="s">
        <v>1419</v>
      </c>
      <c r="B791">
        <v>40108</v>
      </c>
      <c r="D791">
        <v>12</v>
      </c>
      <c r="I791">
        <v>22000</v>
      </c>
      <c r="U791">
        <v>10</v>
      </c>
      <c r="Y791">
        <v>10</v>
      </c>
      <c r="AA791">
        <v>4</v>
      </c>
      <c r="AC791" s="3">
        <v>4</v>
      </c>
      <c r="AE791" s="3">
        <v>4</v>
      </c>
      <c r="AI791">
        <v>4</v>
      </c>
      <c r="AK791" s="3"/>
      <c r="AV791" t="s">
        <v>823</v>
      </c>
      <c r="AZ791" t="s">
        <v>823</v>
      </c>
      <c r="BB791" t="s">
        <v>810</v>
      </c>
      <c r="BG791">
        <v>10</v>
      </c>
      <c r="BH791">
        <v>10</v>
      </c>
      <c r="BI791">
        <v>10</v>
      </c>
      <c r="BK791" s="4">
        <v>2770</v>
      </c>
      <c r="BL791" s="4">
        <v>2954</v>
      </c>
      <c r="BM791" s="4">
        <v>3136</v>
      </c>
      <c r="BN791" t="s">
        <v>811</v>
      </c>
      <c r="BR791">
        <v>21148</v>
      </c>
      <c r="BW791" t="s">
        <v>802</v>
      </c>
      <c r="BX791">
        <v>5.12</v>
      </c>
      <c r="BZ791">
        <v>3.75</v>
      </c>
      <c r="CK791" t="s">
        <v>1420</v>
      </c>
      <c r="CM791">
        <v>1911</v>
      </c>
    </row>
    <row r="792" spans="1:91" x14ac:dyDescent="0.3">
      <c r="A792" t="s">
        <v>1421</v>
      </c>
      <c r="B792">
        <v>40451</v>
      </c>
      <c r="D792">
        <v>12</v>
      </c>
      <c r="I792" s="2">
        <v>3210000</v>
      </c>
      <c r="U792">
        <v>1</v>
      </c>
      <c r="Y792">
        <v>1</v>
      </c>
      <c r="AA792">
        <v>2.12</v>
      </c>
      <c r="AC792" s="3">
        <v>2.21</v>
      </c>
      <c r="AE792" s="3">
        <v>2.09</v>
      </c>
      <c r="AI792">
        <v>2.21</v>
      </c>
      <c r="AK792" s="3"/>
      <c r="AX792" t="s">
        <v>823</v>
      </c>
      <c r="BB792" t="s">
        <v>823</v>
      </c>
      <c r="BG792">
        <v>10</v>
      </c>
      <c r="BH792">
        <v>10</v>
      </c>
      <c r="BI792">
        <v>10</v>
      </c>
      <c r="BJ792">
        <v>10</v>
      </c>
      <c r="BK792" s="4">
        <v>3713</v>
      </c>
      <c r="BL792" s="4">
        <v>3897</v>
      </c>
      <c r="BM792" s="4">
        <v>4109</v>
      </c>
      <c r="BN792" s="4">
        <v>4262</v>
      </c>
      <c r="BR792" s="2">
        <v>1684440</v>
      </c>
      <c r="BS792" t="s">
        <v>1422</v>
      </c>
      <c r="BT792">
        <v>4</v>
      </c>
      <c r="BU792">
        <v>10</v>
      </c>
      <c r="BV792">
        <v>6</v>
      </c>
      <c r="BX792">
        <v>2.4300000000000002</v>
      </c>
      <c r="BZ792">
        <v>2.0299999999999998</v>
      </c>
      <c r="CK792" t="s">
        <v>1076</v>
      </c>
      <c r="CM792">
        <v>1911</v>
      </c>
    </row>
    <row r="793" spans="1:91" x14ac:dyDescent="0.3">
      <c r="A793" t="s">
        <v>1421</v>
      </c>
      <c r="B793">
        <v>40452</v>
      </c>
      <c r="C793" t="s">
        <v>1423</v>
      </c>
      <c r="D793">
        <v>12</v>
      </c>
      <c r="I793">
        <v>200000</v>
      </c>
      <c r="U793">
        <v>5</v>
      </c>
      <c r="Y793">
        <v>5</v>
      </c>
      <c r="AA793">
        <v>4.68</v>
      </c>
      <c r="AC793" s="3">
        <v>4.68</v>
      </c>
      <c r="AE793" s="3">
        <v>4.68</v>
      </c>
      <c r="AI793">
        <v>4.68</v>
      </c>
      <c r="AK793" s="3"/>
      <c r="AV793" t="s">
        <v>1424</v>
      </c>
      <c r="AX793" t="s">
        <v>1424</v>
      </c>
      <c r="AZ793" t="s">
        <v>1424</v>
      </c>
      <c r="BB793" t="s">
        <v>1424</v>
      </c>
      <c r="BO793" t="s">
        <v>367</v>
      </c>
      <c r="BR793" s="2">
        <v>1684440</v>
      </c>
      <c r="BS793" t="s">
        <v>1422</v>
      </c>
      <c r="BT793">
        <v>4</v>
      </c>
      <c r="BU793">
        <v>5</v>
      </c>
      <c r="BV793">
        <v>6</v>
      </c>
      <c r="BX793">
        <v>5</v>
      </c>
      <c r="BZ793">
        <v>4.43</v>
      </c>
      <c r="CM793">
        <v>1911</v>
      </c>
    </row>
    <row r="794" spans="1:91" x14ac:dyDescent="0.3">
      <c r="A794" t="s">
        <v>1421</v>
      </c>
      <c r="B794">
        <v>40454</v>
      </c>
      <c r="C794" t="s">
        <v>1425</v>
      </c>
      <c r="D794">
        <v>12</v>
      </c>
      <c r="I794" s="2">
        <v>1000000</v>
      </c>
      <c r="J794" t="s">
        <v>800</v>
      </c>
      <c r="V794" t="s">
        <v>350</v>
      </c>
      <c r="Y794">
        <v>100</v>
      </c>
      <c r="AA794">
        <v>100</v>
      </c>
      <c r="AC794" s="3">
        <v>100.75</v>
      </c>
      <c r="AE794" s="3">
        <v>99</v>
      </c>
      <c r="AI794">
        <v>99</v>
      </c>
      <c r="AJ794" t="s">
        <v>379</v>
      </c>
      <c r="AK794" s="3"/>
      <c r="AV794" t="s">
        <v>370</v>
      </c>
      <c r="AX794" t="s">
        <v>370</v>
      </c>
      <c r="AZ794" t="s">
        <v>370</v>
      </c>
      <c r="BB794" t="s">
        <v>370</v>
      </c>
      <c r="BO794" t="s">
        <v>367</v>
      </c>
      <c r="BR794" s="2">
        <v>1684440</v>
      </c>
      <c r="BS794" t="s">
        <v>1426</v>
      </c>
      <c r="BT794">
        <v>4</v>
      </c>
      <c r="BU794">
        <v>0</v>
      </c>
      <c r="BV794">
        <v>9</v>
      </c>
      <c r="BX794">
        <v>102.5</v>
      </c>
      <c r="BZ794">
        <v>98.5</v>
      </c>
      <c r="CM794">
        <v>1911</v>
      </c>
    </row>
    <row r="795" spans="1:91" x14ac:dyDescent="0.3">
      <c r="A795" t="s">
        <v>1427</v>
      </c>
      <c r="B795">
        <v>40476</v>
      </c>
      <c r="D795">
        <v>12</v>
      </c>
      <c r="I795">
        <v>6500</v>
      </c>
      <c r="U795">
        <v>10</v>
      </c>
      <c r="Y795">
        <v>8</v>
      </c>
      <c r="AA795">
        <v>6</v>
      </c>
      <c r="AC795" s="3">
        <v>6</v>
      </c>
      <c r="AE795" s="3">
        <v>5.59</v>
      </c>
      <c r="AI795">
        <v>5.59</v>
      </c>
      <c r="AK795" s="3"/>
      <c r="AX795" t="s">
        <v>969</v>
      </c>
      <c r="AZ795" t="s">
        <v>815</v>
      </c>
      <c r="BB795" t="s">
        <v>815</v>
      </c>
      <c r="BG795">
        <v>5</v>
      </c>
      <c r="BI795">
        <v>5</v>
      </c>
      <c r="BJ795">
        <v>5</v>
      </c>
      <c r="BK795" s="4">
        <v>3258</v>
      </c>
      <c r="BL795" t="s">
        <v>811</v>
      </c>
      <c r="BM795" s="4">
        <v>3988</v>
      </c>
      <c r="BN795" s="4">
        <v>4353</v>
      </c>
      <c r="BR795">
        <v>17738</v>
      </c>
      <c r="BT795">
        <v>6</v>
      </c>
      <c r="BU795">
        <v>11</v>
      </c>
      <c r="BV795">
        <v>9</v>
      </c>
      <c r="BX795">
        <v>7</v>
      </c>
      <c r="BZ795">
        <v>5.59</v>
      </c>
      <c r="CK795" t="s">
        <v>454</v>
      </c>
      <c r="CM795">
        <v>1911</v>
      </c>
    </row>
    <row r="796" spans="1:91" x14ac:dyDescent="0.3">
      <c r="A796" t="s">
        <v>1428</v>
      </c>
      <c r="B796">
        <v>40600</v>
      </c>
      <c r="D796">
        <v>12</v>
      </c>
      <c r="I796">
        <v>13000</v>
      </c>
      <c r="U796">
        <v>10</v>
      </c>
      <c r="Y796">
        <v>10</v>
      </c>
      <c r="AA796">
        <v>30.5</v>
      </c>
      <c r="AC796" s="3">
        <v>30.5</v>
      </c>
      <c r="AE796" s="3">
        <v>30.5</v>
      </c>
      <c r="AI796">
        <v>30.5</v>
      </c>
      <c r="AK796" s="3"/>
      <c r="BG796">
        <v>22.5</v>
      </c>
      <c r="BH796">
        <v>22.5</v>
      </c>
      <c r="BI796">
        <v>22.5</v>
      </c>
      <c r="BJ796">
        <v>22.5</v>
      </c>
      <c r="BK796" s="4">
        <v>3713</v>
      </c>
      <c r="BL796" s="4">
        <v>3897</v>
      </c>
      <c r="BM796" s="4">
        <v>4109</v>
      </c>
      <c r="BN796" s="4">
        <v>4262</v>
      </c>
      <c r="BS796" t="s">
        <v>385</v>
      </c>
      <c r="BT796">
        <v>7</v>
      </c>
      <c r="BU796">
        <v>7</v>
      </c>
      <c r="BV796">
        <v>6</v>
      </c>
      <c r="BX796">
        <v>33</v>
      </c>
      <c r="BZ796">
        <v>30.5</v>
      </c>
      <c r="CM796">
        <v>1911</v>
      </c>
    </row>
    <row r="797" spans="1:91" x14ac:dyDescent="0.3">
      <c r="A797" t="s">
        <v>1428</v>
      </c>
      <c r="B797">
        <v>40601</v>
      </c>
      <c r="C797" t="s">
        <v>549</v>
      </c>
      <c r="D797">
        <v>12</v>
      </c>
      <c r="I797">
        <v>5550</v>
      </c>
      <c r="U797">
        <v>10</v>
      </c>
      <c r="Y797">
        <v>8</v>
      </c>
      <c r="AA797">
        <v>27</v>
      </c>
      <c r="AC797" s="3">
        <v>27</v>
      </c>
      <c r="AE797" s="3">
        <v>27</v>
      </c>
      <c r="AI797">
        <v>27</v>
      </c>
      <c r="AK797" s="3"/>
      <c r="BG797">
        <v>22.5</v>
      </c>
      <c r="BH797">
        <v>22.5</v>
      </c>
      <c r="BI797">
        <v>22.5</v>
      </c>
      <c r="BJ797">
        <v>22.5</v>
      </c>
      <c r="BK797" s="4">
        <v>3713</v>
      </c>
      <c r="BL797" s="4">
        <v>3897</v>
      </c>
      <c r="BM797" s="4">
        <v>4109</v>
      </c>
      <c r="BN797" s="4">
        <v>4262</v>
      </c>
      <c r="BS797" t="s">
        <v>385</v>
      </c>
      <c r="BT797">
        <v>6</v>
      </c>
      <c r="BU797">
        <v>13</v>
      </c>
      <c r="BV797">
        <v>3</v>
      </c>
      <c r="BX797">
        <v>29</v>
      </c>
      <c r="BZ797">
        <v>27</v>
      </c>
      <c r="CM797">
        <v>1911</v>
      </c>
    </row>
    <row r="798" spans="1:91" x14ac:dyDescent="0.3">
      <c r="A798" t="s">
        <v>1429</v>
      </c>
      <c r="B798">
        <v>40717</v>
      </c>
      <c r="D798">
        <v>12</v>
      </c>
      <c r="I798">
        <v>830000</v>
      </c>
      <c r="U798">
        <v>1</v>
      </c>
      <c r="Y798">
        <v>1</v>
      </c>
      <c r="AA798">
        <v>6</v>
      </c>
      <c r="AC798" s="3">
        <v>6.12</v>
      </c>
      <c r="AE798" s="3">
        <v>5.93</v>
      </c>
      <c r="AI798">
        <v>6.12</v>
      </c>
      <c r="AK798" s="3"/>
      <c r="AX798" t="s">
        <v>823</v>
      </c>
      <c r="BB798" t="s">
        <v>823</v>
      </c>
      <c r="BG798">
        <v>32</v>
      </c>
      <c r="BH798">
        <v>20</v>
      </c>
      <c r="BI798">
        <v>32</v>
      </c>
      <c r="BJ798">
        <v>24</v>
      </c>
      <c r="BK798" s="4">
        <v>3744</v>
      </c>
      <c r="BL798" s="4">
        <v>3927</v>
      </c>
      <c r="BM798" s="4">
        <v>4109</v>
      </c>
      <c r="BN798" s="4">
        <v>4292</v>
      </c>
      <c r="BR798" s="2">
        <v>1013640</v>
      </c>
      <c r="BS798" t="s">
        <v>1430</v>
      </c>
      <c r="BT798">
        <v>4</v>
      </c>
      <c r="BU798">
        <v>11</v>
      </c>
      <c r="BV798">
        <v>3</v>
      </c>
      <c r="BX798">
        <v>6.18</v>
      </c>
      <c r="BZ798">
        <v>5.12</v>
      </c>
      <c r="CK798" t="s">
        <v>360</v>
      </c>
      <c r="CM798">
        <v>1911</v>
      </c>
    </row>
    <row r="799" spans="1:91" x14ac:dyDescent="0.3">
      <c r="A799" t="s">
        <v>1429</v>
      </c>
      <c r="B799">
        <v>40718</v>
      </c>
      <c r="C799" t="s">
        <v>1431</v>
      </c>
      <c r="D799">
        <v>12</v>
      </c>
      <c r="I799">
        <v>100000</v>
      </c>
      <c r="U799">
        <v>1</v>
      </c>
      <c r="Y799">
        <v>1</v>
      </c>
      <c r="AA799">
        <v>1.43</v>
      </c>
      <c r="AC799" s="3">
        <v>1.43</v>
      </c>
      <c r="AE799" s="3">
        <v>1.43</v>
      </c>
      <c r="AI799">
        <v>1.43</v>
      </c>
      <c r="AK799" s="3"/>
      <c r="AV799" t="s">
        <v>536</v>
      </c>
      <c r="AX799" t="s">
        <v>536</v>
      </c>
      <c r="AZ799" t="s">
        <v>536</v>
      </c>
      <c r="BB799" t="s">
        <v>536</v>
      </c>
      <c r="BO799" t="s">
        <v>367</v>
      </c>
      <c r="BR799" s="2">
        <v>1013640</v>
      </c>
      <c r="BS799" t="s">
        <v>1430</v>
      </c>
      <c r="BT799">
        <v>4</v>
      </c>
      <c r="BU799">
        <v>3</v>
      </c>
      <c r="BV799">
        <v>6</v>
      </c>
      <c r="BX799">
        <v>1.93</v>
      </c>
      <c r="BZ799">
        <v>1.43</v>
      </c>
      <c r="CM799">
        <v>1911</v>
      </c>
    </row>
    <row r="800" spans="1:91" x14ac:dyDescent="0.3">
      <c r="A800" t="s">
        <v>1432</v>
      </c>
      <c r="B800">
        <v>40763</v>
      </c>
      <c r="D800">
        <v>12</v>
      </c>
      <c r="I800">
        <v>250000</v>
      </c>
      <c r="U800">
        <v>1</v>
      </c>
      <c r="Y800">
        <v>1</v>
      </c>
      <c r="AA800">
        <v>1.1499999999999999</v>
      </c>
      <c r="AC800" s="3">
        <v>1.1499999999999999</v>
      </c>
      <c r="AE800" s="3">
        <v>1.1499999999999999</v>
      </c>
      <c r="AI800">
        <v>1.1499999999999999</v>
      </c>
      <c r="AK800" s="3"/>
      <c r="BG800">
        <v>5.5</v>
      </c>
      <c r="BH800">
        <v>5.5</v>
      </c>
      <c r="BI800">
        <v>5.5</v>
      </c>
      <c r="BJ800">
        <v>5.5</v>
      </c>
      <c r="BK800" s="4">
        <v>3685</v>
      </c>
      <c r="BL800" s="4">
        <v>3866</v>
      </c>
      <c r="BM800" s="4">
        <v>4050</v>
      </c>
      <c r="BN800" s="4">
        <v>4231</v>
      </c>
      <c r="BR800">
        <v>289591</v>
      </c>
      <c r="BS800" t="s">
        <v>1433</v>
      </c>
      <c r="BT800">
        <v>4</v>
      </c>
      <c r="BU800">
        <v>15</v>
      </c>
      <c r="BV800">
        <v>3</v>
      </c>
      <c r="BX800">
        <v>1.18</v>
      </c>
      <c r="BZ800">
        <v>1.0900000000000001</v>
      </c>
      <c r="CM800">
        <v>1911</v>
      </c>
    </row>
    <row r="801" spans="1:91" x14ac:dyDescent="0.3">
      <c r="A801" t="s">
        <v>1432</v>
      </c>
      <c r="B801">
        <v>40764</v>
      </c>
      <c r="C801" t="s">
        <v>805</v>
      </c>
      <c r="D801">
        <v>12</v>
      </c>
      <c r="I801">
        <v>500000</v>
      </c>
      <c r="J801" t="s">
        <v>800</v>
      </c>
      <c r="V801" t="s">
        <v>350</v>
      </c>
      <c r="Y801">
        <v>100</v>
      </c>
      <c r="AA801">
        <v>104</v>
      </c>
      <c r="AC801" s="3">
        <v>104</v>
      </c>
      <c r="AE801" s="3">
        <v>102</v>
      </c>
      <c r="AI801">
        <v>102</v>
      </c>
      <c r="AJ801" t="s">
        <v>379</v>
      </c>
      <c r="AK801" s="3"/>
      <c r="AV801" t="s">
        <v>370</v>
      </c>
      <c r="AX801" t="s">
        <v>370</v>
      </c>
      <c r="AZ801" t="s">
        <v>370</v>
      </c>
      <c r="BB801" t="s">
        <v>370</v>
      </c>
      <c r="BO801" t="s">
        <v>367</v>
      </c>
      <c r="BR801">
        <v>289591</v>
      </c>
      <c r="BS801" t="s">
        <v>1433</v>
      </c>
      <c r="BT801">
        <v>4</v>
      </c>
      <c r="BU801">
        <v>8</v>
      </c>
      <c r="BV801">
        <v>3</v>
      </c>
      <c r="BX801">
        <v>104.5</v>
      </c>
      <c r="BZ801">
        <v>101</v>
      </c>
      <c r="CM801">
        <v>1911</v>
      </c>
    </row>
    <row r="802" spans="1:91" x14ac:dyDescent="0.3">
      <c r="A802" t="s">
        <v>1434</v>
      </c>
      <c r="B802">
        <v>40831</v>
      </c>
      <c r="D802">
        <v>12</v>
      </c>
      <c r="I802">
        <v>150000</v>
      </c>
      <c r="U802">
        <v>4.5</v>
      </c>
      <c r="Y802">
        <v>4.5</v>
      </c>
      <c r="AA802">
        <v>0.9</v>
      </c>
      <c r="AC802" s="3">
        <v>0.9</v>
      </c>
      <c r="AE802" s="3">
        <v>0.9</v>
      </c>
      <c r="AI802">
        <v>0.9</v>
      </c>
      <c r="AK802" s="3"/>
      <c r="BB802" t="s">
        <v>810</v>
      </c>
      <c r="BG802">
        <v>1</v>
      </c>
      <c r="BH802">
        <v>2.5</v>
      </c>
      <c r="BI802">
        <v>2</v>
      </c>
      <c r="BK802" s="4">
        <v>2252</v>
      </c>
      <c r="BL802" s="4">
        <v>2617</v>
      </c>
      <c r="BM802" s="4">
        <v>2983</v>
      </c>
      <c r="BR802">
        <v>66623</v>
      </c>
      <c r="BS802" t="s">
        <v>1435</v>
      </c>
      <c r="BW802" t="s">
        <v>802</v>
      </c>
      <c r="BX802">
        <v>1.18</v>
      </c>
      <c r="BZ802">
        <v>0.9</v>
      </c>
      <c r="CK802" t="s">
        <v>360</v>
      </c>
      <c r="CL802" t="s">
        <v>457</v>
      </c>
      <c r="CM802">
        <v>1911</v>
      </c>
    </row>
    <row r="803" spans="1:91" x14ac:dyDescent="0.3">
      <c r="A803" t="s">
        <v>1434</v>
      </c>
      <c r="B803">
        <v>40832</v>
      </c>
      <c r="C803" t="s">
        <v>1436</v>
      </c>
      <c r="D803">
        <v>12</v>
      </c>
      <c r="I803">
        <v>50000</v>
      </c>
      <c r="U803">
        <v>4.5</v>
      </c>
      <c r="Y803">
        <v>4.5</v>
      </c>
      <c r="AA803">
        <v>3</v>
      </c>
      <c r="AC803" s="3">
        <v>3</v>
      </c>
      <c r="AE803" s="3">
        <v>3</v>
      </c>
      <c r="AI803">
        <v>3</v>
      </c>
      <c r="AK803" s="3"/>
      <c r="AZ803" t="s">
        <v>969</v>
      </c>
      <c r="BB803" t="s">
        <v>815</v>
      </c>
      <c r="BG803">
        <v>7.91</v>
      </c>
      <c r="BH803">
        <v>7.66</v>
      </c>
      <c r="BJ803">
        <v>6.66</v>
      </c>
      <c r="BK803" s="4">
        <v>2617</v>
      </c>
      <c r="BL803" s="4">
        <v>2983</v>
      </c>
      <c r="BM803" t="s">
        <v>811</v>
      </c>
      <c r="BN803" s="4">
        <v>4078</v>
      </c>
      <c r="BR803">
        <v>66623</v>
      </c>
      <c r="BS803" t="s">
        <v>1435</v>
      </c>
      <c r="BT803">
        <v>10</v>
      </c>
      <c r="BU803">
        <v>0</v>
      </c>
      <c r="BV803">
        <v>0</v>
      </c>
      <c r="BX803">
        <v>4</v>
      </c>
      <c r="BZ803">
        <v>3</v>
      </c>
      <c r="CM803">
        <v>1911</v>
      </c>
    </row>
    <row r="804" spans="1:91" x14ac:dyDescent="0.3">
      <c r="A804" t="s">
        <v>1437</v>
      </c>
      <c r="B804">
        <v>40894</v>
      </c>
      <c r="D804">
        <v>12</v>
      </c>
      <c r="I804">
        <v>867400</v>
      </c>
      <c r="J804" t="s">
        <v>800</v>
      </c>
      <c r="U804">
        <v>100</v>
      </c>
      <c r="Y804">
        <v>100</v>
      </c>
      <c r="AA804">
        <v>94.5</v>
      </c>
      <c r="AC804" s="3">
        <v>94.5</v>
      </c>
      <c r="AE804" s="3">
        <v>94.25</v>
      </c>
      <c r="AI804">
        <v>94.5</v>
      </c>
      <c r="AK804" s="3"/>
      <c r="AV804" t="s">
        <v>370</v>
      </c>
      <c r="AX804" t="s">
        <v>370</v>
      </c>
      <c r="AZ804" t="s">
        <v>370</v>
      </c>
      <c r="BB804" t="s">
        <v>370</v>
      </c>
      <c r="BO804" t="s">
        <v>367</v>
      </c>
      <c r="BS804" t="s">
        <v>385</v>
      </c>
      <c r="BT804">
        <v>4</v>
      </c>
      <c r="BU804">
        <v>17</v>
      </c>
      <c r="BV804">
        <v>0</v>
      </c>
      <c r="BX804">
        <v>101.5</v>
      </c>
      <c r="BZ804">
        <v>93.25</v>
      </c>
      <c r="CM804">
        <v>1911</v>
      </c>
    </row>
    <row r="805" spans="1:91" x14ac:dyDescent="0.3">
      <c r="A805" t="s">
        <v>1438</v>
      </c>
      <c r="B805">
        <v>40947</v>
      </c>
      <c r="D805">
        <v>12</v>
      </c>
      <c r="I805">
        <v>50000</v>
      </c>
      <c r="U805">
        <v>10</v>
      </c>
      <c r="Y805">
        <v>10</v>
      </c>
      <c r="AA805">
        <v>12</v>
      </c>
      <c r="AC805" s="3">
        <v>12</v>
      </c>
      <c r="AE805" s="3">
        <v>11.87</v>
      </c>
      <c r="AI805">
        <v>12</v>
      </c>
      <c r="AK805" s="3"/>
      <c r="BG805">
        <v>6</v>
      </c>
      <c r="BH805">
        <v>6</v>
      </c>
      <c r="BI805">
        <v>6</v>
      </c>
      <c r="BJ805">
        <v>6</v>
      </c>
      <c r="BK805" s="4">
        <v>3685</v>
      </c>
      <c r="BL805" s="4">
        <v>3866</v>
      </c>
      <c r="BM805" s="4">
        <v>4050</v>
      </c>
      <c r="BN805" s="4">
        <v>4231</v>
      </c>
      <c r="BR805">
        <v>244990</v>
      </c>
      <c r="BS805" t="s">
        <v>1439</v>
      </c>
      <c r="BT805">
        <v>5</v>
      </c>
      <c r="BU805">
        <v>0</v>
      </c>
      <c r="BV805">
        <v>0</v>
      </c>
      <c r="BX805">
        <v>12.5</v>
      </c>
      <c r="BZ805">
        <v>11.87</v>
      </c>
      <c r="CK805" t="s">
        <v>1440</v>
      </c>
      <c r="CM805">
        <v>1911</v>
      </c>
    </row>
    <row r="806" spans="1:91" x14ac:dyDescent="0.3">
      <c r="A806" t="s">
        <v>1438</v>
      </c>
      <c r="B806">
        <v>40948</v>
      </c>
      <c r="C806" t="s">
        <v>1441</v>
      </c>
      <c r="D806">
        <v>12</v>
      </c>
      <c r="I806">
        <v>417500</v>
      </c>
      <c r="J806" t="s">
        <v>800</v>
      </c>
      <c r="V806" t="s">
        <v>350</v>
      </c>
      <c r="Y806">
        <v>100</v>
      </c>
      <c r="AA806">
        <v>100</v>
      </c>
      <c r="AC806" s="3">
        <v>100.25</v>
      </c>
      <c r="AE806" s="3">
        <v>99</v>
      </c>
      <c r="AI806">
        <v>99</v>
      </c>
      <c r="AK806" s="3"/>
      <c r="AV806" t="s">
        <v>370</v>
      </c>
      <c r="AX806" t="s">
        <v>370</v>
      </c>
      <c r="AZ806" t="s">
        <v>370</v>
      </c>
      <c r="BB806" t="s">
        <v>370</v>
      </c>
      <c r="BO806" t="s">
        <v>367</v>
      </c>
      <c r="BR806">
        <v>244990</v>
      </c>
      <c r="BS806" t="s">
        <v>1439</v>
      </c>
      <c r="BT806">
        <v>4</v>
      </c>
      <c r="BU806">
        <v>0</v>
      </c>
      <c r="BV806">
        <v>9</v>
      </c>
      <c r="BX806">
        <v>100.5</v>
      </c>
      <c r="BZ806">
        <v>99</v>
      </c>
      <c r="CM806">
        <v>1911</v>
      </c>
    </row>
    <row r="807" spans="1:91" x14ac:dyDescent="0.3">
      <c r="A807" t="s">
        <v>1442</v>
      </c>
      <c r="B807">
        <v>40960</v>
      </c>
      <c r="D807">
        <v>12</v>
      </c>
      <c r="I807">
        <v>149850</v>
      </c>
      <c r="U807">
        <v>1</v>
      </c>
      <c r="Y807">
        <v>1</v>
      </c>
      <c r="AA807">
        <v>0.5</v>
      </c>
      <c r="AC807" s="3">
        <v>0.5</v>
      </c>
      <c r="AE807" s="3">
        <v>0.5</v>
      </c>
      <c r="AI807">
        <v>0.5</v>
      </c>
      <c r="AK807" s="3"/>
      <c r="AV807" t="s">
        <v>823</v>
      </c>
      <c r="AX807" t="s">
        <v>815</v>
      </c>
      <c r="AZ807" t="s">
        <v>815</v>
      </c>
      <c r="BB807" t="s">
        <v>810</v>
      </c>
      <c r="BG807">
        <v>5</v>
      </c>
      <c r="BH807">
        <v>3</v>
      </c>
      <c r="BI807">
        <v>2</v>
      </c>
      <c r="BK807" s="4">
        <v>2071</v>
      </c>
      <c r="BL807" s="4">
        <v>2954</v>
      </c>
      <c r="BM807" s="4">
        <v>3320</v>
      </c>
      <c r="BN807" t="s">
        <v>811</v>
      </c>
      <c r="BR807">
        <v>26203</v>
      </c>
      <c r="BW807" t="s">
        <v>802</v>
      </c>
      <c r="BX807">
        <v>0.53</v>
      </c>
      <c r="BZ807">
        <v>0.43</v>
      </c>
      <c r="CK807" t="s">
        <v>360</v>
      </c>
      <c r="CM807">
        <v>1911</v>
      </c>
    </row>
    <row r="808" spans="1:91" x14ac:dyDescent="0.3">
      <c r="A808" t="s">
        <v>1443</v>
      </c>
      <c r="B808">
        <v>41033</v>
      </c>
      <c r="D808">
        <v>12</v>
      </c>
      <c r="I808">
        <v>200000</v>
      </c>
      <c r="U808">
        <v>1</v>
      </c>
      <c r="Y808">
        <v>1</v>
      </c>
      <c r="AA808">
        <v>1.1499999999999999</v>
      </c>
      <c r="AC808" s="3">
        <v>1.1499999999999999</v>
      </c>
      <c r="AE808" s="3">
        <v>1.1499999999999999</v>
      </c>
      <c r="AI808">
        <v>1.1499999999999999</v>
      </c>
      <c r="AK808" s="3"/>
      <c r="AX808" t="s">
        <v>823</v>
      </c>
      <c r="BB808" t="s">
        <v>823</v>
      </c>
      <c r="BG808">
        <v>10</v>
      </c>
      <c r="BH808">
        <v>5</v>
      </c>
      <c r="BI808">
        <v>5</v>
      </c>
      <c r="BJ808">
        <v>5</v>
      </c>
      <c r="BK808" s="4">
        <v>3685</v>
      </c>
      <c r="BL808" s="4">
        <v>3866</v>
      </c>
      <c r="BM808" s="4">
        <v>4050</v>
      </c>
      <c r="BN808" s="4">
        <v>4231</v>
      </c>
      <c r="BR808">
        <v>82160</v>
      </c>
      <c r="BS808" t="s">
        <v>1444</v>
      </c>
      <c r="BT808">
        <v>4</v>
      </c>
      <c r="BU808">
        <v>6</v>
      </c>
      <c r="BV808">
        <v>6</v>
      </c>
      <c r="BX808">
        <v>1.4</v>
      </c>
      <c r="BZ808">
        <v>1.0900000000000001</v>
      </c>
      <c r="CK808" t="s">
        <v>541</v>
      </c>
      <c r="CM808">
        <v>1911</v>
      </c>
    </row>
    <row r="809" spans="1:91" x14ac:dyDescent="0.3">
      <c r="A809" t="s">
        <v>1443</v>
      </c>
      <c r="B809">
        <v>41034</v>
      </c>
      <c r="C809" t="s">
        <v>1195</v>
      </c>
      <c r="D809">
        <v>12</v>
      </c>
      <c r="I809">
        <v>10000</v>
      </c>
      <c r="U809">
        <v>10</v>
      </c>
      <c r="Y809">
        <v>10</v>
      </c>
      <c r="AA809">
        <v>9.1199999999999992</v>
      </c>
      <c r="AC809" s="3">
        <v>9.25</v>
      </c>
      <c r="AE809" s="3">
        <v>9.1199999999999992</v>
      </c>
      <c r="AI809">
        <v>9.25</v>
      </c>
      <c r="AK809" s="3"/>
      <c r="AV809" t="s">
        <v>506</v>
      </c>
      <c r="AX809" t="s">
        <v>506</v>
      </c>
      <c r="AZ809" t="s">
        <v>506</v>
      </c>
      <c r="BB809" t="s">
        <v>506</v>
      </c>
      <c r="BO809" t="s">
        <v>367</v>
      </c>
      <c r="BR809">
        <v>82160</v>
      </c>
      <c r="BS809" t="s">
        <v>1444</v>
      </c>
      <c r="BT809">
        <v>5</v>
      </c>
      <c r="BU809">
        <v>8</v>
      </c>
      <c r="BV809">
        <v>0</v>
      </c>
      <c r="BX809">
        <v>10.119999999999999</v>
      </c>
      <c r="BZ809">
        <v>8.6199999999999992</v>
      </c>
      <c r="CM809">
        <v>1911</v>
      </c>
    </row>
    <row r="810" spans="1:91" x14ac:dyDescent="0.3">
      <c r="A810" t="s">
        <v>1445</v>
      </c>
      <c r="B810">
        <v>41040</v>
      </c>
      <c r="D810">
        <v>12</v>
      </c>
      <c r="I810">
        <v>200000</v>
      </c>
      <c r="U810">
        <v>1</v>
      </c>
      <c r="Y810">
        <v>1</v>
      </c>
      <c r="AA810">
        <v>0.75</v>
      </c>
      <c r="AC810" s="3">
        <v>0.75</v>
      </c>
      <c r="AE810" s="3">
        <v>0.75</v>
      </c>
      <c r="AI810">
        <v>0.75</v>
      </c>
      <c r="AK810" s="3"/>
      <c r="AV810" t="s">
        <v>815</v>
      </c>
      <c r="AX810" t="s">
        <v>815</v>
      </c>
      <c r="AZ810" t="s">
        <v>815</v>
      </c>
      <c r="BB810" t="s">
        <v>815</v>
      </c>
      <c r="BG810">
        <v>7.5</v>
      </c>
      <c r="BH810">
        <v>7.5</v>
      </c>
      <c r="BI810">
        <v>7.5</v>
      </c>
      <c r="BJ810">
        <v>5</v>
      </c>
      <c r="BK810" s="4">
        <v>2954</v>
      </c>
      <c r="BL810" s="4">
        <v>3320</v>
      </c>
      <c r="BM810" s="4">
        <v>3685</v>
      </c>
      <c r="BN810" s="4">
        <v>4050</v>
      </c>
      <c r="BR810">
        <v>151167</v>
      </c>
      <c r="BS810" t="s">
        <v>1446</v>
      </c>
      <c r="BT810">
        <v>7</v>
      </c>
      <c r="BU810">
        <v>5</v>
      </c>
      <c r="BV810">
        <v>9</v>
      </c>
      <c r="BX810">
        <v>0.81</v>
      </c>
      <c r="BZ810">
        <v>0.68</v>
      </c>
      <c r="CK810" t="s">
        <v>360</v>
      </c>
      <c r="CM810">
        <v>1911</v>
      </c>
    </row>
    <row r="811" spans="1:91" x14ac:dyDescent="0.3">
      <c r="A811" t="s">
        <v>1445</v>
      </c>
      <c r="B811">
        <v>41042</v>
      </c>
      <c r="C811" t="s">
        <v>921</v>
      </c>
      <c r="D811">
        <v>12</v>
      </c>
      <c r="I811">
        <v>300000</v>
      </c>
      <c r="U811">
        <v>1</v>
      </c>
      <c r="Y811">
        <v>1</v>
      </c>
      <c r="AA811">
        <v>0.81</v>
      </c>
      <c r="AC811" s="3">
        <v>0.87</v>
      </c>
      <c r="AE811" s="3">
        <v>0.81</v>
      </c>
      <c r="AI811">
        <v>0.87</v>
      </c>
      <c r="AK811" s="3"/>
      <c r="BG811">
        <v>5.5</v>
      </c>
      <c r="BH811">
        <v>5.5</v>
      </c>
      <c r="BI811">
        <v>5.5</v>
      </c>
      <c r="BJ811">
        <v>5.5</v>
      </c>
      <c r="BK811" s="4">
        <v>3654</v>
      </c>
      <c r="BL811" s="4">
        <v>3835</v>
      </c>
      <c r="BM811" s="4">
        <v>4019</v>
      </c>
      <c r="BN811" s="4">
        <v>4566</v>
      </c>
      <c r="BR811">
        <v>151167</v>
      </c>
      <c r="BS811" t="s">
        <v>1446</v>
      </c>
      <c r="BT811">
        <v>5</v>
      </c>
      <c r="BU811">
        <v>14</v>
      </c>
      <c r="BV811">
        <v>3</v>
      </c>
      <c r="BX811">
        <v>0.93</v>
      </c>
      <c r="BZ811">
        <v>0.78</v>
      </c>
      <c r="CM811">
        <v>1911</v>
      </c>
    </row>
    <row r="812" spans="1:91" x14ac:dyDescent="0.3">
      <c r="A812" t="s">
        <v>1447</v>
      </c>
      <c r="B812">
        <v>41170</v>
      </c>
      <c r="D812">
        <v>12</v>
      </c>
      <c r="I812">
        <v>345000</v>
      </c>
      <c r="U812">
        <v>1</v>
      </c>
      <c r="Y812">
        <v>1</v>
      </c>
      <c r="AA812">
        <v>0.68</v>
      </c>
      <c r="AC812" s="3">
        <v>0.68</v>
      </c>
      <c r="AE812" s="3">
        <v>0.68</v>
      </c>
      <c r="AI812">
        <v>0.68</v>
      </c>
      <c r="AK812" s="3"/>
      <c r="AV812" t="s">
        <v>815</v>
      </c>
      <c r="AX812" t="s">
        <v>823</v>
      </c>
      <c r="BB812" t="s">
        <v>810</v>
      </c>
      <c r="BG812">
        <v>5</v>
      </c>
      <c r="BH812">
        <v>5</v>
      </c>
      <c r="BI812">
        <v>5</v>
      </c>
      <c r="BK812" s="4">
        <v>3623</v>
      </c>
      <c r="BL812" s="4">
        <v>3805</v>
      </c>
      <c r="BM812" s="4">
        <v>3988</v>
      </c>
      <c r="BN812" t="s">
        <v>811</v>
      </c>
      <c r="BS812" t="s">
        <v>385</v>
      </c>
      <c r="BW812" t="s">
        <v>802</v>
      </c>
      <c r="BX812">
        <v>1.06</v>
      </c>
      <c r="BZ812">
        <v>0.68</v>
      </c>
      <c r="CM812">
        <v>1911</v>
      </c>
    </row>
    <row r="813" spans="1:91" x14ac:dyDescent="0.3">
      <c r="A813" t="s">
        <v>1448</v>
      </c>
      <c r="B813">
        <v>41202</v>
      </c>
      <c r="D813">
        <v>12</v>
      </c>
      <c r="I813" s="2">
        <v>1860900</v>
      </c>
      <c r="U813">
        <v>1</v>
      </c>
      <c r="Z813" t="s">
        <v>1449</v>
      </c>
      <c r="AA813">
        <v>0.56000000000000005</v>
      </c>
      <c r="AC813" s="3">
        <v>0.62</v>
      </c>
      <c r="AE813" s="3">
        <v>0.56000000000000005</v>
      </c>
      <c r="AI813">
        <v>0.62</v>
      </c>
      <c r="AK813" s="3"/>
      <c r="BG813">
        <v>5</v>
      </c>
      <c r="BH813">
        <v>7</v>
      </c>
      <c r="BI813">
        <v>5</v>
      </c>
      <c r="BJ813">
        <v>7</v>
      </c>
      <c r="BK813" s="4">
        <v>3713</v>
      </c>
      <c r="BL813" s="4">
        <v>3897</v>
      </c>
      <c r="BM813" s="4">
        <v>4078</v>
      </c>
      <c r="BN813" s="4">
        <v>4262</v>
      </c>
      <c r="BR813">
        <v>321111</v>
      </c>
      <c r="BS813" t="s">
        <v>1450</v>
      </c>
      <c r="BT813">
        <v>5</v>
      </c>
      <c r="BU813">
        <v>16</v>
      </c>
      <c r="BV813">
        <v>0</v>
      </c>
      <c r="BX813">
        <v>0.62</v>
      </c>
      <c r="BZ813">
        <v>0.4</v>
      </c>
      <c r="CK813" t="s">
        <v>1451</v>
      </c>
      <c r="CM813">
        <v>1911</v>
      </c>
    </row>
    <row r="814" spans="1:91" x14ac:dyDescent="0.3">
      <c r="A814" t="s">
        <v>1448</v>
      </c>
      <c r="B814">
        <v>41207</v>
      </c>
      <c r="C814" t="s">
        <v>1452</v>
      </c>
      <c r="D814">
        <v>12</v>
      </c>
      <c r="I814" s="2">
        <v>1629760</v>
      </c>
      <c r="U814">
        <v>1</v>
      </c>
      <c r="Y814">
        <v>1</v>
      </c>
      <c r="AA814">
        <v>1</v>
      </c>
      <c r="AC814" s="3">
        <v>1</v>
      </c>
      <c r="AE814" s="3">
        <v>1</v>
      </c>
      <c r="AI814">
        <v>1.06</v>
      </c>
      <c r="AK814" s="3"/>
      <c r="AV814" t="s">
        <v>823</v>
      </c>
      <c r="AZ814" t="s">
        <v>823</v>
      </c>
      <c r="BG814">
        <v>5</v>
      </c>
      <c r="BH814">
        <v>7</v>
      </c>
      <c r="BI814">
        <v>5</v>
      </c>
      <c r="BJ814">
        <v>7</v>
      </c>
      <c r="BK814" s="4">
        <v>3713</v>
      </c>
      <c r="BL814" s="4">
        <v>3897</v>
      </c>
      <c r="BM814" s="4">
        <v>4078</v>
      </c>
      <c r="BN814" s="4">
        <v>4262</v>
      </c>
      <c r="BR814">
        <v>321111</v>
      </c>
      <c r="BS814" t="s">
        <v>1450</v>
      </c>
      <c r="BT814">
        <v>5</v>
      </c>
      <c r="BU814">
        <v>13</v>
      </c>
      <c r="BV814">
        <v>0</v>
      </c>
      <c r="BX814">
        <v>1.1200000000000001</v>
      </c>
      <c r="BZ814">
        <v>0.96</v>
      </c>
      <c r="CM814">
        <v>1911</v>
      </c>
    </row>
    <row r="815" spans="1:91" x14ac:dyDescent="0.3">
      <c r="A815" t="s">
        <v>1448</v>
      </c>
      <c r="B815">
        <v>41203</v>
      </c>
      <c r="C815" t="s">
        <v>1195</v>
      </c>
      <c r="D815">
        <v>12</v>
      </c>
      <c r="I815">
        <v>23604</v>
      </c>
      <c r="U815">
        <v>20</v>
      </c>
      <c r="Y815">
        <v>20</v>
      </c>
      <c r="AA815">
        <v>22.25</v>
      </c>
      <c r="AC815" s="3">
        <v>22.25</v>
      </c>
      <c r="AE815" s="3">
        <v>22</v>
      </c>
      <c r="AI815">
        <v>22.25</v>
      </c>
      <c r="AK815" s="3"/>
      <c r="AV815" t="s">
        <v>506</v>
      </c>
      <c r="AX815" t="s">
        <v>506</v>
      </c>
      <c r="AZ815" t="s">
        <v>506</v>
      </c>
      <c r="BB815" t="s">
        <v>506</v>
      </c>
      <c r="BG815">
        <v>5</v>
      </c>
      <c r="BH815">
        <v>7</v>
      </c>
      <c r="BI815">
        <v>5</v>
      </c>
      <c r="BJ815">
        <v>7</v>
      </c>
      <c r="BO815" t="s">
        <v>367</v>
      </c>
      <c r="BR815">
        <v>321111</v>
      </c>
      <c r="BS815" t="s">
        <v>1450</v>
      </c>
      <c r="BT815">
        <v>4</v>
      </c>
      <c r="BU815">
        <v>10</v>
      </c>
      <c r="BV815">
        <v>0</v>
      </c>
      <c r="BX815">
        <v>23</v>
      </c>
      <c r="BZ815">
        <v>22</v>
      </c>
      <c r="CM815">
        <v>1911</v>
      </c>
    </row>
    <row r="816" spans="1:91" x14ac:dyDescent="0.3">
      <c r="A816" t="s">
        <v>1453</v>
      </c>
      <c r="B816">
        <v>41392</v>
      </c>
      <c r="D816">
        <v>12</v>
      </c>
      <c r="I816">
        <v>14255</v>
      </c>
      <c r="U816">
        <v>15</v>
      </c>
      <c r="Y816">
        <v>15</v>
      </c>
      <c r="AA816">
        <v>25.5</v>
      </c>
      <c r="AC816" s="3">
        <v>25.5</v>
      </c>
      <c r="AE816" s="3">
        <v>25.5</v>
      </c>
      <c r="AI816">
        <v>25.5</v>
      </c>
      <c r="AK816" s="3"/>
      <c r="AV816" t="s">
        <v>823</v>
      </c>
      <c r="AZ816" t="s">
        <v>823</v>
      </c>
      <c r="BG816">
        <v>5</v>
      </c>
      <c r="BH816">
        <v>15</v>
      </c>
      <c r="BI816">
        <v>7</v>
      </c>
      <c r="BJ816">
        <v>13</v>
      </c>
      <c r="BK816" s="4">
        <v>3685</v>
      </c>
      <c r="BL816" s="4">
        <v>3866</v>
      </c>
      <c r="BM816" s="4">
        <v>4050</v>
      </c>
      <c r="BN816" s="4">
        <v>4231</v>
      </c>
      <c r="BR816">
        <v>176980</v>
      </c>
      <c r="BS816" t="s">
        <v>1454</v>
      </c>
      <c r="BT816">
        <v>5</v>
      </c>
      <c r="BU816">
        <v>17</v>
      </c>
      <c r="BV816">
        <v>9</v>
      </c>
      <c r="BX816">
        <v>27</v>
      </c>
      <c r="BZ816">
        <v>25.5</v>
      </c>
      <c r="CK816" t="s">
        <v>1455</v>
      </c>
      <c r="CL816" t="s">
        <v>457</v>
      </c>
      <c r="CM816">
        <v>1911</v>
      </c>
    </row>
    <row r="817" spans="1:91" x14ac:dyDescent="0.3">
      <c r="A817" t="s">
        <v>1456</v>
      </c>
      <c r="B817">
        <v>41393</v>
      </c>
      <c r="D817">
        <v>12</v>
      </c>
      <c r="I817">
        <v>11405</v>
      </c>
      <c r="U817">
        <v>15</v>
      </c>
      <c r="Y817">
        <v>10</v>
      </c>
      <c r="AA817">
        <v>16.5</v>
      </c>
      <c r="AC817" s="3">
        <v>16.5</v>
      </c>
      <c r="AE817" s="3">
        <v>16.5</v>
      </c>
      <c r="AI817">
        <v>16.5</v>
      </c>
      <c r="AK817" s="3"/>
      <c r="AV817" t="s">
        <v>823</v>
      </c>
      <c r="AZ817" t="s">
        <v>823</v>
      </c>
      <c r="BG817">
        <v>5</v>
      </c>
      <c r="BH817">
        <v>15</v>
      </c>
      <c r="BI817">
        <v>7</v>
      </c>
      <c r="BJ817">
        <v>13</v>
      </c>
      <c r="BK817" s="4">
        <v>3685</v>
      </c>
      <c r="BL817" s="4">
        <v>3866</v>
      </c>
      <c r="BM817" s="4">
        <v>4050</v>
      </c>
      <c r="BN817" s="4">
        <v>4597</v>
      </c>
      <c r="BR817">
        <v>176980</v>
      </c>
      <c r="BS817" t="s">
        <v>1454</v>
      </c>
      <c r="BT817">
        <v>6</v>
      </c>
      <c r="BU817">
        <v>1</v>
      </c>
      <c r="BV817">
        <v>3</v>
      </c>
      <c r="BX817">
        <v>17.5</v>
      </c>
      <c r="BZ817">
        <v>16</v>
      </c>
      <c r="CM817">
        <v>1911</v>
      </c>
    </row>
    <row r="818" spans="1:91" x14ac:dyDescent="0.3">
      <c r="A818" t="s">
        <v>1457</v>
      </c>
      <c r="B818">
        <v>41761</v>
      </c>
      <c r="D818">
        <v>12</v>
      </c>
      <c r="I818">
        <v>175000</v>
      </c>
      <c r="U818">
        <v>1</v>
      </c>
      <c r="Y818">
        <v>1</v>
      </c>
      <c r="AA818">
        <v>0.18</v>
      </c>
      <c r="AC818" s="3">
        <v>0.21</v>
      </c>
      <c r="AE818" s="3">
        <v>0.18</v>
      </c>
      <c r="AI818">
        <v>0.21</v>
      </c>
      <c r="AK818" s="3"/>
      <c r="AV818" t="s">
        <v>823</v>
      </c>
      <c r="AZ818" t="s">
        <v>815</v>
      </c>
      <c r="BB818" t="s">
        <v>810</v>
      </c>
      <c r="BG818">
        <v>10</v>
      </c>
      <c r="BH818">
        <v>10</v>
      </c>
      <c r="BI818">
        <v>5</v>
      </c>
      <c r="BK818" s="4">
        <v>3014</v>
      </c>
      <c r="BL818" s="4">
        <v>3197</v>
      </c>
      <c r="BM818" s="4">
        <v>3562</v>
      </c>
      <c r="BN818" t="s">
        <v>811</v>
      </c>
      <c r="BS818" t="s">
        <v>385</v>
      </c>
      <c r="BW818" t="s">
        <v>802</v>
      </c>
      <c r="BX818">
        <v>0.5</v>
      </c>
      <c r="BZ818">
        <v>0.18</v>
      </c>
      <c r="CK818" t="s">
        <v>1076</v>
      </c>
      <c r="CM818">
        <v>1911</v>
      </c>
    </row>
    <row r="819" spans="1:91" x14ac:dyDescent="0.3">
      <c r="A819" t="s">
        <v>1457</v>
      </c>
      <c r="B819">
        <v>41762</v>
      </c>
      <c r="C819" t="s">
        <v>955</v>
      </c>
      <c r="D819">
        <v>12</v>
      </c>
      <c r="I819">
        <v>175000</v>
      </c>
      <c r="U819">
        <v>1</v>
      </c>
      <c r="Y819">
        <v>1</v>
      </c>
      <c r="AA819">
        <v>0.4</v>
      </c>
      <c r="AC819" s="3">
        <v>0.43</v>
      </c>
      <c r="AE819" s="3">
        <v>0.4</v>
      </c>
      <c r="AI819">
        <v>0.43</v>
      </c>
      <c r="AK819" s="3"/>
      <c r="AV819" t="s">
        <v>815</v>
      </c>
      <c r="AX819" t="s">
        <v>815</v>
      </c>
      <c r="AZ819" t="s">
        <v>815</v>
      </c>
      <c r="BB819" t="s">
        <v>810</v>
      </c>
      <c r="BG819">
        <v>3</v>
      </c>
      <c r="BH819">
        <v>3</v>
      </c>
      <c r="BI819">
        <v>3</v>
      </c>
      <c r="BK819" s="4">
        <v>3105</v>
      </c>
      <c r="BL819" s="4">
        <v>3289</v>
      </c>
      <c r="BM819" s="4">
        <v>3470</v>
      </c>
      <c r="BN819" t="s">
        <v>811</v>
      </c>
      <c r="BS819" t="s">
        <v>385</v>
      </c>
      <c r="BW819" t="s">
        <v>802</v>
      </c>
      <c r="BX819">
        <v>0.62</v>
      </c>
      <c r="BZ819">
        <v>0.4</v>
      </c>
      <c r="CM819">
        <v>1911</v>
      </c>
    </row>
    <row r="820" spans="1:91" x14ac:dyDescent="0.3">
      <c r="A820" t="s">
        <v>1458</v>
      </c>
      <c r="B820">
        <v>41774</v>
      </c>
      <c r="D820">
        <v>12</v>
      </c>
      <c r="I820">
        <v>10000</v>
      </c>
      <c r="U820">
        <v>10</v>
      </c>
      <c r="Y820">
        <v>10</v>
      </c>
      <c r="AA820">
        <v>25.5</v>
      </c>
      <c r="AC820" s="3">
        <v>25.5</v>
      </c>
      <c r="AE820" s="3">
        <v>25.5</v>
      </c>
      <c r="AI820">
        <v>25.5</v>
      </c>
      <c r="AK820" s="3"/>
      <c r="AX820" t="s">
        <v>823</v>
      </c>
      <c r="BB820" t="s">
        <v>823</v>
      </c>
      <c r="BG820">
        <v>15</v>
      </c>
      <c r="BH820">
        <v>10</v>
      </c>
      <c r="BI820">
        <v>15</v>
      </c>
      <c r="BJ820">
        <v>10</v>
      </c>
      <c r="BK820" s="4">
        <v>3685</v>
      </c>
      <c r="BL820" s="4">
        <v>3835</v>
      </c>
      <c r="BM820" s="4">
        <v>4050</v>
      </c>
      <c r="BN820" s="4">
        <v>4200</v>
      </c>
      <c r="BR820">
        <v>89211</v>
      </c>
      <c r="BT820">
        <v>4</v>
      </c>
      <c r="BU820">
        <v>18</v>
      </c>
      <c r="BV820">
        <v>0</v>
      </c>
      <c r="BX820">
        <v>26</v>
      </c>
      <c r="BZ820">
        <v>23</v>
      </c>
      <c r="CK820" t="s">
        <v>541</v>
      </c>
      <c r="CM820">
        <v>1911</v>
      </c>
    </row>
    <row r="821" spans="1:91" x14ac:dyDescent="0.3">
      <c r="A821" t="s">
        <v>1459</v>
      </c>
      <c r="B821">
        <v>45048</v>
      </c>
      <c r="D821">
        <v>12</v>
      </c>
      <c r="I821" s="2">
        <v>1160000</v>
      </c>
      <c r="U821">
        <v>1</v>
      </c>
      <c r="Y821">
        <v>0.75</v>
      </c>
      <c r="AA821">
        <v>1.0900000000000001</v>
      </c>
      <c r="AC821" s="3">
        <v>1.0900000000000001</v>
      </c>
      <c r="AE821" s="3">
        <v>1.06</v>
      </c>
      <c r="AI821">
        <v>1.0900000000000001</v>
      </c>
      <c r="AK821" s="3"/>
      <c r="AX821" t="s">
        <v>823</v>
      </c>
      <c r="BB821" t="s">
        <v>823</v>
      </c>
      <c r="BG821">
        <v>10</v>
      </c>
      <c r="BH821">
        <v>5</v>
      </c>
      <c r="BI821">
        <v>10</v>
      </c>
      <c r="BJ821">
        <v>5</v>
      </c>
      <c r="BK821" s="4">
        <v>3835</v>
      </c>
      <c r="BL821" s="4">
        <v>3988</v>
      </c>
      <c r="BM821" s="4">
        <v>4200</v>
      </c>
      <c r="BN821" s="4">
        <v>4353</v>
      </c>
      <c r="BR821">
        <v>301717</v>
      </c>
      <c r="BS821" t="s">
        <v>1460</v>
      </c>
      <c r="BT821">
        <v>5</v>
      </c>
      <c r="BU821">
        <v>3</v>
      </c>
      <c r="BV821">
        <v>9</v>
      </c>
      <c r="BX821">
        <v>1.28</v>
      </c>
      <c r="BZ821">
        <v>1.03</v>
      </c>
      <c r="CK821" t="s">
        <v>1461</v>
      </c>
      <c r="CM821">
        <v>1911</v>
      </c>
    </row>
    <row r="822" spans="1:91" x14ac:dyDescent="0.3">
      <c r="A822" t="s">
        <v>1459</v>
      </c>
      <c r="B822">
        <v>45051</v>
      </c>
      <c r="C822" t="s">
        <v>549</v>
      </c>
      <c r="D822">
        <v>12</v>
      </c>
      <c r="I822">
        <v>953000</v>
      </c>
      <c r="U822">
        <v>1</v>
      </c>
      <c r="Y822">
        <v>1</v>
      </c>
      <c r="AA822">
        <v>1.4</v>
      </c>
      <c r="AC822" s="3">
        <v>1.4</v>
      </c>
      <c r="AE822" s="3">
        <v>1.4</v>
      </c>
      <c r="AI822">
        <v>1.4</v>
      </c>
      <c r="AK822" s="3"/>
      <c r="AX822" t="s">
        <v>823</v>
      </c>
      <c r="BB822" t="s">
        <v>823</v>
      </c>
      <c r="BG822">
        <v>10</v>
      </c>
      <c r="BH822">
        <v>5</v>
      </c>
      <c r="BI822">
        <v>10</v>
      </c>
      <c r="BJ822">
        <v>5</v>
      </c>
      <c r="BK822" s="4">
        <v>3835</v>
      </c>
      <c r="BL822" s="4">
        <v>3988</v>
      </c>
      <c r="BM822" s="4">
        <v>4200</v>
      </c>
      <c r="BN822" s="4">
        <v>4353</v>
      </c>
      <c r="BR822">
        <v>301717</v>
      </c>
      <c r="BS822" t="s">
        <v>1460</v>
      </c>
      <c r="BT822">
        <v>5</v>
      </c>
      <c r="BU822">
        <v>6</v>
      </c>
      <c r="BV822">
        <v>9</v>
      </c>
      <c r="BX822">
        <v>1.68</v>
      </c>
      <c r="BZ822">
        <v>1.81</v>
      </c>
      <c r="CM822">
        <v>1911</v>
      </c>
    </row>
    <row r="823" spans="1:91" x14ac:dyDescent="0.3">
      <c r="A823" t="s">
        <v>1459</v>
      </c>
      <c r="B823">
        <v>45049</v>
      </c>
      <c r="C823" t="s">
        <v>859</v>
      </c>
      <c r="D823">
        <v>12</v>
      </c>
      <c r="I823">
        <v>160000</v>
      </c>
      <c r="U823">
        <v>10</v>
      </c>
      <c r="Y823">
        <v>10</v>
      </c>
      <c r="AA823">
        <v>10.37</v>
      </c>
      <c r="AC823" s="3">
        <v>10.37</v>
      </c>
      <c r="AE823" s="3">
        <v>10.119999999999999</v>
      </c>
      <c r="AI823">
        <v>10.119999999999999</v>
      </c>
      <c r="AK823" s="3"/>
      <c r="BG823">
        <v>5</v>
      </c>
      <c r="BH823">
        <v>5</v>
      </c>
      <c r="BI823">
        <v>5</v>
      </c>
      <c r="BJ823">
        <v>5</v>
      </c>
      <c r="BK823" s="4">
        <v>3835</v>
      </c>
      <c r="BL823" s="4">
        <v>3988</v>
      </c>
      <c r="BM823" s="4">
        <v>4200</v>
      </c>
      <c r="BN823" s="4">
        <v>4353</v>
      </c>
      <c r="BR823">
        <v>301717</v>
      </c>
      <c r="BS823" t="s">
        <v>1460</v>
      </c>
      <c r="BT823">
        <v>4</v>
      </c>
      <c r="BU823">
        <v>18</v>
      </c>
      <c r="BV823">
        <v>3</v>
      </c>
      <c r="BX823">
        <v>10.68</v>
      </c>
      <c r="BZ823">
        <v>10.119999999999999</v>
      </c>
      <c r="CM823">
        <v>1911</v>
      </c>
    </row>
    <row r="824" spans="1:91" x14ac:dyDescent="0.3">
      <c r="A824" t="s">
        <v>1462</v>
      </c>
      <c r="B824">
        <v>41960</v>
      </c>
      <c r="D824">
        <v>12</v>
      </c>
      <c r="I824">
        <v>6038</v>
      </c>
      <c r="U824">
        <v>8</v>
      </c>
      <c r="Y824">
        <v>8</v>
      </c>
      <c r="AA824">
        <v>5.25</v>
      </c>
      <c r="AC824" s="3">
        <v>5.25</v>
      </c>
      <c r="AE824" s="3">
        <v>5.25</v>
      </c>
      <c r="AI824">
        <v>5.25</v>
      </c>
      <c r="AK824" s="3"/>
      <c r="AU824" t="s">
        <v>1463</v>
      </c>
      <c r="AV824" t="s">
        <v>1464</v>
      </c>
      <c r="AW824" t="s">
        <v>1465</v>
      </c>
      <c r="AX824" t="s">
        <v>1466</v>
      </c>
      <c r="AY824" t="s">
        <v>1467</v>
      </c>
      <c r="AZ824" t="s">
        <v>1468</v>
      </c>
      <c r="BC824">
        <v>60</v>
      </c>
      <c r="BD824">
        <v>36</v>
      </c>
      <c r="BE824">
        <v>48</v>
      </c>
      <c r="BK824" s="4">
        <v>2892</v>
      </c>
      <c r="BL824" s="4">
        <v>3258</v>
      </c>
      <c r="BM824" s="4">
        <v>3623</v>
      </c>
      <c r="BN824" t="s">
        <v>811</v>
      </c>
      <c r="BR824">
        <v>1604</v>
      </c>
      <c r="BW824" t="s">
        <v>802</v>
      </c>
      <c r="BX824">
        <v>6</v>
      </c>
      <c r="BZ824">
        <v>4.93</v>
      </c>
      <c r="CK824" t="s">
        <v>1081</v>
      </c>
      <c r="CM824">
        <v>1911</v>
      </c>
    </row>
    <row r="825" spans="1:91" x14ac:dyDescent="0.3">
      <c r="A825" t="s">
        <v>1469</v>
      </c>
      <c r="B825">
        <v>42017</v>
      </c>
      <c r="D825">
        <v>12</v>
      </c>
      <c r="I825">
        <v>200000</v>
      </c>
      <c r="U825">
        <v>1</v>
      </c>
      <c r="Y825">
        <v>1</v>
      </c>
      <c r="AA825">
        <v>2.12</v>
      </c>
      <c r="AC825" s="3">
        <v>2.12</v>
      </c>
      <c r="AE825" s="3">
        <v>2</v>
      </c>
      <c r="AI825">
        <v>2</v>
      </c>
      <c r="AK825" s="3"/>
      <c r="AX825" t="s">
        <v>823</v>
      </c>
      <c r="BB825" t="s">
        <v>823</v>
      </c>
      <c r="BG825">
        <v>30</v>
      </c>
      <c r="BH825">
        <v>10</v>
      </c>
      <c r="BI825">
        <v>10</v>
      </c>
      <c r="BJ825">
        <v>10</v>
      </c>
      <c r="BK825" s="4">
        <v>3685</v>
      </c>
      <c r="BL825" s="4">
        <v>3866</v>
      </c>
      <c r="BM825" s="4">
        <v>4050</v>
      </c>
      <c r="BN825" s="4">
        <v>4231</v>
      </c>
      <c r="BR825">
        <v>182794</v>
      </c>
      <c r="BS825" t="s">
        <v>1470</v>
      </c>
      <c r="BT825">
        <v>5</v>
      </c>
      <c r="BU825">
        <v>0</v>
      </c>
      <c r="BV825">
        <v>0</v>
      </c>
      <c r="BX825">
        <v>2.1800000000000002</v>
      </c>
      <c r="BZ825">
        <v>1.87</v>
      </c>
      <c r="CK825" t="s">
        <v>1471</v>
      </c>
      <c r="CM825">
        <v>1911</v>
      </c>
    </row>
    <row r="826" spans="1:91" x14ac:dyDescent="0.3">
      <c r="A826" t="s">
        <v>1472</v>
      </c>
      <c r="B826">
        <v>42018</v>
      </c>
      <c r="D826">
        <v>12</v>
      </c>
      <c r="I826">
        <v>20000</v>
      </c>
      <c r="U826">
        <v>10</v>
      </c>
      <c r="Y826">
        <v>10</v>
      </c>
      <c r="AA826">
        <v>10.25</v>
      </c>
      <c r="AC826" s="3">
        <v>10.25</v>
      </c>
      <c r="AE826" s="3">
        <v>10.119999999999999</v>
      </c>
      <c r="AI826">
        <v>10.119999999999999</v>
      </c>
      <c r="AK826" s="3"/>
      <c r="BG826">
        <v>6</v>
      </c>
      <c r="BH826">
        <v>6</v>
      </c>
      <c r="BI826">
        <v>6</v>
      </c>
      <c r="BJ826">
        <v>6</v>
      </c>
      <c r="BK826" s="4">
        <v>3685</v>
      </c>
      <c r="BL826" s="4">
        <v>3866</v>
      </c>
      <c r="BM826" s="4">
        <v>4050</v>
      </c>
      <c r="BN826" s="4">
        <v>4597</v>
      </c>
      <c r="BR826">
        <v>182794</v>
      </c>
      <c r="BS826" t="s">
        <v>1470</v>
      </c>
      <c r="BT826">
        <v>5</v>
      </c>
      <c r="BU826">
        <v>18</v>
      </c>
      <c r="BV826">
        <v>6</v>
      </c>
      <c r="BX826">
        <v>10.75</v>
      </c>
      <c r="BZ826">
        <v>10.119999999999999</v>
      </c>
      <c r="CM826">
        <v>1911</v>
      </c>
    </row>
    <row r="827" spans="1:91" x14ac:dyDescent="0.3">
      <c r="A827" t="s">
        <v>1473</v>
      </c>
      <c r="B827">
        <v>42021</v>
      </c>
      <c r="D827">
        <v>12</v>
      </c>
      <c r="I827">
        <v>100000</v>
      </c>
      <c r="J827" t="s">
        <v>800</v>
      </c>
      <c r="U827">
        <v>100</v>
      </c>
      <c r="Y827">
        <v>100</v>
      </c>
      <c r="AA827">
        <v>100</v>
      </c>
      <c r="AC827" s="3">
        <v>101</v>
      </c>
      <c r="AE827" s="3">
        <v>100</v>
      </c>
      <c r="AI827">
        <v>101</v>
      </c>
      <c r="AK827" s="3"/>
      <c r="AV827" t="s">
        <v>370</v>
      </c>
      <c r="AX827" t="s">
        <v>370</v>
      </c>
      <c r="AZ827" t="s">
        <v>370</v>
      </c>
      <c r="BB827" t="s">
        <v>370</v>
      </c>
      <c r="BO827" t="s">
        <v>367</v>
      </c>
      <c r="BR827">
        <v>182794</v>
      </c>
      <c r="BS827" t="s">
        <v>1470</v>
      </c>
      <c r="BT827">
        <v>5</v>
      </c>
      <c r="BU827">
        <v>1</v>
      </c>
      <c r="BV827">
        <v>6</v>
      </c>
      <c r="BX827">
        <v>102</v>
      </c>
      <c r="BZ827">
        <v>98</v>
      </c>
      <c r="CM827">
        <v>1911</v>
      </c>
    </row>
    <row r="828" spans="1:91" x14ac:dyDescent="0.3">
      <c r="A828" t="s">
        <v>1474</v>
      </c>
      <c r="B828">
        <v>42043</v>
      </c>
      <c r="D828">
        <v>12</v>
      </c>
      <c r="I828">
        <v>229534</v>
      </c>
      <c r="U828">
        <v>5</v>
      </c>
      <c r="Y828">
        <v>5</v>
      </c>
      <c r="AA828">
        <v>5.18</v>
      </c>
      <c r="AC828" s="3">
        <v>5.31</v>
      </c>
      <c r="AE828" s="3">
        <v>5.18</v>
      </c>
      <c r="AI828">
        <v>5.31</v>
      </c>
      <c r="AK828" s="3"/>
      <c r="AV828" t="s">
        <v>823</v>
      </c>
      <c r="AZ828" t="s">
        <v>823</v>
      </c>
      <c r="BB828" t="s">
        <v>810</v>
      </c>
      <c r="BG828">
        <v>5</v>
      </c>
      <c r="BH828">
        <v>15</v>
      </c>
      <c r="BI828">
        <v>5</v>
      </c>
      <c r="BK828" s="4">
        <v>2466</v>
      </c>
      <c r="BL828" s="4">
        <v>2648</v>
      </c>
      <c r="BM828" s="4">
        <v>2831</v>
      </c>
      <c r="BN828" t="s">
        <v>811</v>
      </c>
      <c r="BR828">
        <v>9938</v>
      </c>
      <c r="BS828" t="s">
        <v>1475</v>
      </c>
      <c r="BW828" t="s">
        <v>802</v>
      </c>
      <c r="BX828">
        <v>6</v>
      </c>
      <c r="BZ828">
        <v>3.68</v>
      </c>
      <c r="CK828" t="s">
        <v>1476</v>
      </c>
      <c r="CM828">
        <v>1911</v>
      </c>
    </row>
    <row r="829" spans="1:91" x14ac:dyDescent="0.3">
      <c r="A829" t="s">
        <v>1474</v>
      </c>
      <c r="B829">
        <v>42045</v>
      </c>
      <c r="C829" t="s">
        <v>817</v>
      </c>
      <c r="D829">
        <v>12</v>
      </c>
      <c r="I829">
        <v>245045</v>
      </c>
      <c r="U829">
        <v>5</v>
      </c>
      <c r="Y829">
        <v>5</v>
      </c>
      <c r="AA829">
        <v>5.18</v>
      </c>
      <c r="AC829" s="3">
        <v>5.5</v>
      </c>
      <c r="AE829" s="3">
        <v>5.18</v>
      </c>
      <c r="AI829">
        <v>5.5</v>
      </c>
      <c r="AK829" s="3"/>
      <c r="AX829" t="s">
        <v>969</v>
      </c>
      <c r="AZ829" t="s">
        <v>815</v>
      </c>
      <c r="BB829" t="s">
        <v>1477</v>
      </c>
      <c r="BG829">
        <v>5</v>
      </c>
      <c r="BI829">
        <v>7.5</v>
      </c>
      <c r="BJ829">
        <v>2.5</v>
      </c>
      <c r="BK829" s="4">
        <v>2831</v>
      </c>
      <c r="BL829" t="s">
        <v>811</v>
      </c>
      <c r="BM829" s="4">
        <v>4109</v>
      </c>
      <c r="BN829" s="4">
        <v>4292</v>
      </c>
      <c r="BR829">
        <v>9938</v>
      </c>
      <c r="BS829" t="s">
        <v>1475</v>
      </c>
      <c r="BT829">
        <v>9</v>
      </c>
      <c r="BU829">
        <v>1</v>
      </c>
      <c r="BV829">
        <v>9</v>
      </c>
      <c r="BX829">
        <v>5.68</v>
      </c>
      <c r="BZ829">
        <v>4.93</v>
      </c>
      <c r="CM829">
        <v>1911</v>
      </c>
    </row>
    <row r="830" spans="1:91" x14ac:dyDescent="0.3">
      <c r="A830" t="s">
        <v>1474</v>
      </c>
      <c r="B830">
        <v>42044</v>
      </c>
      <c r="C830" t="s">
        <v>1478</v>
      </c>
      <c r="D830">
        <v>12</v>
      </c>
      <c r="I830">
        <v>500000</v>
      </c>
      <c r="J830" t="s">
        <v>800</v>
      </c>
      <c r="U830">
        <v>100</v>
      </c>
      <c r="Y830">
        <v>100</v>
      </c>
      <c r="AA830">
        <v>97</v>
      </c>
      <c r="AC830" s="3">
        <v>97</v>
      </c>
      <c r="AE830" s="3">
        <v>95</v>
      </c>
      <c r="AI830">
        <v>95</v>
      </c>
      <c r="AJ830" t="s">
        <v>379</v>
      </c>
      <c r="AK830" s="3"/>
      <c r="AV830" t="s">
        <v>370</v>
      </c>
      <c r="AX830" t="s">
        <v>370</v>
      </c>
      <c r="AZ830" t="s">
        <v>370</v>
      </c>
      <c r="BB830" t="s">
        <v>370</v>
      </c>
      <c r="BO830" t="s">
        <v>367</v>
      </c>
      <c r="BR830">
        <v>9938</v>
      </c>
      <c r="BS830" t="s">
        <v>1475</v>
      </c>
      <c r="BT830">
        <v>4</v>
      </c>
      <c r="BU830">
        <v>4</v>
      </c>
      <c r="BV830">
        <v>3</v>
      </c>
      <c r="BX830">
        <v>98.25</v>
      </c>
      <c r="BZ830">
        <v>94</v>
      </c>
      <c r="CM830">
        <v>1911</v>
      </c>
    </row>
    <row r="831" spans="1:91" x14ac:dyDescent="0.3">
      <c r="A831" t="s">
        <v>1474</v>
      </c>
      <c r="B831">
        <v>42046</v>
      </c>
      <c r="C831" t="s">
        <v>805</v>
      </c>
      <c r="D831">
        <v>12</v>
      </c>
      <c r="I831">
        <v>400000</v>
      </c>
      <c r="J831" t="s">
        <v>800</v>
      </c>
      <c r="V831" t="s">
        <v>350</v>
      </c>
      <c r="Y831">
        <v>100</v>
      </c>
      <c r="AA831">
        <v>95.5</v>
      </c>
      <c r="AC831" s="3">
        <v>96.5</v>
      </c>
      <c r="AE831" s="3">
        <v>93.5</v>
      </c>
      <c r="AI831">
        <v>93.5</v>
      </c>
      <c r="AK831" s="3"/>
      <c r="AV831" t="s">
        <v>370</v>
      </c>
      <c r="AX831" t="s">
        <v>370</v>
      </c>
      <c r="AZ831" t="s">
        <v>370</v>
      </c>
      <c r="BB831" t="s">
        <v>370</v>
      </c>
      <c r="BO831" t="s">
        <v>367</v>
      </c>
      <c r="BR831">
        <v>9938</v>
      </c>
      <c r="BS831" t="s">
        <v>1475</v>
      </c>
      <c r="BT831">
        <v>4</v>
      </c>
      <c r="BU831">
        <v>16</v>
      </c>
      <c r="BV831">
        <v>3</v>
      </c>
      <c r="BX831">
        <v>98</v>
      </c>
      <c r="BZ831">
        <v>91</v>
      </c>
      <c r="CM831">
        <v>1911</v>
      </c>
    </row>
    <row r="832" spans="1:91" x14ac:dyDescent="0.3">
      <c r="A832" t="s">
        <v>1474</v>
      </c>
      <c r="B832">
        <v>42047</v>
      </c>
      <c r="C832" t="s">
        <v>1050</v>
      </c>
      <c r="D832">
        <v>12</v>
      </c>
      <c r="I832">
        <v>800500</v>
      </c>
      <c r="J832" t="s">
        <v>800</v>
      </c>
      <c r="V832" t="s">
        <v>350</v>
      </c>
      <c r="Y832">
        <v>100</v>
      </c>
      <c r="AA832">
        <v>102</v>
      </c>
      <c r="AC832" s="3">
        <v>102</v>
      </c>
      <c r="AE832" s="3">
        <v>101.87</v>
      </c>
      <c r="AI832">
        <v>102</v>
      </c>
      <c r="AK832" s="3"/>
      <c r="AV832" t="s">
        <v>536</v>
      </c>
      <c r="AX832" t="s">
        <v>536</v>
      </c>
      <c r="AZ832" t="s">
        <v>536</v>
      </c>
      <c r="BB832" t="s">
        <v>536</v>
      </c>
      <c r="BO832" t="s">
        <v>367</v>
      </c>
      <c r="BR832">
        <v>9938</v>
      </c>
      <c r="BS832" t="s">
        <v>1475</v>
      </c>
      <c r="BT832">
        <v>4</v>
      </c>
      <c r="BU832">
        <v>19</v>
      </c>
      <c r="BV832">
        <v>3</v>
      </c>
      <c r="BX832">
        <v>104</v>
      </c>
      <c r="BZ832">
        <v>96</v>
      </c>
      <c r="CM832">
        <v>1911</v>
      </c>
    </row>
    <row r="833" spans="1:91" x14ac:dyDescent="0.3">
      <c r="A833" t="s">
        <v>1479</v>
      </c>
      <c r="B833">
        <v>42060</v>
      </c>
      <c r="D833">
        <v>12</v>
      </c>
      <c r="I833">
        <v>600000</v>
      </c>
      <c r="J833" t="s">
        <v>800</v>
      </c>
      <c r="U833">
        <v>100</v>
      </c>
      <c r="Y833">
        <v>100</v>
      </c>
      <c r="AA833">
        <v>106.5</v>
      </c>
      <c r="AC833" s="3">
        <v>107.75</v>
      </c>
      <c r="AE833" s="3">
        <v>106</v>
      </c>
      <c r="AI833">
        <v>107</v>
      </c>
      <c r="AK833" s="3"/>
      <c r="AV833" t="s">
        <v>370</v>
      </c>
      <c r="AX833" t="s">
        <v>370</v>
      </c>
      <c r="AZ833" t="s">
        <v>370</v>
      </c>
      <c r="BB833" t="s">
        <v>370</v>
      </c>
      <c r="BO833" t="s">
        <v>367</v>
      </c>
      <c r="BS833" t="s">
        <v>385</v>
      </c>
      <c r="BT833">
        <v>5</v>
      </c>
      <c r="BU833">
        <v>15</v>
      </c>
      <c r="BV833">
        <v>6</v>
      </c>
      <c r="BX833">
        <v>107.75</v>
      </c>
      <c r="BZ833">
        <v>100.75</v>
      </c>
      <c r="CM833">
        <v>1911</v>
      </c>
    </row>
    <row r="834" spans="1:91" x14ac:dyDescent="0.3">
      <c r="A834" t="s">
        <v>1480</v>
      </c>
      <c r="B834">
        <v>42088</v>
      </c>
      <c r="D834">
        <v>12</v>
      </c>
      <c r="I834" s="2">
        <v>2054800</v>
      </c>
      <c r="J834" t="s">
        <v>800</v>
      </c>
      <c r="V834" t="s">
        <v>385</v>
      </c>
      <c r="Z834" t="s">
        <v>385</v>
      </c>
      <c r="AA834">
        <v>91.5</v>
      </c>
      <c r="AC834" s="3">
        <v>91.5</v>
      </c>
      <c r="AE834" s="3">
        <v>90.75</v>
      </c>
      <c r="AI834">
        <v>91.5</v>
      </c>
      <c r="AK834" s="3"/>
      <c r="AV834" t="s">
        <v>536</v>
      </c>
      <c r="AX834" t="s">
        <v>536</v>
      </c>
      <c r="AZ834" t="s">
        <v>536</v>
      </c>
      <c r="BB834" t="s">
        <v>536</v>
      </c>
      <c r="BO834" t="s">
        <v>367</v>
      </c>
      <c r="BS834" t="s">
        <v>385</v>
      </c>
      <c r="BT834">
        <v>5</v>
      </c>
      <c r="BU834">
        <v>10</v>
      </c>
      <c r="BV834">
        <v>6</v>
      </c>
      <c r="BX834">
        <v>94.5</v>
      </c>
      <c r="BZ834">
        <v>89</v>
      </c>
      <c r="CM834">
        <v>1911</v>
      </c>
    </row>
    <row r="835" spans="1:91" x14ac:dyDescent="0.3">
      <c r="A835" t="s">
        <v>69</v>
      </c>
      <c r="B835">
        <v>42147</v>
      </c>
      <c r="D835">
        <v>12</v>
      </c>
      <c r="I835" s="2">
        <v>1000000</v>
      </c>
      <c r="U835">
        <v>1</v>
      </c>
      <c r="Y835">
        <v>1</v>
      </c>
      <c r="AA835">
        <v>0.37</v>
      </c>
      <c r="AC835" s="3">
        <v>0.46</v>
      </c>
      <c r="AE835" s="3">
        <v>0.34</v>
      </c>
      <c r="AI835">
        <v>0.46</v>
      </c>
      <c r="AK835" s="3"/>
      <c r="AV835" t="s">
        <v>385</v>
      </c>
      <c r="AX835" t="s">
        <v>815</v>
      </c>
      <c r="AZ835" t="s">
        <v>815</v>
      </c>
      <c r="BB835" t="s">
        <v>810</v>
      </c>
      <c r="BH835">
        <v>6</v>
      </c>
      <c r="BK835" t="s">
        <v>811</v>
      </c>
      <c r="BL835" s="4">
        <v>2040</v>
      </c>
      <c r="BM835" s="4">
        <v>2589</v>
      </c>
      <c r="BN835" t="s">
        <v>811</v>
      </c>
      <c r="BR835">
        <v>2572</v>
      </c>
      <c r="BS835" t="s">
        <v>1481</v>
      </c>
      <c r="BW835" t="s">
        <v>802</v>
      </c>
      <c r="BX835">
        <v>0.46</v>
      </c>
      <c r="BZ835">
        <v>0.31</v>
      </c>
      <c r="CK835" t="s">
        <v>1482</v>
      </c>
      <c r="CM835">
        <v>1911</v>
      </c>
    </row>
    <row r="836" spans="1:91" x14ac:dyDescent="0.3">
      <c r="A836" t="s">
        <v>69</v>
      </c>
      <c r="B836">
        <v>42148</v>
      </c>
      <c r="C836" t="s">
        <v>1483</v>
      </c>
      <c r="D836">
        <v>12</v>
      </c>
      <c r="I836">
        <v>396000</v>
      </c>
      <c r="J836" t="s">
        <v>800</v>
      </c>
      <c r="U836">
        <v>100</v>
      </c>
      <c r="Y836">
        <v>100</v>
      </c>
      <c r="AA836">
        <v>84.5</v>
      </c>
      <c r="AC836" s="3">
        <v>84.5</v>
      </c>
      <c r="AE836" s="3">
        <v>84.5</v>
      </c>
      <c r="AI836">
        <v>84.5</v>
      </c>
      <c r="AK836" s="3"/>
      <c r="AV836" t="s">
        <v>370</v>
      </c>
      <c r="AX836" t="s">
        <v>370</v>
      </c>
      <c r="AZ836" t="s">
        <v>370</v>
      </c>
      <c r="BB836" t="s">
        <v>370</v>
      </c>
      <c r="BO836" t="s">
        <v>367</v>
      </c>
      <c r="BR836">
        <v>2572</v>
      </c>
      <c r="BS836" t="s">
        <v>1481</v>
      </c>
      <c r="BT836">
        <v>5</v>
      </c>
      <c r="BU836">
        <v>9</v>
      </c>
      <c r="BV836">
        <v>6</v>
      </c>
      <c r="BX836">
        <v>87</v>
      </c>
      <c r="BZ836">
        <v>84.5</v>
      </c>
      <c r="CM836">
        <v>1911</v>
      </c>
    </row>
    <row r="837" spans="1:91" x14ac:dyDescent="0.3">
      <c r="A837" t="s">
        <v>1484</v>
      </c>
      <c r="B837">
        <v>42162</v>
      </c>
      <c r="D837">
        <v>12</v>
      </c>
      <c r="I837">
        <v>14400</v>
      </c>
      <c r="U837">
        <v>10</v>
      </c>
      <c r="Y837">
        <v>10</v>
      </c>
      <c r="AA837">
        <v>14.25</v>
      </c>
      <c r="AC837" s="3">
        <v>14.25</v>
      </c>
      <c r="AE837" s="3">
        <v>14.25</v>
      </c>
      <c r="AI837">
        <v>14.25</v>
      </c>
      <c r="AK837" s="3"/>
      <c r="AV837" t="s">
        <v>823</v>
      </c>
      <c r="AZ837" t="s">
        <v>823</v>
      </c>
      <c r="BG837">
        <v>8</v>
      </c>
      <c r="BH837">
        <v>8</v>
      </c>
      <c r="BI837">
        <v>8</v>
      </c>
      <c r="BJ837">
        <v>8</v>
      </c>
      <c r="BK837" s="4">
        <v>3623</v>
      </c>
      <c r="BL837" s="4">
        <v>3866</v>
      </c>
      <c r="BM837" s="4">
        <v>3988</v>
      </c>
      <c r="BN837" s="4">
        <v>4231</v>
      </c>
      <c r="BR837">
        <v>38998</v>
      </c>
      <c r="BT837">
        <v>5</v>
      </c>
      <c r="BU837">
        <v>12</v>
      </c>
      <c r="BV837">
        <v>3</v>
      </c>
      <c r="BX837">
        <v>15</v>
      </c>
      <c r="BZ837">
        <v>14.25</v>
      </c>
      <c r="CK837" t="s">
        <v>360</v>
      </c>
      <c r="CM837">
        <v>1911</v>
      </c>
    </row>
    <row r="838" spans="1:91" x14ac:dyDescent="0.3">
      <c r="A838" t="s">
        <v>1485</v>
      </c>
      <c r="B838">
        <v>42524</v>
      </c>
      <c r="D838">
        <v>12</v>
      </c>
      <c r="I838">
        <v>450000</v>
      </c>
      <c r="U838">
        <v>1</v>
      </c>
      <c r="Y838">
        <v>1</v>
      </c>
      <c r="AA838">
        <v>0.93</v>
      </c>
      <c r="AC838" s="3">
        <v>0.93</v>
      </c>
      <c r="AE838" s="3">
        <v>0.93</v>
      </c>
      <c r="AI838">
        <v>0.93</v>
      </c>
      <c r="AK838" s="3"/>
      <c r="AX838" t="s">
        <v>969</v>
      </c>
      <c r="AZ838" t="s">
        <v>815</v>
      </c>
      <c r="BB838" t="s">
        <v>815</v>
      </c>
      <c r="BG838">
        <v>6</v>
      </c>
      <c r="BI838">
        <v>2</v>
      </c>
      <c r="BJ838">
        <v>5</v>
      </c>
      <c r="BK838" t="s">
        <v>1266</v>
      </c>
      <c r="BL838" t="s">
        <v>811</v>
      </c>
      <c r="BM838" t="s">
        <v>913</v>
      </c>
      <c r="BN838" t="s">
        <v>1226</v>
      </c>
      <c r="BR838">
        <v>76151</v>
      </c>
      <c r="BS838" t="s">
        <v>1486</v>
      </c>
      <c r="BT838">
        <v>5</v>
      </c>
      <c r="BU838">
        <v>6</v>
      </c>
      <c r="BV838">
        <v>9</v>
      </c>
      <c r="BX838">
        <v>0.96</v>
      </c>
      <c r="BZ838">
        <v>0.68</v>
      </c>
      <c r="CK838" t="s">
        <v>360</v>
      </c>
      <c r="CM838">
        <v>1911</v>
      </c>
    </row>
    <row r="839" spans="1:91" x14ac:dyDescent="0.3">
      <c r="A839" t="s">
        <v>1485</v>
      </c>
      <c r="B839">
        <v>42525</v>
      </c>
      <c r="C839" t="s">
        <v>817</v>
      </c>
      <c r="D839">
        <v>12</v>
      </c>
      <c r="I839">
        <v>70000</v>
      </c>
      <c r="U839">
        <v>5</v>
      </c>
      <c r="Y839">
        <v>5</v>
      </c>
      <c r="AA839">
        <v>5</v>
      </c>
      <c r="AC839" s="3">
        <v>5</v>
      </c>
      <c r="AE839" s="3">
        <v>5</v>
      </c>
      <c r="AI839">
        <v>5</v>
      </c>
      <c r="AK839" s="3"/>
      <c r="BG839">
        <v>5</v>
      </c>
      <c r="BH839">
        <v>5</v>
      </c>
      <c r="BI839">
        <v>5</v>
      </c>
      <c r="BJ839">
        <v>5</v>
      </c>
      <c r="BK839" s="4">
        <v>3744</v>
      </c>
      <c r="BL839" s="4">
        <v>3927</v>
      </c>
      <c r="BM839" s="4">
        <v>4109</v>
      </c>
      <c r="BN839" s="4">
        <v>4292</v>
      </c>
      <c r="BR839">
        <v>76151</v>
      </c>
      <c r="BS839" t="s">
        <v>1486</v>
      </c>
      <c r="BT839">
        <v>5</v>
      </c>
      <c r="BU839">
        <v>0</v>
      </c>
      <c r="BV839">
        <v>0</v>
      </c>
      <c r="BX839">
        <v>5</v>
      </c>
      <c r="BZ839">
        <v>4.25</v>
      </c>
      <c r="CM839">
        <v>1911</v>
      </c>
    </row>
    <row r="840" spans="1:91" x14ac:dyDescent="0.3">
      <c r="A840" t="s">
        <v>1485</v>
      </c>
      <c r="B840">
        <v>42526</v>
      </c>
      <c r="C840" t="s">
        <v>922</v>
      </c>
      <c r="D840">
        <v>12</v>
      </c>
      <c r="I840">
        <v>250000</v>
      </c>
      <c r="J840" t="s">
        <v>800</v>
      </c>
      <c r="V840" t="s">
        <v>350</v>
      </c>
      <c r="Y840">
        <v>100</v>
      </c>
      <c r="AA840">
        <v>100</v>
      </c>
      <c r="AC840" s="3">
        <v>100</v>
      </c>
      <c r="AE840" s="3">
        <v>99</v>
      </c>
      <c r="AI840">
        <v>99</v>
      </c>
      <c r="AJ840" t="s">
        <v>379</v>
      </c>
      <c r="AK840" s="3"/>
      <c r="AV840" t="s">
        <v>370</v>
      </c>
      <c r="AX840" t="s">
        <v>370</v>
      </c>
      <c r="AZ840" t="s">
        <v>370</v>
      </c>
      <c r="BB840" t="s">
        <v>370</v>
      </c>
      <c r="BO840" t="s">
        <v>367</v>
      </c>
      <c r="BR840">
        <v>76151</v>
      </c>
      <c r="BS840" t="s">
        <v>1486</v>
      </c>
      <c r="BT840">
        <v>4</v>
      </c>
      <c r="BU840">
        <v>0</v>
      </c>
      <c r="BV840">
        <v>9</v>
      </c>
      <c r="BX840">
        <v>100</v>
      </c>
      <c r="BZ840">
        <v>85.75</v>
      </c>
      <c r="CM840">
        <v>1911</v>
      </c>
    </row>
    <row r="841" spans="1:91" x14ac:dyDescent="0.3">
      <c r="A841" t="s">
        <v>1485</v>
      </c>
      <c r="B841">
        <v>42528</v>
      </c>
      <c r="C841" t="s">
        <v>1487</v>
      </c>
      <c r="D841">
        <v>12</v>
      </c>
      <c r="I841">
        <v>400000</v>
      </c>
      <c r="J841" t="s">
        <v>800</v>
      </c>
      <c r="V841" t="s">
        <v>350</v>
      </c>
      <c r="Y841">
        <v>100</v>
      </c>
      <c r="AA841">
        <v>100</v>
      </c>
      <c r="AC841" s="3">
        <v>100</v>
      </c>
      <c r="AE841" s="3">
        <v>99</v>
      </c>
      <c r="AI841">
        <v>99</v>
      </c>
      <c r="AJ841" t="s">
        <v>379</v>
      </c>
      <c r="AK841" s="3"/>
      <c r="AV841" t="s">
        <v>370</v>
      </c>
      <c r="AX841" t="s">
        <v>370</v>
      </c>
      <c r="AZ841" t="s">
        <v>370</v>
      </c>
      <c r="BB841" t="s">
        <v>370</v>
      </c>
      <c r="BO841" t="s">
        <v>367</v>
      </c>
      <c r="BR841">
        <v>76151</v>
      </c>
      <c r="BS841" t="s">
        <v>1486</v>
      </c>
      <c r="BT841">
        <v>4</v>
      </c>
      <c r="BU841">
        <v>11</v>
      </c>
      <c r="BV841">
        <v>0</v>
      </c>
      <c r="BX841">
        <v>100</v>
      </c>
      <c r="BZ841">
        <v>78.75</v>
      </c>
      <c r="CM841">
        <v>1911</v>
      </c>
    </row>
    <row r="842" spans="1:91" x14ac:dyDescent="0.3">
      <c r="A842" t="s">
        <v>1488</v>
      </c>
      <c r="B842">
        <v>42583</v>
      </c>
      <c r="D842">
        <v>12</v>
      </c>
      <c r="I842">
        <v>350000</v>
      </c>
      <c r="U842">
        <v>1</v>
      </c>
      <c r="Y842">
        <v>1</v>
      </c>
      <c r="AA842">
        <v>2.5</v>
      </c>
      <c r="AC842" s="3">
        <v>2.5</v>
      </c>
      <c r="AE842" s="3">
        <v>2.4300000000000002</v>
      </c>
      <c r="AI842">
        <v>2.5</v>
      </c>
      <c r="AK842" s="3"/>
      <c r="AV842" t="s">
        <v>823</v>
      </c>
      <c r="AZ842" t="s">
        <v>823</v>
      </c>
      <c r="BG842">
        <v>8</v>
      </c>
      <c r="BH842">
        <v>20</v>
      </c>
      <c r="BI842">
        <v>8</v>
      </c>
      <c r="BJ842">
        <v>12</v>
      </c>
      <c r="BK842" s="4">
        <v>3744</v>
      </c>
      <c r="BL842" s="4">
        <v>3927</v>
      </c>
      <c r="BM842" s="4">
        <v>4109</v>
      </c>
      <c r="BN842" s="4">
        <v>4292</v>
      </c>
      <c r="BR842">
        <v>378359</v>
      </c>
      <c r="BS842" t="s">
        <v>1489</v>
      </c>
      <c r="BT842">
        <v>4</v>
      </c>
      <c r="BU842">
        <v>0</v>
      </c>
      <c r="BV842">
        <v>0</v>
      </c>
      <c r="BX842">
        <v>2.96</v>
      </c>
      <c r="BZ842">
        <v>2.4300000000000002</v>
      </c>
      <c r="CM842">
        <v>1911</v>
      </c>
    </row>
    <row r="843" spans="1:91" x14ac:dyDescent="0.3">
      <c r="A843" t="s">
        <v>1488</v>
      </c>
      <c r="B843">
        <v>42581</v>
      </c>
      <c r="C843" t="s">
        <v>817</v>
      </c>
      <c r="D843">
        <v>12</v>
      </c>
      <c r="I843">
        <v>350000</v>
      </c>
      <c r="U843">
        <v>1</v>
      </c>
      <c r="Y843">
        <v>1</v>
      </c>
      <c r="AA843">
        <v>1.18</v>
      </c>
      <c r="AC843" s="3">
        <v>1.18</v>
      </c>
      <c r="AE843" s="3">
        <v>1.18</v>
      </c>
      <c r="AI843">
        <v>1.18</v>
      </c>
      <c r="AK843" s="3"/>
      <c r="AV843" t="s">
        <v>536</v>
      </c>
      <c r="AX843" t="s">
        <v>536</v>
      </c>
      <c r="AZ843" t="s">
        <v>536</v>
      </c>
      <c r="BB843" t="s">
        <v>536</v>
      </c>
      <c r="BO843" t="s">
        <v>367</v>
      </c>
      <c r="BR843">
        <v>378359</v>
      </c>
      <c r="BS843" t="s">
        <v>1489</v>
      </c>
      <c r="BT843">
        <v>4</v>
      </c>
      <c r="BU843">
        <v>4</v>
      </c>
      <c r="BV843">
        <v>3</v>
      </c>
      <c r="BX843">
        <v>1.25</v>
      </c>
      <c r="BZ843">
        <v>1.1200000000000001</v>
      </c>
      <c r="CM843">
        <v>1911</v>
      </c>
    </row>
    <row r="844" spans="1:91" x14ac:dyDescent="0.3">
      <c r="A844" t="s">
        <v>1488</v>
      </c>
      <c r="B844">
        <v>42582</v>
      </c>
      <c r="C844" t="s">
        <v>1490</v>
      </c>
      <c r="D844">
        <v>12</v>
      </c>
      <c r="I844">
        <v>150000</v>
      </c>
      <c r="U844">
        <v>1</v>
      </c>
      <c r="Y844">
        <v>1</v>
      </c>
      <c r="AA844">
        <v>1.18</v>
      </c>
      <c r="AC844" s="3">
        <v>1.18</v>
      </c>
      <c r="AE844" s="3">
        <v>1.18</v>
      </c>
      <c r="AI844">
        <v>1.18</v>
      </c>
      <c r="AK844" s="3"/>
      <c r="AV844" t="s">
        <v>536</v>
      </c>
      <c r="AX844" t="s">
        <v>536</v>
      </c>
      <c r="AZ844" t="s">
        <v>536</v>
      </c>
      <c r="BB844" t="s">
        <v>536</v>
      </c>
      <c r="BO844" t="s">
        <v>367</v>
      </c>
      <c r="BR844">
        <v>378359</v>
      </c>
      <c r="BS844" t="s">
        <v>1489</v>
      </c>
      <c r="BT844">
        <v>4</v>
      </c>
      <c r="BU844">
        <v>12</v>
      </c>
      <c r="BV844">
        <v>6</v>
      </c>
      <c r="BX844">
        <v>1.25</v>
      </c>
      <c r="BZ844">
        <v>1.18</v>
      </c>
      <c r="CM844">
        <v>1911</v>
      </c>
    </row>
    <row r="845" spans="1:91" x14ac:dyDescent="0.3">
      <c r="A845" t="s">
        <v>1491</v>
      </c>
      <c r="B845">
        <v>42706</v>
      </c>
      <c r="D845">
        <v>12</v>
      </c>
      <c r="I845">
        <v>100000</v>
      </c>
      <c r="U845">
        <v>10</v>
      </c>
      <c r="Y845">
        <v>7.5</v>
      </c>
      <c r="AA845">
        <v>32.869999999999997</v>
      </c>
      <c r="AC845" s="3">
        <v>35</v>
      </c>
      <c r="AE845" s="3">
        <v>32.869999999999997</v>
      </c>
      <c r="AI845">
        <v>34.75</v>
      </c>
      <c r="AK845" s="3"/>
      <c r="AV845" t="s">
        <v>823</v>
      </c>
      <c r="AZ845" t="s">
        <v>823</v>
      </c>
      <c r="BG845">
        <v>6.66</v>
      </c>
      <c r="BH845">
        <v>38.33</v>
      </c>
      <c r="BI845">
        <v>13.33</v>
      </c>
      <c r="BJ845">
        <v>53.33</v>
      </c>
      <c r="BK845" s="4">
        <v>3685</v>
      </c>
      <c r="BL845" s="4">
        <v>3866</v>
      </c>
      <c r="BM845" s="4">
        <v>4050</v>
      </c>
      <c r="BN845" s="4">
        <v>4231</v>
      </c>
      <c r="BR845">
        <v>338000</v>
      </c>
      <c r="BS845" t="s">
        <v>1492</v>
      </c>
      <c r="BT845">
        <v>7</v>
      </c>
      <c r="BU845">
        <v>3</v>
      </c>
      <c r="BV845">
        <v>9</v>
      </c>
      <c r="BX845">
        <v>35</v>
      </c>
      <c r="BZ845">
        <v>31.12</v>
      </c>
      <c r="CK845" t="s">
        <v>1076</v>
      </c>
      <c r="CM845">
        <v>1911</v>
      </c>
    </row>
    <row r="846" spans="1:91" x14ac:dyDescent="0.3">
      <c r="A846" t="s">
        <v>1491</v>
      </c>
      <c r="B846">
        <v>42707</v>
      </c>
      <c r="C846" t="s">
        <v>1031</v>
      </c>
      <c r="D846">
        <v>12</v>
      </c>
      <c r="I846">
        <v>100000</v>
      </c>
      <c r="U846">
        <v>5</v>
      </c>
      <c r="Y846">
        <v>5</v>
      </c>
      <c r="AA846">
        <v>9</v>
      </c>
      <c r="AC846" s="3">
        <v>9.06</v>
      </c>
      <c r="AE846" s="3">
        <v>9</v>
      </c>
      <c r="AI846">
        <v>9.06</v>
      </c>
      <c r="AK846" s="3"/>
      <c r="AV846" t="s">
        <v>506</v>
      </c>
      <c r="AX846" t="s">
        <v>506</v>
      </c>
      <c r="AZ846" t="s">
        <v>506</v>
      </c>
      <c r="BB846" t="s">
        <v>506</v>
      </c>
      <c r="BO846" t="s">
        <v>367</v>
      </c>
      <c r="BR846">
        <v>338000</v>
      </c>
      <c r="BS846" t="s">
        <v>1492</v>
      </c>
      <c r="BT846">
        <v>4</v>
      </c>
      <c r="BU846">
        <v>8</v>
      </c>
      <c r="BV846">
        <v>3</v>
      </c>
      <c r="BX846">
        <v>9.6199999999999992</v>
      </c>
      <c r="BZ846">
        <v>9</v>
      </c>
      <c r="CK846" t="s">
        <v>360</v>
      </c>
      <c r="CM846">
        <v>1911</v>
      </c>
    </row>
    <row r="847" spans="1:91" x14ac:dyDescent="0.3">
      <c r="A847" t="s">
        <v>1493</v>
      </c>
      <c r="B847">
        <v>42710</v>
      </c>
      <c r="D847">
        <v>12</v>
      </c>
      <c r="I847">
        <v>55200</v>
      </c>
      <c r="U847">
        <v>1</v>
      </c>
      <c r="Y847">
        <v>1</v>
      </c>
      <c r="AA847">
        <v>5.37</v>
      </c>
      <c r="AC847" s="3">
        <v>5.37</v>
      </c>
      <c r="AE847" s="3">
        <v>5.37</v>
      </c>
      <c r="AI847">
        <v>5.37</v>
      </c>
      <c r="AK847" s="3"/>
      <c r="AU847" t="s">
        <v>1494</v>
      </c>
      <c r="AV847" t="s">
        <v>1495</v>
      </c>
      <c r="AW847" t="s">
        <v>1496</v>
      </c>
      <c r="AX847" s="5">
        <v>40608</v>
      </c>
      <c r="AY847" t="s">
        <v>1497</v>
      </c>
      <c r="AZ847" t="s">
        <v>1498</v>
      </c>
      <c r="BA847" t="s">
        <v>1499</v>
      </c>
      <c r="BB847" t="s">
        <v>1500</v>
      </c>
      <c r="BC847">
        <v>45</v>
      </c>
      <c r="BD847">
        <v>75</v>
      </c>
      <c r="BE847">
        <v>42</v>
      </c>
      <c r="BF847">
        <v>72</v>
      </c>
      <c r="BK847" s="4">
        <v>3685</v>
      </c>
      <c r="BL847" s="4">
        <v>3866</v>
      </c>
      <c r="BM847" s="4">
        <v>4050</v>
      </c>
      <c r="BN847" s="4">
        <v>4231</v>
      </c>
      <c r="BR847">
        <v>4225</v>
      </c>
      <c r="BT847">
        <v>8</v>
      </c>
      <c r="BU847">
        <v>16</v>
      </c>
      <c r="BV847">
        <v>0</v>
      </c>
      <c r="BX847">
        <v>6.06</v>
      </c>
      <c r="BZ847">
        <v>5.37</v>
      </c>
      <c r="CK847" t="s">
        <v>1076</v>
      </c>
      <c r="CM847">
        <v>1911</v>
      </c>
    </row>
    <row r="848" spans="1:91" x14ac:dyDescent="0.3">
      <c r="A848" t="s">
        <v>1501</v>
      </c>
      <c r="B848">
        <v>42751</v>
      </c>
      <c r="D848">
        <v>12</v>
      </c>
      <c r="I848">
        <v>135000</v>
      </c>
      <c r="U848">
        <v>1</v>
      </c>
      <c r="Y848">
        <v>1</v>
      </c>
      <c r="AA848">
        <v>1.06</v>
      </c>
      <c r="AC848" s="3">
        <v>1.06</v>
      </c>
      <c r="AE848" s="3">
        <v>1.03</v>
      </c>
      <c r="AI848">
        <v>1.06</v>
      </c>
      <c r="AK848" s="3"/>
      <c r="AX848" t="s">
        <v>823</v>
      </c>
      <c r="BB848" t="s">
        <v>823</v>
      </c>
      <c r="BG848">
        <v>10</v>
      </c>
      <c r="BH848">
        <v>5</v>
      </c>
      <c r="BK848" s="4">
        <v>3805</v>
      </c>
      <c r="BL848" s="4">
        <v>3988</v>
      </c>
      <c r="BM848" s="4">
        <v>4170</v>
      </c>
      <c r="BN848" s="4">
        <v>4353</v>
      </c>
      <c r="BR848">
        <v>38401</v>
      </c>
      <c r="BS848" t="s">
        <v>1502</v>
      </c>
      <c r="BT848">
        <v>7</v>
      </c>
      <c r="BU848">
        <v>1</v>
      </c>
      <c r="BV848">
        <v>3</v>
      </c>
      <c r="BX848">
        <v>1.31</v>
      </c>
      <c r="BZ848">
        <v>1.03</v>
      </c>
      <c r="CK848" t="s">
        <v>541</v>
      </c>
      <c r="CM848">
        <v>1911</v>
      </c>
    </row>
    <row r="849" spans="1:91" x14ac:dyDescent="0.3">
      <c r="A849" t="s">
        <v>1501</v>
      </c>
      <c r="B849">
        <v>42752</v>
      </c>
      <c r="C849" t="s">
        <v>1306</v>
      </c>
      <c r="D849">
        <v>12</v>
      </c>
      <c r="I849">
        <v>65000</v>
      </c>
      <c r="U849">
        <v>1</v>
      </c>
      <c r="Y849">
        <v>1</v>
      </c>
      <c r="AA849">
        <v>0.96</v>
      </c>
      <c r="AC849" s="3">
        <v>1</v>
      </c>
      <c r="AE849" s="3">
        <v>0.96</v>
      </c>
      <c r="AI849">
        <v>1</v>
      </c>
      <c r="AK849" s="3"/>
      <c r="AV849" t="s">
        <v>373</v>
      </c>
      <c r="AX849" t="s">
        <v>373</v>
      </c>
      <c r="AZ849" t="s">
        <v>373</v>
      </c>
      <c r="BB849" t="s">
        <v>373</v>
      </c>
      <c r="BO849" t="s">
        <v>367</v>
      </c>
      <c r="BR849">
        <v>38401</v>
      </c>
      <c r="BS849" t="s">
        <v>1502</v>
      </c>
      <c r="BT849">
        <v>5</v>
      </c>
      <c r="BU849">
        <v>0</v>
      </c>
      <c r="BV849">
        <v>0</v>
      </c>
      <c r="BX849">
        <v>1.62</v>
      </c>
      <c r="BZ849">
        <v>0.96</v>
      </c>
      <c r="CM849">
        <v>1911</v>
      </c>
    </row>
    <row r="850" spans="1:91" x14ac:dyDescent="0.3">
      <c r="A850" t="s">
        <v>1503</v>
      </c>
      <c r="B850">
        <v>42824</v>
      </c>
      <c r="D850">
        <v>12</v>
      </c>
      <c r="I850">
        <v>230000</v>
      </c>
      <c r="U850">
        <v>5</v>
      </c>
      <c r="Y850">
        <v>5</v>
      </c>
      <c r="AA850">
        <v>5.87</v>
      </c>
      <c r="AB850" t="s">
        <v>379</v>
      </c>
      <c r="AC850" s="3">
        <v>6</v>
      </c>
      <c r="AE850" s="3">
        <v>5.87</v>
      </c>
      <c r="AI850">
        <v>6</v>
      </c>
      <c r="AK850" s="3"/>
      <c r="AX850" t="s">
        <v>823</v>
      </c>
      <c r="BB850" t="s">
        <v>823</v>
      </c>
      <c r="BG850">
        <v>12</v>
      </c>
      <c r="BH850">
        <v>8</v>
      </c>
      <c r="BI850">
        <v>12</v>
      </c>
      <c r="BJ850">
        <v>8</v>
      </c>
      <c r="BK850" s="4">
        <v>3805</v>
      </c>
      <c r="BL850" s="4">
        <v>3988</v>
      </c>
      <c r="BM850" s="4">
        <v>4170</v>
      </c>
      <c r="BN850" s="4">
        <v>4353</v>
      </c>
      <c r="BR850">
        <v>382606</v>
      </c>
      <c r="BS850" t="s">
        <v>1504</v>
      </c>
      <c r="BT850">
        <v>8</v>
      </c>
      <c r="BU850">
        <v>6</v>
      </c>
      <c r="BV850">
        <v>9</v>
      </c>
      <c r="BX850">
        <v>7.18</v>
      </c>
      <c r="BZ850">
        <v>5.75</v>
      </c>
      <c r="CM850">
        <v>1911</v>
      </c>
    </row>
    <row r="851" spans="1:91" x14ac:dyDescent="0.3">
      <c r="A851" t="s">
        <v>1503</v>
      </c>
      <c r="B851">
        <v>42822</v>
      </c>
      <c r="C851" t="s">
        <v>817</v>
      </c>
      <c r="D851">
        <v>12</v>
      </c>
      <c r="I851">
        <v>170000</v>
      </c>
      <c r="U851">
        <v>5</v>
      </c>
      <c r="Y851">
        <v>5</v>
      </c>
      <c r="AA851">
        <v>5</v>
      </c>
      <c r="AC851" s="3">
        <v>5.18</v>
      </c>
      <c r="AE851" s="3">
        <v>4.71</v>
      </c>
      <c r="AI851">
        <v>5</v>
      </c>
      <c r="AK851" s="3"/>
      <c r="AV851" t="s">
        <v>366</v>
      </c>
      <c r="AX851" t="s">
        <v>366</v>
      </c>
      <c r="AZ851" t="s">
        <v>366</v>
      </c>
      <c r="BB851" t="s">
        <v>366</v>
      </c>
      <c r="BO851" t="s">
        <v>367</v>
      </c>
      <c r="BR851">
        <v>382606</v>
      </c>
      <c r="BS851" t="s">
        <v>1505</v>
      </c>
      <c r="BT851">
        <v>5</v>
      </c>
      <c r="BU851">
        <v>0</v>
      </c>
      <c r="BV851">
        <v>0</v>
      </c>
      <c r="BX851">
        <v>5.5</v>
      </c>
      <c r="BZ851">
        <v>4.71</v>
      </c>
      <c r="CM851">
        <v>1911</v>
      </c>
    </row>
    <row r="852" spans="1:91" x14ac:dyDescent="0.3">
      <c r="A852" t="s">
        <v>1503</v>
      </c>
      <c r="B852">
        <v>42823</v>
      </c>
      <c r="C852" t="s">
        <v>1506</v>
      </c>
      <c r="D852">
        <v>12</v>
      </c>
      <c r="I852">
        <v>700000</v>
      </c>
      <c r="J852" t="s">
        <v>800</v>
      </c>
      <c r="V852" t="s">
        <v>350</v>
      </c>
      <c r="Y852">
        <v>100</v>
      </c>
      <c r="AA852">
        <v>92.5</v>
      </c>
      <c r="AC852" s="3">
        <v>93.12</v>
      </c>
      <c r="AE852" s="3">
        <v>92.5</v>
      </c>
      <c r="AI852">
        <v>92.5</v>
      </c>
      <c r="AK852" s="3"/>
      <c r="AV852" t="s">
        <v>536</v>
      </c>
      <c r="AX852" t="s">
        <v>536</v>
      </c>
      <c r="AZ852" t="s">
        <v>536</v>
      </c>
      <c r="BB852" t="s">
        <v>536</v>
      </c>
      <c r="BG852">
        <v>5</v>
      </c>
      <c r="BH852">
        <v>4</v>
      </c>
      <c r="BO852" t="s">
        <v>367</v>
      </c>
      <c r="BR852">
        <v>382606</v>
      </c>
      <c r="BS852" t="s">
        <v>1505</v>
      </c>
      <c r="BT852">
        <v>4</v>
      </c>
      <c r="BU852">
        <v>8</v>
      </c>
      <c r="BV852">
        <v>0</v>
      </c>
      <c r="BX852">
        <v>99</v>
      </c>
      <c r="BZ852">
        <v>92.5</v>
      </c>
      <c r="CM852">
        <v>1911</v>
      </c>
    </row>
    <row r="853" spans="1:91" x14ac:dyDescent="0.3">
      <c r="A853" t="s">
        <v>1507</v>
      </c>
      <c r="B853">
        <v>43068</v>
      </c>
      <c r="D853">
        <v>12</v>
      </c>
      <c r="I853">
        <v>3000</v>
      </c>
      <c r="U853">
        <v>35</v>
      </c>
      <c r="Y853">
        <v>30</v>
      </c>
      <c r="AA853">
        <v>12.75</v>
      </c>
      <c r="AC853" s="3">
        <v>12.75</v>
      </c>
      <c r="AE853" s="3">
        <v>12.75</v>
      </c>
      <c r="AI853">
        <v>12.75</v>
      </c>
      <c r="AK853" s="3"/>
      <c r="AV853" t="s">
        <v>815</v>
      </c>
      <c r="AX853" t="s">
        <v>815</v>
      </c>
      <c r="AZ853" t="s">
        <v>815</v>
      </c>
      <c r="BB853" t="s">
        <v>815</v>
      </c>
      <c r="BG853">
        <v>5</v>
      </c>
      <c r="BH853">
        <v>4</v>
      </c>
      <c r="BK853" s="4">
        <v>3136</v>
      </c>
      <c r="BL853" s="4">
        <v>3501</v>
      </c>
      <c r="BM853" s="4">
        <v>3866</v>
      </c>
      <c r="BN853" s="4">
        <v>4231</v>
      </c>
      <c r="BR853">
        <v>902</v>
      </c>
      <c r="BT853">
        <v>2</v>
      </c>
      <c r="BU853">
        <v>18</v>
      </c>
      <c r="BV853">
        <v>9</v>
      </c>
      <c r="BX853">
        <v>15.5</v>
      </c>
      <c r="BZ853">
        <v>12.75</v>
      </c>
      <c r="CM853">
        <v>1911</v>
      </c>
    </row>
    <row r="854" spans="1:91" x14ac:dyDescent="0.3">
      <c r="A854" t="s">
        <v>1508</v>
      </c>
      <c r="B854">
        <v>43012</v>
      </c>
      <c r="D854">
        <v>12</v>
      </c>
      <c r="I854">
        <v>45000</v>
      </c>
      <c r="U854">
        <v>10</v>
      </c>
      <c r="Y854">
        <v>10</v>
      </c>
      <c r="AA854">
        <v>19.75</v>
      </c>
      <c r="AC854" s="3">
        <v>21</v>
      </c>
      <c r="AE854" s="3">
        <v>19.87</v>
      </c>
      <c r="AI854">
        <v>21</v>
      </c>
      <c r="AK854" s="3"/>
      <c r="AX854" t="s">
        <v>823</v>
      </c>
      <c r="BB854" t="s">
        <v>823</v>
      </c>
      <c r="BG854">
        <v>12.5</v>
      </c>
      <c r="BH854">
        <v>10</v>
      </c>
      <c r="BI854">
        <v>10</v>
      </c>
      <c r="BJ854">
        <v>10</v>
      </c>
      <c r="BK854" s="4">
        <v>3713</v>
      </c>
      <c r="BL854" s="4">
        <v>3866</v>
      </c>
      <c r="BM854" s="4">
        <v>4078</v>
      </c>
      <c r="BN854" s="4">
        <v>4231</v>
      </c>
      <c r="BR854">
        <v>257334</v>
      </c>
      <c r="BT854">
        <v>4</v>
      </c>
      <c r="BU854">
        <v>15</v>
      </c>
      <c r="BV854">
        <v>3</v>
      </c>
      <c r="BX854">
        <v>21</v>
      </c>
      <c r="BZ854">
        <v>14.5</v>
      </c>
      <c r="CK854" t="s">
        <v>1471</v>
      </c>
      <c r="CM854">
        <v>1911</v>
      </c>
    </row>
    <row r="855" spans="1:91" x14ac:dyDescent="0.3">
      <c r="A855" t="s">
        <v>1509</v>
      </c>
      <c r="B855">
        <v>43226</v>
      </c>
      <c r="D855">
        <v>12</v>
      </c>
      <c r="I855" s="2">
        <v>1400000</v>
      </c>
      <c r="J855" t="s">
        <v>800</v>
      </c>
      <c r="U855">
        <v>100</v>
      </c>
      <c r="Y855">
        <v>100</v>
      </c>
      <c r="AA855">
        <v>96.25</v>
      </c>
      <c r="AC855" s="3">
        <v>97</v>
      </c>
      <c r="AE855" s="3">
        <v>96.25</v>
      </c>
      <c r="AI855">
        <v>96.75</v>
      </c>
      <c r="AK855" s="3"/>
      <c r="AV855" t="s">
        <v>373</v>
      </c>
      <c r="AX855" t="s">
        <v>373</v>
      </c>
      <c r="AZ855" t="s">
        <v>373</v>
      </c>
      <c r="BB855" t="s">
        <v>373</v>
      </c>
      <c r="BO855" t="s">
        <v>367</v>
      </c>
      <c r="BS855" t="s">
        <v>385</v>
      </c>
      <c r="BT855">
        <v>5</v>
      </c>
      <c r="BU855">
        <v>3</v>
      </c>
      <c r="BV855">
        <v>3</v>
      </c>
      <c r="BX855">
        <v>97.62</v>
      </c>
      <c r="BZ855">
        <v>94</v>
      </c>
      <c r="CM855">
        <v>1911</v>
      </c>
    </row>
    <row r="856" spans="1:91" x14ac:dyDescent="0.3">
      <c r="A856" t="s">
        <v>1510</v>
      </c>
      <c r="B856">
        <v>43241</v>
      </c>
      <c r="D856">
        <v>12</v>
      </c>
      <c r="I856" s="2">
        <v>1259590</v>
      </c>
      <c r="U856">
        <v>1</v>
      </c>
      <c r="Y856">
        <v>1</v>
      </c>
      <c r="AA856">
        <v>0.93</v>
      </c>
      <c r="AC856" s="3">
        <v>0.93</v>
      </c>
      <c r="AE856" s="3">
        <v>0.93</v>
      </c>
      <c r="AI856">
        <v>0.93</v>
      </c>
      <c r="AK856" s="3"/>
      <c r="AV856" t="s">
        <v>823</v>
      </c>
      <c r="AZ856" t="s">
        <v>823</v>
      </c>
      <c r="BG856">
        <v>4</v>
      </c>
      <c r="BH856">
        <v>6</v>
      </c>
      <c r="BI856">
        <v>5</v>
      </c>
      <c r="BJ856">
        <v>7</v>
      </c>
      <c r="BK856" s="4">
        <v>3805</v>
      </c>
      <c r="BL856" s="4">
        <v>3988</v>
      </c>
      <c r="BM856" s="4">
        <v>4170</v>
      </c>
      <c r="BN856" s="4">
        <v>4353</v>
      </c>
      <c r="BR856">
        <v>67569</v>
      </c>
      <c r="BS856" t="s">
        <v>1511</v>
      </c>
      <c r="BT856">
        <v>6</v>
      </c>
      <c r="BU856">
        <v>8</v>
      </c>
      <c r="BV856">
        <v>0</v>
      </c>
      <c r="BX856">
        <v>0.96</v>
      </c>
      <c r="BZ856">
        <v>0.81</v>
      </c>
      <c r="CK856" t="s">
        <v>1179</v>
      </c>
      <c r="CL856" t="s">
        <v>457</v>
      </c>
      <c r="CM856">
        <v>1911</v>
      </c>
    </row>
    <row r="857" spans="1:91" x14ac:dyDescent="0.3">
      <c r="A857" t="s">
        <v>1510</v>
      </c>
      <c r="B857">
        <v>43244</v>
      </c>
      <c r="C857" t="s">
        <v>1512</v>
      </c>
      <c r="D857">
        <v>12</v>
      </c>
      <c r="I857">
        <v>400000</v>
      </c>
      <c r="J857" t="s">
        <v>800</v>
      </c>
      <c r="V857" t="s">
        <v>350</v>
      </c>
      <c r="Y857">
        <v>100</v>
      </c>
      <c r="AA857">
        <v>90</v>
      </c>
      <c r="AC857" s="3">
        <v>90</v>
      </c>
      <c r="AE857" s="3">
        <v>88</v>
      </c>
      <c r="AI857">
        <v>88</v>
      </c>
      <c r="AJ857" t="s">
        <v>379</v>
      </c>
      <c r="AK857" s="3"/>
      <c r="AV857" t="s">
        <v>370</v>
      </c>
      <c r="AX857" t="s">
        <v>370</v>
      </c>
      <c r="AZ857" t="s">
        <v>370</v>
      </c>
      <c r="BB857" t="s">
        <v>370</v>
      </c>
      <c r="BO857" t="s">
        <v>367</v>
      </c>
      <c r="BR857">
        <v>67569</v>
      </c>
      <c r="BS857" t="s">
        <v>1511</v>
      </c>
      <c r="BT857">
        <v>4</v>
      </c>
      <c r="BU857">
        <v>11</v>
      </c>
      <c r="BV857">
        <v>0</v>
      </c>
      <c r="BX857">
        <v>93</v>
      </c>
      <c r="BZ857">
        <v>88</v>
      </c>
      <c r="CM857">
        <v>1911</v>
      </c>
    </row>
    <row r="858" spans="1:91" x14ac:dyDescent="0.3">
      <c r="A858" t="s">
        <v>1510</v>
      </c>
      <c r="B858">
        <v>43243</v>
      </c>
      <c r="C858" t="s">
        <v>1513</v>
      </c>
      <c r="D858">
        <v>12</v>
      </c>
      <c r="I858">
        <v>210000</v>
      </c>
      <c r="J858" t="s">
        <v>800</v>
      </c>
      <c r="V858" t="s">
        <v>350</v>
      </c>
      <c r="Y858">
        <v>100</v>
      </c>
      <c r="AA858">
        <v>105</v>
      </c>
      <c r="AC858" s="3">
        <v>105</v>
      </c>
      <c r="AE858" s="3">
        <v>103</v>
      </c>
      <c r="AI858">
        <v>103</v>
      </c>
      <c r="AJ858" t="s">
        <v>379</v>
      </c>
      <c r="AK858" s="3"/>
      <c r="AV858" t="s">
        <v>370</v>
      </c>
      <c r="AX858" t="s">
        <v>370</v>
      </c>
      <c r="AZ858" t="s">
        <v>370</v>
      </c>
      <c r="BB858" t="s">
        <v>370</v>
      </c>
      <c r="BO858" t="s">
        <v>367</v>
      </c>
      <c r="BR858">
        <v>67569</v>
      </c>
      <c r="BS858" t="s">
        <v>1511</v>
      </c>
      <c r="BT858">
        <v>5</v>
      </c>
      <c r="BU858">
        <v>16</v>
      </c>
      <c r="BV858">
        <v>6</v>
      </c>
      <c r="BX858">
        <v>105.25</v>
      </c>
      <c r="BZ858">
        <v>100</v>
      </c>
      <c r="CM858">
        <v>1911</v>
      </c>
    </row>
    <row r="859" spans="1:91" x14ac:dyDescent="0.3">
      <c r="A859" t="s">
        <v>1514</v>
      </c>
      <c r="B859">
        <v>43316</v>
      </c>
      <c r="D859">
        <v>12</v>
      </c>
      <c r="I859">
        <v>273000</v>
      </c>
      <c r="U859">
        <v>1</v>
      </c>
      <c r="Y859">
        <v>1</v>
      </c>
      <c r="AA859">
        <v>0.31</v>
      </c>
      <c r="AC859" s="3">
        <v>0.31</v>
      </c>
      <c r="AE859" s="3">
        <v>0.31</v>
      </c>
      <c r="AI859">
        <v>0.31</v>
      </c>
      <c r="AK859" s="3"/>
      <c r="AV859" t="s">
        <v>823</v>
      </c>
      <c r="AZ859" t="s">
        <v>815</v>
      </c>
      <c r="BB859" t="s">
        <v>810</v>
      </c>
      <c r="BG859">
        <v>5</v>
      </c>
      <c r="BH859">
        <v>5</v>
      </c>
      <c r="BI859">
        <v>2.5</v>
      </c>
      <c r="BK859" s="4">
        <v>3379</v>
      </c>
      <c r="BL859" s="4">
        <v>3562</v>
      </c>
      <c r="BM859" s="4">
        <v>3805</v>
      </c>
      <c r="BN859" t="s">
        <v>811</v>
      </c>
      <c r="BS859" t="s">
        <v>385</v>
      </c>
      <c r="BW859" t="s">
        <v>802</v>
      </c>
      <c r="BX859">
        <v>0.43</v>
      </c>
      <c r="BZ859">
        <v>0.25</v>
      </c>
      <c r="CK859" t="s">
        <v>360</v>
      </c>
      <c r="CM859">
        <v>1911</v>
      </c>
    </row>
    <row r="860" spans="1:91" x14ac:dyDescent="0.3">
      <c r="A860" t="s">
        <v>1515</v>
      </c>
      <c r="B860">
        <v>43330</v>
      </c>
      <c r="D860">
        <v>12</v>
      </c>
      <c r="I860">
        <v>250000</v>
      </c>
      <c r="U860">
        <v>1</v>
      </c>
      <c r="Y860">
        <v>1</v>
      </c>
      <c r="AA860">
        <v>0.87</v>
      </c>
      <c r="AC860" s="3">
        <v>0.93</v>
      </c>
      <c r="AE860" s="3">
        <v>0.87</v>
      </c>
      <c r="AI860">
        <v>0.93</v>
      </c>
      <c r="AK860" s="3"/>
      <c r="AX860" t="s">
        <v>815</v>
      </c>
      <c r="AZ860" t="s">
        <v>815</v>
      </c>
      <c r="BB860" t="s">
        <v>815</v>
      </c>
      <c r="BG860">
        <v>20</v>
      </c>
      <c r="BH860">
        <v>5</v>
      </c>
      <c r="BI860">
        <v>5</v>
      </c>
      <c r="BJ860">
        <v>6</v>
      </c>
      <c r="BK860" s="4">
        <v>2983</v>
      </c>
      <c r="BL860" s="4">
        <v>3348</v>
      </c>
      <c r="BM860" s="4">
        <v>3713</v>
      </c>
      <c r="BN860" s="4">
        <v>4078</v>
      </c>
      <c r="BR860">
        <v>59071</v>
      </c>
      <c r="BS860" t="s">
        <v>1516</v>
      </c>
      <c r="BT860">
        <v>6</v>
      </c>
      <c r="BU860">
        <v>8</v>
      </c>
      <c r="BV860">
        <v>0</v>
      </c>
      <c r="BX860">
        <v>0.93</v>
      </c>
      <c r="BZ860">
        <v>0.81</v>
      </c>
      <c r="CK860" t="s">
        <v>360</v>
      </c>
      <c r="CM860">
        <v>1911</v>
      </c>
    </row>
    <row r="861" spans="1:91" x14ac:dyDescent="0.3">
      <c r="A861" t="s">
        <v>1515</v>
      </c>
      <c r="B861">
        <v>43331</v>
      </c>
      <c r="C861" t="s">
        <v>902</v>
      </c>
      <c r="D861">
        <v>12</v>
      </c>
      <c r="I861">
        <v>300000</v>
      </c>
      <c r="U861">
        <v>1</v>
      </c>
      <c r="Y861">
        <v>1</v>
      </c>
      <c r="AA861">
        <v>1</v>
      </c>
      <c r="AC861" s="3">
        <v>1.06</v>
      </c>
      <c r="AE861" s="3">
        <v>1</v>
      </c>
      <c r="AI861">
        <v>1.06</v>
      </c>
      <c r="AK861" s="3"/>
      <c r="AV861" t="s">
        <v>370</v>
      </c>
      <c r="AX861" t="s">
        <v>370</v>
      </c>
      <c r="AZ861" t="s">
        <v>370</v>
      </c>
      <c r="BB861" t="s">
        <v>370</v>
      </c>
      <c r="BO861" t="s">
        <v>367</v>
      </c>
      <c r="BR861">
        <v>59071</v>
      </c>
      <c r="BS861" t="s">
        <v>1516</v>
      </c>
      <c r="BT861">
        <v>5</v>
      </c>
      <c r="BU861">
        <v>13</v>
      </c>
      <c r="BV861">
        <v>0</v>
      </c>
      <c r="BX861">
        <v>1.06</v>
      </c>
      <c r="BZ861">
        <v>0.96</v>
      </c>
      <c r="CM861">
        <v>1911</v>
      </c>
    </row>
    <row r="862" spans="1:91" x14ac:dyDescent="0.3">
      <c r="A862" t="s">
        <v>1517</v>
      </c>
      <c r="B862">
        <v>43496</v>
      </c>
      <c r="D862">
        <v>12</v>
      </c>
      <c r="I862">
        <v>74475</v>
      </c>
      <c r="U862">
        <v>13</v>
      </c>
      <c r="Y862">
        <v>10</v>
      </c>
      <c r="AA862">
        <v>6.56</v>
      </c>
      <c r="AC862" s="3">
        <v>7.43</v>
      </c>
      <c r="AE862" s="3">
        <v>6.56</v>
      </c>
      <c r="AI862">
        <v>7.12</v>
      </c>
      <c r="AK862" s="3"/>
      <c r="AV862" t="s">
        <v>815</v>
      </c>
      <c r="AX862" t="s">
        <v>815</v>
      </c>
      <c r="AZ862" t="s">
        <v>815</v>
      </c>
      <c r="BB862" t="s">
        <v>815</v>
      </c>
      <c r="BG862">
        <v>10</v>
      </c>
      <c r="BH862">
        <v>2.5</v>
      </c>
      <c r="BI862">
        <v>5</v>
      </c>
      <c r="BJ862">
        <v>2.5</v>
      </c>
      <c r="BK862" s="4">
        <v>3075</v>
      </c>
      <c r="BL862" s="4">
        <v>3440</v>
      </c>
      <c r="BM862" s="4">
        <v>3805</v>
      </c>
      <c r="BN862" s="4">
        <v>4170</v>
      </c>
      <c r="BR862">
        <v>69506</v>
      </c>
      <c r="BT862">
        <v>3</v>
      </c>
      <c r="BU862">
        <v>10</v>
      </c>
      <c r="BV862">
        <v>3</v>
      </c>
      <c r="BX862">
        <v>9</v>
      </c>
      <c r="BZ862">
        <v>6.43</v>
      </c>
      <c r="CK862" t="s">
        <v>1518</v>
      </c>
      <c r="CM862">
        <v>1911</v>
      </c>
    </row>
    <row r="863" spans="1:91" x14ac:dyDescent="0.3">
      <c r="A863" t="s">
        <v>1519</v>
      </c>
      <c r="B863">
        <v>43533</v>
      </c>
      <c r="D863">
        <v>12</v>
      </c>
      <c r="I863">
        <v>237000</v>
      </c>
      <c r="U863">
        <v>1</v>
      </c>
      <c r="Y863">
        <v>0.75</v>
      </c>
      <c r="AA863">
        <v>0.53</v>
      </c>
      <c r="AC863" s="3">
        <v>0.71</v>
      </c>
      <c r="AE863" s="3">
        <v>0.53</v>
      </c>
      <c r="AI863">
        <v>0.71</v>
      </c>
      <c r="AK863" s="3"/>
      <c r="AV863" t="s">
        <v>815</v>
      </c>
      <c r="AX863" t="s">
        <v>815</v>
      </c>
      <c r="AZ863" t="s">
        <v>815</v>
      </c>
      <c r="BB863" t="s">
        <v>810</v>
      </c>
      <c r="BG863">
        <v>2.5</v>
      </c>
      <c r="BH863">
        <v>10</v>
      </c>
      <c r="BI863">
        <v>12.5</v>
      </c>
      <c r="BK863" t="s">
        <v>1265</v>
      </c>
      <c r="BL863" t="s">
        <v>1266</v>
      </c>
      <c r="BM863" t="s">
        <v>1224</v>
      </c>
      <c r="BN863" t="s">
        <v>811</v>
      </c>
      <c r="BR863">
        <v>10794</v>
      </c>
      <c r="BS863" t="s">
        <v>1520</v>
      </c>
      <c r="BW863" t="s">
        <v>802</v>
      </c>
      <c r="BX863">
        <v>0.75</v>
      </c>
      <c r="BZ863">
        <v>0.4</v>
      </c>
      <c r="CM863">
        <v>1911</v>
      </c>
    </row>
    <row r="864" spans="1:91" x14ac:dyDescent="0.3">
      <c r="A864" t="s">
        <v>1519</v>
      </c>
      <c r="B864">
        <v>43532</v>
      </c>
      <c r="C864" t="s">
        <v>549</v>
      </c>
      <c r="D864">
        <v>12</v>
      </c>
      <c r="I864">
        <v>171110</v>
      </c>
      <c r="U864">
        <v>1</v>
      </c>
      <c r="Y864">
        <v>1</v>
      </c>
      <c r="AA864">
        <v>0.81</v>
      </c>
      <c r="AC864" s="3">
        <v>1.03</v>
      </c>
      <c r="AE864" s="3">
        <v>0.81</v>
      </c>
      <c r="AI864">
        <v>0.93</v>
      </c>
      <c r="AK864" s="3"/>
      <c r="AV864" t="s">
        <v>815</v>
      </c>
      <c r="AX864" t="s">
        <v>815</v>
      </c>
      <c r="AZ864" t="s">
        <v>815</v>
      </c>
      <c r="BB864" t="s">
        <v>810</v>
      </c>
      <c r="BG864">
        <v>2.5</v>
      </c>
      <c r="BH864">
        <v>10</v>
      </c>
      <c r="BI864">
        <v>12.5</v>
      </c>
      <c r="BK864" t="s">
        <v>1265</v>
      </c>
      <c r="BL864" t="s">
        <v>1266</v>
      </c>
      <c r="BM864" t="s">
        <v>1224</v>
      </c>
      <c r="BN864" t="s">
        <v>811</v>
      </c>
      <c r="BR864">
        <v>10794</v>
      </c>
      <c r="BS864" t="s">
        <v>1520</v>
      </c>
      <c r="BW864" t="s">
        <v>802</v>
      </c>
      <c r="BX864">
        <v>1.06</v>
      </c>
      <c r="BZ864">
        <v>0.68</v>
      </c>
      <c r="CM864">
        <v>1911</v>
      </c>
    </row>
    <row r="865" spans="1:91" x14ac:dyDescent="0.3">
      <c r="A865" t="s">
        <v>1521</v>
      </c>
      <c r="B865">
        <v>43728</v>
      </c>
      <c r="D865">
        <v>12</v>
      </c>
      <c r="I865">
        <v>43502</v>
      </c>
      <c r="U865">
        <v>10</v>
      </c>
      <c r="Y865">
        <v>10</v>
      </c>
      <c r="AA865">
        <v>7.5</v>
      </c>
      <c r="AC865" s="3">
        <v>7.75</v>
      </c>
      <c r="AE865" s="3">
        <v>7.5</v>
      </c>
      <c r="AI865">
        <v>7.5</v>
      </c>
      <c r="AJ865" t="s">
        <v>379</v>
      </c>
      <c r="AK865" s="3"/>
      <c r="AX865" t="s">
        <v>815</v>
      </c>
      <c r="AZ865" t="s">
        <v>823</v>
      </c>
      <c r="BG865">
        <v>5</v>
      </c>
      <c r="BH865">
        <v>3</v>
      </c>
      <c r="BI865">
        <v>4</v>
      </c>
      <c r="BJ865">
        <v>4</v>
      </c>
      <c r="BK865" s="4">
        <v>3409</v>
      </c>
      <c r="BL865" s="4">
        <v>3774</v>
      </c>
      <c r="BM865" s="4">
        <v>3988</v>
      </c>
      <c r="BN865" s="4">
        <v>4139</v>
      </c>
      <c r="BR865">
        <v>13519</v>
      </c>
      <c r="BS865" t="s">
        <v>1522</v>
      </c>
      <c r="BT865">
        <v>5</v>
      </c>
      <c r="BU865">
        <v>6</v>
      </c>
      <c r="BV865">
        <v>9</v>
      </c>
      <c r="BX865">
        <v>7.75</v>
      </c>
      <c r="BZ865">
        <v>7.25</v>
      </c>
      <c r="CK865" t="s">
        <v>399</v>
      </c>
      <c r="CM865">
        <v>1911</v>
      </c>
    </row>
    <row r="866" spans="1:91" x14ac:dyDescent="0.3">
      <c r="A866" t="s">
        <v>1521</v>
      </c>
      <c r="B866">
        <v>43729</v>
      </c>
      <c r="C866" t="s">
        <v>1523</v>
      </c>
      <c r="D866">
        <v>12</v>
      </c>
      <c r="I866">
        <v>15979</v>
      </c>
      <c r="U866">
        <v>10</v>
      </c>
      <c r="Y866">
        <v>8</v>
      </c>
      <c r="AA866">
        <v>5.62</v>
      </c>
      <c r="AC866" s="3">
        <v>5.62</v>
      </c>
      <c r="AE866" s="3">
        <v>5.37</v>
      </c>
      <c r="AI866">
        <v>5.37</v>
      </c>
      <c r="AJ866" t="s">
        <v>379</v>
      </c>
      <c r="AK866" s="3"/>
      <c r="AX866" t="s">
        <v>815</v>
      </c>
      <c r="AZ866" t="s">
        <v>823</v>
      </c>
      <c r="BG866">
        <v>5</v>
      </c>
      <c r="BH866">
        <v>3</v>
      </c>
      <c r="BI866">
        <v>4</v>
      </c>
      <c r="BJ866">
        <v>4</v>
      </c>
      <c r="BK866" s="4">
        <v>3409</v>
      </c>
      <c r="BL866" s="4">
        <v>3774</v>
      </c>
      <c r="BM866" s="4">
        <v>3988</v>
      </c>
      <c r="BN866" s="4">
        <v>4505</v>
      </c>
      <c r="BR866">
        <v>13519</v>
      </c>
      <c r="BS866" t="s">
        <v>1522</v>
      </c>
      <c r="BT866">
        <v>5</v>
      </c>
      <c r="BU866">
        <v>19</v>
      </c>
      <c r="BV866">
        <v>9</v>
      </c>
      <c r="BX866">
        <v>5.75</v>
      </c>
      <c r="BZ866">
        <v>5.37</v>
      </c>
      <c r="CM866">
        <v>1911</v>
      </c>
    </row>
    <row r="867" spans="1:91" x14ac:dyDescent="0.3">
      <c r="A867" t="s">
        <v>1521</v>
      </c>
      <c r="B867">
        <v>43730</v>
      </c>
      <c r="C867" t="s">
        <v>718</v>
      </c>
      <c r="D867">
        <v>12</v>
      </c>
      <c r="I867">
        <v>300000</v>
      </c>
      <c r="J867" t="s">
        <v>800</v>
      </c>
      <c r="U867">
        <v>100</v>
      </c>
      <c r="Y867">
        <v>100</v>
      </c>
      <c r="AA867">
        <v>90</v>
      </c>
      <c r="AC867" s="3">
        <v>90</v>
      </c>
      <c r="AE867" s="3">
        <v>88</v>
      </c>
      <c r="AI867">
        <v>88</v>
      </c>
      <c r="AJ867" t="s">
        <v>379</v>
      </c>
      <c r="AK867" s="3"/>
      <c r="AV867" t="s">
        <v>370</v>
      </c>
      <c r="AX867" t="s">
        <v>370</v>
      </c>
      <c r="AZ867" t="s">
        <v>370</v>
      </c>
      <c r="BB867" t="s">
        <v>370</v>
      </c>
      <c r="BO867" t="s">
        <v>367</v>
      </c>
      <c r="BR867">
        <v>13519</v>
      </c>
      <c r="BS867" t="s">
        <v>1522</v>
      </c>
      <c r="BT867">
        <v>4</v>
      </c>
      <c r="BU867">
        <v>11</v>
      </c>
      <c r="BV867">
        <v>0</v>
      </c>
      <c r="BX867">
        <v>92</v>
      </c>
      <c r="BZ867">
        <v>88</v>
      </c>
      <c r="CM867">
        <v>1911</v>
      </c>
    </row>
    <row r="868" spans="1:91" x14ac:dyDescent="0.3">
      <c r="A868" t="s">
        <v>1524</v>
      </c>
      <c r="B868">
        <v>43753</v>
      </c>
      <c r="D868">
        <v>12</v>
      </c>
      <c r="I868">
        <v>500000</v>
      </c>
      <c r="U868">
        <v>1</v>
      </c>
      <c r="Y868">
        <v>1</v>
      </c>
      <c r="AA868">
        <v>1.25</v>
      </c>
      <c r="AC868" s="3">
        <v>1.25</v>
      </c>
      <c r="AE868" s="3">
        <v>1.25</v>
      </c>
      <c r="AI868">
        <v>1.25</v>
      </c>
      <c r="AK868" s="3"/>
      <c r="AV868" t="s">
        <v>823</v>
      </c>
      <c r="AZ868" t="s">
        <v>823</v>
      </c>
      <c r="BG868">
        <v>5</v>
      </c>
      <c r="BH868">
        <v>20</v>
      </c>
      <c r="BI868">
        <v>5</v>
      </c>
      <c r="BJ868">
        <v>20</v>
      </c>
      <c r="BK868" s="4">
        <v>3532</v>
      </c>
      <c r="BL868" s="4">
        <v>3713</v>
      </c>
      <c r="BM868" s="4">
        <v>3897</v>
      </c>
      <c r="BN868" s="4">
        <v>4078</v>
      </c>
      <c r="BR868">
        <v>309268</v>
      </c>
      <c r="BS868" t="s">
        <v>1525</v>
      </c>
      <c r="BT868">
        <v>10</v>
      </c>
      <c r="BU868">
        <v>0</v>
      </c>
      <c r="BV868">
        <v>0</v>
      </c>
      <c r="BX868">
        <v>1.62</v>
      </c>
      <c r="BZ868">
        <v>1.03</v>
      </c>
      <c r="CK868" t="s">
        <v>435</v>
      </c>
      <c r="CM868">
        <v>1911</v>
      </c>
    </row>
    <row r="869" spans="1:91" x14ac:dyDescent="0.3">
      <c r="A869" t="s">
        <v>1524</v>
      </c>
      <c r="B869">
        <v>43755</v>
      </c>
      <c r="C869" t="s">
        <v>1526</v>
      </c>
      <c r="D869">
        <v>12</v>
      </c>
      <c r="I869">
        <v>300000</v>
      </c>
      <c r="U869">
        <v>1</v>
      </c>
      <c r="Y869">
        <v>1</v>
      </c>
      <c r="AA869">
        <v>1.06</v>
      </c>
      <c r="AC869" s="3">
        <v>1.06</v>
      </c>
      <c r="AE869" s="3">
        <v>1.06</v>
      </c>
      <c r="AI869">
        <v>1.06</v>
      </c>
      <c r="AK869" s="3"/>
      <c r="AV869" t="s">
        <v>373</v>
      </c>
      <c r="AX869" t="s">
        <v>373</v>
      </c>
      <c r="AZ869" t="s">
        <v>373</v>
      </c>
      <c r="BB869" t="s">
        <v>373</v>
      </c>
      <c r="BO869" t="s">
        <v>367</v>
      </c>
      <c r="BR869">
        <v>309268</v>
      </c>
      <c r="BS869" t="s">
        <v>1525</v>
      </c>
      <c r="BT869">
        <v>4</v>
      </c>
      <c r="BU869">
        <v>14</v>
      </c>
      <c r="BV869">
        <v>0</v>
      </c>
      <c r="BX869">
        <v>1.06</v>
      </c>
      <c r="BZ869">
        <v>1</v>
      </c>
      <c r="CM869">
        <v>1911</v>
      </c>
    </row>
    <row r="870" spans="1:91" x14ac:dyDescent="0.3">
      <c r="A870" t="s">
        <v>1527</v>
      </c>
      <c r="B870">
        <v>43764</v>
      </c>
      <c r="D870">
        <v>12</v>
      </c>
      <c r="I870">
        <v>25000</v>
      </c>
      <c r="U870">
        <v>10</v>
      </c>
      <c r="Y870">
        <v>10</v>
      </c>
      <c r="AA870">
        <v>9.7100000000000009</v>
      </c>
      <c r="AC870" s="3">
        <v>10.119999999999999</v>
      </c>
      <c r="AE870" s="3">
        <v>9.7100000000000009</v>
      </c>
      <c r="AI870">
        <v>9.9600000000000009</v>
      </c>
      <c r="AK870" s="3"/>
      <c r="AV870" t="s">
        <v>370</v>
      </c>
      <c r="AX870" t="s">
        <v>370</v>
      </c>
      <c r="AZ870" t="s">
        <v>370</v>
      </c>
      <c r="BB870" t="s">
        <v>370</v>
      </c>
      <c r="BO870" t="s">
        <v>367</v>
      </c>
      <c r="BR870">
        <v>216154</v>
      </c>
      <c r="BS870" t="s">
        <v>1528</v>
      </c>
      <c r="BT870">
        <v>6</v>
      </c>
      <c r="BU870">
        <v>0</v>
      </c>
      <c r="BV870">
        <v>3</v>
      </c>
      <c r="BX870">
        <v>10.119999999999999</v>
      </c>
      <c r="BZ870">
        <v>9.3699999999999992</v>
      </c>
      <c r="CK870" t="s">
        <v>465</v>
      </c>
      <c r="CM870">
        <v>1911</v>
      </c>
    </row>
    <row r="871" spans="1:91" x14ac:dyDescent="0.3">
      <c r="A871" t="s">
        <v>1529</v>
      </c>
      <c r="B871">
        <v>43763</v>
      </c>
      <c r="D871">
        <v>12</v>
      </c>
      <c r="I871">
        <v>250000</v>
      </c>
      <c r="J871" t="s">
        <v>800</v>
      </c>
      <c r="V871" t="s">
        <v>350</v>
      </c>
      <c r="Y871">
        <v>100</v>
      </c>
      <c r="AA871">
        <v>88.25</v>
      </c>
      <c r="AC871" s="3">
        <v>93</v>
      </c>
      <c r="AE871" s="3">
        <v>88.25</v>
      </c>
      <c r="AI871">
        <v>92</v>
      </c>
      <c r="AK871" s="3"/>
      <c r="AV871" t="s">
        <v>370</v>
      </c>
      <c r="AX871" t="s">
        <v>370</v>
      </c>
      <c r="AZ871" t="s">
        <v>370</v>
      </c>
      <c r="BB871" t="s">
        <v>370</v>
      </c>
      <c r="BO871" t="s">
        <v>367</v>
      </c>
      <c r="BR871">
        <v>216154</v>
      </c>
      <c r="BS871" t="s">
        <v>1528</v>
      </c>
      <c r="BT871">
        <v>5</v>
      </c>
      <c r="BU871">
        <v>0</v>
      </c>
      <c r="BV871">
        <v>0</v>
      </c>
      <c r="BX871">
        <v>93</v>
      </c>
      <c r="BZ871">
        <v>88.25</v>
      </c>
      <c r="CM871">
        <v>1911</v>
      </c>
    </row>
    <row r="872" spans="1:91" x14ac:dyDescent="0.3">
      <c r="A872" t="s">
        <v>1530</v>
      </c>
      <c r="B872">
        <v>43796</v>
      </c>
      <c r="D872">
        <v>12</v>
      </c>
      <c r="I872">
        <v>816262</v>
      </c>
      <c r="U872">
        <v>1</v>
      </c>
      <c r="Y872">
        <v>1</v>
      </c>
      <c r="AA872">
        <v>3.93</v>
      </c>
      <c r="AC872" s="3">
        <v>4.34</v>
      </c>
      <c r="AE872" s="3">
        <v>3.9</v>
      </c>
      <c r="AI872">
        <v>4.3099999999999996</v>
      </c>
      <c r="AK872" s="3"/>
      <c r="AX872" t="s">
        <v>823</v>
      </c>
      <c r="BB872" t="s">
        <v>823</v>
      </c>
      <c r="BG872">
        <v>20</v>
      </c>
      <c r="BH872">
        <v>15</v>
      </c>
      <c r="BI872">
        <v>20</v>
      </c>
      <c r="BJ872">
        <v>15</v>
      </c>
      <c r="BK872" s="4">
        <v>3685</v>
      </c>
      <c r="BL872" s="4">
        <v>3866</v>
      </c>
      <c r="BM872" s="4">
        <v>4050</v>
      </c>
      <c r="BN872" s="4">
        <v>4231</v>
      </c>
      <c r="BS872" t="s">
        <v>385</v>
      </c>
      <c r="BT872">
        <v>4</v>
      </c>
      <c r="BU872">
        <v>1</v>
      </c>
      <c r="BV872">
        <v>3</v>
      </c>
      <c r="BX872">
        <v>4.75</v>
      </c>
      <c r="BZ872">
        <v>3.9</v>
      </c>
      <c r="CK872" t="s">
        <v>454</v>
      </c>
      <c r="CL872" t="s">
        <v>457</v>
      </c>
      <c r="CM872">
        <v>1911</v>
      </c>
    </row>
    <row r="873" spans="1:91" x14ac:dyDescent="0.3">
      <c r="A873" t="s">
        <v>1530</v>
      </c>
      <c r="B873">
        <v>43797</v>
      </c>
      <c r="C873" t="s">
        <v>1531</v>
      </c>
      <c r="D873">
        <v>12</v>
      </c>
      <c r="I873">
        <v>417813</v>
      </c>
      <c r="U873">
        <v>1</v>
      </c>
      <c r="Y873">
        <v>1</v>
      </c>
      <c r="AA873">
        <v>1.18</v>
      </c>
      <c r="AC873" s="3">
        <v>1.18</v>
      </c>
      <c r="AE873" s="3">
        <v>1.1499999999999999</v>
      </c>
      <c r="AI873">
        <v>1.18</v>
      </c>
      <c r="AK873" s="3"/>
      <c r="AV873" t="s">
        <v>506</v>
      </c>
      <c r="AX873" t="s">
        <v>506</v>
      </c>
      <c r="AZ873" t="s">
        <v>506</v>
      </c>
      <c r="BB873" t="s">
        <v>506</v>
      </c>
      <c r="BO873" t="s">
        <v>367</v>
      </c>
      <c r="BS873" t="s">
        <v>385</v>
      </c>
      <c r="BT873">
        <v>4</v>
      </c>
      <c r="BU873">
        <v>4</v>
      </c>
      <c r="BV873">
        <v>3</v>
      </c>
      <c r="BX873">
        <v>1.21</v>
      </c>
      <c r="BZ873">
        <v>1.0900000000000001</v>
      </c>
      <c r="CM873">
        <v>1911</v>
      </c>
    </row>
    <row r="874" spans="1:91" x14ac:dyDescent="0.3">
      <c r="A874" t="s">
        <v>1532</v>
      </c>
      <c r="B874">
        <v>43911</v>
      </c>
      <c r="D874">
        <v>12</v>
      </c>
      <c r="I874">
        <v>126000</v>
      </c>
      <c r="U874">
        <v>3</v>
      </c>
      <c r="Y874">
        <v>3</v>
      </c>
      <c r="AA874">
        <v>3</v>
      </c>
      <c r="AC874" s="3">
        <v>3.09</v>
      </c>
      <c r="AE874" s="3">
        <v>3</v>
      </c>
      <c r="AI874">
        <v>3.09</v>
      </c>
      <c r="AK874" s="3"/>
      <c r="AV874" t="s">
        <v>823</v>
      </c>
      <c r="AZ874" t="s">
        <v>823</v>
      </c>
      <c r="BG874">
        <v>7</v>
      </c>
      <c r="BH874">
        <v>7</v>
      </c>
      <c r="BI874">
        <v>7</v>
      </c>
      <c r="BJ874">
        <v>7</v>
      </c>
      <c r="BK874" s="4">
        <v>3835</v>
      </c>
      <c r="BL874" s="4">
        <v>3988</v>
      </c>
      <c r="BM874" s="4">
        <v>4200</v>
      </c>
      <c r="BN874" s="4">
        <v>4353</v>
      </c>
      <c r="BR874">
        <v>84133</v>
      </c>
      <c r="BS874" t="s">
        <v>1533</v>
      </c>
      <c r="BT874">
        <v>7</v>
      </c>
      <c r="BU874">
        <v>6</v>
      </c>
      <c r="BV874">
        <v>0</v>
      </c>
      <c r="BX874">
        <v>3.25</v>
      </c>
      <c r="BZ874">
        <v>2.75</v>
      </c>
      <c r="CK874" t="s">
        <v>360</v>
      </c>
      <c r="CM874">
        <v>1911</v>
      </c>
    </row>
    <row r="875" spans="1:91" x14ac:dyDescent="0.3">
      <c r="A875" t="s">
        <v>1532</v>
      </c>
      <c r="B875">
        <v>43913</v>
      </c>
      <c r="C875" t="s">
        <v>1534</v>
      </c>
      <c r="D875">
        <v>12</v>
      </c>
      <c r="I875">
        <v>21000</v>
      </c>
      <c r="U875">
        <v>3</v>
      </c>
      <c r="Y875">
        <v>3</v>
      </c>
      <c r="AA875">
        <v>4.12</v>
      </c>
      <c r="AC875" s="3">
        <v>4.12</v>
      </c>
      <c r="AE875" s="3">
        <v>4.12</v>
      </c>
      <c r="AI875">
        <v>4.12</v>
      </c>
      <c r="AK875" s="3"/>
      <c r="AV875" t="s">
        <v>815</v>
      </c>
      <c r="AZ875" t="s">
        <v>815</v>
      </c>
      <c r="BG875">
        <v>7.5</v>
      </c>
      <c r="BI875">
        <v>7.5</v>
      </c>
      <c r="BK875" t="s">
        <v>1261</v>
      </c>
      <c r="BM875" t="s">
        <v>1261</v>
      </c>
      <c r="BR875">
        <v>84133</v>
      </c>
      <c r="BS875" t="s">
        <v>1533</v>
      </c>
      <c r="BT875">
        <v>5</v>
      </c>
      <c r="BU875">
        <v>9</v>
      </c>
      <c r="BV875">
        <v>0</v>
      </c>
      <c r="BX875">
        <v>4.87</v>
      </c>
      <c r="BZ875">
        <v>4.12</v>
      </c>
      <c r="CM875">
        <v>1911</v>
      </c>
    </row>
    <row r="876" spans="1:91" x14ac:dyDescent="0.3">
      <c r="A876" t="s">
        <v>1535</v>
      </c>
      <c r="B876">
        <v>44299</v>
      </c>
      <c r="D876">
        <v>12</v>
      </c>
      <c r="I876">
        <v>10000</v>
      </c>
      <c r="U876">
        <v>5</v>
      </c>
      <c r="Y876">
        <v>5</v>
      </c>
      <c r="AA876">
        <v>10</v>
      </c>
      <c r="AC876" s="3">
        <v>10.119999999999999</v>
      </c>
      <c r="AE876" s="3">
        <v>10</v>
      </c>
      <c r="AI876">
        <v>10.119999999999999</v>
      </c>
      <c r="AK876" s="3"/>
      <c r="BG876">
        <v>10</v>
      </c>
      <c r="BH876">
        <v>10</v>
      </c>
      <c r="BI876">
        <v>10</v>
      </c>
      <c r="BJ876">
        <v>10</v>
      </c>
      <c r="BK876" s="4">
        <v>3654</v>
      </c>
      <c r="BL876" s="4">
        <v>3835</v>
      </c>
      <c r="BM876" s="4">
        <v>4019</v>
      </c>
      <c r="BN876" s="4">
        <v>4200</v>
      </c>
      <c r="BR876">
        <v>58915</v>
      </c>
      <c r="BS876" t="s">
        <v>1536</v>
      </c>
      <c r="BT876">
        <v>4</v>
      </c>
      <c r="BU876">
        <v>18</v>
      </c>
      <c r="BV876">
        <v>9</v>
      </c>
      <c r="BX876">
        <v>11</v>
      </c>
      <c r="BZ876">
        <v>9.5</v>
      </c>
      <c r="CK876" t="s">
        <v>872</v>
      </c>
      <c r="CL876" t="s">
        <v>457</v>
      </c>
      <c r="CM876">
        <v>1911</v>
      </c>
    </row>
    <row r="877" spans="1:91" x14ac:dyDescent="0.3">
      <c r="A877" t="s">
        <v>1535</v>
      </c>
      <c r="B877">
        <v>44300</v>
      </c>
      <c r="C877" t="s">
        <v>1537</v>
      </c>
      <c r="D877">
        <v>12</v>
      </c>
      <c r="I877">
        <v>50000</v>
      </c>
      <c r="U877">
        <v>5</v>
      </c>
      <c r="Y877">
        <v>5</v>
      </c>
      <c r="AA877">
        <v>7</v>
      </c>
      <c r="AC877" s="3">
        <v>7</v>
      </c>
      <c r="AE877" s="3">
        <v>6.87</v>
      </c>
      <c r="AI877">
        <v>7</v>
      </c>
      <c r="AK877" s="3"/>
      <c r="AX877" t="s">
        <v>823</v>
      </c>
      <c r="BB877" t="s">
        <v>823</v>
      </c>
      <c r="BG877">
        <v>10</v>
      </c>
      <c r="BH877">
        <v>10</v>
      </c>
      <c r="BI877">
        <v>10</v>
      </c>
      <c r="BJ877">
        <v>10</v>
      </c>
      <c r="BK877" s="4">
        <v>3713</v>
      </c>
      <c r="BL877" s="4">
        <v>3866</v>
      </c>
      <c r="BM877" s="4">
        <v>4078</v>
      </c>
      <c r="BN877" s="4">
        <v>4231</v>
      </c>
      <c r="BR877">
        <v>58915</v>
      </c>
      <c r="BS877" t="s">
        <v>1536</v>
      </c>
      <c r="BT877">
        <v>7</v>
      </c>
      <c r="BU877">
        <v>5</v>
      </c>
      <c r="BV877">
        <v>6</v>
      </c>
      <c r="BX877">
        <v>7.37</v>
      </c>
      <c r="BZ877">
        <v>6.62</v>
      </c>
      <c r="CM877">
        <v>1911</v>
      </c>
    </row>
    <row r="878" spans="1:91" x14ac:dyDescent="0.3">
      <c r="A878" t="s">
        <v>1538</v>
      </c>
      <c r="B878">
        <v>44365</v>
      </c>
      <c r="D878">
        <v>12</v>
      </c>
      <c r="I878">
        <v>965000</v>
      </c>
      <c r="U878">
        <v>1</v>
      </c>
      <c r="Y878">
        <v>1</v>
      </c>
      <c r="AA878">
        <v>3.03</v>
      </c>
      <c r="AC878" s="3">
        <v>3.09</v>
      </c>
      <c r="AE878" s="3">
        <v>3.03</v>
      </c>
      <c r="AI878">
        <v>3.03</v>
      </c>
      <c r="AK878" s="3"/>
      <c r="AV878" t="s">
        <v>823</v>
      </c>
      <c r="AZ878" t="s">
        <v>823</v>
      </c>
      <c r="BG878">
        <v>10</v>
      </c>
      <c r="BH878">
        <v>20</v>
      </c>
      <c r="BI878">
        <v>10</v>
      </c>
      <c r="BJ878">
        <v>20</v>
      </c>
      <c r="BK878" s="4">
        <v>3685</v>
      </c>
      <c r="BL878" s="4">
        <v>3866</v>
      </c>
      <c r="BM878" s="4">
        <v>4050</v>
      </c>
      <c r="BN878" s="4">
        <v>4231</v>
      </c>
      <c r="BR878" s="2">
        <v>1431240</v>
      </c>
      <c r="BS878" t="s">
        <v>1539</v>
      </c>
      <c r="BT878">
        <v>4</v>
      </c>
      <c r="BU878">
        <v>18</v>
      </c>
      <c r="BV878">
        <v>0</v>
      </c>
      <c r="BX878">
        <v>3.18</v>
      </c>
      <c r="BZ878">
        <v>2.75</v>
      </c>
      <c r="CK878" t="s">
        <v>1540</v>
      </c>
      <c r="CM878">
        <v>1911</v>
      </c>
    </row>
    <row r="879" spans="1:91" x14ac:dyDescent="0.3">
      <c r="A879" t="s">
        <v>1538</v>
      </c>
      <c r="B879">
        <v>44368</v>
      </c>
      <c r="C879" t="s">
        <v>817</v>
      </c>
      <c r="D879">
        <v>12</v>
      </c>
      <c r="I879">
        <v>344000</v>
      </c>
      <c r="U879">
        <v>5</v>
      </c>
      <c r="Y879">
        <v>5</v>
      </c>
      <c r="AA879">
        <v>5.81</v>
      </c>
      <c r="AC879" s="3">
        <v>5.81</v>
      </c>
      <c r="AE879" s="3">
        <v>5.65</v>
      </c>
      <c r="AI879">
        <v>5.75</v>
      </c>
      <c r="AK879" s="3"/>
      <c r="AV879" t="s">
        <v>506</v>
      </c>
      <c r="AX879" t="s">
        <v>506</v>
      </c>
      <c r="AZ879" t="s">
        <v>506</v>
      </c>
      <c r="BB879" t="s">
        <v>506</v>
      </c>
      <c r="BO879" t="s">
        <v>367</v>
      </c>
      <c r="BR879" s="2">
        <v>1431240</v>
      </c>
      <c r="BS879" t="s">
        <v>1539</v>
      </c>
      <c r="BT879">
        <v>4</v>
      </c>
      <c r="BU879">
        <v>7</v>
      </c>
      <c r="BV879">
        <v>0</v>
      </c>
      <c r="BX879">
        <v>6.25</v>
      </c>
      <c r="BZ879">
        <v>5.62</v>
      </c>
      <c r="CM879">
        <v>1911</v>
      </c>
    </row>
    <row r="880" spans="1:91" x14ac:dyDescent="0.3">
      <c r="A880" t="s">
        <v>1538</v>
      </c>
      <c r="B880">
        <v>44366</v>
      </c>
      <c r="C880" t="s">
        <v>846</v>
      </c>
      <c r="D880">
        <v>12</v>
      </c>
      <c r="I880" s="2">
        <v>1850500</v>
      </c>
      <c r="J880" t="s">
        <v>800</v>
      </c>
      <c r="V880" t="s">
        <v>350</v>
      </c>
      <c r="Y880">
        <v>100</v>
      </c>
      <c r="AA880">
        <v>102.5</v>
      </c>
      <c r="AC880" s="3">
        <v>104</v>
      </c>
      <c r="AE880" s="3">
        <v>101.75</v>
      </c>
      <c r="AI880">
        <v>102</v>
      </c>
      <c r="AJ880" t="s">
        <v>379</v>
      </c>
      <c r="AK880" s="3"/>
      <c r="AV880" t="s">
        <v>370</v>
      </c>
      <c r="AX880" t="s">
        <v>370</v>
      </c>
      <c r="AZ880" t="s">
        <v>370</v>
      </c>
      <c r="BB880" t="s">
        <v>370</v>
      </c>
      <c r="BO880" t="s">
        <v>367</v>
      </c>
      <c r="BR880" s="2">
        <v>1431240</v>
      </c>
      <c r="BS880" t="s">
        <v>1539</v>
      </c>
      <c r="BT880">
        <v>3</v>
      </c>
      <c r="BU880">
        <v>18</v>
      </c>
      <c r="BV880">
        <v>6</v>
      </c>
      <c r="BX880">
        <v>104</v>
      </c>
      <c r="BZ880">
        <v>101</v>
      </c>
      <c r="CM880">
        <v>1911</v>
      </c>
    </row>
    <row r="881" spans="1:91" x14ac:dyDescent="0.3">
      <c r="A881" t="s">
        <v>1541</v>
      </c>
      <c r="B881">
        <v>44401</v>
      </c>
      <c r="D881">
        <v>12</v>
      </c>
      <c r="I881">
        <v>300000</v>
      </c>
      <c r="U881">
        <v>1</v>
      </c>
      <c r="Y881">
        <v>1</v>
      </c>
      <c r="AA881">
        <v>3.75</v>
      </c>
      <c r="AC881" s="3">
        <v>3.75</v>
      </c>
      <c r="AE881" s="3">
        <v>3</v>
      </c>
      <c r="AI881">
        <v>3</v>
      </c>
      <c r="AK881" s="3"/>
      <c r="AX881" t="s">
        <v>823</v>
      </c>
      <c r="BB881" t="s">
        <v>823</v>
      </c>
      <c r="BG881">
        <v>25</v>
      </c>
      <c r="BH881">
        <v>10</v>
      </c>
      <c r="BI881">
        <v>25</v>
      </c>
      <c r="BJ881">
        <v>10</v>
      </c>
      <c r="BK881" s="4">
        <v>3713</v>
      </c>
      <c r="BL881" s="4">
        <v>3866</v>
      </c>
      <c r="BM881" s="4">
        <v>4078</v>
      </c>
      <c r="BN881" s="4">
        <v>4231</v>
      </c>
      <c r="BR881">
        <v>352280</v>
      </c>
      <c r="BS881" t="s">
        <v>1542</v>
      </c>
      <c r="BT881">
        <v>5</v>
      </c>
      <c r="BU881">
        <v>16</v>
      </c>
      <c r="BV881">
        <v>9</v>
      </c>
      <c r="BX881">
        <v>3.75</v>
      </c>
      <c r="BZ881">
        <v>3</v>
      </c>
      <c r="CK881" t="s">
        <v>1543</v>
      </c>
      <c r="CM881">
        <v>1911</v>
      </c>
    </row>
    <row r="882" spans="1:91" x14ac:dyDescent="0.3">
      <c r="A882" t="s">
        <v>1541</v>
      </c>
      <c r="B882">
        <v>44402</v>
      </c>
      <c r="C882" t="s">
        <v>977</v>
      </c>
      <c r="D882">
        <v>12</v>
      </c>
      <c r="I882">
        <v>30000</v>
      </c>
      <c r="U882">
        <v>10</v>
      </c>
      <c r="Y882">
        <v>10</v>
      </c>
      <c r="AA882">
        <v>10.25</v>
      </c>
      <c r="AC882" s="3">
        <v>10.25</v>
      </c>
      <c r="AE882" s="3">
        <v>10</v>
      </c>
      <c r="AI882">
        <v>10</v>
      </c>
      <c r="AJ882" t="s">
        <v>379</v>
      </c>
      <c r="AK882" s="3"/>
      <c r="AV882" t="s">
        <v>421</v>
      </c>
      <c r="AX882" t="s">
        <v>421</v>
      </c>
      <c r="AZ882" t="s">
        <v>421</v>
      </c>
      <c r="BB882" t="s">
        <v>421</v>
      </c>
      <c r="BO882" t="s">
        <v>367</v>
      </c>
      <c r="BR882">
        <v>352280</v>
      </c>
      <c r="BS882" t="s">
        <v>1542</v>
      </c>
      <c r="BT882">
        <v>4</v>
      </c>
      <c r="BU882">
        <v>10</v>
      </c>
      <c r="BV882">
        <v>0</v>
      </c>
      <c r="BX882">
        <v>10.5</v>
      </c>
      <c r="BZ882">
        <v>10</v>
      </c>
      <c r="CM882">
        <v>1911</v>
      </c>
    </row>
    <row r="883" spans="1:91" x14ac:dyDescent="0.3">
      <c r="A883" t="s">
        <v>1544</v>
      </c>
      <c r="B883">
        <v>44407</v>
      </c>
      <c r="D883">
        <v>12</v>
      </c>
      <c r="I883">
        <v>30000</v>
      </c>
      <c r="U883">
        <v>5</v>
      </c>
      <c r="Y883">
        <v>5</v>
      </c>
      <c r="AA883">
        <v>4.75</v>
      </c>
      <c r="AC883" s="3">
        <v>4.75</v>
      </c>
      <c r="AE883" s="3">
        <v>4.75</v>
      </c>
      <c r="AI883">
        <v>4.75</v>
      </c>
      <c r="AK883" s="3"/>
      <c r="AV883" t="s">
        <v>370</v>
      </c>
      <c r="AX883" t="s">
        <v>370</v>
      </c>
      <c r="AZ883" t="s">
        <v>370</v>
      </c>
      <c r="BB883" t="s">
        <v>370</v>
      </c>
      <c r="BO883" t="s">
        <v>367</v>
      </c>
      <c r="BS883" t="s">
        <v>385</v>
      </c>
      <c r="BT883">
        <v>6</v>
      </c>
      <c r="BU883">
        <v>6</v>
      </c>
      <c r="BV883">
        <v>3</v>
      </c>
      <c r="BX883">
        <v>4.87</v>
      </c>
      <c r="BZ883">
        <v>4.25</v>
      </c>
      <c r="CK883" t="s">
        <v>360</v>
      </c>
      <c r="CM883">
        <v>1911</v>
      </c>
    </row>
    <row r="884" spans="1:91" x14ac:dyDescent="0.3">
      <c r="A884" t="s">
        <v>1545</v>
      </c>
      <c r="B884">
        <v>44410</v>
      </c>
      <c r="D884">
        <v>12</v>
      </c>
      <c r="I884">
        <v>3000</v>
      </c>
      <c r="U884">
        <v>20</v>
      </c>
      <c r="Y884">
        <v>20</v>
      </c>
      <c r="AA884">
        <v>27</v>
      </c>
      <c r="AC884" s="3">
        <v>27</v>
      </c>
      <c r="AE884" s="3">
        <v>27</v>
      </c>
      <c r="AI884">
        <v>27</v>
      </c>
      <c r="AK884" s="3"/>
      <c r="AV884" t="s">
        <v>815</v>
      </c>
      <c r="AX884" t="s">
        <v>815</v>
      </c>
      <c r="AZ884" t="s">
        <v>815</v>
      </c>
      <c r="BB884" t="s">
        <v>815</v>
      </c>
      <c r="BG884">
        <v>15</v>
      </c>
      <c r="BH884">
        <v>13.33</v>
      </c>
      <c r="BI884">
        <v>13.33</v>
      </c>
      <c r="BJ884">
        <v>13.33</v>
      </c>
      <c r="BK884" s="4">
        <v>3075</v>
      </c>
      <c r="BL884" s="4">
        <v>3440</v>
      </c>
      <c r="BM884" s="4">
        <v>3805</v>
      </c>
      <c r="BN884" s="4">
        <v>4170</v>
      </c>
      <c r="BS884" t="s">
        <v>385</v>
      </c>
      <c r="BT884">
        <v>9</v>
      </c>
      <c r="BU884">
        <v>17</v>
      </c>
      <c r="BV884">
        <v>6</v>
      </c>
      <c r="BX884">
        <v>27</v>
      </c>
      <c r="BZ884">
        <v>26</v>
      </c>
      <c r="CK884" t="s">
        <v>541</v>
      </c>
      <c r="CM884">
        <v>1911</v>
      </c>
    </row>
    <row r="885" spans="1:91" x14ac:dyDescent="0.3">
      <c r="A885" t="s">
        <v>1546</v>
      </c>
      <c r="B885">
        <v>44465</v>
      </c>
      <c r="D885">
        <v>12</v>
      </c>
      <c r="I885">
        <v>200000</v>
      </c>
      <c r="U885">
        <v>1</v>
      </c>
      <c r="Y885">
        <v>1</v>
      </c>
      <c r="AA885">
        <v>0.12</v>
      </c>
      <c r="AC885" s="3">
        <v>0.12</v>
      </c>
      <c r="AE885" s="3">
        <v>0.12</v>
      </c>
      <c r="AI885">
        <v>0.12</v>
      </c>
      <c r="AK885" s="3"/>
      <c r="AV885" t="s">
        <v>385</v>
      </c>
      <c r="AX885" t="s">
        <v>385</v>
      </c>
      <c r="AZ885" t="s">
        <v>385</v>
      </c>
      <c r="BB885" t="s">
        <v>385</v>
      </c>
      <c r="BS885" t="s">
        <v>385</v>
      </c>
      <c r="BW885" t="s">
        <v>802</v>
      </c>
      <c r="BX885">
        <v>0.25</v>
      </c>
      <c r="BZ885">
        <v>0.12</v>
      </c>
      <c r="CM885">
        <v>1911</v>
      </c>
    </row>
    <row r="886" spans="1:91" x14ac:dyDescent="0.3">
      <c r="A886" t="s">
        <v>1547</v>
      </c>
      <c r="B886">
        <v>44498</v>
      </c>
      <c r="D886">
        <v>12</v>
      </c>
      <c r="I886">
        <v>408506</v>
      </c>
      <c r="V886" t="s">
        <v>1548</v>
      </c>
      <c r="Z886" t="s">
        <v>1548</v>
      </c>
      <c r="AA886">
        <v>0.37</v>
      </c>
      <c r="AC886" s="3">
        <v>0.37</v>
      </c>
      <c r="AE886" s="3">
        <v>0.37</v>
      </c>
      <c r="AI886">
        <v>0.37</v>
      </c>
      <c r="AK886" s="3"/>
      <c r="AX886" t="s">
        <v>823</v>
      </c>
      <c r="BB886" t="s">
        <v>823</v>
      </c>
      <c r="BG886">
        <v>25</v>
      </c>
      <c r="BH886">
        <v>15</v>
      </c>
      <c r="BI886">
        <v>15</v>
      </c>
      <c r="BJ886">
        <v>15</v>
      </c>
      <c r="BK886" s="4">
        <v>3744</v>
      </c>
      <c r="BL886" s="4">
        <v>3866</v>
      </c>
      <c r="BM886" s="4">
        <v>4109</v>
      </c>
      <c r="BN886" s="4">
        <v>4231</v>
      </c>
      <c r="BR886">
        <v>89248</v>
      </c>
      <c r="BT886">
        <v>10</v>
      </c>
      <c r="BU886">
        <v>0</v>
      </c>
      <c r="BV886">
        <v>0</v>
      </c>
      <c r="BX886">
        <v>0.46</v>
      </c>
      <c r="BZ886">
        <v>0.34</v>
      </c>
      <c r="CK886" t="s">
        <v>541</v>
      </c>
      <c r="CM886">
        <v>1911</v>
      </c>
    </row>
    <row r="887" spans="1:91" x14ac:dyDescent="0.3">
      <c r="A887" t="s">
        <v>1549</v>
      </c>
      <c r="B887">
        <v>44518</v>
      </c>
      <c r="D887">
        <v>12</v>
      </c>
      <c r="I887">
        <v>46270</v>
      </c>
      <c r="U887">
        <v>10</v>
      </c>
      <c r="Y887">
        <v>10</v>
      </c>
      <c r="AA887">
        <v>11.12</v>
      </c>
      <c r="AC887" s="3">
        <v>11.12</v>
      </c>
      <c r="AE887" s="3">
        <v>11.12</v>
      </c>
      <c r="AI887">
        <v>11.12</v>
      </c>
      <c r="AK887" s="3"/>
      <c r="AV887" t="s">
        <v>823</v>
      </c>
      <c r="AZ887" t="s">
        <v>823</v>
      </c>
      <c r="BG887">
        <v>4</v>
      </c>
      <c r="BH887">
        <v>8</v>
      </c>
      <c r="BI887">
        <v>5</v>
      </c>
      <c r="BJ887">
        <v>15</v>
      </c>
      <c r="BK887" s="4">
        <v>3713</v>
      </c>
      <c r="BL887" s="4">
        <v>3897</v>
      </c>
      <c r="BM887" s="4">
        <v>4078</v>
      </c>
      <c r="BN887" s="4">
        <v>4262</v>
      </c>
      <c r="BR887">
        <v>179054</v>
      </c>
      <c r="BT887">
        <v>8</v>
      </c>
      <c r="BU887">
        <v>19</v>
      </c>
      <c r="BV887">
        <v>9</v>
      </c>
      <c r="BX887">
        <v>12</v>
      </c>
      <c r="BZ887">
        <v>10.75</v>
      </c>
      <c r="CK887" t="s">
        <v>1076</v>
      </c>
      <c r="CM887">
        <v>1911</v>
      </c>
    </row>
    <row r="888" spans="1:91" x14ac:dyDescent="0.3">
      <c r="A888" t="s">
        <v>1550</v>
      </c>
      <c r="B888">
        <v>44522</v>
      </c>
      <c r="D888">
        <v>12</v>
      </c>
      <c r="I888">
        <v>42000</v>
      </c>
      <c r="U888">
        <v>5</v>
      </c>
      <c r="Y888">
        <v>5</v>
      </c>
      <c r="AA888">
        <v>1.5</v>
      </c>
      <c r="AC888" s="3">
        <v>1.5</v>
      </c>
      <c r="AE888" s="3">
        <v>1.5</v>
      </c>
      <c r="AI888">
        <v>1.5</v>
      </c>
      <c r="AK888" s="3"/>
      <c r="BB888" t="s">
        <v>810</v>
      </c>
      <c r="BG888">
        <v>7</v>
      </c>
      <c r="BH888">
        <v>5</v>
      </c>
      <c r="BI888">
        <v>2.5</v>
      </c>
      <c r="BK888" s="4">
        <v>2344</v>
      </c>
      <c r="BL888" s="4">
        <v>2709</v>
      </c>
      <c r="BM888" s="4">
        <v>3075</v>
      </c>
      <c r="BR888">
        <v>14609</v>
      </c>
      <c r="BW888" t="s">
        <v>802</v>
      </c>
      <c r="BX888">
        <v>2.75</v>
      </c>
      <c r="BZ888">
        <v>1.25</v>
      </c>
      <c r="CM888">
        <v>1911</v>
      </c>
    </row>
    <row r="889" spans="1:91" x14ac:dyDescent="0.3">
      <c r="A889" t="s">
        <v>1551</v>
      </c>
      <c r="B889">
        <v>44532</v>
      </c>
      <c r="D889">
        <v>12</v>
      </c>
      <c r="I889">
        <v>300000</v>
      </c>
      <c r="U889">
        <v>1</v>
      </c>
      <c r="Y889">
        <v>1</v>
      </c>
      <c r="AA889">
        <v>0.37</v>
      </c>
      <c r="AC889" s="3">
        <v>0.43</v>
      </c>
      <c r="AE889" s="3">
        <v>0.37</v>
      </c>
      <c r="AI889">
        <v>0.43</v>
      </c>
      <c r="AK889" s="3"/>
      <c r="BG889">
        <v>5</v>
      </c>
      <c r="BH889">
        <v>5</v>
      </c>
      <c r="BI889">
        <v>5</v>
      </c>
      <c r="BJ889">
        <v>5</v>
      </c>
      <c r="BK889" s="4">
        <v>3654</v>
      </c>
      <c r="BL889" s="4">
        <v>3835</v>
      </c>
      <c r="BM889" s="4">
        <v>4019</v>
      </c>
      <c r="BN889" s="4">
        <v>4200</v>
      </c>
      <c r="BR889">
        <v>7339</v>
      </c>
      <c r="BT889">
        <v>11</v>
      </c>
      <c r="BU889">
        <v>8</v>
      </c>
      <c r="BV889">
        <v>6</v>
      </c>
      <c r="BX889">
        <v>0.65</v>
      </c>
      <c r="BZ889">
        <v>0.37</v>
      </c>
      <c r="CK889" t="s">
        <v>465</v>
      </c>
      <c r="CM889">
        <v>1911</v>
      </c>
    </row>
    <row r="890" spans="1:91" x14ac:dyDescent="0.3">
      <c r="A890" t="s">
        <v>1552</v>
      </c>
      <c r="B890">
        <v>44592</v>
      </c>
      <c r="D890">
        <v>12</v>
      </c>
      <c r="I890">
        <v>85000</v>
      </c>
      <c r="U890">
        <v>1</v>
      </c>
      <c r="Y890">
        <v>1</v>
      </c>
      <c r="AA890">
        <v>0.71</v>
      </c>
      <c r="AC890" s="3">
        <v>0.71</v>
      </c>
      <c r="AE890" s="3">
        <v>0.71</v>
      </c>
      <c r="AI890">
        <v>0.71</v>
      </c>
      <c r="AK890" s="3"/>
      <c r="AV890" t="s">
        <v>823</v>
      </c>
      <c r="AZ890" t="s">
        <v>823</v>
      </c>
      <c r="BG890">
        <v>2.5</v>
      </c>
      <c r="BH890">
        <v>9.5</v>
      </c>
      <c r="BI890">
        <v>5</v>
      </c>
      <c r="BJ890">
        <v>10</v>
      </c>
      <c r="BK890" s="4">
        <v>3685</v>
      </c>
      <c r="BL890" s="4">
        <v>3897</v>
      </c>
      <c r="BM890" s="4">
        <v>4050</v>
      </c>
      <c r="BN890" s="4">
        <v>4262</v>
      </c>
      <c r="BR890">
        <v>20037</v>
      </c>
      <c r="BS890" t="s">
        <v>1553</v>
      </c>
      <c r="BT890">
        <v>10</v>
      </c>
      <c r="BU890">
        <v>8</v>
      </c>
      <c r="BV890">
        <v>9</v>
      </c>
      <c r="BX890">
        <v>0.78</v>
      </c>
      <c r="BZ890">
        <v>0.65</v>
      </c>
      <c r="CK890" t="s">
        <v>360</v>
      </c>
      <c r="CM890">
        <v>1911</v>
      </c>
    </row>
    <row r="891" spans="1:91" x14ac:dyDescent="0.3">
      <c r="A891" t="s">
        <v>1552</v>
      </c>
      <c r="B891">
        <v>44593</v>
      </c>
      <c r="C891" t="s">
        <v>844</v>
      </c>
      <c r="D891">
        <v>12</v>
      </c>
      <c r="I891">
        <v>18000</v>
      </c>
      <c r="U891">
        <v>5</v>
      </c>
      <c r="Y891">
        <v>5</v>
      </c>
      <c r="AA891">
        <v>4.37</v>
      </c>
      <c r="AC891" s="3">
        <v>4.5</v>
      </c>
      <c r="AE891" s="3">
        <v>4.37</v>
      </c>
      <c r="AI891">
        <v>4.5</v>
      </c>
      <c r="AK891" s="3"/>
      <c r="AV891" t="s">
        <v>506</v>
      </c>
      <c r="AX891" t="s">
        <v>506</v>
      </c>
      <c r="AZ891" t="s">
        <v>506</v>
      </c>
      <c r="BB891" t="s">
        <v>506</v>
      </c>
      <c r="BO891" t="s">
        <v>367</v>
      </c>
      <c r="BR891">
        <v>20037</v>
      </c>
      <c r="BS891" t="s">
        <v>1553</v>
      </c>
      <c r="BT891">
        <v>6</v>
      </c>
      <c r="BU891">
        <v>13</v>
      </c>
      <c r="BV891">
        <v>3</v>
      </c>
      <c r="BX891">
        <v>4.75</v>
      </c>
      <c r="BZ891">
        <v>4.25</v>
      </c>
      <c r="CM891">
        <v>1911</v>
      </c>
    </row>
    <row r="892" spans="1:91" x14ac:dyDescent="0.3">
      <c r="A892" t="s">
        <v>1554</v>
      </c>
      <c r="B892">
        <v>44622</v>
      </c>
      <c r="D892">
        <v>12</v>
      </c>
      <c r="I892" s="2">
        <v>1000000</v>
      </c>
      <c r="J892" t="s">
        <v>800</v>
      </c>
      <c r="U892">
        <v>100</v>
      </c>
      <c r="V892" t="s">
        <v>615</v>
      </c>
      <c r="Y892">
        <v>100</v>
      </c>
      <c r="Z892" t="s">
        <v>615</v>
      </c>
      <c r="AA892">
        <v>103</v>
      </c>
      <c r="AC892" s="3">
        <v>103</v>
      </c>
      <c r="AE892" s="3">
        <v>102.75</v>
      </c>
      <c r="AI892">
        <v>103</v>
      </c>
      <c r="AK892" s="3"/>
      <c r="AV892" t="s">
        <v>370</v>
      </c>
      <c r="AX892" t="s">
        <v>370</v>
      </c>
      <c r="AZ892" t="s">
        <v>370</v>
      </c>
      <c r="BB892" t="s">
        <v>370</v>
      </c>
      <c r="BO892" t="s">
        <v>367</v>
      </c>
      <c r="BS892" t="s">
        <v>385</v>
      </c>
      <c r="BT892">
        <v>4</v>
      </c>
      <c r="BU892">
        <v>19</v>
      </c>
      <c r="BV892">
        <v>0</v>
      </c>
      <c r="BX892">
        <v>105</v>
      </c>
      <c r="BZ892">
        <v>100.25</v>
      </c>
      <c r="CK892" t="s">
        <v>360</v>
      </c>
      <c r="CM892">
        <v>1911</v>
      </c>
    </row>
    <row r="893" spans="1:91" x14ac:dyDescent="0.3">
      <c r="A893" t="s">
        <v>1555</v>
      </c>
      <c r="B893">
        <v>44668</v>
      </c>
      <c r="D893">
        <v>12</v>
      </c>
      <c r="I893">
        <v>59082</v>
      </c>
      <c r="U893">
        <v>10</v>
      </c>
      <c r="Y893">
        <v>10</v>
      </c>
      <c r="AA893">
        <v>9.25</v>
      </c>
      <c r="AB893" t="s">
        <v>379</v>
      </c>
      <c r="AC893" s="3">
        <v>9.6199999999999992</v>
      </c>
      <c r="AE893" s="3">
        <v>9.25</v>
      </c>
      <c r="AI893">
        <v>9.5</v>
      </c>
      <c r="AK893" s="3"/>
      <c r="AX893" t="s">
        <v>823</v>
      </c>
      <c r="BB893" t="s">
        <v>815</v>
      </c>
      <c r="BG893">
        <v>7</v>
      </c>
      <c r="BH893">
        <v>4</v>
      </c>
      <c r="BI893">
        <v>6</v>
      </c>
      <c r="BJ893">
        <v>4</v>
      </c>
      <c r="BK893" s="4">
        <v>3593</v>
      </c>
      <c r="BL893" s="4">
        <v>3774</v>
      </c>
      <c r="BM893" s="4">
        <v>3958</v>
      </c>
      <c r="BN893" s="4">
        <v>4323</v>
      </c>
      <c r="BR893">
        <v>31923</v>
      </c>
      <c r="BT893">
        <v>4</v>
      </c>
      <c r="BU893">
        <v>4</v>
      </c>
      <c r="BV893">
        <v>3</v>
      </c>
      <c r="BX893">
        <v>11.25</v>
      </c>
      <c r="BZ893">
        <v>9.1199999999999992</v>
      </c>
      <c r="CK893" t="s">
        <v>360</v>
      </c>
      <c r="CM893">
        <v>1911</v>
      </c>
    </row>
    <row r="894" spans="1:91" x14ac:dyDescent="0.3">
      <c r="A894" t="s">
        <v>1556</v>
      </c>
      <c r="B894">
        <v>44672</v>
      </c>
      <c r="D894">
        <v>12</v>
      </c>
      <c r="I894">
        <v>30000</v>
      </c>
      <c r="U894">
        <v>10</v>
      </c>
      <c r="Y894">
        <v>8</v>
      </c>
      <c r="AA894">
        <v>6.62</v>
      </c>
      <c r="AC894" s="3">
        <v>7.5</v>
      </c>
      <c r="AE894" s="3">
        <v>6.62</v>
      </c>
      <c r="AI894">
        <v>7</v>
      </c>
      <c r="AK894" s="3"/>
      <c r="AV894" t="s">
        <v>815</v>
      </c>
      <c r="AX894" t="s">
        <v>815</v>
      </c>
      <c r="AZ894" t="s">
        <v>815</v>
      </c>
      <c r="BB894" t="s">
        <v>815</v>
      </c>
      <c r="BG894">
        <v>6.25</v>
      </c>
      <c r="BH894">
        <v>6.25</v>
      </c>
      <c r="BI894">
        <v>6.25</v>
      </c>
      <c r="BJ894">
        <v>6.25</v>
      </c>
      <c r="BK894" s="4">
        <v>3258</v>
      </c>
      <c r="BL894" s="4">
        <v>3623</v>
      </c>
      <c r="BM894" s="4">
        <v>3988</v>
      </c>
      <c r="BN894" s="4">
        <v>4353</v>
      </c>
      <c r="BR894">
        <v>130643</v>
      </c>
      <c r="BS894" t="s">
        <v>1557</v>
      </c>
      <c r="BT894">
        <v>7</v>
      </c>
      <c r="BU894">
        <v>2</v>
      </c>
      <c r="BV894">
        <v>9</v>
      </c>
      <c r="BX894">
        <v>7.5</v>
      </c>
      <c r="BZ894">
        <v>6.37</v>
      </c>
      <c r="CK894" t="s">
        <v>360</v>
      </c>
      <c r="CL894" t="s">
        <v>457</v>
      </c>
      <c r="CM894">
        <v>1911</v>
      </c>
    </row>
    <row r="895" spans="1:91" x14ac:dyDescent="0.3">
      <c r="A895" t="s">
        <v>1556</v>
      </c>
      <c r="B895">
        <v>44674</v>
      </c>
      <c r="C895" t="s">
        <v>844</v>
      </c>
      <c r="D895">
        <v>12</v>
      </c>
      <c r="I895">
        <v>100000</v>
      </c>
      <c r="J895" t="s">
        <v>800</v>
      </c>
      <c r="V895" t="s">
        <v>350</v>
      </c>
      <c r="Y895">
        <v>100</v>
      </c>
      <c r="AA895">
        <v>98</v>
      </c>
      <c r="AC895" s="3">
        <v>101</v>
      </c>
      <c r="AE895" s="3">
        <v>98</v>
      </c>
      <c r="AI895">
        <v>98</v>
      </c>
      <c r="AK895" s="3"/>
      <c r="AV895" t="s">
        <v>421</v>
      </c>
      <c r="AX895" t="s">
        <v>421</v>
      </c>
      <c r="AZ895" t="s">
        <v>421</v>
      </c>
      <c r="BB895" t="s">
        <v>421</v>
      </c>
      <c r="BO895" t="s">
        <v>367</v>
      </c>
      <c r="BR895">
        <v>130643</v>
      </c>
      <c r="BS895" t="s">
        <v>1557</v>
      </c>
      <c r="BT895">
        <v>6</v>
      </c>
      <c r="BU895">
        <v>6</v>
      </c>
      <c r="BV895">
        <v>9</v>
      </c>
      <c r="BX895">
        <v>101</v>
      </c>
      <c r="BZ895">
        <v>98</v>
      </c>
      <c r="CM895">
        <v>1911</v>
      </c>
    </row>
    <row r="896" spans="1:91" x14ac:dyDescent="0.3">
      <c r="A896" t="s">
        <v>1558</v>
      </c>
      <c r="B896">
        <v>44705</v>
      </c>
      <c r="D896">
        <v>12</v>
      </c>
      <c r="I896">
        <v>750000</v>
      </c>
      <c r="U896">
        <v>1</v>
      </c>
      <c r="Y896">
        <v>1</v>
      </c>
      <c r="AA896">
        <v>2.25</v>
      </c>
      <c r="AC896" s="3">
        <v>2.31</v>
      </c>
      <c r="AE896" s="3">
        <v>2.21</v>
      </c>
      <c r="AI896">
        <v>2.31</v>
      </c>
      <c r="AK896" s="3"/>
      <c r="AX896" t="s">
        <v>823</v>
      </c>
      <c r="BB896" t="s">
        <v>823</v>
      </c>
      <c r="BG896">
        <v>10</v>
      </c>
      <c r="BH896">
        <v>10</v>
      </c>
      <c r="BI896">
        <v>30</v>
      </c>
      <c r="BJ896">
        <v>10</v>
      </c>
      <c r="BK896" s="4">
        <v>4019</v>
      </c>
      <c r="BL896" s="4">
        <v>4109</v>
      </c>
      <c r="BM896" s="4">
        <v>4200</v>
      </c>
      <c r="BN896" s="4">
        <v>4292</v>
      </c>
      <c r="BR896">
        <v>641649</v>
      </c>
      <c r="BS896" t="s">
        <v>1559</v>
      </c>
      <c r="BT896">
        <v>8</v>
      </c>
      <c r="BU896">
        <v>13</v>
      </c>
      <c r="BV896">
        <v>3</v>
      </c>
      <c r="BX896">
        <v>2.31</v>
      </c>
      <c r="BZ896">
        <v>2.09</v>
      </c>
      <c r="CK896" t="s">
        <v>1560</v>
      </c>
      <c r="CM896">
        <v>1911</v>
      </c>
    </row>
    <row r="897" spans="1:91" x14ac:dyDescent="0.3">
      <c r="A897" t="s">
        <v>1558</v>
      </c>
      <c r="B897">
        <v>44707</v>
      </c>
      <c r="C897" t="s">
        <v>1315</v>
      </c>
      <c r="D897">
        <v>12</v>
      </c>
      <c r="I897">
        <v>25000</v>
      </c>
      <c r="U897">
        <v>10</v>
      </c>
      <c r="Y897">
        <v>10</v>
      </c>
      <c r="AA897">
        <v>12.25</v>
      </c>
      <c r="AC897" s="3">
        <v>12.5</v>
      </c>
      <c r="AE897" s="3">
        <v>12.25</v>
      </c>
      <c r="AI897">
        <v>12.5</v>
      </c>
      <c r="AK897" s="3"/>
      <c r="AV897" t="s">
        <v>370</v>
      </c>
      <c r="AX897" t="s">
        <v>370</v>
      </c>
      <c r="AZ897" t="s">
        <v>370</v>
      </c>
      <c r="BB897" t="s">
        <v>370</v>
      </c>
      <c r="BO897" t="s">
        <v>367</v>
      </c>
      <c r="BR897">
        <v>641649</v>
      </c>
      <c r="BS897" t="s">
        <v>1559</v>
      </c>
      <c r="BT897">
        <v>4</v>
      </c>
      <c r="BU897">
        <v>16</v>
      </c>
      <c r="BV897">
        <v>0</v>
      </c>
      <c r="BX897">
        <v>12.5</v>
      </c>
      <c r="BZ897">
        <v>11.68</v>
      </c>
      <c r="CM897">
        <v>1911</v>
      </c>
    </row>
    <row r="898" spans="1:91" x14ac:dyDescent="0.3">
      <c r="A898" t="s">
        <v>1558</v>
      </c>
      <c r="B898">
        <v>44706</v>
      </c>
      <c r="C898" t="s">
        <v>1071</v>
      </c>
      <c r="D898">
        <v>12</v>
      </c>
      <c r="I898">
        <v>250000</v>
      </c>
      <c r="J898" t="s">
        <v>800</v>
      </c>
      <c r="V898" t="s">
        <v>350</v>
      </c>
      <c r="Y898">
        <v>100</v>
      </c>
      <c r="AA898">
        <v>96.5</v>
      </c>
      <c r="AC898" s="3">
        <v>99.5</v>
      </c>
      <c r="AE898" s="3">
        <v>96.25</v>
      </c>
      <c r="AI898">
        <v>99.5</v>
      </c>
      <c r="AJ898" t="s">
        <v>379</v>
      </c>
      <c r="AK898" s="3"/>
      <c r="AV898" t="s">
        <v>370</v>
      </c>
      <c r="AX898" t="s">
        <v>370</v>
      </c>
      <c r="AZ898" t="s">
        <v>370</v>
      </c>
      <c r="BB898" t="s">
        <v>370</v>
      </c>
      <c r="BO898" t="s">
        <v>367</v>
      </c>
      <c r="BR898">
        <v>641649</v>
      </c>
      <c r="BS898" t="s">
        <v>1559</v>
      </c>
      <c r="BT898">
        <v>4</v>
      </c>
      <c r="BU898">
        <v>0</v>
      </c>
      <c r="BV898">
        <v>6</v>
      </c>
      <c r="BX898">
        <v>99.5</v>
      </c>
      <c r="BZ898">
        <v>95.5</v>
      </c>
      <c r="CM898">
        <v>1911</v>
      </c>
    </row>
    <row r="899" spans="1:91" x14ac:dyDescent="0.3">
      <c r="A899" t="s">
        <v>1561</v>
      </c>
      <c r="B899">
        <v>45033</v>
      </c>
      <c r="D899">
        <v>12</v>
      </c>
      <c r="I899">
        <v>76870</v>
      </c>
      <c r="U899">
        <v>5</v>
      </c>
      <c r="Y899">
        <v>4</v>
      </c>
      <c r="AA899">
        <v>5.87</v>
      </c>
      <c r="AC899" s="3">
        <v>6</v>
      </c>
      <c r="AE899" s="3">
        <v>5.87</v>
      </c>
      <c r="AI899">
        <v>5.93</v>
      </c>
      <c r="AK899" s="3"/>
      <c r="AX899" t="s">
        <v>823</v>
      </c>
      <c r="BB899" t="s">
        <v>823</v>
      </c>
      <c r="BG899">
        <v>10</v>
      </c>
      <c r="BH899">
        <v>5</v>
      </c>
      <c r="BI899">
        <v>15</v>
      </c>
      <c r="BJ899">
        <v>5</v>
      </c>
      <c r="BK899" s="4">
        <v>3713</v>
      </c>
      <c r="BL899" s="4">
        <v>3897</v>
      </c>
      <c r="BM899" s="4">
        <v>4078</v>
      </c>
      <c r="BN899" s="4">
        <v>4262</v>
      </c>
      <c r="BR899">
        <v>84143</v>
      </c>
      <c r="BT899">
        <v>6</v>
      </c>
      <c r="BU899">
        <v>14</v>
      </c>
      <c r="BV899">
        <v>9</v>
      </c>
      <c r="BX899">
        <v>6.25</v>
      </c>
      <c r="BZ899">
        <v>5.18</v>
      </c>
      <c r="CK899" t="s">
        <v>541</v>
      </c>
      <c r="CM899">
        <v>1911</v>
      </c>
    </row>
    <row r="900" spans="1:91" x14ac:dyDescent="0.3">
      <c r="A900" t="s">
        <v>1562</v>
      </c>
      <c r="B900">
        <v>45114</v>
      </c>
      <c r="D900">
        <v>12</v>
      </c>
      <c r="I900">
        <v>21000</v>
      </c>
      <c r="U900">
        <v>5</v>
      </c>
      <c r="Y900">
        <v>5</v>
      </c>
      <c r="AA900">
        <v>11.87</v>
      </c>
      <c r="AC900" s="3">
        <v>11.87</v>
      </c>
      <c r="AE900" s="3">
        <v>11.62</v>
      </c>
      <c r="AI900">
        <v>11.62</v>
      </c>
      <c r="AJ900" t="s">
        <v>379</v>
      </c>
      <c r="AK900" s="3"/>
      <c r="AX900" t="s">
        <v>823</v>
      </c>
      <c r="BB900" t="s">
        <v>823</v>
      </c>
      <c r="BG900">
        <v>18</v>
      </c>
      <c r="BH900">
        <v>10</v>
      </c>
      <c r="BI900">
        <v>25</v>
      </c>
      <c r="BJ900">
        <v>10</v>
      </c>
      <c r="BK900" s="4">
        <v>3897</v>
      </c>
      <c r="BL900" s="4">
        <v>4019</v>
      </c>
      <c r="BM900" s="4">
        <v>4262</v>
      </c>
      <c r="BN900" s="4">
        <v>4384</v>
      </c>
      <c r="BR900">
        <v>89925</v>
      </c>
      <c r="BS900" t="s">
        <v>1563</v>
      </c>
      <c r="BT900">
        <v>7</v>
      </c>
      <c r="BU900">
        <v>10</v>
      </c>
      <c r="BV900">
        <v>6</v>
      </c>
      <c r="BX900">
        <v>12.5</v>
      </c>
      <c r="BZ900">
        <v>10.75</v>
      </c>
      <c r="CK900" t="s">
        <v>541</v>
      </c>
      <c r="CM900">
        <v>1911</v>
      </c>
    </row>
    <row r="901" spans="1:91" x14ac:dyDescent="0.3">
      <c r="A901" t="s">
        <v>1562</v>
      </c>
      <c r="B901">
        <v>45116</v>
      </c>
      <c r="C901" t="s">
        <v>902</v>
      </c>
      <c r="D901">
        <v>12</v>
      </c>
      <c r="I901">
        <v>20000</v>
      </c>
      <c r="U901">
        <v>5</v>
      </c>
      <c r="Y901">
        <v>5</v>
      </c>
      <c r="AA901">
        <v>6.5</v>
      </c>
      <c r="AC901" s="3">
        <v>6.5</v>
      </c>
      <c r="AE901" s="3">
        <v>6.37</v>
      </c>
      <c r="AI901">
        <v>6.37</v>
      </c>
      <c r="AJ901" t="s">
        <v>379</v>
      </c>
      <c r="AK901" s="3"/>
      <c r="AV901" t="s">
        <v>370</v>
      </c>
      <c r="AX901" t="s">
        <v>370</v>
      </c>
      <c r="AZ901" t="s">
        <v>370</v>
      </c>
      <c r="BB901" t="s">
        <v>370</v>
      </c>
      <c r="BO901" t="s">
        <v>367</v>
      </c>
      <c r="BR901">
        <v>89925</v>
      </c>
      <c r="BS901" t="s">
        <v>1563</v>
      </c>
      <c r="BT901">
        <v>4</v>
      </c>
      <c r="BU901">
        <v>14</v>
      </c>
      <c r="BV901">
        <v>0</v>
      </c>
      <c r="BX901">
        <v>6.5</v>
      </c>
      <c r="BZ901">
        <v>6.25</v>
      </c>
      <c r="CM901">
        <v>1911</v>
      </c>
    </row>
    <row r="902" spans="1:91" x14ac:dyDescent="0.3">
      <c r="A902" t="s">
        <v>1564</v>
      </c>
      <c r="B902">
        <v>45195</v>
      </c>
      <c r="D902">
        <v>12</v>
      </c>
      <c r="I902">
        <v>25000</v>
      </c>
      <c r="U902">
        <v>37.5</v>
      </c>
      <c r="Y902">
        <v>24</v>
      </c>
      <c r="AA902">
        <v>11.12</v>
      </c>
      <c r="AC902" s="3">
        <v>11.12</v>
      </c>
      <c r="AE902" s="3">
        <v>11.12</v>
      </c>
      <c r="AI902">
        <v>11.12</v>
      </c>
      <c r="AK902" s="3"/>
      <c r="AX902" t="s">
        <v>823</v>
      </c>
      <c r="BB902" t="s">
        <v>823</v>
      </c>
      <c r="BG902">
        <v>5</v>
      </c>
      <c r="BH902">
        <v>4</v>
      </c>
      <c r="BI902">
        <v>4</v>
      </c>
      <c r="BJ902">
        <v>2</v>
      </c>
      <c r="BK902" s="4">
        <v>3685</v>
      </c>
      <c r="BL902" s="4">
        <v>3866</v>
      </c>
      <c r="BM902" s="4">
        <v>4050</v>
      </c>
      <c r="BN902" s="4">
        <v>4231</v>
      </c>
      <c r="BR902">
        <v>76735</v>
      </c>
      <c r="BT902">
        <v>6</v>
      </c>
      <c r="BU902">
        <v>9</v>
      </c>
      <c r="BV902">
        <v>6</v>
      </c>
      <c r="BX902">
        <v>15.25</v>
      </c>
      <c r="BZ902">
        <v>11.12</v>
      </c>
      <c r="CK902" t="s">
        <v>399</v>
      </c>
      <c r="CM902">
        <v>1911</v>
      </c>
    </row>
    <row r="903" spans="1:91" x14ac:dyDescent="0.3">
      <c r="A903" t="s">
        <v>1565</v>
      </c>
      <c r="B903">
        <v>45239</v>
      </c>
      <c r="D903">
        <v>12</v>
      </c>
      <c r="I903" s="2">
        <v>40000000</v>
      </c>
      <c r="J903" t="s">
        <v>773</v>
      </c>
      <c r="U903">
        <v>100</v>
      </c>
      <c r="V903" t="s">
        <v>773</v>
      </c>
      <c r="Y903">
        <v>100</v>
      </c>
      <c r="Z903" t="s">
        <v>773</v>
      </c>
      <c r="AA903">
        <v>27.75</v>
      </c>
      <c r="AC903" s="3">
        <v>28.62</v>
      </c>
      <c r="AE903" s="3">
        <v>26.25</v>
      </c>
      <c r="AI903">
        <v>27.75</v>
      </c>
      <c r="AK903" s="3"/>
      <c r="AV903" t="s">
        <v>385</v>
      </c>
      <c r="AX903" t="s">
        <v>385</v>
      </c>
      <c r="AZ903" t="s">
        <v>385</v>
      </c>
      <c r="BB903" t="s">
        <v>385</v>
      </c>
      <c r="BS903" t="s">
        <v>385</v>
      </c>
      <c r="BW903" t="s">
        <v>802</v>
      </c>
      <c r="BX903">
        <v>32.619999999999997</v>
      </c>
      <c r="BZ903">
        <v>23.25</v>
      </c>
      <c r="CM903">
        <v>1911</v>
      </c>
    </row>
    <row r="904" spans="1:91" x14ac:dyDescent="0.3">
      <c r="A904" t="s">
        <v>1565</v>
      </c>
      <c r="B904">
        <v>45240</v>
      </c>
      <c r="C904" t="s">
        <v>1566</v>
      </c>
      <c r="D904">
        <v>12</v>
      </c>
      <c r="I904" s="2">
        <v>5000000</v>
      </c>
      <c r="J904" t="s">
        <v>773</v>
      </c>
      <c r="U904">
        <v>1000</v>
      </c>
      <c r="V904" t="s">
        <v>773</v>
      </c>
      <c r="Y904">
        <v>1000</v>
      </c>
      <c r="Z904" t="s">
        <v>773</v>
      </c>
      <c r="AA904">
        <v>98.5</v>
      </c>
      <c r="AC904" s="3">
        <v>98.5</v>
      </c>
      <c r="AE904" s="3">
        <v>95.62</v>
      </c>
      <c r="AI904">
        <v>96</v>
      </c>
      <c r="AK904" s="3"/>
      <c r="AV904" t="s">
        <v>421</v>
      </c>
      <c r="AX904" t="s">
        <v>421</v>
      </c>
      <c r="AZ904" t="s">
        <v>421</v>
      </c>
      <c r="BB904" t="s">
        <v>421</v>
      </c>
      <c r="BO904" t="s">
        <v>367</v>
      </c>
      <c r="BS904" t="s">
        <v>385</v>
      </c>
      <c r="BT904">
        <v>5</v>
      </c>
      <c r="BU904">
        <v>4</v>
      </c>
      <c r="BV904">
        <v>3</v>
      </c>
      <c r="BX904">
        <v>99</v>
      </c>
      <c r="BZ904">
        <v>94.5</v>
      </c>
      <c r="CM904">
        <v>1911</v>
      </c>
    </row>
    <row r="905" spans="1:91" x14ac:dyDescent="0.3">
      <c r="A905" t="s">
        <v>1567</v>
      </c>
      <c r="B905">
        <v>45247</v>
      </c>
      <c r="D905">
        <v>12</v>
      </c>
      <c r="I905">
        <v>300000</v>
      </c>
      <c r="U905">
        <v>1</v>
      </c>
      <c r="Y905">
        <v>1</v>
      </c>
      <c r="AA905">
        <v>0.68</v>
      </c>
      <c r="AC905" s="3">
        <v>0.68</v>
      </c>
      <c r="AE905" s="3">
        <v>0.68</v>
      </c>
      <c r="AI905">
        <v>0.68</v>
      </c>
      <c r="AK905" s="3"/>
      <c r="AV905" t="s">
        <v>815</v>
      </c>
      <c r="AX905" t="s">
        <v>815</v>
      </c>
      <c r="AZ905" t="s">
        <v>815</v>
      </c>
      <c r="BB905" t="s">
        <v>815</v>
      </c>
      <c r="BG905">
        <v>7.5</v>
      </c>
      <c r="BH905">
        <v>6</v>
      </c>
      <c r="BI905">
        <v>6</v>
      </c>
      <c r="BJ905">
        <v>6</v>
      </c>
      <c r="BK905" s="4">
        <v>3197</v>
      </c>
      <c r="BL905" s="4">
        <v>3562</v>
      </c>
      <c r="BM905" s="4">
        <v>3927</v>
      </c>
      <c r="BN905" s="4">
        <v>4292</v>
      </c>
      <c r="BR905">
        <v>28822</v>
      </c>
      <c r="BS905" t="s">
        <v>1568</v>
      </c>
      <c r="BT905">
        <v>8</v>
      </c>
      <c r="BU905">
        <v>14</v>
      </c>
      <c r="BV905">
        <v>6</v>
      </c>
      <c r="BX905">
        <v>0.71</v>
      </c>
      <c r="BZ905">
        <v>0.62</v>
      </c>
      <c r="CK905" t="s">
        <v>360</v>
      </c>
      <c r="CM905">
        <v>1911</v>
      </c>
    </row>
    <row r="906" spans="1:91" x14ac:dyDescent="0.3">
      <c r="A906" t="s">
        <v>1567</v>
      </c>
      <c r="B906">
        <v>45248</v>
      </c>
      <c r="C906" t="s">
        <v>921</v>
      </c>
      <c r="D906">
        <v>12</v>
      </c>
      <c r="I906">
        <v>50000</v>
      </c>
      <c r="U906">
        <v>5</v>
      </c>
      <c r="Y906">
        <v>5</v>
      </c>
      <c r="AA906">
        <v>4</v>
      </c>
      <c r="AC906" s="3">
        <v>4</v>
      </c>
      <c r="AE906" s="3">
        <v>4</v>
      </c>
      <c r="AI906">
        <v>4</v>
      </c>
      <c r="AJ906" t="s">
        <v>379</v>
      </c>
      <c r="AK906" s="3"/>
      <c r="AV906" t="s">
        <v>370</v>
      </c>
      <c r="AX906" t="s">
        <v>370</v>
      </c>
      <c r="AZ906" t="s">
        <v>370</v>
      </c>
      <c r="BB906" t="s">
        <v>370</v>
      </c>
      <c r="BO906" t="s">
        <v>367</v>
      </c>
      <c r="BR906">
        <v>28822</v>
      </c>
      <c r="BS906" t="s">
        <v>1568</v>
      </c>
      <c r="BT906">
        <v>6</v>
      </c>
      <c r="BU906">
        <v>17</v>
      </c>
      <c r="BV906">
        <v>6</v>
      </c>
      <c r="BX906">
        <v>4.25</v>
      </c>
      <c r="BZ906">
        <v>4</v>
      </c>
      <c r="CM906">
        <v>1911</v>
      </c>
    </row>
    <row r="907" spans="1:91" x14ac:dyDescent="0.3">
      <c r="A907" t="s">
        <v>1569</v>
      </c>
      <c r="B907">
        <v>45392</v>
      </c>
      <c r="D907">
        <v>12</v>
      </c>
      <c r="I907">
        <v>50000</v>
      </c>
      <c r="U907">
        <v>3</v>
      </c>
      <c r="Y907">
        <v>3</v>
      </c>
      <c r="AA907">
        <v>4.87</v>
      </c>
      <c r="AC907" s="3">
        <v>4.87</v>
      </c>
      <c r="AE907" s="3">
        <v>4.87</v>
      </c>
      <c r="AI907">
        <v>4.87</v>
      </c>
      <c r="AK907" s="3"/>
      <c r="AV907" t="s">
        <v>815</v>
      </c>
      <c r="AX907" t="s">
        <v>815</v>
      </c>
      <c r="AZ907" t="s">
        <v>815</v>
      </c>
      <c r="BB907" t="s">
        <v>815</v>
      </c>
      <c r="BG907">
        <v>16.66</v>
      </c>
      <c r="BH907">
        <v>15.83</v>
      </c>
      <c r="BI907">
        <v>13.33</v>
      </c>
      <c r="BJ907">
        <v>13.33</v>
      </c>
      <c r="BK907" s="4">
        <v>3075</v>
      </c>
      <c r="BL907" t="s">
        <v>1225</v>
      </c>
      <c r="BM907" t="s">
        <v>913</v>
      </c>
      <c r="BN907" t="s">
        <v>1226</v>
      </c>
      <c r="BR907">
        <v>146145</v>
      </c>
      <c r="BS907" t="s">
        <v>1570</v>
      </c>
      <c r="BT907">
        <v>8</v>
      </c>
      <c r="BU907">
        <v>4</v>
      </c>
      <c r="BV907">
        <v>3</v>
      </c>
      <c r="BX907">
        <v>4.87</v>
      </c>
      <c r="BZ907">
        <v>4.5</v>
      </c>
      <c r="CK907" t="s">
        <v>1571</v>
      </c>
      <c r="CM907">
        <v>1911</v>
      </c>
    </row>
    <row r="908" spans="1:91" x14ac:dyDescent="0.3">
      <c r="A908" t="s">
        <v>1569</v>
      </c>
      <c r="B908">
        <v>45393</v>
      </c>
      <c r="C908" t="s">
        <v>905</v>
      </c>
      <c r="D908">
        <v>12</v>
      </c>
      <c r="I908">
        <v>40000</v>
      </c>
      <c r="U908">
        <v>3</v>
      </c>
      <c r="Y908">
        <v>3</v>
      </c>
      <c r="AA908">
        <v>3.5</v>
      </c>
      <c r="AC908" s="3">
        <v>3.5</v>
      </c>
      <c r="AE908" s="3">
        <v>3.5</v>
      </c>
      <c r="AI908">
        <v>3.5</v>
      </c>
      <c r="AK908" s="3"/>
      <c r="BG908">
        <v>7</v>
      </c>
      <c r="BH908">
        <v>7</v>
      </c>
      <c r="BI908">
        <v>7</v>
      </c>
      <c r="BJ908">
        <v>7</v>
      </c>
      <c r="BK908" s="4">
        <v>2983</v>
      </c>
      <c r="BL908" s="4">
        <v>3348</v>
      </c>
      <c r="BM908" s="4">
        <v>3713</v>
      </c>
      <c r="BN908" s="4">
        <v>4078</v>
      </c>
      <c r="BR908">
        <v>146145</v>
      </c>
      <c r="BS908" t="s">
        <v>1570</v>
      </c>
      <c r="BT908">
        <v>6</v>
      </c>
      <c r="BU908">
        <v>0</v>
      </c>
      <c r="BV908">
        <v>0</v>
      </c>
      <c r="BX908">
        <v>3.75</v>
      </c>
      <c r="BZ908">
        <v>3.5</v>
      </c>
      <c r="CM908">
        <v>1911</v>
      </c>
    </row>
    <row r="909" spans="1:91" x14ac:dyDescent="0.3">
      <c r="A909" t="s">
        <v>1569</v>
      </c>
      <c r="B909">
        <v>45395</v>
      </c>
      <c r="C909" t="s">
        <v>1572</v>
      </c>
      <c r="D909">
        <v>12</v>
      </c>
      <c r="I909">
        <v>150000</v>
      </c>
      <c r="J909" t="s">
        <v>800</v>
      </c>
      <c r="U909">
        <v>50</v>
      </c>
      <c r="Y909">
        <v>50</v>
      </c>
      <c r="AA909">
        <v>51</v>
      </c>
      <c r="AC909" s="3">
        <v>51</v>
      </c>
      <c r="AE909" s="3">
        <v>51</v>
      </c>
      <c r="AI909">
        <v>51</v>
      </c>
      <c r="AK909" s="3"/>
      <c r="AV909" t="s">
        <v>536</v>
      </c>
      <c r="AX909" t="s">
        <v>536</v>
      </c>
      <c r="AZ909" t="s">
        <v>536</v>
      </c>
      <c r="BB909" t="s">
        <v>536</v>
      </c>
      <c r="BO909" t="s">
        <v>367</v>
      </c>
      <c r="BR909">
        <v>146145</v>
      </c>
      <c r="BS909" t="s">
        <v>1570</v>
      </c>
      <c r="BT909">
        <v>4</v>
      </c>
      <c r="BU909">
        <v>18</v>
      </c>
      <c r="BV909">
        <v>0</v>
      </c>
      <c r="BX909">
        <v>51.75</v>
      </c>
      <c r="BZ909">
        <v>50</v>
      </c>
      <c r="CM909">
        <v>1911</v>
      </c>
    </row>
    <row r="910" spans="1:91" x14ac:dyDescent="0.3">
      <c r="A910" t="s">
        <v>1573</v>
      </c>
      <c r="B910">
        <v>45412</v>
      </c>
      <c r="D910">
        <v>12</v>
      </c>
      <c r="I910" s="2">
        <v>6810000</v>
      </c>
      <c r="J910" t="s">
        <v>773</v>
      </c>
      <c r="U910">
        <v>1000</v>
      </c>
      <c r="V910" t="s">
        <v>773</v>
      </c>
      <c r="Y910">
        <v>1000</v>
      </c>
      <c r="AA910">
        <v>111</v>
      </c>
      <c r="AC910" s="3">
        <v>111</v>
      </c>
      <c r="AE910" s="3">
        <v>111</v>
      </c>
      <c r="AI910">
        <v>111</v>
      </c>
      <c r="AK910" s="3"/>
      <c r="AV910" t="s">
        <v>370</v>
      </c>
      <c r="AX910" t="s">
        <v>370</v>
      </c>
      <c r="AZ910" t="s">
        <v>370</v>
      </c>
      <c r="BB910" t="s">
        <v>370</v>
      </c>
      <c r="BO910" t="s">
        <v>367</v>
      </c>
      <c r="BR910">
        <v>5661</v>
      </c>
      <c r="BT910">
        <v>4</v>
      </c>
      <c r="BU910">
        <v>12</v>
      </c>
      <c r="BV910">
        <v>0</v>
      </c>
      <c r="BX910">
        <v>111.5</v>
      </c>
      <c r="BZ910">
        <v>107.5</v>
      </c>
      <c r="CK910" t="s">
        <v>360</v>
      </c>
      <c r="CM910">
        <v>1911</v>
      </c>
    </row>
    <row r="911" spans="1:91" x14ac:dyDescent="0.3">
      <c r="A911" t="s">
        <v>1574</v>
      </c>
      <c r="B911">
        <v>45618</v>
      </c>
      <c r="D911">
        <v>12</v>
      </c>
      <c r="I911">
        <v>21000</v>
      </c>
      <c r="U911">
        <v>10</v>
      </c>
      <c r="Y911">
        <v>10</v>
      </c>
      <c r="AA911">
        <v>19.75</v>
      </c>
      <c r="AC911" s="3">
        <v>19.75</v>
      </c>
      <c r="AE911" s="3">
        <v>19.5</v>
      </c>
      <c r="AI911">
        <v>19.5</v>
      </c>
      <c r="AJ911" t="s">
        <v>379</v>
      </c>
      <c r="AK911" s="3"/>
      <c r="AV911" t="s">
        <v>823</v>
      </c>
      <c r="AZ911" t="s">
        <v>823</v>
      </c>
      <c r="BG911">
        <v>5</v>
      </c>
      <c r="BH911">
        <v>15</v>
      </c>
      <c r="BI911">
        <v>5</v>
      </c>
      <c r="BJ911">
        <v>5</v>
      </c>
      <c r="BK911" s="4">
        <v>3988</v>
      </c>
      <c r="BL911" s="4">
        <v>3835</v>
      </c>
      <c r="BM911" s="4">
        <v>4353</v>
      </c>
      <c r="BN911" s="4">
        <v>4200</v>
      </c>
      <c r="BR911">
        <v>40417</v>
      </c>
      <c r="BT911">
        <v>2</v>
      </c>
      <c r="BU911">
        <v>11</v>
      </c>
      <c r="BV911">
        <v>3</v>
      </c>
      <c r="BX911">
        <v>23.12</v>
      </c>
      <c r="BZ911">
        <v>19.5</v>
      </c>
      <c r="CK911" t="s">
        <v>465</v>
      </c>
      <c r="CM911">
        <v>1911</v>
      </c>
    </row>
    <row r="912" spans="1:91" x14ac:dyDescent="0.3">
      <c r="A912" t="s">
        <v>1575</v>
      </c>
      <c r="B912">
        <v>45868</v>
      </c>
      <c r="D912">
        <v>12</v>
      </c>
      <c r="I912">
        <v>300000</v>
      </c>
      <c r="U912">
        <v>1</v>
      </c>
      <c r="Y912">
        <v>1</v>
      </c>
      <c r="AA912">
        <v>1.31</v>
      </c>
      <c r="AC912" s="3">
        <v>1.31</v>
      </c>
      <c r="AE912" s="3">
        <v>1.31</v>
      </c>
      <c r="AI912">
        <v>1.31</v>
      </c>
      <c r="AK912" s="3"/>
      <c r="BG912">
        <v>6</v>
      </c>
      <c r="BH912">
        <v>6</v>
      </c>
      <c r="BI912">
        <v>6</v>
      </c>
      <c r="BJ912">
        <v>6</v>
      </c>
      <c r="BK912" s="4">
        <v>3774</v>
      </c>
      <c r="BL912" s="4">
        <v>3958</v>
      </c>
      <c r="BM912" s="4">
        <v>4139</v>
      </c>
      <c r="BN912" s="4">
        <v>4323</v>
      </c>
      <c r="BR912">
        <v>834006</v>
      </c>
      <c r="BS912" t="s">
        <v>1576</v>
      </c>
      <c r="BT912">
        <v>4</v>
      </c>
      <c r="BU912">
        <v>11</v>
      </c>
      <c r="BV912">
        <v>6</v>
      </c>
      <c r="BX912">
        <v>1.4</v>
      </c>
      <c r="BZ912">
        <v>1.31</v>
      </c>
      <c r="CK912" t="s">
        <v>1577</v>
      </c>
      <c r="CM912">
        <v>1911</v>
      </c>
    </row>
    <row r="913" spans="1:91" x14ac:dyDescent="0.3">
      <c r="A913" t="s">
        <v>1575</v>
      </c>
      <c r="B913">
        <v>45870</v>
      </c>
      <c r="C913" t="s">
        <v>805</v>
      </c>
      <c r="D913">
        <v>12</v>
      </c>
      <c r="I913">
        <v>300000</v>
      </c>
      <c r="J913" t="s">
        <v>800</v>
      </c>
      <c r="V913" t="s">
        <v>350</v>
      </c>
      <c r="Y913">
        <v>100</v>
      </c>
      <c r="AA913">
        <v>107.5</v>
      </c>
      <c r="AC913" s="3">
        <v>107.5</v>
      </c>
      <c r="AE913" s="3">
        <v>107.5</v>
      </c>
      <c r="AI913">
        <v>107.5</v>
      </c>
      <c r="AK913" s="3"/>
      <c r="AV913" t="s">
        <v>370</v>
      </c>
      <c r="AX913" t="s">
        <v>370</v>
      </c>
      <c r="AZ913" t="s">
        <v>370</v>
      </c>
      <c r="BB913" t="s">
        <v>370</v>
      </c>
      <c r="BO913" t="s">
        <v>367</v>
      </c>
      <c r="BR913">
        <v>834006</v>
      </c>
      <c r="BS913" t="s">
        <v>1576</v>
      </c>
      <c r="BT913">
        <v>4</v>
      </c>
      <c r="BU913">
        <v>6</v>
      </c>
      <c r="BV913">
        <v>0</v>
      </c>
      <c r="BX913">
        <v>111.5</v>
      </c>
      <c r="BZ913">
        <v>106.5</v>
      </c>
      <c r="CM913">
        <v>1911</v>
      </c>
    </row>
    <row r="914" spans="1:91" x14ac:dyDescent="0.3">
      <c r="A914" t="s">
        <v>1578</v>
      </c>
      <c r="B914">
        <v>45885</v>
      </c>
      <c r="D914">
        <v>12</v>
      </c>
      <c r="I914">
        <v>15000</v>
      </c>
      <c r="U914">
        <v>10</v>
      </c>
      <c r="Y914">
        <v>10</v>
      </c>
      <c r="AA914">
        <v>10.37</v>
      </c>
      <c r="AC914" s="3">
        <v>10.5</v>
      </c>
      <c r="AE914" s="3">
        <v>10</v>
      </c>
      <c r="AI914">
        <v>10</v>
      </c>
      <c r="AK914" s="3"/>
      <c r="BG914">
        <v>7</v>
      </c>
      <c r="BH914">
        <v>7</v>
      </c>
      <c r="BI914">
        <v>6</v>
      </c>
      <c r="BJ914">
        <v>6</v>
      </c>
      <c r="BK914" s="4">
        <v>3713</v>
      </c>
      <c r="BL914" s="4">
        <v>3897</v>
      </c>
      <c r="BM914" s="4">
        <v>4078</v>
      </c>
      <c r="BN914" s="4">
        <v>4262</v>
      </c>
      <c r="BR914">
        <v>125968</v>
      </c>
      <c r="BS914" t="s">
        <v>1579</v>
      </c>
      <c r="BT914">
        <v>6</v>
      </c>
      <c r="BU914">
        <v>0</v>
      </c>
      <c r="BV914">
        <v>0</v>
      </c>
      <c r="BX914">
        <v>12.25</v>
      </c>
      <c r="BZ914">
        <v>10</v>
      </c>
      <c r="CK914" t="s">
        <v>360</v>
      </c>
      <c r="CM914">
        <v>1911</v>
      </c>
    </row>
    <row r="915" spans="1:91" x14ac:dyDescent="0.3">
      <c r="A915" t="s">
        <v>1580</v>
      </c>
      <c r="B915">
        <v>45903</v>
      </c>
      <c r="D915">
        <v>12</v>
      </c>
      <c r="I915">
        <v>10000</v>
      </c>
      <c r="U915">
        <v>10</v>
      </c>
      <c r="Y915">
        <v>10</v>
      </c>
      <c r="AA915">
        <v>10.25</v>
      </c>
      <c r="AC915" s="3">
        <v>10.25</v>
      </c>
      <c r="AE915" s="3">
        <v>10.25</v>
      </c>
      <c r="AI915">
        <v>10.25</v>
      </c>
      <c r="AK915" s="3"/>
      <c r="AV915" t="s">
        <v>823</v>
      </c>
      <c r="AZ915" t="s">
        <v>823</v>
      </c>
      <c r="BG915">
        <v>6</v>
      </c>
      <c r="BH915">
        <v>8</v>
      </c>
      <c r="BI915">
        <v>6</v>
      </c>
      <c r="BJ915">
        <v>6</v>
      </c>
      <c r="BK915" s="4">
        <v>3654</v>
      </c>
      <c r="BL915" s="4">
        <v>3866</v>
      </c>
      <c r="BM915" s="4">
        <v>4019</v>
      </c>
      <c r="BN915" s="4">
        <v>4231</v>
      </c>
      <c r="BR915">
        <v>39652</v>
      </c>
      <c r="BT915">
        <v>5</v>
      </c>
      <c r="BU915">
        <v>17</v>
      </c>
      <c r="BV915">
        <v>0</v>
      </c>
      <c r="BX915">
        <v>10.75</v>
      </c>
      <c r="BZ915">
        <v>10.25</v>
      </c>
      <c r="CK915" t="s">
        <v>872</v>
      </c>
      <c r="CM915">
        <v>1911</v>
      </c>
    </row>
    <row r="916" spans="1:91" x14ac:dyDescent="0.3">
      <c r="A916" t="s">
        <v>1581</v>
      </c>
      <c r="B916">
        <v>46044</v>
      </c>
      <c r="D916">
        <v>12</v>
      </c>
      <c r="I916">
        <v>25000</v>
      </c>
      <c r="U916">
        <v>10</v>
      </c>
      <c r="Y916">
        <v>10</v>
      </c>
      <c r="AA916">
        <v>2.84</v>
      </c>
      <c r="AC916" s="3">
        <v>2.84</v>
      </c>
      <c r="AE916" s="3">
        <v>2.81</v>
      </c>
      <c r="AI916">
        <v>2.81</v>
      </c>
      <c r="AK916" s="3"/>
      <c r="AU916" t="s">
        <v>1463</v>
      </c>
      <c r="AV916" t="s">
        <v>1464</v>
      </c>
      <c r="AW916" t="s">
        <v>1582</v>
      </c>
      <c r="AX916" t="s">
        <v>1583</v>
      </c>
      <c r="AY916" t="s">
        <v>1465</v>
      </c>
      <c r="AZ916" t="s">
        <v>1466</v>
      </c>
      <c r="BA916" t="s">
        <v>1582</v>
      </c>
      <c r="BB916" t="s">
        <v>1583</v>
      </c>
      <c r="BC916">
        <v>60</v>
      </c>
      <c r="BD916">
        <v>24</v>
      </c>
      <c r="BE916">
        <v>36</v>
      </c>
      <c r="BF916">
        <v>24</v>
      </c>
      <c r="BK916" s="4">
        <v>3685</v>
      </c>
      <c r="BL916" s="4">
        <v>3866</v>
      </c>
      <c r="BM916" s="4">
        <v>4050</v>
      </c>
      <c r="BN916" s="4">
        <v>4231</v>
      </c>
      <c r="BR916">
        <v>21008</v>
      </c>
      <c r="BS916" t="s">
        <v>1579</v>
      </c>
      <c r="BT916">
        <v>8</v>
      </c>
      <c r="BU916">
        <v>18</v>
      </c>
      <c r="BV916">
        <v>0</v>
      </c>
      <c r="BX916">
        <v>3</v>
      </c>
      <c r="BZ916">
        <v>2.75</v>
      </c>
      <c r="CK916" t="s">
        <v>610</v>
      </c>
      <c r="CM916">
        <v>1911</v>
      </c>
    </row>
    <row r="917" spans="1:91" x14ac:dyDescent="0.3">
      <c r="A917" t="s">
        <v>1584</v>
      </c>
      <c r="B917">
        <v>46099</v>
      </c>
      <c r="D917">
        <v>12</v>
      </c>
      <c r="I917">
        <v>600000</v>
      </c>
      <c r="U917">
        <v>1</v>
      </c>
      <c r="Y917">
        <v>1</v>
      </c>
      <c r="AA917">
        <v>1.87</v>
      </c>
      <c r="AC917" s="3">
        <v>1.87</v>
      </c>
      <c r="AE917" s="3">
        <v>1.84</v>
      </c>
      <c r="AI917">
        <v>1.84</v>
      </c>
      <c r="AK917" s="3"/>
      <c r="AX917" t="s">
        <v>823</v>
      </c>
      <c r="BB917" t="s">
        <v>823</v>
      </c>
      <c r="BG917">
        <v>14</v>
      </c>
      <c r="BH917">
        <v>10</v>
      </c>
      <c r="BI917">
        <v>14</v>
      </c>
      <c r="BJ917">
        <v>10</v>
      </c>
      <c r="BK917" s="4">
        <v>3713</v>
      </c>
      <c r="BL917" s="4">
        <v>3897</v>
      </c>
      <c r="BM917" s="4">
        <v>4078</v>
      </c>
      <c r="BN917" s="4">
        <v>4262</v>
      </c>
      <c r="BR917">
        <v>237600</v>
      </c>
      <c r="BS917" t="s">
        <v>1585</v>
      </c>
      <c r="BT917">
        <v>6</v>
      </c>
      <c r="BU917">
        <v>10</v>
      </c>
      <c r="BV917">
        <v>3</v>
      </c>
      <c r="BX917">
        <v>2.06</v>
      </c>
      <c r="BZ917">
        <v>1.84</v>
      </c>
      <c r="CK917" t="s">
        <v>399</v>
      </c>
      <c r="CM917">
        <v>1911</v>
      </c>
    </row>
    <row r="918" spans="1:91" x14ac:dyDescent="0.3">
      <c r="A918" t="s">
        <v>1584</v>
      </c>
      <c r="B918">
        <v>46097</v>
      </c>
      <c r="C918" t="s">
        <v>1586</v>
      </c>
      <c r="D918">
        <v>12</v>
      </c>
      <c r="I918">
        <v>40000</v>
      </c>
      <c r="U918">
        <v>10</v>
      </c>
      <c r="Y918">
        <v>10</v>
      </c>
      <c r="AA918">
        <v>10.93</v>
      </c>
      <c r="AC918" s="3">
        <v>11.12</v>
      </c>
      <c r="AE918" s="3">
        <v>10.93</v>
      </c>
      <c r="AI918">
        <v>11.12</v>
      </c>
      <c r="AK918" s="3"/>
      <c r="BG918">
        <v>5</v>
      </c>
      <c r="BH918">
        <v>5</v>
      </c>
      <c r="BI918">
        <v>5</v>
      </c>
      <c r="BJ918">
        <v>5</v>
      </c>
      <c r="BK918" s="4">
        <v>3713</v>
      </c>
      <c r="BL918" s="4">
        <v>3897</v>
      </c>
      <c r="BM918" s="4">
        <v>4078</v>
      </c>
      <c r="BN918" s="4">
        <v>4262</v>
      </c>
      <c r="BR918">
        <v>237600</v>
      </c>
      <c r="BS918" t="s">
        <v>1585</v>
      </c>
      <c r="BT918">
        <v>4</v>
      </c>
      <c r="BU918">
        <v>10</v>
      </c>
      <c r="BV918">
        <v>0</v>
      </c>
      <c r="BX918">
        <v>12</v>
      </c>
      <c r="BZ918">
        <v>10.87</v>
      </c>
      <c r="CM918">
        <v>1911</v>
      </c>
    </row>
    <row r="919" spans="1:91" x14ac:dyDescent="0.3">
      <c r="A919" t="s">
        <v>1587</v>
      </c>
      <c r="B919">
        <v>46226</v>
      </c>
      <c r="D919">
        <v>12</v>
      </c>
      <c r="I919">
        <v>12500</v>
      </c>
      <c r="U919">
        <v>10</v>
      </c>
      <c r="Y919">
        <v>10</v>
      </c>
      <c r="AA919">
        <v>12.87</v>
      </c>
      <c r="AB919" t="s">
        <v>379</v>
      </c>
      <c r="AC919" s="3">
        <v>12.9</v>
      </c>
      <c r="AE919" s="3">
        <v>12.87</v>
      </c>
      <c r="AI919">
        <v>12.9</v>
      </c>
      <c r="AK919" s="3"/>
      <c r="BG919">
        <v>7</v>
      </c>
      <c r="BH919">
        <v>7</v>
      </c>
      <c r="BI919">
        <v>7</v>
      </c>
      <c r="BJ919">
        <v>7</v>
      </c>
      <c r="BK919" s="4">
        <v>3774</v>
      </c>
      <c r="BL919" s="4">
        <v>3958</v>
      </c>
      <c r="BM919" s="4">
        <v>4139</v>
      </c>
      <c r="BN919" s="4">
        <v>4323</v>
      </c>
      <c r="BR919">
        <v>283053</v>
      </c>
      <c r="BS919" t="s">
        <v>1579</v>
      </c>
      <c r="BT919">
        <v>5</v>
      </c>
      <c r="BU919">
        <v>8</v>
      </c>
      <c r="BV919">
        <v>3</v>
      </c>
      <c r="BX919">
        <v>13.87</v>
      </c>
      <c r="BZ919">
        <v>12.87</v>
      </c>
      <c r="CK919" t="s">
        <v>465</v>
      </c>
      <c r="CM919">
        <v>1911</v>
      </c>
    </row>
    <row r="920" spans="1:91" x14ac:dyDescent="0.3">
      <c r="A920" t="s">
        <v>1588</v>
      </c>
      <c r="B920">
        <v>46450</v>
      </c>
      <c r="D920">
        <v>12</v>
      </c>
      <c r="I920">
        <v>150000</v>
      </c>
      <c r="U920">
        <v>1</v>
      </c>
      <c r="Y920">
        <v>1</v>
      </c>
      <c r="AA920">
        <v>1.06</v>
      </c>
      <c r="AC920" s="3">
        <v>1.06</v>
      </c>
      <c r="AE920" s="3">
        <v>1.06</v>
      </c>
      <c r="AI920">
        <v>1.06</v>
      </c>
      <c r="AK920" s="3"/>
      <c r="BG920">
        <v>7</v>
      </c>
      <c r="BH920">
        <v>7</v>
      </c>
      <c r="BI920">
        <v>7</v>
      </c>
      <c r="BJ920">
        <v>7</v>
      </c>
      <c r="BK920" s="4">
        <v>3835</v>
      </c>
      <c r="BL920" s="4">
        <v>4019</v>
      </c>
      <c r="BM920" s="4">
        <v>4200</v>
      </c>
      <c r="BN920" s="4">
        <v>4384</v>
      </c>
      <c r="BR920">
        <v>25169</v>
      </c>
      <c r="BS920" t="s">
        <v>1589</v>
      </c>
      <c r="BT920">
        <v>6</v>
      </c>
      <c r="BU920">
        <v>11</v>
      </c>
      <c r="BV920">
        <v>9</v>
      </c>
      <c r="BX920">
        <v>1.06</v>
      </c>
      <c r="BZ920">
        <v>0.96</v>
      </c>
      <c r="CK920" t="s">
        <v>465</v>
      </c>
      <c r="CM920">
        <v>1911</v>
      </c>
    </row>
    <row r="921" spans="1:91" x14ac:dyDescent="0.3">
      <c r="A921" t="s">
        <v>1590</v>
      </c>
      <c r="B921">
        <v>46451</v>
      </c>
      <c r="D921">
        <v>12</v>
      </c>
      <c r="I921">
        <v>150000</v>
      </c>
      <c r="J921" t="s">
        <v>800</v>
      </c>
      <c r="U921">
        <v>100</v>
      </c>
      <c r="Y921">
        <v>100</v>
      </c>
      <c r="AA921">
        <v>99</v>
      </c>
      <c r="AC921" s="3">
        <v>99</v>
      </c>
      <c r="AE921" s="3">
        <v>99</v>
      </c>
      <c r="AI921">
        <v>99</v>
      </c>
      <c r="AK921" s="3"/>
      <c r="BG921">
        <v>5</v>
      </c>
      <c r="BH921">
        <v>5</v>
      </c>
      <c r="BI921">
        <v>5</v>
      </c>
      <c r="BJ921">
        <v>5</v>
      </c>
      <c r="BK921" s="4">
        <v>3835</v>
      </c>
      <c r="BL921" s="4">
        <v>4019</v>
      </c>
      <c r="BM921" s="4">
        <v>4200</v>
      </c>
      <c r="BN921" s="4">
        <v>4384</v>
      </c>
      <c r="BR921">
        <v>25169</v>
      </c>
      <c r="BS921" t="s">
        <v>1589</v>
      </c>
      <c r="BT921">
        <v>5</v>
      </c>
      <c r="BU921">
        <v>2</v>
      </c>
      <c r="BV921">
        <v>6</v>
      </c>
      <c r="BX921">
        <v>99.25</v>
      </c>
      <c r="BZ921">
        <v>94.87</v>
      </c>
      <c r="CM921">
        <v>1911</v>
      </c>
    </row>
    <row r="922" spans="1:91" x14ac:dyDescent="0.3">
      <c r="A922" t="s">
        <v>1591</v>
      </c>
      <c r="B922">
        <v>46735</v>
      </c>
      <c r="D922">
        <v>12</v>
      </c>
      <c r="I922">
        <v>5000</v>
      </c>
      <c r="U922">
        <v>62.5</v>
      </c>
      <c r="Y922">
        <v>62.5</v>
      </c>
      <c r="AA922">
        <v>57.5</v>
      </c>
      <c r="AC922" s="3">
        <v>57.5</v>
      </c>
      <c r="AE922" s="3">
        <v>57.5</v>
      </c>
      <c r="AI922">
        <v>57.5</v>
      </c>
      <c r="AK922" s="3"/>
      <c r="AU922" t="s">
        <v>1592</v>
      </c>
      <c r="AV922" t="s">
        <v>1593</v>
      </c>
      <c r="AW922" t="s">
        <v>1592</v>
      </c>
      <c r="AX922" t="s">
        <v>1593</v>
      </c>
      <c r="AY922" t="s">
        <v>1594</v>
      </c>
      <c r="AZ922" t="s">
        <v>1595</v>
      </c>
      <c r="BA922" t="s">
        <v>1594</v>
      </c>
      <c r="BB922" t="s">
        <v>1595</v>
      </c>
      <c r="BC922">
        <v>720</v>
      </c>
      <c r="BD922">
        <v>720</v>
      </c>
      <c r="BE922">
        <v>600</v>
      </c>
      <c r="BF922">
        <v>600</v>
      </c>
      <c r="BK922" s="4">
        <v>3744</v>
      </c>
      <c r="BL922" s="4">
        <v>3958</v>
      </c>
      <c r="BM922" s="4">
        <v>4109</v>
      </c>
      <c r="BN922" s="4">
        <v>4323</v>
      </c>
      <c r="BS922" t="s">
        <v>385</v>
      </c>
      <c r="BT922">
        <v>9</v>
      </c>
      <c r="BU922">
        <v>11</v>
      </c>
      <c r="BV922">
        <v>3</v>
      </c>
      <c r="BX922">
        <v>69</v>
      </c>
      <c r="BZ922">
        <v>55.5</v>
      </c>
      <c r="CK922" t="s">
        <v>1596</v>
      </c>
      <c r="CM922">
        <v>1911</v>
      </c>
    </row>
    <row r="923" spans="1:91" x14ac:dyDescent="0.3">
      <c r="A923" t="s">
        <v>1597</v>
      </c>
      <c r="B923">
        <v>47010</v>
      </c>
      <c r="D923">
        <v>12</v>
      </c>
      <c r="I923">
        <v>15000</v>
      </c>
      <c r="U923">
        <v>10</v>
      </c>
      <c r="Y923">
        <v>10</v>
      </c>
      <c r="AA923">
        <v>5.75</v>
      </c>
      <c r="AC923" s="3">
        <v>5.75</v>
      </c>
      <c r="AE923" s="3">
        <v>5.25</v>
      </c>
      <c r="AI923">
        <v>5.25</v>
      </c>
      <c r="AK923" s="3"/>
      <c r="AX923" t="s">
        <v>823</v>
      </c>
      <c r="BB923" t="s">
        <v>810</v>
      </c>
      <c r="BG923">
        <v>15</v>
      </c>
      <c r="BH923">
        <v>3</v>
      </c>
      <c r="BI923">
        <v>3</v>
      </c>
      <c r="BK923" s="4">
        <v>3075</v>
      </c>
      <c r="BL923" s="4">
        <v>3258</v>
      </c>
      <c r="BM923" s="4">
        <v>3440</v>
      </c>
      <c r="BR923">
        <v>2760</v>
      </c>
      <c r="BW923" t="s">
        <v>802</v>
      </c>
      <c r="BX923">
        <v>8.25</v>
      </c>
      <c r="BZ923">
        <v>5.25</v>
      </c>
      <c r="CK923" t="s">
        <v>1471</v>
      </c>
      <c r="CM923">
        <v>1911</v>
      </c>
    </row>
    <row r="924" spans="1:91" x14ac:dyDescent="0.3">
      <c r="A924" t="s">
        <v>1598</v>
      </c>
      <c r="B924">
        <v>46909</v>
      </c>
      <c r="D924">
        <v>12</v>
      </c>
      <c r="I924">
        <v>526000</v>
      </c>
      <c r="J924" t="s">
        <v>800</v>
      </c>
      <c r="U924">
        <v>100</v>
      </c>
      <c r="Y924">
        <v>100</v>
      </c>
      <c r="AA924">
        <v>99</v>
      </c>
      <c r="AC924" s="3">
        <v>99.56</v>
      </c>
      <c r="AE924" s="3">
        <v>99</v>
      </c>
      <c r="AI924">
        <v>99.5</v>
      </c>
      <c r="AK924" s="3"/>
      <c r="AV924" t="s">
        <v>536</v>
      </c>
      <c r="AX924" t="s">
        <v>536</v>
      </c>
      <c r="AZ924" t="s">
        <v>536</v>
      </c>
      <c r="BB924" t="s">
        <v>536</v>
      </c>
      <c r="BO924" t="s">
        <v>367</v>
      </c>
      <c r="BS924" t="s">
        <v>385</v>
      </c>
      <c r="BT924">
        <v>6</v>
      </c>
      <c r="BU924">
        <v>2</v>
      </c>
      <c r="BV924">
        <v>6</v>
      </c>
      <c r="BY924" t="s">
        <v>385</v>
      </c>
      <c r="CA924" t="s">
        <v>385</v>
      </c>
      <c r="CM924">
        <v>1911</v>
      </c>
    </row>
    <row r="925" spans="1:91" x14ac:dyDescent="0.3">
      <c r="A925" t="s">
        <v>1599</v>
      </c>
      <c r="B925">
        <v>46836</v>
      </c>
      <c r="D925">
        <v>12</v>
      </c>
      <c r="I925">
        <v>11548</v>
      </c>
      <c r="U925">
        <v>20</v>
      </c>
      <c r="Y925">
        <v>20</v>
      </c>
      <c r="AA925">
        <v>17</v>
      </c>
      <c r="AC925" s="3">
        <v>17</v>
      </c>
      <c r="AE925" s="3">
        <v>17</v>
      </c>
      <c r="AI925">
        <v>17</v>
      </c>
      <c r="AK925" s="3"/>
      <c r="AX925" t="s">
        <v>823</v>
      </c>
      <c r="BB925" t="s">
        <v>823</v>
      </c>
      <c r="BG925">
        <v>10</v>
      </c>
      <c r="BH925">
        <v>5</v>
      </c>
      <c r="BI925">
        <v>10</v>
      </c>
      <c r="BJ925">
        <v>5</v>
      </c>
      <c r="BK925" s="4">
        <v>3685</v>
      </c>
      <c r="BL925" s="4">
        <v>3866</v>
      </c>
      <c r="BM925" s="4">
        <v>4050</v>
      </c>
      <c r="BN925" s="4">
        <v>4231</v>
      </c>
      <c r="BR925">
        <v>53141</v>
      </c>
      <c r="BS925" t="s">
        <v>1579</v>
      </c>
      <c r="BT925">
        <v>8</v>
      </c>
      <c r="BU925">
        <v>16</v>
      </c>
      <c r="BV925">
        <v>6</v>
      </c>
      <c r="BX925">
        <v>18</v>
      </c>
      <c r="BZ925">
        <v>16</v>
      </c>
      <c r="CK925" t="s">
        <v>360</v>
      </c>
      <c r="CM925">
        <v>1911</v>
      </c>
    </row>
    <row r="926" spans="1:91" x14ac:dyDescent="0.3">
      <c r="A926" t="s">
        <v>1600</v>
      </c>
      <c r="B926">
        <v>47011</v>
      </c>
      <c r="D926">
        <v>12</v>
      </c>
      <c r="I926">
        <v>7975</v>
      </c>
      <c r="U926">
        <v>20</v>
      </c>
      <c r="Y926">
        <v>20</v>
      </c>
      <c r="AA926">
        <v>16.25</v>
      </c>
      <c r="AC926" s="3">
        <v>16.25</v>
      </c>
      <c r="AE926" s="3">
        <v>16.25</v>
      </c>
      <c r="AI926">
        <v>16.25</v>
      </c>
      <c r="AK926" s="3"/>
      <c r="AX926" t="s">
        <v>815</v>
      </c>
      <c r="AZ926" t="s">
        <v>815</v>
      </c>
      <c r="BB926" t="s">
        <v>815</v>
      </c>
      <c r="BG926">
        <v>11</v>
      </c>
      <c r="BH926">
        <v>6</v>
      </c>
      <c r="BI926">
        <v>6</v>
      </c>
      <c r="BJ926">
        <v>6</v>
      </c>
      <c r="BK926" s="4">
        <v>3014</v>
      </c>
      <c r="BL926" s="4">
        <v>3379</v>
      </c>
      <c r="BM926" s="4">
        <v>3744</v>
      </c>
      <c r="BN926" s="4">
        <v>4109</v>
      </c>
      <c r="BR926">
        <v>16349</v>
      </c>
      <c r="BS926" t="s">
        <v>1601</v>
      </c>
      <c r="BT926">
        <v>7</v>
      </c>
      <c r="BU926">
        <v>7</v>
      </c>
      <c r="BV926">
        <v>9</v>
      </c>
      <c r="BX926">
        <v>17.5</v>
      </c>
      <c r="BZ926">
        <v>16</v>
      </c>
      <c r="CK926" t="s">
        <v>541</v>
      </c>
      <c r="CM926">
        <v>1911</v>
      </c>
    </row>
    <row r="927" spans="1:91" x14ac:dyDescent="0.3">
      <c r="A927" t="s">
        <v>1600</v>
      </c>
      <c r="B927">
        <v>47012</v>
      </c>
      <c r="C927" t="s">
        <v>955</v>
      </c>
      <c r="D927">
        <v>12</v>
      </c>
      <c r="I927">
        <v>7348</v>
      </c>
      <c r="U927">
        <v>20</v>
      </c>
      <c r="Y927">
        <v>20</v>
      </c>
      <c r="AA927">
        <v>20</v>
      </c>
      <c r="AC927" s="3">
        <v>20.5</v>
      </c>
      <c r="AE927" s="3">
        <v>20.5</v>
      </c>
      <c r="AI927">
        <v>20</v>
      </c>
      <c r="AK927" s="3"/>
      <c r="BG927">
        <v>6</v>
      </c>
      <c r="BH927">
        <v>6</v>
      </c>
      <c r="BI927">
        <v>6</v>
      </c>
      <c r="BJ927">
        <v>6</v>
      </c>
      <c r="BK927" s="4">
        <v>3014</v>
      </c>
      <c r="BL927" s="4">
        <v>3379</v>
      </c>
      <c r="BM927" s="4">
        <v>3744</v>
      </c>
      <c r="BN927" s="4">
        <v>4109</v>
      </c>
      <c r="BR927">
        <v>16349</v>
      </c>
      <c r="BS927" t="s">
        <v>1601</v>
      </c>
      <c r="BT927">
        <v>5</v>
      </c>
      <c r="BU927">
        <v>17</v>
      </c>
      <c r="BV927">
        <v>0</v>
      </c>
      <c r="BX927">
        <v>20.5</v>
      </c>
      <c r="BZ927">
        <v>19</v>
      </c>
      <c r="CM927">
        <v>1911</v>
      </c>
    </row>
    <row r="928" spans="1:91" x14ac:dyDescent="0.3">
      <c r="A928" t="s">
        <v>1602</v>
      </c>
      <c r="B928">
        <v>47018</v>
      </c>
      <c r="D928">
        <v>12</v>
      </c>
      <c r="I928">
        <v>160000</v>
      </c>
      <c r="U928">
        <v>1.25</v>
      </c>
      <c r="Y928">
        <v>1.25</v>
      </c>
      <c r="AA928">
        <v>0.93</v>
      </c>
      <c r="AC928" s="3">
        <v>0.96</v>
      </c>
      <c r="AE928" s="3">
        <v>0.93</v>
      </c>
      <c r="AI928">
        <v>0.96</v>
      </c>
      <c r="AK928" s="3"/>
      <c r="AV928" t="s">
        <v>815</v>
      </c>
      <c r="AX928" t="s">
        <v>815</v>
      </c>
      <c r="AZ928" t="s">
        <v>815</v>
      </c>
      <c r="BB928" t="s">
        <v>810</v>
      </c>
      <c r="BG928">
        <v>4</v>
      </c>
      <c r="BH928">
        <v>2</v>
      </c>
      <c r="BI928">
        <v>2</v>
      </c>
      <c r="BK928" s="4">
        <v>3075</v>
      </c>
      <c r="BL928" s="4">
        <v>3440</v>
      </c>
      <c r="BM928" s="4">
        <v>3805</v>
      </c>
      <c r="BR928">
        <v>4858</v>
      </c>
      <c r="BW928" t="s">
        <v>802</v>
      </c>
      <c r="BX928">
        <v>1</v>
      </c>
      <c r="BZ928">
        <v>0.75</v>
      </c>
      <c r="CK928" t="s">
        <v>454</v>
      </c>
      <c r="CM928">
        <v>1911</v>
      </c>
    </row>
    <row r="929" spans="1:91" x14ac:dyDescent="0.3">
      <c r="A929" t="s">
        <v>1603</v>
      </c>
      <c r="B929">
        <v>47061</v>
      </c>
      <c r="D929">
        <v>12</v>
      </c>
      <c r="I929">
        <v>60000</v>
      </c>
      <c r="U929">
        <v>1</v>
      </c>
      <c r="Y929">
        <v>1</v>
      </c>
      <c r="AA929">
        <v>0.81</v>
      </c>
      <c r="AC929" s="3">
        <v>0.81</v>
      </c>
      <c r="AE929" s="3">
        <v>0.81</v>
      </c>
      <c r="AI929">
        <v>0.81</v>
      </c>
      <c r="AK929" s="3"/>
      <c r="AZ929" t="s">
        <v>969</v>
      </c>
      <c r="BB929" t="s">
        <v>815</v>
      </c>
      <c r="BG929">
        <v>6</v>
      </c>
      <c r="BH929">
        <v>2.5</v>
      </c>
      <c r="BJ929">
        <v>3</v>
      </c>
      <c r="BK929" s="4">
        <v>2770</v>
      </c>
      <c r="BL929" s="4">
        <v>3136</v>
      </c>
      <c r="BM929" t="s">
        <v>811</v>
      </c>
      <c r="BN929" s="4">
        <v>4231</v>
      </c>
      <c r="BR929">
        <v>1858</v>
      </c>
      <c r="BS929" t="s">
        <v>1604</v>
      </c>
      <c r="BT929">
        <v>3</v>
      </c>
      <c r="BU929">
        <v>13</v>
      </c>
      <c r="BV929">
        <v>9</v>
      </c>
      <c r="BX929">
        <v>0.81</v>
      </c>
      <c r="BZ929">
        <v>0.5</v>
      </c>
      <c r="CK929" t="s">
        <v>360</v>
      </c>
      <c r="CM929">
        <v>1911</v>
      </c>
    </row>
    <row r="930" spans="1:91" x14ac:dyDescent="0.3">
      <c r="A930" t="s">
        <v>1603</v>
      </c>
      <c r="B930">
        <v>47063</v>
      </c>
      <c r="C930" t="s">
        <v>844</v>
      </c>
      <c r="D930">
        <v>12</v>
      </c>
      <c r="I930">
        <v>60000</v>
      </c>
      <c r="U930">
        <v>1</v>
      </c>
      <c r="Y930">
        <v>1</v>
      </c>
      <c r="AA930">
        <v>1</v>
      </c>
      <c r="AC930" s="3">
        <v>1</v>
      </c>
      <c r="AE930" s="3">
        <v>1</v>
      </c>
      <c r="AI930">
        <v>1</v>
      </c>
      <c r="AK930" s="3"/>
      <c r="AV930" t="s">
        <v>815</v>
      </c>
      <c r="AX930" t="s">
        <v>815</v>
      </c>
      <c r="BG930">
        <v>6</v>
      </c>
      <c r="BH930">
        <v>6</v>
      </c>
      <c r="BI930">
        <v>6</v>
      </c>
      <c r="BJ930">
        <v>6</v>
      </c>
      <c r="BK930" s="4">
        <v>3136</v>
      </c>
      <c r="BL930" s="4">
        <v>3866</v>
      </c>
      <c r="BM930" s="4">
        <v>4050</v>
      </c>
      <c r="BN930" s="4">
        <v>4231</v>
      </c>
      <c r="BR930">
        <v>1858</v>
      </c>
      <c r="BS930" t="s">
        <v>1604</v>
      </c>
      <c r="BT930">
        <v>6</v>
      </c>
      <c r="BU930">
        <v>0</v>
      </c>
      <c r="BV930">
        <v>0</v>
      </c>
      <c r="BX930">
        <v>1</v>
      </c>
      <c r="BZ930">
        <v>0.81</v>
      </c>
      <c r="CM930">
        <v>1911</v>
      </c>
    </row>
    <row r="931" spans="1:91" x14ac:dyDescent="0.3">
      <c r="A931" t="s">
        <v>243</v>
      </c>
      <c r="B931">
        <v>47072</v>
      </c>
      <c r="D931">
        <v>12</v>
      </c>
      <c r="I931">
        <v>100000</v>
      </c>
      <c r="U931">
        <v>10</v>
      </c>
      <c r="Y931">
        <v>10</v>
      </c>
      <c r="AA931">
        <v>12.5</v>
      </c>
      <c r="AC931" s="3">
        <v>12.68</v>
      </c>
      <c r="AE931" s="3">
        <v>12.5</v>
      </c>
      <c r="AI931">
        <v>12.5</v>
      </c>
      <c r="AK931" s="3"/>
      <c r="AV931" t="s">
        <v>815</v>
      </c>
      <c r="AX931" t="s">
        <v>815</v>
      </c>
      <c r="AZ931" t="s">
        <v>815</v>
      </c>
      <c r="BB931" t="s">
        <v>815</v>
      </c>
      <c r="BG931">
        <v>10</v>
      </c>
      <c r="BH931">
        <v>10</v>
      </c>
      <c r="BI931">
        <v>8</v>
      </c>
      <c r="BJ931">
        <v>5</v>
      </c>
      <c r="BK931" s="4">
        <v>2983</v>
      </c>
      <c r="BL931" s="4">
        <v>3348</v>
      </c>
      <c r="BM931" s="4">
        <v>3713</v>
      </c>
      <c r="BN931" s="4">
        <v>4078</v>
      </c>
      <c r="BR931">
        <v>415400</v>
      </c>
      <c r="BS931" t="s">
        <v>1605</v>
      </c>
      <c r="BT931">
        <v>4</v>
      </c>
      <c r="BU931">
        <v>0</v>
      </c>
      <c r="BV931">
        <v>0</v>
      </c>
      <c r="BX931">
        <v>17.62</v>
      </c>
      <c r="BZ931">
        <v>12.43</v>
      </c>
      <c r="CK931" t="s">
        <v>1606</v>
      </c>
      <c r="CM931">
        <v>1911</v>
      </c>
    </row>
    <row r="932" spans="1:91" x14ac:dyDescent="0.3">
      <c r="A932" t="s">
        <v>243</v>
      </c>
      <c r="B932">
        <v>47071</v>
      </c>
      <c r="C932" t="s">
        <v>817</v>
      </c>
      <c r="D932">
        <v>12</v>
      </c>
      <c r="I932">
        <v>75000</v>
      </c>
      <c r="U932">
        <v>10</v>
      </c>
      <c r="Y932">
        <v>10</v>
      </c>
      <c r="AA932">
        <v>10.37</v>
      </c>
      <c r="AC932" s="3">
        <v>10.75</v>
      </c>
      <c r="AE932" s="3">
        <v>10.06</v>
      </c>
      <c r="AI932">
        <v>10.5</v>
      </c>
      <c r="AK932" s="3"/>
      <c r="BG932">
        <v>5</v>
      </c>
      <c r="BH932">
        <v>5</v>
      </c>
      <c r="BI932">
        <v>5</v>
      </c>
      <c r="BJ932">
        <v>5</v>
      </c>
      <c r="BK932" s="4">
        <v>3532</v>
      </c>
      <c r="BL932" s="4">
        <v>3713</v>
      </c>
      <c r="BM932" s="4">
        <v>3897</v>
      </c>
      <c r="BN932" s="4">
        <v>4078</v>
      </c>
      <c r="BR932">
        <v>415400</v>
      </c>
      <c r="BS932" t="s">
        <v>1605</v>
      </c>
      <c r="BT932">
        <v>4</v>
      </c>
      <c r="BU932">
        <v>15</v>
      </c>
      <c r="BV932">
        <v>3</v>
      </c>
      <c r="BX932">
        <v>11.75</v>
      </c>
      <c r="BZ932">
        <v>10.06</v>
      </c>
      <c r="CM932">
        <v>1911</v>
      </c>
    </row>
    <row r="933" spans="1:91" x14ac:dyDescent="0.3">
      <c r="A933" t="s">
        <v>1607</v>
      </c>
      <c r="B933">
        <v>47118</v>
      </c>
      <c r="D933">
        <v>12</v>
      </c>
      <c r="I933">
        <v>250000</v>
      </c>
      <c r="J933" t="s">
        <v>800</v>
      </c>
      <c r="V933" t="s">
        <v>350</v>
      </c>
      <c r="Y933">
        <v>100</v>
      </c>
      <c r="AA933">
        <v>84</v>
      </c>
      <c r="AC933" s="3">
        <v>84</v>
      </c>
      <c r="AE933" s="3">
        <v>82</v>
      </c>
      <c r="AI933">
        <v>83</v>
      </c>
      <c r="AJ933" t="s">
        <v>379</v>
      </c>
      <c r="AK933" s="3"/>
      <c r="BG933">
        <v>4.5</v>
      </c>
      <c r="BH933">
        <v>4.5</v>
      </c>
      <c r="BI933">
        <v>4.5</v>
      </c>
      <c r="BJ933">
        <v>4.5</v>
      </c>
      <c r="BK933" s="4">
        <v>3654</v>
      </c>
      <c r="BL933" s="4">
        <v>3835</v>
      </c>
      <c r="BM933" s="4">
        <v>4019</v>
      </c>
      <c r="BN933" s="4">
        <v>4200</v>
      </c>
      <c r="BR933">
        <v>12093</v>
      </c>
      <c r="BT933">
        <v>5</v>
      </c>
      <c r="BU933">
        <v>8</v>
      </c>
      <c r="BV933">
        <v>6</v>
      </c>
      <c r="BX933">
        <v>88</v>
      </c>
      <c r="BZ933">
        <v>82</v>
      </c>
      <c r="CK933" t="s">
        <v>399</v>
      </c>
      <c r="CM933">
        <v>1911</v>
      </c>
    </row>
    <row r="934" spans="1:91" x14ac:dyDescent="0.3">
      <c r="A934" t="s">
        <v>1608</v>
      </c>
      <c r="B934">
        <v>47078</v>
      </c>
      <c r="D934">
        <v>12</v>
      </c>
      <c r="I934">
        <v>20000</v>
      </c>
      <c r="U934">
        <v>10</v>
      </c>
      <c r="Y934">
        <v>8.5</v>
      </c>
      <c r="AA934">
        <v>8.25</v>
      </c>
      <c r="AC934" s="3">
        <v>8.25</v>
      </c>
      <c r="AE934" s="3">
        <v>8.25</v>
      </c>
      <c r="AI934">
        <v>8.25</v>
      </c>
      <c r="AK934" s="3"/>
      <c r="AV934" t="s">
        <v>815</v>
      </c>
      <c r="AX934" t="s">
        <v>815</v>
      </c>
      <c r="AZ934" t="s">
        <v>815</v>
      </c>
      <c r="BB934" t="s">
        <v>815</v>
      </c>
      <c r="BG934">
        <v>5</v>
      </c>
      <c r="BH934">
        <v>6</v>
      </c>
      <c r="BI934">
        <v>7</v>
      </c>
      <c r="BJ934">
        <v>8</v>
      </c>
      <c r="BK934" s="4">
        <v>3258</v>
      </c>
      <c r="BL934" s="4">
        <v>3623</v>
      </c>
      <c r="BM934" s="4">
        <v>3988</v>
      </c>
      <c r="BN934" s="4">
        <v>4353</v>
      </c>
      <c r="BR934">
        <v>3373</v>
      </c>
      <c r="BT934">
        <v>8</v>
      </c>
      <c r="BU934">
        <v>4</v>
      </c>
      <c r="BV934">
        <v>9</v>
      </c>
      <c r="BX934">
        <v>8.5</v>
      </c>
      <c r="BZ934">
        <v>8</v>
      </c>
      <c r="CK934" t="s">
        <v>616</v>
      </c>
      <c r="CM934">
        <v>1911</v>
      </c>
    </row>
    <row r="935" spans="1:91" x14ac:dyDescent="0.3">
      <c r="A935" t="s">
        <v>1609</v>
      </c>
      <c r="B935">
        <v>47130</v>
      </c>
      <c r="D935">
        <v>12</v>
      </c>
      <c r="I935">
        <v>120000</v>
      </c>
      <c r="U935">
        <v>5</v>
      </c>
      <c r="Y935">
        <v>5</v>
      </c>
      <c r="AA935">
        <v>5.75</v>
      </c>
      <c r="AC935" s="3">
        <v>5.75</v>
      </c>
      <c r="AE935" s="3">
        <v>5.75</v>
      </c>
      <c r="AI935">
        <v>5.75</v>
      </c>
      <c r="AK935" s="3"/>
      <c r="AX935" t="s">
        <v>823</v>
      </c>
      <c r="BB935" t="s">
        <v>823</v>
      </c>
      <c r="BG935">
        <v>8</v>
      </c>
      <c r="BH935">
        <v>5</v>
      </c>
      <c r="BI935">
        <v>7</v>
      </c>
      <c r="BJ935">
        <v>8</v>
      </c>
      <c r="BK935" s="4">
        <v>3713</v>
      </c>
      <c r="BL935" s="4">
        <v>3866</v>
      </c>
      <c r="BM935" s="4">
        <v>4078</v>
      </c>
      <c r="BN935" s="4">
        <v>4231</v>
      </c>
      <c r="BR935">
        <v>125370</v>
      </c>
      <c r="BS935" t="s">
        <v>1610</v>
      </c>
      <c r="BT935">
        <v>6</v>
      </c>
      <c r="BU935">
        <v>10</v>
      </c>
      <c r="BV935">
        <v>6</v>
      </c>
      <c r="BX935">
        <v>6.25</v>
      </c>
      <c r="BZ935">
        <v>5.37</v>
      </c>
      <c r="CK935" t="s">
        <v>1611</v>
      </c>
      <c r="CM935">
        <v>1911</v>
      </c>
    </row>
    <row r="936" spans="1:91" x14ac:dyDescent="0.3">
      <c r="A936" t="s">
        <v>1609</v>
      </c>
      <c r="B936">
        <v>47131</v>
      </c>
      <c r="C936" t="s">
        <v>1612</v>
      </c>
      <c r="D936">
        <v>12</v>
      </c>
      <c r="I936">
        <v>10000</v>
      </c>
      <c r="U936">
        <v>5</v>
      </c>
      <c r="Y936">
        <v>5</v>
      </c>
      <c r="AA936">
        <v>9.3699999999999992</v>
      </c>
      <c r="AC936" s="3">
        <v>9.3699999999999992</v>
      </c>
      <c r="AE936" s="3">
        <v>9.3699999999999992</v>
      </c>
      <c r="AI936">
        <v>9.3699999999999992</v>
      </c>
      <c r="AK936" s="3"/>
      <c r="AV936" t="s">
        <v>1613</v>
      </c>
      <c r="AX936" t="s">
        <v>1613</v>
      </c>
      <c r="AZ936" t="s">
        <v>1613</v>
      </c>
      <c r="BB936" t="s">
        <v>1613</v>
      </c>
      <c r="BO936" t="s">
        <v>367</v>
      </c>
      <c r="BR936">
        <v>125370</v>
      </c>
      <c r="BS936" t="s">
        <v>1610</v>
      </c>
      <c r="BT936">
        <v>5</v>
      </c>
      <c r="BU936">
        <v>6</v>
      </c>
      <c r="BV936">
        <v>9</v>
      </c>
      <c r="BX936">
        <v>9.75</v>
      </c>
      <c r="BZ936">
        <v>9.25</v>
      </c>
      <c r="CM936">
        <v>1911</v>
      </c>
    </row>
    <row r="937" spans="1:91" x14ac:dyDescent="0.3">
      <c r="A937" t="s">
        <v>1614</v>
      </c>
      <c r="B937">
        <v>50819</v>
      </c>
      <c r="D937">
        <v>12</v>
      </c>
      <c r="I937">
        <v>330000</v>
      </c>
      <c r="J937" t="s">
        <v>800</v>
      </c>
      <c r="V937" t="s">
        <v>350</v>
      </c>
      <c r="Y937">
        <v>100</v>
      </c>
      <c r="AA937">
        <v>137</v>
      </c>
      <c r="AB937" t="s">
        <v>379</v>
      </c>
      <c r="AC937" s="3">
        <v>187</v>
      </c>
      <c r="AE937" s="3">
        <v>137</v>
      </c>
      <c r="AI937">
        <v>184.5</v>
      </c>
      <c r="AK937" s="3"/>
      <c r="AV937" t="s">
        <v>815</v>
      </c>
      <c r="AX937" t="s">
        <v>815</v>
      </c>
      <c r="AZ937" t="s">
        <v>823</v>
      </c>
      <c r="BG937">
        <v>5</v>
      </c>
      <c r="BH937">
        <v>6</v>
      </c>
      <c r="BI937">
        <v>5</v>
      </c>
      <c r="BJ937">
        <v>11</v>
      </c>
      <c r="BK937" t="s">
        <v>1260</v>
      </c>
      <c r="BL937" t="s">
        <v>1261</v>
      </c>
      <c r="BM937" s="4">
        <v>4139</v>
      </c>
      <c r="BN937" s="4">
        <v>4323</v>
      </c>
      <c r="BR937">
        <v>145877</v>
      </c>
      <c r="BS937" t="s">
        <v>1615</v>
      </c>
      <c r="BT937">
        <v>4</v>
      </c>
      <c r="BU937">
        <v>6</v>
      </c>
      <c r="BV937">
        <v>9</v>
      </c>
      <c r="BX937">
        <v>187</v>
      </c>
      <c r="BZ937">
        <v>94.5</v>
      </c>
      <c r="CM937">
        <v>1911</v>
      </c>
    </row>
    <row r="938" spans="1:91" x14ac:dyDescent="0.3">
      <c r="A938" t="s">
        <v>1614</v>
      </c>
      <c r="B938">
        <v>47315</v>
      </c>
      <c r="C938" t="s">
        <v>1616</v>
      </c>
      <c r="D938">
        <v>12</v>
      </c>
      <c r="I938">
        <v>228715</v>
      </c>
      <c r="J938" t="s">
        <v>800</v>
      </c>
      <c r="V938" t="s">
        <v>350</v>
      </c>
      <c r="Y938">
        <v>100</v>
      </c>
      <c r="AA938">
        <v>100</v>
      </c>
      <c r="AC938" s="3">
        <v>101</v>
      </c>
      <c r="AE938" s="3">
        <v>100</v>
      </c>
      <c r="AI938">
        <v>101</v>
      </c>
      <c r="AJ938" t="s">
        <v>379</v>
      </c>
      <c r="AK938" s="3"/>
      <c r="AV938" t="s">
        <v>370</v>
      </c>
      <c r="AX938" t="s">
        <v>370</v>
      </c>
      <c r="AZ938" t="s">
        <v>370</v>
      </c>
      <c r="BB938" t="s">
        <v>370</v>
      </c>
      <c r="BO938" t="s">
        <v>367</v>
      </c>
      <c r="BR938">
        <v>145877</v>
      </c>
      <c r="BS938" t="s">
        <v>1615</v>
      </c>
      <c r="BT938">
        <v>4</v>
      </c>
      <c r="BU938">
        <v>19</v>
      </c>
      <c r="BV938">
        <v>0</v>
      </c>
      <c r="BX938">
        <v>101.5</v>
      </c>
      <c r="BZ938">
        <v>98.5</v>
      </c>
      <c r="CM938">
        <v>1911</v>
      </c>
    </row>
    <row r="939" spans="1:91" x14ac:dyDescent="0.3">
      <c r="A939" t="s">
        <v>1617</v>
      </c>
      <c r="B939">
        <v>47393</v>
      </c>
      <c r="D939">
        <v>12</v>
      </c>
      <c r="I939">
        <v>104310</v>
      </c>
      <c r="U939">
        <v>1</v>
      </c>
      <c r="Y939">
        <v>1</v>
      </c>
      <c r="AA939">
        <v>0.4</v>
      </c>
      <c r="AC939" s="3">
        <v>0.4</v>
      </c>
      <c r="AE939" s="3">
        <v>0.37</v>
      </c>
      <c r="AI939">
        <v>0.37</v>
      </c>
      <c r="AK939" s="3"/>
      <c r="AX939" t="s">
        <v>823</v>
      </c>
      <c r="BB939" t="s">
        <v>810</v>
      </c>
      <c r="BG939">
        <v>5</v>
      </c>
      <c r="BH939">
        <v>5</v>
      </c>
      <c r="BI939">
        <v>5</v>
      </c>
      <c r="BK939" s="4">
        <v>2436</v>
      </c>
      <c r="BL939" s="4">
        <v>2617</v>
      </c>
      <c r="BM939" s="4">
        <v>2801</v>
      </c>
      <c r="BR939">
        <v>96833</v>
      </c>
      <c r="BS939" t="s">
        <v>1618</v>
      </c>
      <c r="BW939" t="s">
        <v>802</v>
      </c>
      <c r="BX939">
        <v>0.46</v>
      </c>
      <c r="BZ939">
        <v>0.37</v>
      </c>
      <c r="CK939" t="s">
        <v>1619</v>
      </c>
      <c r="CM939">
        <v>1911</v>
      </c>
    </row>
    <row r="940" spans="1:91" x14ac:dyDescent="0.3">
      <c r="A940" t="s">
        <v>1617</v>
      </c>
      <c r="B940">
        <v>47394</v>
      </c>
      <c r="C940" t="s">
        <v>1523</v>
      </c>
      <c r="D940">
        <v>12</v>
      </c>
      <c r="I940">
        <v>394455</v>
      </c>
      <c r="U940">
        <v>1</v>
      </c>
      <c r="Y940">
        <v>1</v>
      </c>
      <c r="AA940">
        <v>0.4</v>
      </c>
      <c r="AC940" s="3">
        <v>0.4</v>
      </c>
      <c r="AE940" s="3">
        <v>0.37</v>
      </c>
      <c r="AI940">
        <v>0.37</v>
      </c>
      <c r="AK940" s="3"/>
      <c r="AX940" t="s">
        <v>823</v>
      </c>
      <c r="BB940" t="s">
        <v>810</v>
      </c>
      <c r="BG940">
        <v>5</v>
      </c>
      <c r="BH940">
        <v>5</v>
      </c>
      <c r="BI940">
        <v>5</v>
      </c>
      <c r="BK940" s="4">
        <v>2436</v>
      </c>
      <c r="BL940" s="4">
        <v>2617</v>
      </c>
      <c r="BM940" s="4">
        <v>2801</v>
      </c>
      <c r="BR940">
        <v>96833</v>
      </c>
      <c r="BS940" t="s">
        <v>1618</v>
      </c>
      <c r="BW940" t="s">
        <v>802</v>
      </c>
      <c r="BX940">
        <v>0.43</v>
      </c>
      <c r="BZ940">
        <v>0.28000000000000003</v>
      </c>
      <c r="CM940">
        <v>1911</v>
      </c>
    </row>
    <row r="941" spans="1:91" x14ac:dyDescent="0.3">
      <c r="A941" t="s">
        <v>1617</v>
      </c>
      <c r="B941">
        <v>47396</v>
      </c>
      <c r="C941" t="s">
        <v>1620</v>
      </c>
      <c r="D941">
        <v>12</v>
      </c>
      <c r="I941">
        <v>200000</v>
      </c>
      <c r="U941">
        <v>1</v>
      </c>
      <c r="Y941">
        <v>1</v>
      </c>
      <c r="AA941">
        <v>0.71</v>
      </c>
      <c r="AC941" s="3">
        <v>0.71</v>
      </c>
      <c r="AE941" s="3">
        <v>0.68</v>
      </c>
      <c r="AI941">
        <v>0.68</v>
      </c>
      <c r="AK941" s="3"/>
      <c r="BB941" t="s">
        <v>810</v>
      </c>
      <c r="BG941">
        <v>5</v>
      </c>
      <c r="BH941">
        <v>5</v>
      </c>
      <c r="BI941">
        <v>5</v>
      </c>
      <c r="BK941" s="4">
        <v>2617</v>
      </c>
      <c r="BL941" s="4">
        <v>2801</v>
      </c>
      <c r="BM941" s="4">
        <v>2983</v>
      </c>
      <c r="BR941">
        <v>96833</v>
      </c>
      <c r="BS941" t="s">
        <v>1618</v>
      </c>
      <c r="BW941" t="s">
        <v>802</v>
      </c>
      <c r="BX941">
        <v>0.81</v>
      </c>
      <c r="BZ941">
        <v>0.68</v>
      </c>
      <c r="CM941">
        <v>1911</v>
      </c>
    </row>
    <row r="942" spans="1:91" x14ac:dyDescent="0.3">
      <c r="A942" t="s">
        <v>1621</v>
      </c>
      <c r="B942">
        <v>47464</v>
      </c>
      <c r="D942">
        <v>12</v>
      </c>
      <c r="I942">
        <v>300000</v>
      </c>
      <c r="U942">
        <v>1</v>
      </c>
      <c r="Y942">
        <v>1</v>
      </c>
      <c r="AA942">
        <v>1.62</v>
      </c>
      <c r="AB942" t="s">
        <v>379</v>
      </c>
      <c r="AC942" s="3">
        <v>1.62</v>
      </c>
      <c r="AE942" s="3">
        <v>1.62</v>
      </c>
      <c r="AI942">
        <v>1.62</v>
      </c>
      <c r="AK942" s="3"/>
      <c r="AU942" t="s">
        <v>1622</v>
      </c>
      <c r="AV942" s="5">
        <v>40695</v>
      </c>
      <c r="AX942" t="s">
        <v>823</v>
      </c>
      <c r="AY942" t="s">
        <v>1623</v>
      </c>
      <c r="AZ942" s="5">
        <v>40603</v>
      </c>
      <c r="BB942" t="s">
        <v>823</v>
      </c>
      <c r="BC942">
        <v>18</v>
      </c>
      <c r="BE942">
        <v>15</v>
      </c>
      <c r="BH942">
        <v>9</v>
      </c>
      <c r="BJ942">
        <v>9</v>
      </c>
      <c r="BK942" s="4">
        <v>3805</v>
      </c>
      <c r="BL942" s="4">
        <v>3988</v>
      </c>
      <c r="BM942" s="4">
        <v>4170</v>
      </c>
      <c r="BN942" s="4">
        <v>4353</v>
      </c>
      <c r="BR942">
        <v>20014</v>
      </c>
      <c r="BT942">
        <v>6</v>
      </c>
      <c r="BU942">
        <v>3</v>
      </c>
      <c r="BV942">
        <v>0</v>
      </c>
      <c r="BX942">
        <v>1.81</v>
      </c>
      <c r="BZ942">
        <v>1.59</v>
      </c>
      <c r="CK942" t="s">
        <v>1624</v>
      </c>
      <c r="CM942">
        <v>1911</v>
      </c>
    </row>
    <row r="943" spans="1:91" x14ac:dyDescent="0.3">
      <c r="A943" t="s">
        <v>1625</v>
      </c>
      <c r="B943">
        <v>47518</v>
      </c>
      <c r="D943">
        <v>12</v>
      </c>
      <c r="I943">
        <v>122000</v>
      </c>
      <c r="U943">
        <v>5</v>
      </c>
      <c r="Y943">
        <v>5</v>
      </c>
      <c r="AA943">
        <v>3.56</v>
      </c>
      <c r="AC943" s="3">
        <v>3.56</v>
      </c>
      <c r="AE943" s="3">
        <v>3.56</v>
      </c>
      <c r="AI943">
        <v>3.56</v>
      </c>
      <c r="AK943" s="3"/>
      <c r="AV943" t="s">
        <v>823</v>
      </c>
      <c r="AZ943" t="s">
        <v>823</v>
      </c>
      <c r="BG943">
        <v>2.5</v>
      </c>
      <c r="BH943">
        <v>4</v>
      </c>
      <c r="BI943">
        <v>3</v>
      </c>
      <c r="BJ943">
        <v>5</v>
      </c>
      <c r="BK943" s="4">
        <v>3713</v>
      </c>
      <c r="BL943" s="4">
        <v>3897</v>
      </c>
      <c r="BM943" s="4">
        <v>4078</v>
      </c>
      <c r="BN943" s="4">
        <v>4262</v>
      </c>
      <c r="BR943">
        <v>363465</v>
      </c>
      <c r="BS943" t="s">
        <v>1626</v>
      </c>
      <c r="BT943">
        <v>5</v>
      </c>
      <c r="BU943">
        <v>12</v>
      </c>
      <c r="BV943">
        <v>3</v>
      </c>
      <c r="BX943">
        <v>4.5599999999999996</v>
      </c>
      <c r="BZ943">
        <v>3.5</v>
      </c>
      <c r="CK943" t="s">
        <v>1627</v>
      </c>
      <c r="CM943">
        <v>1911</v>
      </c>
    </row>
    <row r="944" spans="1:91" x14ac:dyDescent="0.3">
      <c r="A944" t="s">
        <v>1628</v>
      </c>
      <c r="B944">
        <v>47517</v>
      </c>
      <c r="D944">
        <v>12</v>
      </c>
      <c r="I944">
        <v>50000</v>
      </c>
      <c r="U944">
        <v>5</v>
      </c>
      <c r="Y944">
        <v>5</v>
      </c>
      <c r="AA944">
        <v>6</v>
      </c>
      <c r="AC944" s="3">
        <v>6</v>
      </c>
      <c r="AE944" s="3">
        <v>6</v>
      </c>
      <c r="AI944">
        <v>6</v>
      </c>
      <c r="AK944" s="3"/>
      <c r="AV944" t="s">
        <v>373</v>
      </c>
      <c r="AX944" t="s">
        <v>373</v>
      </c>
      <c r="AZ944" t="s">
        <v>373</v>
      </c>
      <c r="BB944" t="s">
        <v>373</v>
      </c>
      <c r="BO944" t="s">
        <v>367</v>
      </c>
      <c r="BR944">
        <v>363465</v>
      </c>
      <c r="BS944" t="s">
        <v>1626</v>
      </c>
      <c r="BT944">
        <v>5</v>
      </c>
      <c r="BU944">
        <v>0</v>
      </c>
      <c r="BV944">
        <v>0</v>
      </c>
      <c r="BX944">
        <v>6.12</v>
      </c>
      <c r="BZ944">
        <v>5.68</v>
      </c>
      <c r="CM944">
        <v>1911</v>
      </c>
    </row>
    <row r="945" spans="1:91" x14ac:dyDescent="0.3">
      <c r="A945" t="s">
        <v>1628</v>
      </c>
      <c r="B945">
        <v>47523</v>
      </c>
      <c r="C945" t="s">
        <v>1629</v>
      </c>
      <c r="D945">
        <v>12</v>
      </c>
      <c r="I945">
        <v>28000</v>
      </c>
      <c r="U945">
        <v>5</v>
      </c>
      <c r="Y945">
        <v>5</v>
      </c>
      <c r="AA945">
        <v>5</v>
      </c>
      <c r="AC945" s="3">
        <v>5</v>
      </c>
      <c r="AE945" s="3">
        <v>5</v>
      </c>
      <c r="AI945">
        <v>5</v>
      </c>
      <c r="AK945" s="3"/>
      <c r="AV945" t="s">
        <v>373</v>
      </c>
      <c r="AX945" t="s">
        <v>373</v>
      </c>
      <c r="AZ945" t="s">
        <v>373</v>
      </c>
      <c r="BB945" t="s">
        <v>373</v>
      </c>
      <c r="BO945" t="s">
        <v>367</v>
      </c>
      <c r="BS945" t="s">
        <v>385</v>
      </c>
      <c r="BT945">
        <v>6</v>
      </c>
      <c r="BU945">
        <v>0</v>
      </c>
      <c r="BV945">
        <v>0</v>
      </c>
      <c r="BX945">
        <v>5.25</v>
      </c>
      <c r="BZ945">
        <v>4.96</v>
      </c>
      <c r="CM945">
        <v>1911</v>
      </c>
    </row>
    <row r="946" spans="1:91" x14ac:dyDescent="0.3">
      <c r="A946" t="s">
        <v>1630</v>
      </c>
      <c r="B946">
        <v>47535</v>
      </c>
      <c r="D946">
        <v>12</v>
      </c>
      <c r="I946">
        <v>100000</v>
      </c>
      <c r="U946">
        <v>10</v>
      </c>
      <c r="Y946">
        <v>10</v>
      </c>
      <c r="AA946">
        <v>11.25</v>
      </c>
      <c r="AB946" t="s">
        <v>379</v>
      </c>
      <c r="AC946" s="3">
        <v>11.28</v>
      </c>
      <c r="AE946" s="3">
        <v>11</v>
      </c>
      <c r="AI946">
        <v>11.25</v>
      </c>
      <c r="AK946" s="3"/>
      <c r="AX946" t="s">
        <v>823</v>
      </c>
      <c r="BB946" t="s">
        <v>823</v>
      </c>
      <c r="BG946">
        <v>14</v>
      </c>
      <c r="BH946">
        <v>6</v>
      </c>
      <c r="BI946">
        <v>40</v>
      </c>
      <c r="BJ946">
        <v>6</v>
      </c>
      <c r="BK946" s="4">
        <v>3805</v>
      </c>
      <c r="BL946" s="4">
        <v>3988</v>
      </c>
      <c r="BM946" s="4">
        <v>4170</v>
      </c>
      <c r="BN946" s="4">
        <v>4353</v>
      </c>
      <c r="BR946">
        <v>201750</v>
      </c>
      <c r="BS946" t="s">
        <v>1631</v>
      </c>
      <c r="BT946">
        <v>7</v>
      </c>
      <c r="BU946">
        <v>2</v>
      </c>
      <c r="BV946">
        <v>3</v>
      </c>
      <c r="BX946">
        <v>14.06</v>
      </c>
      <c r="BZ946">
        <v>10.87</v>
      </c>
      <c r="CK946" t="s">
        <v>360</v>
      </c>
      <c r="CM946">
        <v>1911</v>
      </c>
    </row>
    <row r="947" spans="1:91" x14ac:dyDescent="0.3">
      <c r="A947" t="s">
        <v>1630</v>
      </c>
      <c r="B947">
        <v>47537</v>
      </c>
      <c r="C947" t="s">
        <v>1632</v>
      </c>
      <c r="D947">
        <v>12</v>
      </c>
      <c r="I947">
        <v>30000</v>
      </c>
      <c r="U947">
        <v>10</v>
      </c>
      <c r="Y947">
        <v>10</v>
      </c>
      <c r="AA947">
        <v>8.75</v>
      </c>
      <c r="AC947" s="3">
        <v>9.25</v>
      </c>
      <c r="AE947" s="3">
        <v>8.75</v>
      </c>
      <c r="AI947">
        <v>9.25</v>
      </c>
      <c r="AK947" s="3"/>
      <c r="AV947" t="s">
        <v>815</v>
      </c>
      <c r="AX947" t="s">
        <v>823</v>
      </c>
      <c r="BB947" t="s">
        <v>823</v>
      </c>
      <c r="BG947">
        <v>10</v>
      </c>
      <c r="BH947">
        <v>6</v>
      </c>
      <c r="BI947">
        <v>10</v>
      </c>
      <c r="BJ947">
        <v>6</v>
      </c>
      <c r="BK947" s="4">
        <v>3805</v>
      </c>
      <c r="BL947" s="4">
        <v>3988</v>
      </c>
      <c r="BM947" s="4">
        <v>4170</v>
      </c>
      <c r="BN947" s="4">
        <v>4353</v>
      </c>
      <c r="BR947">
        <v>201750</v>
      </c>
      <c r="BS947" t="s">
        <v>1631</v>
      </c>
      <c r="BT947">
        <v>8</v>
      </c>
      <c r="BU947">
        <v>13</v>
      </c>
      <c r="BV947">
        <v>0</v>
      </c>
      <c r="BX947">
        <v>11.25</v>
      </c>
      <c r="BZ947">
        <v>8.75</v>
      </c>
      <c r="CM947">
        <v>1911</v>
      </c>
    </row>
    <row r="948" spans="1:91" x14ac:dyDescent="0.3">
      <c r="A948" t="s">
        <v>1630</v>
      </c>
      <c r="B948">
        <v>47536</v>
      </c>
      <c r="C948" t="s">
        <v>818</v>
      </c>
      <c r="D948">
        <v>12</v>
      </c>
      <c r="I948">
        <v>400000</v>
      </c>
      <c r="J948" t="s">
        <v>800</v>
      </c>
      <c r="V948" t="s">
        <v>350</v>
      </c>
      <c r="Y948">
        <v>100</v>
      </c>
      <c r="AA948">
        <v>95</v>
      </c>
      <c r="AC948" s="3">
        <v>95</v>
      </c>
      <c r="AE948" s="3">
        <v>94</v>
      </c>
      <c r="AI948">
        <v>95</v>
      </c>
      <c r="AK948" s="3"/>
      <c r="AV948" t="s">
        <v>366</v>
      </c>
      <c r="AX948" t="s">
        <v>366</v>
      </c>
      <c r="AZ948" t="s">
        <v>366</v>
      </c>
      <c r="BB948" t="s">
        <v>366</v>
      </c>
      <c r="BO948" t="s">
        <v>367</v>
      </c>
      <c r="BR948">
        <v>201750</v>
      </c>
      <c r="BS948" t="s">
        <v>1631</v>
      </c>
      <c r="BT948">
        <v>4</v>
      </c>
      <c r="BU948">
        <v>4</v>
      </c>
      <c r="BV948">
        <v>9</v>
      </c>
      <c r="BX948">
        <v>101.5</v>
      </c>
      <c r="BZ948">
        <v>93.25</v>
      </c>
      <c r="CM948">
        <v>1911</v>
      </c>
    </row>
    <row r="949" spans="1:91" x14ac:dyDescent="0.3">
      <c r="A949" t="s">
        <v>1633</v>
      </c>
      <c r="B949">
        <v>47575</v>
      </c>
      <c r="D949">
        <v>12</v>
      </c>
      <c r="I949">
        <v>15000</v>
      </c>
      <c r="U949">
        <v>10</v>
      </c>
      <c r="Y949">
        <v>10</v>
      </c>
      <c r="AA949">
        <v>11.5</v>
      </c>
      <c r="AC949" s="3">
        <v>11.5</v>
      </c>
      <c r="AE949" s="3">
        <v>11.5</v>
      </c>
      <c r="AI949">
        <v>11.5</v>
      </c>
      <c r="AK949" s="3"/>
      <c r="AX949" t="s">
        <v>823</v>
      </c>
      <c r="BB949" t="s">
        <v>823</v>
      </c>
      <c r="BG949">
        <v>15</v>
      </c>
      <c r="BH949">
        <v>10</v>
      </c>
      <c r="BI949">
        <v>10</v>
      </c>
      <c r="BJ949">
        <v>10</v>
      </c>
      <c r="BK949" s="4">
        <v>3713</v>
      </c>
      <c r="BL949" s="4">
        <v>3897</v>
      </c>
      <c r="BM949" s="4">
        <v>4078</v>
      </c>
      <c r="BN949" s="4">
        <v>4262</v>
      </c>
      <c r="BR949">
        <v>21159</v>
      </c>
      <c r="BS949" t="s">
        <v>1634</v>
      </c>
      <c r="BT949">
        <v>8</v>
      </c>
      <c r="BU949">
        <v>14</v>
      </c>
      <c r="BV949">
        <v>0</v>
      </c>
      <c r="BX949">
        <v>13</v>
      </c>
      <c r="BZ949">
        <v>10.5</v>
      </c>
      <c r="CK949" t="s">
        <v>1471</v>
      </c>
      <c r="CM949">
        <v>1911</v>
      </c>
    </row>
    <row r="950" spans="1:91" x14ac:dyDescent="0.3">
      <c r="A950" t="s">
        <v>1635</v>
      </c>
      <c r="B950">
        <v>47574</v>
      </c>
      <c r="D950">
        <v>12</v>
      </c>
      <c r="I950">
        <v>20000</v>
      </c>
      <c r="U950">
        <v>10</v>
      </c>
      <c r="Y950">
        <v>10</v>
      </c>
      <c r="AA950">
        <v>10.5</v>
      </c>
      <c r="AC950" s="3">
        <v>10.5</v>
      </c>
      <c r="AE950" s="3">
        <v>10.5</v>
      </c>
      <c r="AI950">
        <v>10.5</v>
      </c>
      <c r="AK950" s="3"/>
      <c r="AX950" t="s">
        <v>823</v>
      </c>
      <c r="BB950" t="s">
        <v>823</v>
      </c>
      <c r="BG950">
        <v>10</v>
      </c>
      <c r="BH950">
        <v>7.5</v>
      </c>
      <c r="BI950">
        <v>7.5</v>
      </c>
      <c r="BJ950">
        <v>7.5</v>
      </c>
      <c r="BK950" s="4">
        <v>3713</v>
      </c>
      <c r="BL950" s="4">
        <v>3897</v>
      </c>
      <c r="BM950" s="4">
        <v>4078</v>
      </c>
      <c r="BN950" s="4">
        <v>4262</v>
      </c>
      <c r="BR950">
        <v>21159</v>
      </c>
      <c r="BS950" t="s">
        <v>1634</v>
      </c>
      <c r="BT950">
        <v>7</v>
      </c>
      <c r="BU950">
        <v>2</v>
      </c>
      <c r="BV950">
        <v>9</v>
      </c>
      <c r="BX950">
        <v>10.75</v>
      </c>
      <c r="BZ950">
        <v>10.119999999999999</v>
      </c>
      <c r="CM950">
        <v>1911</v>
      </c>
    </row>
    <row r="951" spans="1:91" x14ac:dyDescent="0.3">
      <c r="A951" t="s">
        <v>1636</v>
      </c>
      <c r="B951">
        <v>47743</v>
      </c>
      <c r="D951">
        <v>12</v>
      </c>
      <c r="I951">
        <v>825000</v>
      </c>
      <c r="U951">
        <v>1</v>
      </c>
      <c r="Y951">
        <v>1</v>
      </c>
      <c r="AA951">
        <v>2.37</v>
      </c>
      <c r="AC951" s="3">
        <v>2.5</v>
      </c>
      <c r="AE951" s="3">
        <v>2.37</v>
      </c>
      <c r="AI951">
        <v>2.5</v>
      </c>
      <c r="AK951" s="3"/>
      <c r="AX951" t="s">
        <v>823</v>
      </c>
      <c r="BB951" t="s">
        <v>823</v>
      </c>
      <c r="BG951">
        <v>20</v>
      </c>
      <c r="BH951">
        <v>10</v>
      </c>
      <c r="BI951">
        <v>30</v>
      </c>
      <c r="BJ951">
        <v>10</v>
      </c>
      <c r="BK951" s="4">
        <v>3713</v>
      </c>
      <c r="BL951" s="4">
        <v>3897</v>
      </c>
      <c r="BM951" s="4">
        <v>4078</v>
      </c>
      <c r="BN951" s="4">
        <v>4262</v>
      </c>
      <c r="BR951">
        <v>902517</v>
      </c>
      <c r="BS951" t="s">
        <v>1637</v>
      </c>
      <c r="BT951">
        <v>8</v>
      </c>
      <c r="BU951">
        <v>0</v>
      </c>
      <c r="BV951">
        <v>0</v>
      </c>
      <c r="BX951">
        <v>2.75</v>
      </c>
      <c r="BZ951">
        <v>2.25</v>
      </c>
      <c r="CM951">
        <v>1911</v>
      </c>
    </row>
    <row r="952" spans="1:91" x14ac:dyDescent="0.3">
      <c r="A952" t="s">
        <v>1636</v>
      </c>
      <c r="B952">
        <v>47748</v>
      </c>
      <c r="C952" t="s">
        <v>902</v>
      </c>
      <c r="D952">
        <v>12</v>
      </c>
      <c r="I952">
        <v>31159</v>
      </c>
      <c r="U952">
        <v>5</v>
      </c>
      <c r="Y952">
        <v>5</v>
      </c>
      <c r="AA952">
        <v>6.37</v>
      </c>
      <c r="AC952" s="3">
        <v>6.37</v>
      </c>
      <c r="AE952" s="3">
        <v>6.37</v>
      </c>
      <c r="AI952">
        <v>6.37</v>
      </c>
      <c r="AK952" s="3"/>
      <c r="AV952" t="s">
        <v>373</v>
      </c>
      <c r="AX952" t="s">
        <v>373</v>
      </c>
      <c r="AZ952" t="s">
        <v>373</v>
      </c>
      <c r="BB952" t="s">
        <v>373</v>
      </c>
      <c r="BO952" t="s">
        <v>367</v>
      </c>
      <c r="BR952">
        <v>902517</v>
      </c>
      <c r="BS952" t="s">
        <v>1637</v>
      </c>
      <c r="BT952">
        <v>4</v>
      </c>
      <c r="BU952">
        <v>14</v>
      </c>
      <c r="BV952">
        <v>0</v>
      </c>
      <c r="BX952">
        <v>6.75</v>
      </c>
      <c r="BZ952">
        <v>5.87</v>
      </c>
      <c r="CM952">
        <v>1911</v>
      </c>
    </row>
    <row r="953" spans="1:91" x14ac:dyDescent="0.3">
      <c r="A953" t="s">
        <v>1638</v>
      </c>
      <c r="B953">
        <v>47937</v>
      </c>
      <c r="D953">
        <v>12</v>
      </c>
      <c r="I953">
        <v>631250</v>
      </c>
      <c r="U953">
        <v>1</v>
      </c>
      <c r="Y953">
        <v>1</v>
      </c>
      <c r="AA953">
        <v>0.46</v>
      </c>
      <c r="AC953" s="3">
        <v>0.46</v>
      </c>
      <c r="AE953" s="3">
        <v>0.46</v>
      </c>
      <c r="AI953">
        <v>0.46</v>
      </c>
      <c r="AK953" s="3"/>
      <c r="AV953" t="s">
        <v>385</v>
      </c>
      <c r="AX953" t="s">
        <v>385</v>
      </c>
      <c r="AZ953" t="s">
        <v>385</v>
      </c>
      <c r="BB953" t="s">
        <v>385</v>
      </c>
      <c r="BS953" t="s">
        <v>385</v>
      </c>
      <c r="BW953" t="s">
        <v>802</v>
      </c>
      <c r="BX953">
        <v>1.18</v>
      </c>
      <c r="BZ953">
        <v>0.43</v>
      </c>
      <c r="CM953">
        <v>1911</v>
      </c>
    </row>
    <row r="954" spans="1:91" x14ac:dyDescent="0.3">
      <c r="A954" t="s">
        <v>1639</v>
      </c>
      <c r="B954">
        <v>48006</v>
      </c>
      <c r="D954">
        <v>12</v>
      </c>
      <c r="I954">
        <v>126938</v>
      </c>
      <c r="U954">
        <v>5</v>
      </c>
      <c r="Y954">
        <v>5</v>
      </c>
      <c r="AA954">
        <v>2.31</v>
      </c>
      <c r="AC954" s="3">
        <v>2.37</v>
      </c>
      <c r="AE954" s="3">
        <v>2.31</v>
      </c>
      <c r="AI954">
        <v>2.31</v>
      </c>
      <c r="AK954" s="3"/>
      <c r="AX954" t="s">
        <v>815</v>
      </c>
      <c r="AZ954" t="s">
        <v>823</v>
      </c>
      <c r="BG954">
        <v>3</v>
      </c>
      <c r="BH954">
        <v>1</v>
      </c>
      <c r="BI954">
        <v>1</v>
      </c>
      <c r="BJ954">
        <v>3</v>
      </c>
      <c r="BK954" s="4">
        <v>3105</v>
      </c>
      <c r="BL954" s="4">
        <v>3835</v>
      </c>
      <c r="BM954" s="4">
        <v>4019</v>
      </c>
      <c r="BN954" s="4">
        <v>4200</v>
      </c>
      <c r="BR954">
        <v>153415</v>
      </c>
      <c r="BS954" t="s">
        <v>1640</v>
      </c>
      <c r="BT954">
        <v>4</v>
      </c>
      <c r="BU954">
        <v>6</v>
      </c>
      <c r="BV954">
        <v>6</v>
      </c>
      <c r="BX954">
        <v>2.5</v>
      </c>
      <c r="BZ954">
        <v>2.09</v>
      </c>
      <c r="CK954" t="s">
        <v>1641</v>
      </c>
      <c r="CM954">
        <v>1911</v>
      </c>
    </row>
    <row r="955" spans="1:91" x14ac:dyDescent="0.3">
      <c r="A955" t="s">
        <v>1639</v>
      </c>
      <c r="B955">
        <v>48007</v>
      </c>
      <c r="C955" t="s">
        <v>1642</v>
      </c>
      <c r="D955">
        <v>12</v>
      </c>
      <c r="I955">
        <v>73062</v>
      </c>
      <c r="U955">
        <v>5</v>
      </c>
      <c r="Y955">
        <v>5</v>
      </c>
      <c r="AA955">
        <v>2.1800000000000002</v>
      </c>
      <c r="AC955" s="3">
        <v>2.31</v>
      </c>
      <c r="AE955" s="3">
        <v>2.1800000000000002</v>
      </c>
      <c r="AI955">
        <v>2.25</v>
      </c>
      <c r="AK955" s="3"/>
      <c r="AX955" t="s">
        <v>815</v>
      </c>
      <c r="AZ955" t="s">
        <v>823</v>
      </c>
      <c r="BG955">
        <v>3</v>
      </c>
      <c r="BH955">
        <v>1</v>
      </c>
      <c r="BI955">
        <v>1</v>
      </c>
      <c r="BJ955">
        <v>3</v>
      </c>
      <c r="BK955" s="4">
        <v>3105</v>
      </c>
      <c r="BL955" s="4">
        <v>3835</v>
      </c>
      <c r="BM955" s="4">
        <v>4019</v>
      </c>
      <c r="BN955" s="4">
        <v>4200</v>
      </c>
      <c r="BR955">
        <v>153415</v>
      </c>
      <c r="BS955" t="s">
        <v>1640</v>
      </c>
      <c r="BT955">
        <v>4</v>
      </c>
      <c r="BU955">
        <v>9</v>
      </c>
      <c r="BV955">
        <v>0</v>
      </c>
      <c r="BX955">
        <v>2.4300000000000002</v>
      </c>
      <c r="BZ955">
        <v>2</v>
      </c>
      <c r="CM955">
        <v>1911</v>
      </c>
    </row>
    <row r="956" spans="1:91" x14ac:dyDescent="0.3">
      <c r="A956" t="s">
        <v>1643</v>
      </c>
      <c r="B956">
        <v>48035</v>
      </c>
      <c r="D956">
        <v>12</v>
      </c>
      <c r="I956">
        <v>350000</v>
      </c>
      <c r="U956">
        <v>1</v>
      </c>
      <c r="Y956">
        <v>1</v>
      </c>
      <c r="AA956">
        <v>0.18</v>
      </c>
      <c r="AC956" s="3">
        <v>0.25</v>
      </c>
      <c r="AE956" s="3">
        <v>0.18</v>
      </c>
      <c r="AI956">
        <v>0.25</v>
      </c>
      <c r="AK956" s="3"/>
      <c r="BB956" t="s">
        <v>810</v>
      </c>
      <c r="BG956">
        <v>6</v>
      </c>
      <c r="BH956">
        <v>6</v>
      </c>
      <c r="BI956">
        <v>4</v>
      </c>
      <c r="BK956" s="4">
        <v>2132</v>
      </c>
      <c r="BL956" s="4">
        <v>2497</v>
      </c>
      <c r="BM956" s="4">
        <v>2862</v>
      </c>
      <c r="BR956">
        <v>54538</v>
      </c>
      <c r="BS956" t="s">
        <v>1644</v>
      </c>
      <c r="BW956" t="s">
        <v>802</v>
      </c>
      <c r="BX956">
        <v>0.37</v>
      </c>
      <c r="BZ956">
        <v>0.18</v>
      </c>
      <c r="CK956" t="s">
        <v>360</v>
      </c>
      <c r="CM956">
        <v>1911</v>
      </c>
    </row>
    <row r="957" spans="1:91" x14ac:dyDescent="0.3">
      <c r="A957" t="s">
        <v>1643</v>
      </c>
      <c r="B957">
        <v>48037</v>
      </c>
      <c r="C957" t="s">
        <v>844</v>
      </c>
      <c r="D957">
        <v>12</v>
      </c>
      <c r="I957">
        <v>350000</v>
      </c>
      <c r="U957">
        <v>1</v>
      </c>
      <c r="Y957">
        <v>1</v>
      </c>
      <c r="AA957">
        <v>0.37</v>
      </c>
      <c r="AC957" s="3">
        <v>0.5</v>
      </c>
      <c r="AE957" s="3">
        <v>0.37</v>
      </c>
      <c r="AI957">
        <v>0.5</v>
      </c>
      <c r="AK957" s="3"/>
      <c r="BB957" t="s">
        <v>810</v>
      </c>
      <c r="BG957">
        <v>6</v>
      </c>
      <c r="BH957">
        <v>6</v>
      </c>
      <c r="BI957">
        <v>6</v>
      </c>
      <c r="BK957" s="4">
        <v>2678</v>
      </c>
      <c r="BL957" s="4">
        <v>2862</v>
      </c>
      <c r="BM957" s="4">
        <v>3044</v>
      </c>
      <c r="BR957">
        <v>54538</v>
      </c>
      <c r="BS957" t="s">
        <v>1644</v>
      </c>
      <c r="BW957" t="s">
        <v>802</v>
      </c>
      <c r="BX957">
        <v>0.68</v>
      </c>
      <c r="BZ957">
        <v>0.34</v>
      </c>
      <c r="CM957">
        <v>1911</v>
      </c>
    </row>
    <row r="958" spans="1:91" x14ac:dyDescent="0.3">
      <c r="A958" t="s">
        <v>1643</v>
      </c>
      <c r="B958">
        <v>48036</v>
      </c>
      <c r="C958" t="s">
        <v>1645</v>
      </c>
      <c r="D958">
        <v>12</v>
      </c>
      <c r="I958">
        <v>350000</v>
      </c>
      <c r="J958" t="s">
        <v>800</v>
      </c>
      <c r="V958" t="s">
        <v>350</v>
      </c>
      <c r="Y958">
        <v>100</v>
      </c>
      <c r="AA958">
        <v>70.5</v>
      </c>
      <c r="AC958" s="3">
        <v>70.5</v>
      </c>
      <c r="AE958" s="3">
        <v>68.5</v>
      </c>
      <c r="AI958">
        <v>68.5</v>
      </c>
      <c r="AJ958" t="s">
        <v>379</v>
      </c>
      <c r="AK958" s="3"/>
      <c r="AV958" t="s">
        <v>370</v>
      </c>
      <c r="AX958" t="s">
        <v>370</v>
      </c>
      <c r="AZ958" t="s">
        <v>370</v>
      </c>
      <c r="BB958" t="s">
        <v>370</v>
      </c>
      <c r="BO958" t="s">
        <v>367</v>
      </c>
      <c r="BR958">
        <v>54538</v>
      </c>
      <c r="BS958" t="s">
        <v>1644</v>
      </c>
      <c r="BT958">
        <v>6</v>
      </c>
      <c r="BU958">
        <v>11</v>
      </c>
      <c r="BV958">
        <v>6</v>
      </c>
      <c r="BX958">
        <v>80</v>
      </c>
      <c r="BZ958">
        <v>68.5</v>
      </c>
      <c r="CM958">
        <v>1911</v>
      </c>
    </row>
    <row r="959" spans="1:91" x14ac:dyDescent="0.3">
      <c r="A959" t="s">
        <v>1646</v>
      </c>
      <c r="B959">
        <v>48046</v>
      </c>
      <c r="D959">
        <v>12</v>
      </c>
      <c r="I959">
        <v>90000</v>
      </c>
      <c r="U959">
        <v>5</v>
      </c>
      <c r="Y959">
        <v>5</v>
      </c>
      <c r="AA959">
        <v>3.5</v>
      </c>
      <c r="AC959" s="3">
        <v>3.56</v>
      </c>
      <c r="AE959" s="3">
        <v>3.5</v>
      </c>
      <c r="AI959">
        <v>3.5</v>
      </c>
      <c r="AK959" s="3"/>
      <c r="BG959">
        <v>4.5</v>
      </c>
      <c r="BH959">
        <v>4.5</v>
      </c>
      <c r="BI959">
        <v>4.5</v>
      </c>
      <c r="BJ959">
        <v>4.5</v>
      </c>
      <c r="BK959" s="4">
        <v>3744</v>
      </c>
      <c r="BL959" s="4">
        <v>3927</v>
      </c>
      <c r="BM959" s="4">
        <v>4109</v>
      </c>
      <c r="BN959" s="4">
        <v>4292</v>
      </c>
      <c r="BS959" t="s">
        <v>385</v>
      </c>
      <c r="BT959">
        <v>6</v>
      </c>
      <c r="BU959">
        <v>8</v>
      </c>
      <c r="BV959">
        <v>6</v>
      </c>
      <c r="BX959">
        <v>3.56</v>
      </c>
      <c r="BZ959">
        <v>2.87</v>
      </c>
      <c r="CM959">
        <v>1911</v>
      </c>
    </row>
    <row r="960" spans="1:91" x14ac:dyDescent="0.3">
      <c r="A960" t="s">
        <v>1647</v>
      </c>
      <c r="B960">
        <v>48270</v>
      </c>
      <c r="D960">
        <v>12</v>
      </c>
      <c r="I960">
        <v>35000</v>
      </c>
      <c r="U960">
        <v>10</v>
      </c>
      <c r="Y960">
        <v>10</v>
      </c>
      <c r="AA960">
        <v>10.5</v>
      </c>
      <c r="AC960" s="3">
        <v>10.75</v>
      </c>
      <c r="AE960" s="3">
        <v>10.5</v>
      </c>
      <c r="AI960">
        <v>10.62</v>
      </c>
      <c r="AK960" s="3"/>
      <c r="AX960" t="s">
        <v>823</v>
      </c>
      <c r="BB960" t="s">
        <v>823</v>
      </c>
      <c r="BG960">
        <v>11</v>
      </c>
      <c r="BH960">
        <v>5</v>
      </c>
      <c r="BI960">
        <v>11</v>
      </c>
      <c r="BJ960">
        <v>5</v>
      </c>
      <c r="BK960" s="4">
        <v>3805</v>
      </c>
      <c r="BL960" s="4">
        <v>3988</v>
      </c>
      <c r="BM960" s="4">
        <v>4170</v>
      </c>
      <c r="BN960" s="4">
        <v>4353</v>
      </c>
      <c r="BR960">
        <v>113703</v>
      </c>
      <c r="BS960" t="s">
        <v>1648</v>
      </c>
      <c r="BT960">
        <v>7</v>
      </c>
      <c r="BU960">
        <v>11</v>
      </c>
      <c r="BV960">
        <v>0</v>
      </c>
      <c r="BX960">
        <v>11.25</v>
      </c>
      <c r="BZ960">
        <v>10.18</v>
      </c>
      <c r="CK960" t="s">
        <v>541</v>
      </c>
      <c r="CM960">
        <v>1911</v>
      </c>
    </row>
    <row r="961" spans="1:91" x14ac:dyDescent="0.3">
      <c r="A961" t="s">
        <v>1647</v>
      </c>
      <c r="B961">
        <v>48274</v>
      </c>
      <c r="C961" t="s">
        <v>817</v>
      </c>
      <c r="D961">
        <v>12</v>
      </c>
      <c r="I961">
        <v>350000</v>
      </c>
      <c r="U961">
        <v>1</v>
      </c>
      <c r="Y961">
        <v>1</v>
      </c>
      <c r="AA961">
        <v>0.96</v>
      </c>
      <c r="AC961" s="3">
        <v>1</v>
      </c>
      <c r="AE961" s="3">
        <v>0.96</v>
      </c>
      <c r="AI961">
        <v>1</v>
      </c>
      <c r="AJ961" t="s">
        <v>379</v>
      </c>
      <c r="AK961" s="3"/>
      <c r="AV961" t="s">
        <v>370</v>
      </c>
      <c r="AX961" t="s">
        <v>370</v>
      </c>
      <c r="AZ961" t="s">
        <v>370</v>
      </c>
      <c r="BB961" t="s">
        <v>370</v>
      </c>
      <c r="BO961" t="s">
        <v>367</v>
      </c>
      <c r="BR961">
        <v>113703</v>
      </c>
      <c r="BS961" t="s">
        <v>1648</v>
      </c>
      <c r="BT961">
        <v>5</v>
      </c>
      <c r="BU961">
        <v>0</v>
      </c>
      <c r="BV961">
        <v>0</v>
      </c>
      <c r="BX961">
        <v>1</v>
      </c>
      <c r="BZ961">
        <v>0.96</v>
      </c>
      <c r="CM961">
        <v>1911</v>
      </c>
    </row>
    <row r="962" spans="1:91" x14ac:dyDescent="0.3">
      <c r="A962" t="s">
        <v>1647</v>
      </c>
      <c r="B962">
        <v>48273</v>
      </c>
      <c r="C962" t="s">
        <v>684</v>
      </c>
      <c r="D962">
        <v>12</v>
      </c>
      <c r="I962">
        <v>250000</v>
      </c>
      <c r="J962" t="s">
        <v>800</v>
      </c>
      <c r="U962">
        <v>100</v>
      </c>
      <c r="Y962">
        <v>100</v>
      </c>
      <c r="AA962">
        <v>94</v>
      </c>
      <c r="AC962" s="3">
        <v>94</v>
      </c>
      <c r="AE962" s="3">
        <v>92</v>
      </c>
      <c r="AI962">
        <v>92</v>
      </c>
      <c r="AJ962" t="s">
        <v>379</v>
      </c>
      <c r="AK962" s="3"/>
      <c r="AV962" t="s">
        <v>370</v>
      </c>
      <c r="AX962" t="s">
        <v>370</v>
      </c>
      <c r="AZ962" t="s">
        <v>370</v>
      </c>
      <c r="BB962" t="s">
        <v>370</v>
      </c>
      <c r="BO962" t="s">
        <v>367</v>
      </c>
      <c r="BR962">
        <v>113703</v>
      </c>
      <c r="BS962" t="s">
        <v>1648</v>
      </c>
      <c r="BT962">
        <v>4</v>
      </c>
      <c r="BU962">
        <v>7</v>
      </c>
      <c r="BV962">
        <v>0</v>
      </c>
      <c r="BX962">
        <v>95</v>
      </c>
      <c r="BZ962">
        <v>89.5</v>
      </c>
      <c r="CM962">
        <v>1911</v>
      </c>
    </row>
    <row r="963" spans="1:91" x14ac:dyDescent="0.3">
      <c r="A963" t="s">
        <v>1649</v>
      </c>
      <c r="B963">
        <v>48482</v>
      </c>
      <c r="D963">
        <v>12</v>
      </c>
      <c r="I963">
        <v>275000</v>
      </c>
      <c r="U963">
        <v>1</v>
      </c>
      <c r="Y963">
        <v>1</v>
      </c>
      <c r="AA963">
        <v>0.37</v>
      </c>
      <c r="AC963" s="3">
        <v>0.37</v>
      </c>
      <c r="AE963" s="3">
        <v>0.37</v>
      </c>
      <c r="AI963">
        <v>0.37</v>
      </c>
      <c r="AK963" s="3"/>
      <c r="BB963" t="s">
        <v>810</v>
      </c>
      <c r="BG963">
        <v>10</v>
      </c>
      <c r="BH963">
        <v>5</v>
      </c>
      <c r="BI963">
        <v>7</v>
      </c>
      <c r="BK963" s="4">
        <v>2801</v>
      </c>
      <c r="BL963" s="4">
        <v>2983</v>
      </c>
      <c r="BM963" s="4">
        <v>3167</v>
      </c>
      <c r="BR963">
        <v>175331</v>
      </c>
      <c r="BS963" t="s">
        <v>1650</v>
      </c>
      <c r="BW963" t="s">
        <v>802</v>
      </c>
      <c r="BX963">
        <v>0.68</v>
      </c>
      <c r="BZ963">
        <v>0.37</v>
      </c>
      <c r="CK963" t="s">
        <v>1651</v>
      </c>
      <c r="CM963">
        <v>1911</v>
      </c>
    </row>
    <row r="964" spans="1:91" x14ac:dyDescent="0.3">
      <c r="A964" t="s">
        <v>1649</v>
      </c>
      <c r="B964">
        <v>48483</v>
      </c>
      <c r="C964" t="s">
        <v>844</v>
      </c>
      <c r="D964">
        <v>12</v>
      </c>
      <c r="I964">
        <v>300000</v>
      </c>
      <c r="U964">
        <v>1</v>
      </c>
      <c r="Y964">
        <v>1</v>
      </c>
      <c r="AA964">
        <v>0.81</v>
      </c>
      <c r="AC964" s="3">
        <v>0.81</v>
      </c>
      <c r="AE964" s="3">
        <v>0.81</v>
      </c>
      <c r="AI964">
        <v>0.81</v>
      </c>
      <c r="AK964" s="3"/>
      <c r="AV964" t="s">
        <v>815</v>
      </c>
      <c r="AZ964" t="s">
        <v>1652</v>
      </c>
      <c r="BG964">
        <v>6</v>
      </c>
      <c r="BH964">
        <v>6</v>
      </c>
      <c r="BI964">
        <v>6</v>
      </c>
      <c r="BJ964">
        <v>6</v>
      </c>
      <c r="BK964" s="4">
        <v>3897</v>
      </c>
      <c r="BL964" s="4">
        <v>4078</v>
      </c>
      <c r="BM964" s="4">
        <v>4262</v>
      </c>
      <c r="BR964">
        <v>175331</v>
      </c>
      <c r="BS964" t="s">
        <v>1650</v>
      </c>
      <c r="BT964">
        <v>7</v>
      </c>
      <c r="BU964">
        <v>7</v>
      </c>
      <c r="BV964">
        <v>9</v>
      </c>
      <c r="BX964">
        <v>0.87</v>
      </c>
      <c r="BZ964">
        <v>0.81</v>
      </c>
      <c r="CM964">
        <v>1911</v>
      </c>
    </row>
    <row r="965" spans="1:91" x14ac:dyDescent="0.3">
      <c r="A965" t="s">
        <v>1653</v>
      </c>
      <c r="B965">
        <v>48618</v>
      </c>
      <c r="D965">
        <v>12</v>
      </c>
      <c r="I965">
        <v>100000</v>
      </c>
      <c r="U965">
        <v>1</v>
      </c>
      <c r="Y965">
        <v>1</v>
      </c>
      <c r="AA965">
        <v>1.43</v>
      </c>
      <c r="AC965" s="3">
        <v>1.43</v>
      </c>
      <c r="AE965" s="3">
        <v>1.43</v>
      </c>
      <c r="AI965">
        <v>1.43</v>
      </c>
      <c r="AK965" s="3"/>
      <c r="AV965" t="s">
        <v>815</v>
      </c>
      <c r="AX965" t="s">
        <v>815</v>
      </c>
      <c r="AZ965" t="s">
        <v>815</v>
      </c>
      <c r="BB965" t="s">
        <v>815</v>
      </c>
      <c r="BG965">
        <v>6</v>
      </c>
      <c r="BH965">
        <v>7.5</v>
      </c>
      <c r="BI965">
        <v>10</v>
      </c>
      <c r="BJ965">
        <v>10</v>
      </c>
      <c r="BK965" s="4">
        <v>3167</v>
      </c>
      <c r="BL965" s="4">
        <v>3532</v>
      </c>
      <c r="BM965" s="4">
        <v>3897</v>
      </c>
      <c r="BN965" s="4">
        <v>4262</v>
      </c>
      <c r="BR965">
        <v>7987</v>
      </c>
      <c r="BT965">
        <v>6</v>
      </c>
      <c r="BU965">
        <v>19</v>
      </c>
      <c r="BV965">
        <v>3</v>
      </c>
      <c r="BX965">
        <v>1.65</v>
      </c>
      <c r="BZ965">
        <v>1.37</v>
      </c>
      <c r="CK965" t="s">
        <v>541</v>
      </c>
      <c r="CM965">
        <v>1911</v>
      </c>
    </row>
    <row r="966" spans="1:91" x14ac:dyDescent="0.3">
      <c r="A966" t="s">
        <v>1654</v>
      </c>
      <c r="B966">
        <v>48668</v>
      </c>
      <c r="D966">
        <v>12</v>
      </c>
      <c r="I966">
        <v>549700</v>
      </c>
      <c r="U966">
        <v>1</v>
      </c>
      <c r="Y966">
        <v>1</v>
      </c>
      <c r="AA966">
        <v>1.43</v>
      </c>
      <c r="AC966" s="3">
        <v>1.46</v>
      </c>
      <c r="AE966" s="3">
        <v>1.43</v>
      </c>
      <c r="AI966">
        <v>1.46</v>
      </c>
      <c r="AK966" s="3"/>
      <c r="AV966" t="s">
        <v>815</v>
      </c>
      <c r="AX966" t="s">
        <v>823</v>
      </c>
      <c r="AZ966" t="s">
        <v>823</v>
      </c>
      <c r="BB966" t="s">
        <v>815</v>
      </c>
      <c r="BG966">
        <v>7.5</v>
      </c>
      <c r="BH966">
        <v>2.5</v>
      </c>
      <c r="BI966">
        <v>2.5</v>
      </c>
      <c r="BJ966">
        <v>5</v>
      </c>
      <c r="BK966" t="s">
        <v>1261</v>
      </c>
      <c r="BL966" s="4">
        <v>4050</v>
      </c>
      <c r="BM966" s="4">
        <v>4170</v>
      </c>
      <c r="BN966" s="4">
        <v>4262</v>
      </c>
      <c r="BR966">
        <v>140056</v>
      </c>
      <c r="BS966" t="s">
        <v>1655</v>
      </c>
      <c r="BT966">
        <v>6</v>
      </c>
      <c r="BU966">
        <v>19</v>
      </c>
      <c r="BV966">
        <v>3</v>
      </c>
      <c r="BX966">
        <v>1.53</v>
      </c>
      <c r="BZ966">
        <v>1.4</v>
      </c>
      <c r="CK966" t="s">
        <v>1656</v>
      </c>
      <c r="CM966">
        <v>1911</v>
      </c>
    </row>
    <row r="967" spans="1:91" x14ac:dyDescent="0.3">
      <c r="A967" t="s">
        <v>1654</v>
      </c>
      <c r="B967">
        <v>48667</v>
      </c>
      <c r="C967" t="s">
        <v>1657</v>
      </c>
      <c r="D967">
        <v>12</v>
      </c>
      <c r="I967">
        <v>112275</v>
      </c>
      <c r="U967">
        <v>1</v>
      </c>
      <c r="Y967">
        <v>1</v>
      </c>
      <c r="AA967">
        <v>1.5</v>
      </c>
      <c r="AC967" s="3">
        <v>1.53</v>
      </c>
      <c r="AE967" s="3">
        <v>1.5</v>
      </c>
      <c r="AI967">
        <v>1.53</v>
      </c>
      <c r="AK967" s="3"/>
      <c r="AV967" t="s">
        <v>1658</v>
      </c>
      <c r="AX967" t="s">
        <v>1658</v>
      </c>
      <c r="AZ967" t="s">
        <v>1658</v>
      </c>
      <c r="BB967" t="s">
        <v>815</v>
      </c>
      <c r="BG967">
        <v>7.5</v>
      </c>
      <c r="BH967">
        <v>2.5</v>
      </c>
      <c r="BI967">
        <v>2.5</v>
      </c>
      <c r="BJ967">
        <v>5</v>
      </c>
      <c r="BK967" t="s">
        <v>1261</v>
      </c>
      <c r="BL967" s="4">
        <v>4050</v>
      </c>
      <c r="BM967" s="4">
        <v>4170</v>
      </c>
      <c r="BN967" s="4">
        <v>4262</v>
      </c>
      <c r="BR967">
        <v>140056</v>
      </c>
      <c r="BS967" t="s">
        <v>1655</v>
      </c>
      <c r="BT967">
        <v>6</v>
      </c>
      <c r="BU967">
        <v>10</v>
      </c>
      <c r="BV967">
        <v>9</v>
      </c>
      <c r="BX967">
        <v>1.59</v>
      </c>
      <c r="BZ967">
        <v>1.46</v>
      </c>
      <c r="CM967">
        <v>1911</v>
      </c>
    </row>
    <row r="968" spans="1:91" x14ac:dyDescent="0.3">
      <c r="A968" t="s">
        <v>1654</v>
      </c>
      <c r="B968">
        <v>48662</v>
      </c>
      <c r="C968" t="s">
        <v>1659</v>
      </c>
      <c r="D968">
        <v>12</v>
      </c>
      <c r="I968">
        <v>137725</v>
      </c>
      <c r="U968">
        <v>1</v>
      </c>
      <c r="Z968" t="s">
        <v>1660</v>
      </c>
      <c r="AA968">
        <v>0.59</v>
      </c>
      <c r="AC968" s="3">
        <v>0.59</v>
      </c>
      <c r="AE968" s="3">
        <v>0.59</v>
      </c>
      <c r="AI968">
        <v>0.59</v>
      </c>
      <c r="AK968" s="3"/>
      <c r="AV968" t="s">
        <v>815</v>
      </c>
      <c r="AX968" t="s">
        <v>1658</v>
      </c>
      <c r="AZ968" t="s">
        <v>1658</v>
      </c>
      <c r="BB968" t="s">
        <v>815</v>
      </c>
      <c r="BG968">
        <v>7.5</v>
      </c>
      <c r="BH968">
        <v>2.5</v>
      </c>
      <c r="BI968">
        <v>2.5</v>
      </c>
      <c r="BJ968">
        <v>5</v>
      </c>
      <c r="BK968" t="s">
        <v>1261</v>
      </c>
      <c r="BL968" s="4">
        <v>4050</v>
      </c>
      <c r="BM968" s="4">
        <v>4170</v>
      </c>
      <c r="BN968" s="4">
        <v>4262</v>
      </c>
      <c r="BR968">
        <v>140056</v>
      </c>
      <c r="BS968" t="s">
        <v>1655</v>
      </c>
      <c r="BT968">
        <v>6</v>
      </c>
      <c r="BU968">
        <v>14</v>
      </c>
      <c r="BV968">
        <v>6</v>
      </c>
      <c r="BX968">
        <v>0.59</v>
      </c>
      <c r="BZ968">
        <v>0.56000000000000005</v>
      </c>
      <c r="CM968">
        <v>1911</v>
      </c>
    </row>
    <row r="969" spans="1:91" x14ac:dyDescent="0.3">
      <c r="A969" t="s">
        <v>1661</v>
      </c>
      <c r="B969">
        <v>48764</v>
      </c>
      <c r="D969">
        <v>12</v>
      </c>
      <c r="I969">
        <v>82700</v>
      </c>
      <c r="J969" t="s">
        <v>800</v>
      </c>
      <c r="U969">
        <v>100</v>
      </c>
      <c r="Y969">
        <v>100</v>
      </c>
      <c r="AA969">
        <v>94</v>
      </c>
      <c r="AC969" s="3">
        <v>94</v>
      </c>
      <c r="AE969" s="3">
        <v>94</v>
      </c>
      <c r="AI969">
        <v>94</v>
      </c>
      <c r="AK969" s="3"/>
      <c r="AV969" t="s">
        <v>370</v>
      </c>
      <c r="AX969" t="s">
        <v>370</v>
      </c>
      <c r="AZ969" t="s">
        <v>370</v>
      </c>
      <c r="BB969" t="s">
        <v>370</v>
      </c>
      <c r="BO969" t="s">
        <v>367</v>
      </c>
      <c r="BS969" t="s">
        <v>385</v>
      </c>
      <c r="BT969">
        <v>5</v>
      </c>
      <c r="BU969">
        <v>9</v>
      </c>
      <c r="BV969">
        <v>0</v>
      </c>
      <c r="BX969">
        <v>98</v>
      </c>
      <c r="BZ969">
        <v>92.5</v>
      </c>
      <c r="CK969" t="s">
        <v>558</v>
      </c>
      <c r="CM969">
        <v>1911</v>
      </c>
    </row>
    <row r="970" spans="1:91" x14ac:dyDescent="0.3">
      <c r="A970" t="s">
        <v>1661</v>
      </c>
      <c r="B970">
        <v>48765</v>
      </c>
      <c r="C970" t="s">
        <v>1662</v>
      </c>
      <c r="D970">
        <v>12</v>
      </c>
      <c r="I970">
        <v>77200</v>
      </c>
      <c r="J970" t="s">
        <v>800</v>
      </c>
      <c r="U970">
        <v>100</v>
      </c>
      <c r="Y970">
        <v>100</v>
      </c>
      <c r="AA970">
        <v>98</v>
      </c>
      <c r="AC970" s="3">
        <v>98</v>
      </c>
      <c r="AE970" s="3">
        <v>98</v>
      </c>
      <c r="AI970">
        <v>98</v>
      </c>
      <c r="AK970" s="3"/>
      <c r="AV970" t="s">
        <v>370</v>
      </c>
      <c r="AX970" t="s">
        <v>370</v>
      </c>
      <c r="AZ970" t="s">
        <v>370</v>
      </c>
      <c r="BB970" t="s">
        <v>370</v>
      </c>
      <c r="BO970" t="s">
        <v>367</v>
      </c>
      <c r="BS970" t="s">
        <v>385</v>
      </c>
      <c r="BT970">
        <v>6</v>
      </c>
      <c r="BU970">
        <v>4</v>
      </c>
      <c r="BV970">
        <v>0</v>
      </c>
      <c r="BX970">
        <v>99.5</v>
      </c>
      <c r="BZ970">
        <v>94.5</v>
      </c>
      <c r="CM970">
        <v>1911</v>
      </c>
    </row>
    <row r="971" spans="1:91" x14ac:dyDescent="0.3">
      <c r="A971" t="s">
        <v>1663</v>
      </c>
      <c r="B971">
        <v>48905</v>
      </c>
      <c r="D971">
        <v>12</v>
      </c>
      <c r="I971">
        <v>7500</v>
      </c>
      <c r="U971">
        <v>10</v>
      </c>
      <c r="Y971">
        <v>10</v>
      </c>
      <c r="AA971">
        <v>9.75</v>
      </c>
      <c r="AC971" s="3">
        <v>9.75</v>
      </c>
      <c r="AE971" s="3">
        <v>9.75</v>
      </c>
      <c r="AI971">
        <v>9.75</v>
      </c>
      <c r="AK971" s="3"/>
      <c r="BG971">
        <v>6</v>
      </c>
      <c r="BH971">
        <v>6</v>
      </c>
      <c r="BI971">
        <v>6</v>
      </c>
      <c r="BJ971">
        <v>6</v>
      </c>
      <c r="BK971" s="4">
        <v>3744</v>
      </c>
      <c r="BL971" s="4">
        <v>3927</v>
      </c>
      <c r="BM971" s="4">
        <v>4109</v>
      </c>
      <c r="BN971" s="4">
        <v>4292</v>
      </c>
      <c r="BR971">
        <v>76912</v>
      </c>
      <c r="BT971">
        <v>6</v>
      </c>
      <c r="BU971">
        <v>3</v>
      </c>
      <c r="BV971">
        <v>0</v>
      </c>
      <c r="BX971">
        <v>10.25</v>
      </c>
      <c r="BZ971">
        <v>9.75</v>
      </c>
      <c r="CK971" t="s">
        <v>360</v>
      </c>
      <c r="CM971">
        <v>1911</v>
      </c>
    </row>
    <row r="972" spans="1:91" x14ac:dyDescent="0.3">
      <c r="A972" t="s">
        <v>1664</v>
      </c>
      <c r="B972">
        <v>48967</v>
      </c>
      <c r="D972">
        <v>12</v>
      </c>
      <c r="I972">
        <v>350000</v>
      </c>
      <c r="U972">
        <v>1</v>
      </c>
      <c r="Y972">
        <v>1</v>
      </c>
      <c r="AA972">
        <v>1.03</v>
      </c>
      <c r="AC972" s="3">
        <v>1.0900000000000001</v>
      </c>
      <c r="AE972" s="3">
        <v>0.96</v>
      </c>
      <c r="AI972">
        <v>1.0900000000000001</v>
      </c>
      <c r="AK972" s="3"/>
      <c r="AV972" t="s">
        <v>815</v>
      </c>
      <c r="AX972" t="s">
        <v>815</v>
      </c>
      <c r="AZ972" t="s">
        <v>823</v>
      </c>
      <c r="BG972">
        <v>5</v>
      </c>
      <c r="BH972">
        <v>5</v>
      </c>
      <c r="BI972">
        <v>10</v>
      </c>
      <c r="BJ972">
        <v>10</v>
      </c>
      <c r="BK972" s="4">
        <v>3593</v>
      </c>
      <c r="BL972" s="4">
        <v>3958</v>
      </c>
      <c r="BM972" s="4">
        <v>4139</v>
      </c>
      <c r="BN972" s="4">
        <v>4323</v>
      </c>
      <c r="BR972">
        <v>142536</v>
      </c>
      <c r="BS972" t="s">
        <v>1665</v>
      </c>
      <c r="BT972">
        <v>9</v>
      </c>
      <c r="BU972">
        <v>3</v>
      </c>
      <c r="BV972">
        <v>0</v>
      </c>
      <c r="BX972">
        <v>1.0900000000000001</v>
      </c>
      <c r="BZ972">
        <v>0.84</v>
      </c>
      <c r="CK972" t="s">
        <v>1666</v>
      </c>
      <c r="CM972">
        <v>1911</v>
      </c>
    </row>
    <row r="973" spans="1:91" x14ac:dyDescent="0.3">
      <c r="A973" t="s">
        <v>1664</v>
      </c>
      <c r="B973">
        <v>48969</v>
      </c>
      <c r="C973" t="s">
        <v>844</v>
      </c>
      <c r="D973">
        <v>12</v>
      </c>
      <c r="I973">
        <v>300000</v>
      </c>
      <c r="U973">
        <v>1</v>
      </c>
      <c r="Y973">
        <v>1</v>
      </c>
      <c r="AA973">
        <v>0.93</v>
      </c>
      <c r="AC973" s="3">
        <v>1</v>
      </c>
      <c r="AE973" s="3">
        <v>0.93</v>
      </c>
      <c r="AI973">
        <v>1</v>
      </c>
      <c r="AK973" s="3"/>
      <c r="BG973">
        <v>6</v>
      </c>
      <c r="BH973">
        <v>6</v>
      </c>
      <c r="BI973">
        <v>6</v>
      </c>
      <c r="BJ973">
        <v>6</v>
      </c>
      <c r="BK973" s="4">
        <v>3654</v>
      </c>
      <c r="BL973" s="4">
        <v>3835</v>
      </c>
      <c r="BM973" s="4">
        <v>4019</v>
      </c>
      <c r="BN973" s="4">
        <v>4200</v>
      </c>
      <c r="BR973">
        <v>142536</v>
      </c>
      <c r="BS973" t="s">
        <v>1665</v>
      </c>
      <c r="BT973">
        <v>6</v>
      </c>
      <c r="BU973">
        <v>0</v>
      </c>
      <c r="BV973">
        <v>0</v>
      </c>
      <c r="BX973">
        <v>1</v>
      </c>
      <c r="BZ973">
        <v>0.93</v>
      </c>
      <c r="CM973">
        <v>1911</v>
      </c>
    </row>
    <row r="974" spans="1:91" x14ac:dyDescent="0.3">
      <c r="A974" t="s">
        <v>1664</v>
      </c>
      <c r="B974">
        <v>48968</v>
      </c>
      <c r="C974" t="s">
        <v>917</v>
      </c>
      <c r="D974">
        <v>12</v>
      </c>
      <c r="I974">
        <v>300000</v>
      </c>
      <c r="J974" t="s">
        <v>800</v>
      </c>
      <c r="V974" t="s">
        <v>350</v>
      </c>
      <c r="Y974">
        <v>100</v>
      </c>
      <c r="AA974">
        <v>89.5</v>
      </c>
      <c r="AC974" s="3">
        <v>90.5</v>
      </c>
      <c r="AE974" s="3">
        <v>89.5</v>
      </c>
      <c r="AI974">
        <v>90.5</v>
      </c>
      <c r="AK974" s="3"/>
      <c r="BG974">
        <v>4.5</v>
      </c>
      <c r="BH974">
        <v>4.5</v>
      </c>
      <c r="BI974">
        <v>4.5</v>
      </c>
      <c r="BJ974">
        <v>4.5</v>
      </c>
      <c r="BK974" s="4">
        <v>3654</v>
      </c>
      <c r="BL974" s="4">
        <v>3835</v>
      </c>
      <c r="BM974" s="4">
        <v>4019</v>
      </c>
      <c r="BN974" s="4">
        <v>4200</v>
      </c>
      <c r="BR974">
        <v>142536</v>
      </c>
      <c r="BS974" t="s">
        <v>1665</v>
      </c>
      <c r="BT974">
        <v>5</v>
      </c>
      <c r="BU974">
        <v>1</v>
      </c>
      <c r="BV974">
        <v>9</v>
      </c>
      <c r="BX974">
        <v>91.5</v>
      </c>
      <c r="BZ974">
        <v>84</v>
      </c>
      <c r="CM974">
        <v>1911</v>
      </c>
    </row>
    <row r="975" spans="1:91" x14ac:dyDescent="0.3">
      <c r="A975" t="s">
        <v>1667</v>
      </c>
      <c r="B975">
        <v>48973</v>
      </c>
      <c r="D975">
        <v>12</v>
      </c>
      <c r="I975">
        <v>50000</v>
      </c>
      <c r="U975">
        <v>10</v>
      </c>
      <c r="Y975">
        <v>10</v>
      </c>
      <c r="AA975">
        <v>14</v>
      </c>
      <c r="AC975" s="3">
        <v>14</v>
      </c>
      <c r="AE975" s="3">
        <v>13</v>
      </c>
      <c r="AI975">
        <v>13.5</v>
      </c>
      <c r="AK975" s="3"/>
      <c r="AX975" t="s">
        <v>823</v>
      </c>
      <c r="BB975" t="s">
        <v>823</v>
      </c>
      <c r="BG975">
        <v>10</v>
      </c>
      <c r="BH975">
        <v>5</v>
      </c>
      <c r="BI975">
        <v>10</v>
      </c>
      <c r="BJ975">
        <v>5</v>
      </c>
      <c r="BK975" s="4">
        <v>3713</v>
      </c>
      <c r="BL975" s="4">
        <v>3897</v>
      </c>
      <c r="BM975" s="4">
        <v>4078</v>
      </c>
      <c r="BN975" s="4">
        <v>4262</v>
      </c>
      <c r="BR975">
        <v>166600</v>
      </c>
      <c r="BT975">
        <v>5</v>
      </c>
      <c r="BU975">
        <v>11</v>
      </c>
      <c r="BV975">
        <v>0</v>
      </c>
      <c r="BX975">
        <v>17.25</v>
      </c>
      <c r="BZ975">
        <v>13</v>
      </c>
      <c r="CK975" t="s">
        <v>360</v>
      </c>
      <c r="CM975">
        <v>1911</v>
      </c>
    </row>
    <row r="976" spans="1:91" x14ac:dyDescent="0.3">
      <c r="A976" t="s">
        <v>1668</v>
      </c>
      <c r="B976">
        <v>48917</v>
      </c>
      <c r="D976">
        <v>12</v>
      </c>
      <c r="I976">
        <v>8000</v>
      </c>
      <c r="U976">
        <v>17</v>
      </c>
      <c r="Y976">
        <v>17</v>
      </c>
      <c r="AA976">
        <v>11.75</v>
      </c>
      <c r="AC976" s="3">
        <v>11.75</v>
      </c>
      <c r="AE976" s="3">
        <v>11.75</v>
      </c>
      <c r="AI976">
        <v>11.75</v>
      </c>
      <c r="AK976" s="3"/>
      <c r="AV976" t="s">
        <v>823</v>
      </c>
      <c r="AZ976" t="s">
        <v>823</v>
      </c>
      <c r="BG976">
        <v>4</v>
      </c>
      <c r="BH976">
        <v>4</v>
      </c>
      <c r="BI976">
        <v>4</v>
      </c>
      <c r="BJ976">
        <v>4</v>
      </c>
      <c r="BK976" s="4">
        <v>3501</v>
      </c>
      <c r="BL976" s="4">
        <v>3685</v>
      </c>
      <c r="BM976" s="4">
        <v>3866</v>
      </c>
      <c r="BN976" s="4">
        <v>4050</v>
      </c>
      <c r="BR976">
        <v>8046</v>
      </c>
      <c r="BS976" t="s">
        <v>1669</v>
      </c>
      <c r="BT976">
        <v>5</v>
      </c>
      <c r="BU976">
        <v>16</v>
      </c>
      <c r="BV976">
        <v>0</v>
      </c>
      <c r="BX976">
        <v>12</v>
      </c>
      <c r="BZ976">
        <v>11.5</v>
      </c>
      <c r="CM976">
        <v>1911</v>
      </c>
    </row>
    <row r="977" spans="1:91" x14ac:dyDescent="0.3">
      <c r="A977" t="s">
        <v>1670</v>
      </c>
      <c r="B977">
        <v>48916</v>
      </c>
      <c r="D977">
        <v>12</v>
      </c>
      <c r="I977">
        <v>8000</v>
      </c>
      <c r="U977">
        <v>3</v>
      </c>
      <c r="Y977">
        <v>3</v>
      </c>
      <c r="AA977">
        <v>3.75</v>
      </c>
      <c r="AC977" s="3">
        <v>3.75</v>
      </c>
      <c r="AE977" s="3">
        <v>3.75</v>
      </c>
      <c r="AI977">
        <v>3.75</v>
      </c>
      <c r="AK977" s="3"/>
      <c r="AV977" t="s">
        <v>823</v>
      </c>
      <c r="AZ977" t="s">
        <v>823</v>
      </c>
      <c r="BG977">
        <v>14</v>
      </c>
      <c r="BH977">
        <v>14</v>
      </c>
      <c r="BI977">
        <v>14</v>
      </c>
      <c r="BJ977">
        <v>14</v>
      </c>
      <c r="BK977" s="4">
        <v>3501</v>
      </c>
      <c r="BL977" s="4">
        <v>3685</v>
      </c>
      <c r="BM977" s="4">
        <v>3866</v>
      </c>
      <c r="BN977" s="4">
        <v>4050</v>
      </c>
      <c r="BR977">
        <v>8046</v>
      </c>
      <c r="BS977" t="s">
        <v>1669</v>
      </c>
      <c r="BT977">
        <v>11</v>
      </c>
      <c r="BU977">
        <v>4</v>
      </c>
      <c r="BV977">
        <v>0</v>
      </c>
      <c r="BX977">
        <v>3.75</v>
      </c>
      <c r="BZ977">
        <v>3.25</v>
      </c>
      <c r="CM977">
        <v>1911</v>
      </c>
    </row>
    <row r="978" spans="1:91" x14ac:dyDescent="0.3">
      <c r="A978" t="s">
        <v>1671</v>
      </c>
      <c r="B978">
        <v>49187</v>
      </c>
      <c r="D978">
        <v>12</v>
      </c>
      <c r="I978">
        <v>782000</v>
      </c>
      <c r="U978">
        <v>1</v>
      </c>
      <c r="Y978">
        <v>1</v>
      </c>
      <c r="AA978">
        <v>1.78</v>
      </c>
      <c r="AC978" s="3">
        <v>1.78</v>
      </c>
      <c r="AE978" s="3">
        <v>1.71</v>
      </c>
      <c r="AI978">
        <v>1.71</v>
      </c>
      <c r="AK978" s="3"/>
      <c r="AV978" t="s">
        <v>823</v>
      </c>
      <c r="AZ978" t="s">
        <v>823</v>
      </c>
      <c r="BG978">
        <v>7.5</v>
      </c>
      <c r="BH978">
        <v>12.5</v>
      </c>
      <c r="BI978">
        <v>7.5</v>
      </c>
      <c r="BJ978">
        <v>12.5</v>
      </c>
      <c r="BK978" s="4">
        <v>3685</v>
      </c>
      <c r="BL978" s="4">
        <v>3897</v>
      </c>
      <c r="BM978" s="4">
        <v>4050</v>
      </c>
      <c r="BN978" s="4">
        <v>4262</v>
      </c>
      <c r="BR978">
        <v>114918</v>
      </c>
      <c r="BS978" t="s">
        <v>1672</v>
      </c>
      <c r="BT978">
        <v>5</v>
      </c>
      <c r="BU978">
        <v>16</v>
      </c>
      <c r="BV978">
        <v>3</v>
      </c>
      <c r="BX978">
        <v>2.0299999999999998</v>
      </c>
      <c r="BZ978">
        <v>1.71</v>
      </c>
      <c r="CK978" t="s">
        <v>1673</v>
      </c>
      <c r="CM978">
        <v>1911</v>
      </c>
    </row>
    <row r="979" spans="1:91" x14ac:dyDescent="0.3">
      <c r="A979" t="s">
        <v>1671</v>
      </c>
      <c r="B979">
        <v>49176</v>
      </c>
      <c r="C979" t="s">
        <v>1674</v>
      </c>
      <c r="D979">
        <v>12</v>
      </c>
      <c r="I979">
        <v>391000</v>
      </c>
      <c r="U979">
        <v>1</v>
      </c>
      <c r="Z979" t="s">
        <v>1675</v>
      </c>
      <c r="AA979">
        <v>1.31</v>
      </c>
      <c r="AC979" s="3">
        <v>1.31</v>
      </c>
      <c r="AE979" s="3">
        <v>1.21</v>
      </c>
      <c r="AI979">
        <v>1.21</v>
      </c>
      <c r="AK979" s="3"/>
      <c r="AV979" t="s">
        <v>823</v>
      </c>
      <c r="AZ979" t="s">
        <v>823</v>
      </c>
      <c r="BG979">
        <v>7.5</v>
      </c>
      <c r="BH979">
        <v>12.5</v>
      </c>
      <c r="BI979">
        <v>7.5</v>
      </c>
      <c r="BJ979">
        <v>12.5</v>
      </c>
      <c r="BK979" s="4">
        <v>3685</v>
      </c>
      <c r="BL979" s="4">
        <v>3897</v>
      </c>
      <c r="BM979" s="4">
        <v>4050</v>
      </c>
      <c r="BN979" s="4">
        <v>4262</v>
      </c>
      <c r="BR979">
        <v>114918</v>
      </c>
      <c r="BS979" t="s">
        <v>1672</v>
      </c>
      <c r="BT979">
        <v>6</v>
      </c>
      <c r="BU979">
        <v>3</v>
      </c>
      <c r="BV979">
        <v>0</v>
      </c>
      <c r="BX979">
        <v>1.46</v>
      </c>
      <c r="BZ979">
        <v>1.21</v>
      </c>
      <c r="CM979">
        <v>1911</v>
      </c>
    </row>
    <row r="980" spans="1:91" x14ac:dyDescent="0.3">
      <c r="A980" t="s">
        <v>1676</v>
      </c>
      <c r="B980">
        <v>49194</v>
      </c>
      <c r="D980">
        <v>12</v>
      </c>
      <c r="I980" s="2">
        <v>1058160</v>
      </c>
      <c r="J980" t="s">
        <v>800</v>
      </c>
      <c r="U980">
        <v>100</v>
      </c>
      <c r="V980" t="s">
        <v>615</v>
      </c>
      <c r="Y980">
        <v>100</v>
      </c>
      <c r="Z980" t="s">
        <v>615</v>
      </c>
      <c r="AA980">
        <v>103</v>
      </c>
      <c r="AC980" s="3">
        <v>103.75</v>
      </c>
      <c r="AE980" s="3">
        <v>102.5</v>
      </c>
      <c r="AI980">
        <v>103</v>
      </c>
      <c r="AK980" s="3"/>
      <c r="AV980" t="s">
        <v>370</v>
      </c>
      <c r="AX980" t="s">
        <v>370</v>
      </c>
      <c r="AZ980" t="s">
        <v>370</v>
      </c>
      <c r="BB980" t="s">
        <v>370</v>
      </c>
      <c r="BO980" t="s">
        <v>367</v>
      </c>
      <c r="BS980" t="s">
        <v>385</v>
      </c>
      <c r="BT980">
        <v>5</v>
      </c>
      <c r="BU980">
        <v>18</v>
      </c>
      <c r="BV980">
        <v>9</v>
      </c>
      <c r="BX980">
        <v>104.25</v>
      </c>
      <c r="CM980">
        <v>1911</v>
      </c>
    </row>
    <row r="981" spans="1:91" x14ac:dyDescent="0.3">
      <c r="A981" t="s">
        <v>1677</v>
      </c>
      <c r="B981">
        <v>49195</v>
      </c>
      <c r="D981">
        <v>12</v>
      </c>
      <c r="I981">
        <v>49605</v>
      </c>
      <c r="U981">
        <v>10</v>
      </c>
      <c r="Y981">
        <v>10</v>
      </c>
      <c r="AA981">
        <v>9.81</v>
      </c>
      <c r="AC981" s="3">
        <v>10.119999999999999</v>
      </c>
      <c r="AE981" s="3">
        <v>9.81</v>
      </c>
      <c r="AI981">
        <v>10</v>
      </c>
      <c r="AK981" s="3"/>
      <c r="AV981" t="s">
        <v>815</v>
      </c>
      <c r="AX981" t="s">
        <v>815</v>
      </c>
      <c r="AZ981" t="s">
        <v>815</v>
      </c>
      <c r="BB981" t="s">
        <v>815</v>
      </c>
      <c r="BG981">
        <v>7.5</v>
      </c>
      <c r="BH981">
        <v>7.5</v>
      </c>
      <c r="BI981">
        <v>6</v>
      </c>
      <c r="BJ981">
        <v>6</v>
      </c>
      <c r="BK981" s="4">
        <v>3167</v>
      </c>
      <c r="BL981" s="4">
        <v>3532</v>
      </c>
      <c r="BM981" s="4">
        <v>3897</v>
      </c>
      <c r="BN981" s="4">
        <v>4262</v>
      </c>
      <c r="BR981">
        <v>153277</v>
      </c>
      <c r="BT981">
        <v>6</v>
      </c>
      <c r="BU981">
        <v>0</v>
      </c>
      <c r="BV981">
        <v>0</v>
      </c>
      <c r="BX981">
        <v>10.93</v>
      </c>
      <c r="BZ981">
        <v>9.5</v>
      </c>
      <c r="CK981" t="s">
        <v>1678</v>
      </c>
      <c r="CM981">
        <v>1911</v>
      </c>
    </row>
    <row r="982" spans="1:91" x14ac:dyDescent="0.3">
      <c r="A982" t="s">
        <v>1679</v>
      </c>
      <c r="B982">
        <v>49203</v>
      </c>
      <c r="D982">
        <v>12</v>
      </c>
      <c r="I982">
        <v>75000</v>
      </c>
      <c r="U982">
        <v>1</v>
      </c>
      <c r="Y982">
        <v>1</v>
      </c>
      <c r="AA982">
        <v>0.03</v>
      </c>
      <c r="AC982" s="3">
        <v>0.03</v>
      </c>
      <c r="AE982" s="3">
        <v>0.03</v>
      </c>
      <c r="AI982">
        <v>0.03</v>
      </c>
      <c r="AK982" s="3"/>
      <c r="AV982" t="s">
        <v>385</v>
      </c>
      <c r="AX982" t="s">
        <v>385</v>
      </c>
      <c r="AZ982" t="s">
        <v>385</v>
      </c>
      <c r="BB982" t="s">
        <v>385</v>
      </c>
      <c r="BR982">
        <v>82080</v>
      </c>
      <c r="BS982" t="s">
        <v>1680</v>
      </c>
      <c r="BW982" t="s">
        <v>802</v>
      </c>
      <c r="BX982">
        <v>0.09</v>
      </c>
      <c r="BZ982">
        <v>0.03</v>
      </c>
      <c r="CK982" t="s">
        <v>1041</v>
      </c>
      <c r="CM982">
        <v>1911</v>
      </c>
    </row>
    <row r="983" spans="1:91" x14ac:dyDescent="0.3">
      <c r="A983" t="s">
        <v>1679</v>
      </c>
      <c r="B983">
        <v>49207</v>
      </c>
      <c r="C983" t="s">
        <v>1062</v>
      </c>
      <c r="D983">
        <v>12</v>
      </c>
      <c r="I983">
        <v>187500</v>
      </c>
      <c r="U983">
        <v>1</v>
      </c>
      <c r="Y983">
        <v>1</v>
      </c>
      <c r="AA983">
        <v>0.03</v>
      </c>
      <c r="AC983" s="3">
        <v>0.09</v>
      </c>
      <c r="AE983" s="3">
        <v>0.03</v>
      </c>
      <c r="AI983">
        <v>0.03</v>
      </c>
      <c r="AK983" s="3"/>
      <c r="AX983" t="s">
        <v>1681</v>
      </c>
      <c r="BB983" t="s">
        <v>810</v>
      </c>
      <c r="BG983">
        <v>5.5</v>
      </c>
      <c r="BI983">
        <v>5.5</v>
      </c>
      <c r="BK983" s="4">
        <v>1156</v>
      </c>
      <c r="BL983" t="s">
        <v>811</v>
      </c>
      <c r="BM983" s="4">
        <v>2739</v>
      </c>
      <c r="BR983">
        <v>82080</v>
      </c>
      <c r="BS983" t="s">
        <v>1680</v>
      </c>
      <c r="BW983" t="s">
        <v>802</v>
      </c>
      <c r="BX983">
        <v>0.12</v>
      </c>
      <c r="BZ983">
        <v>0.03</v>
      </c>
      <c r="CM983">
        <v>1911</v>
      </c>
    </row>
    <row r="984" spans="1:91" x14ac:dyDescent="0.3">
      <c r="A984" t="s">
        <v>1679</v>
      </c>
      <c r="B984">
        <v>49202</v>
      </c>
      <c r="C984" t="s">
        <v>818</v>
      </c>
      <c r="D984">
        <v>12</v>
      </c>
      <c r="I984">
        <v>250000</v>
      </c>
      <c r="J984" t="s">
        <v>800</v>
      </c>
      <c r="V984" t="s">
        <v>350</v>
      </c>
      <c r="Y984">
        <v>100</v>
      </c>
      <c r="AA984">
        <v>46</v>
      </c>
      <c r="AC984" s="3">
        <v>50</v>
      </c>
      <c r="AE984" s="3">
        <v>46</v>
      </c>
      <c r="AI984">
        <v>50</v>
      </c>
      <c r="AK984" s="3"/>
      <c r="BB984" t="s">
        <v>810</v>
      </c>
      <c r="BG984">
        <v>4</v>
      </c>
      <c r="BH984">
        <v>4</v>
      </c>
      <c r="BI984">
        <v>4</v>
      </c>
      <c r="BK984" s="4">
        <v>2923</v>
      </c>
      <c r="BL984" s="4">
        <v>3105</v>
      </c>
      <c r="BM984" s="4">
        <v>3289</v>
      </c>
      <c r="BR984">
        <v>82080</v>
      </c>
      <c r="BS984" t="s">
        <v>1680</v>
      </c>
      <c r="BW984" t="s">
        <v>802</v>
      </c>
      <c r="BX984">
        <v>52</v>
      </c>
      <c r="BZ984">
        <v>40</v>
      </c>
      <c r="CM984">
        <v>1911</v>
      </c>
    </row>
    <row r="985" spans="1:91" x14ac:dyDescent="0.3">
      <c r="A985" t="s">
        <v>1679</v>
      </c>
      <c r="B985">
        <v>49206</v>
      </c>
      <c r="C985" t="s">
        <v>1682</v>
      </c>
      <c r="D985">
        <v>12</v>
      </c>
      <c r="I985">
        <v>151500</v>
      </c>
      <c r="J985" t="s">
        <v>800</v>
      </c>
      <c r="V985" t="s">
        <v>350</v>
      </c>
      <c r="Y985">
        <v>100</v>
      </c>
      <c r="AA985">
        <v>41.5</v>
      </c>
      <c r="AC985" s="3">
        <v>41.5</v>
      </c>
      <c r="AE985" s="3">
        <v>41.5</v>
      </c>
      <c r="AI985">
        <v>41.5</v>
      </c>
      <c r="AK985" s="3"/>
      <c r="BB985" t="s">
        <v>810</v>
      </c>
      <c r="BG985">
        <v>5</v>
      </c>
      <c r="BH985">
        <v>5</v>
      </c>
      <c r="BI985">
        <v>5</v>
      </c>
      <c r="BK985" s="4">
        <v>2923</v>
      </c>
      <c r="BL985" s="4">
        <v>3105</v>
      </c>
      <c r="BM985" s="4">
        <v>3289</v>
      </c>
      <c r="BR985">
        <v>82080</v>
      </c>
      <c r="BS985" t="s">
        <v>1680</v>
      </c>
      <c r="BW985" t="s">
        <v>802</v>
      </c>
      <c r="BX985">
        <v>43</v>
      </c>
      <c r="BZ985">
        <v>40</v>
      </c>
      <c r="CM985">
        <v>1911</v>
      </c>
    </row>
    <row r="986" spans="1:91" x14ac:dyDescent="0.3">
      <c r="A986" t="s">
        <v>1683</v>
      </c>
      <c r="B986">
        <v>49221</v>
      </c>
      <c r="D986">
        <v>12</v>
      </c>
      <c r="I986">
        <v>85000</v>
      </c>
      <c r="U986">
        <v>10</v>
      </c>
      <c r="Y986">
        <v>10</v>
      </c>
      <c r="AA986">
        <v>20.37</v>
      </c>
      <c r="AC986" s="3">
        <v>20.37</v>
      </c>
      <c r="AE986" s="3">
        <v>20.37</v>
      </c>
      <c r="AI986">
        <v>20.37</v>
      </c>
      <c r="AK986" s="3"/>
      <c r="AX986" t="s">
        <v>823</v>
      </c>
      <c r="BB986" t="s">
        <v>823</v>
      </c>
      <c r="BG986">
        <v>10</v>
      </c>
      <c r="BH986">
        <v>10</v>
      </c>
      <c r="BI986">
        <v>10</v>
      </c>
      <c r="BJ986">
        <v>10</v>
      </c>
      <c r="BK986" s="4">
        <v>3713</v>
      </c>
      <c r="BL986" s="4">
        <v>3897</v>
      </c>
      <c r="BM986" s="4">
        <v>4078</v>
      </c>
      <c r="BN986" s="4">
        <v>4262</v>
      </c>
      <c r="BR986">
        <v>313000</v>
      </c>
      <c r="BS986" t="s">
        <v>1684</v>
      </c>
      <c r="BT986">
        <v>4</v>
      </c>
      <c r="BU986">
        <v>18</v>
      </c>
      <c r="BV986">
        <v>0</v>
      </c>
      <c r="BX986">
        <v>21.25</v>
      </c>
      <c r="BZ986">
        <v>20.25</v>
      </c>
      <c r="CK986" t="s">
        <v>1685</v>
      </c>
      <c r="CM986">
        <v>1911</v>
      </c>
    </row>
    <row r="987" spans="1:91" x14ac:dyDescent="0.3">
      <c r="A987" t="s">
        <v>1683</v>
      </c>
      <c r="B987">
        <v>49220</v>
      </c>
      <c r="C987" t="s">
        <v>844</v>
      </c>
      <c r="D987">
        <v>12</v>
      </c>
      <c r="I987">
        <v>55000</v>
      </c>
      <c r="U987">
        <v>10</v>
      </c>
      <c r="Y987">
        <v>10</v>
      </c>
      <c r="AA987">
        <v>13.5</v>
      </c>
      <c r="AC987" s="3">
        <v>14.12</v>
      </c>
      <c r="AE987" s="3">
        <v>13.5</v>
      </c>
      <c r="AI987">
        <v>14.12</v>
      </c>
      <c r="AK987" s="3"/>
      <c r="AV987" t="s">
        <v>373</v>
      </c>
      <c r="AX987" t="s">
        <v>373</v>
      </c>
      <c r="AZ987" t="s">
        <v>373</v>
      </c>
      <c r="BB987" t="s">
        <v>373</v>
      </c>
      <c r="BO987" t="s">
        <v>367</v>
      </c>
      <c r="BR987">
        <v>313000</v>
      </c>
      <c r="BS987" t="s">
        <v>1684</v>
      </c>
      <c r="BT987">
        <v>4</v>
      </c>
      <c r="BU987">
        <v>9</v>
      </c>
      <c r="BV987">
        <v>0</v>
      </c>
      <c r="BX987">
        <v>14.25</v>
      </c>
      <c r="BZ987">
        <v>13.5</v>
      </c>
      <c r="CM987">
        <v>1911</v>
      </c>
    </row>
    <row r="988" spans="1:91" x14ac:dyDescent="0.3">
      <c r="A988" t="s">
        <v>1686</v>
      </c>
      <c r="B988">
        <v>49334</v>
      </c>
      <c r="D988">
        <v>12</v>
      </c>
      <c r="I988">
        <v>20000</v>
      </c>
      <c r="U988">
        <v>10</v>
      </c>
      <c r="Y988">
        <v>10</v>
      </c>
      <c r="AA988">
        <v>9.81</v>
      </c>
      <c r="AC988" s="3">
        <v>9.81</v>
      </c>
      <c r="AE988" s="3">
        <v>9.81</v>
      </c>
      <c r="AI988">
        <v>9.81</v>
      </c>
      <c r="AK988" s="3"/>
      <c r="BG988">
        <v>4</v>
      </c>
      <c r="BH988">
        <v>4</v>
      </c>
      <c r="BI988">
        <v>4</v>
      </c>
      <c r="BJ988">
        <v>4</v>
      </c>
      <c r="BK988" s="4">
        <v>3713</v>
      </c>
      <c r="BL988" s="4">
        <v>3897</v>
      </c>
      <c r="BM988" s="4">
        <v>4078</v>
      </c>
      <c r="BN988" s="4">
        <v>4262</v>
      </c>
      <c r="BR988">
        <v>102228</v>
      </c>
      <c r="BT988">
        <v>4</v>
      </c>
      <c r="BU988">
        <v>1</v>
      </c>
      <c r="BV988">
        <v>6</v>
      </c>
      <c r="BX988">
        <v>10</v>
      </c>
      <c r="BZ988">
        <v>9.56</v>
      </c>
      <c r="CK988" t="s">
        <v>465</v>
      </c>
      <c r="CM988">
        <v>1911</v>
      </c>
    </row>
    <row r="989" spans="1:91" x14ac:dyDescent="0.3">
      <c r="A989" t="s">
        <v>1687</v>
      </c>
      <c r="B989">
        <v>49388</v>
      </c>
      <c r="D989">
        <v>12</v>
      </c>
      <c r="I989">
        <v>634732</v>
      </c>
      <c r="U989">
        <v>1</v>
      </c>
      <c r="Y989">
        <v>1</v>
      </c>
      <c r="AA989">
        <v>0.81</v>
      </c>
      <c r="AC989" s="3">
        <v>0.81</v>
      </c>
      <c r="AE989" s="3">
        <v>0.81</v>
      </c>
      <c r="AI989">
        <v>0.81</v>
      </c>
      <c r="AK989" s="3"/>
      <c r="AV989" t="s">
        <v>815</v>
      </c>
      <c r="AX989" t="s">
        <v>815</v>
      </c>
      <c r="AZ989" t="s">
        <v>815</v>
      </c>
      <c r="BB989" t="s">
        <v>815</v>
      </c>
      <c r="BG989">
        <v>5</v>
      </c>
      <c r="BH989">
        <v>2.5</v>
      </c>
      <c r="BI989">
        <v>2.5</v>
      </c>
      <c r="BJ989">
        <v>5</v>
      </c>
      <c r="BK989" s="4">
        <v>2617</v>
      </c>
      <c r="BL989" s="4">
        <v>2983</v>
      </c>
      <c r="BM989" s="4">
        <v>3348</v>
      </c>
      <c r="BN989" s="4">
        <v>3713</v>
      </c>
      <c r="BR989">
        <v>75937</v>
      </c>
      <c r="BS989" t="s">
        <v>1688</v>
      </c>
      <c r="BT989">
        <v>6</v>
      </c>
      <c r="BU989">
        <v>3</v>
      </c>
      <c r="BV989">
        <v>0</v>
      </c>
      <c r="BX989">
        <v>0.81</v>
      </c>
      <c r="BZ989">
        <v>0.62</v>
      </c>
      <c r="CM989">
        <v>1911</v>
      </c>
    </row>
    <row r="990" spans="1:91" x14ac:dyDescent="0.3">
      <c r="A990" t="s">
        <v>1687</v>
      </c>
      <c r="B990">
        <v>49390</v>
      </c>
      <c r="C990" t="s">
        <v>817</v>
      </c>
      <c r="D990">
        <v>12</v>
      </c>
      <c r="I990">
        <v>538845</v>
      </c>
      <c r="U990">
        <v>1</v>
      </c>
      <c r="Y990">
        <v>1</v>
      </c>
      <c r="AA990">
        <v>0.87</v>
      </c>
      <c r="AC990" s="3">
        <v>0.87</v>
      </c>
      <c r="AE990" s="3">
        <v>0.87</v>
      </c>
      <c r="AI990">
        <v>0.87</v>
      </c>
      <c r="AK990" s="3"/>
      <c r="AV990" t="s">
        <v>506</v>
      </c>
      <c r="AX990" t="s">
        <v>506</v>
      </c>
      <c r="AZ990" t="s">
        <v>506</v>
      </c>
      <c r="BB990" t="s">
        <v>506</v>
      </c>
      <c r="BO990" t="s">
        <v>367</v>
      </c>
      <c r="BR990">
        <v>75937</v>
      </c>
      <c r="BS990" t="s">
        <v>1688</v>
      </c>
      <c r="BT990">
        <v>5</v>
      </c>
      <c r="BU990">
        <v>14</v>
      </c>
      <c r="BV990">
        <v>3</v>
      </c>
      <c r="BX990">
        <v>0.93</v>
      </c>
      <c r="BZ990">
        <v>0.87</v>
      </c>
      <c r="CK990" t="s">
        <v>1689</v>
      </c>
      <c r="CM990">
        <v>1911</v>
      </c>
    </row>
    <row r="991" spans="1:91" x14ac:dyDescent="0.3">
      <c r="A991" t="s">
        <v>1690</v>
      </c>
      <c r="B991">
        <v>49562</v>
      </c>
      <c r="D991">
        <v>12</v>
      </c>
      <c r="I991">
        <v>300000</v>
      </c>
      <c r="U991">
        <v>1</v>
      </c>
      <c r="Y991">
        <v>1</v>
      </c>
      <c r="AA991">
        <v>0.06</v>
      </c>
      <c r="AC991" s="3">
        <v>0.21</v>
      </c>
      <c r="AE991" s="3">
        <v>0.06</v>
      </c>
      <c r="AI991">
        <v>0.18</v>
      </c>
      <c r="AK991" s="3"/>
      <c r="BB991" t="s">
        <v>810</v>
      </c>
      <c r="BG991">
        <v>5</v>
      </c>
      <c r="BH991">
        <v>5</v>
      </c>
      <c r="BI991">
        <v>5</v>
      </c>
      <c r="BK991" s="4">
        <v>2648</v>
      </c>
      <c r="BL991" s="4">
        <v>2831</v>
      </c>
      <c r="BM991" s="4">
        <v>3014</v>
      </c>
      <c r="BR991">
        <v>14750</v>
      </c>
      <c r="BS991" t="s">
        <v>1691</v>
      </c>
      <c r="BW991" t="s">
        <v>802</v>
      </c>
      <c r="BX991">
        <v>0.5</v>
      </c>
      <c r="BZ991">
        <v>0.06</v>
      </c>
      <c r="CK991" t="s">
        <v>360</v>
      </c>
      <c r="CM991">
        <v>1911</v>
      </c>
    </row>
    <row r="992" spans="1:91" x14ac:dyDescent="0.3">
      <c r="A992" t="s">
        <v>1690</v>
      </c>
      <c r="B992">
        <v>49563</v>
      </c>
      <c r="C992" t="s">
        <v>1692</v>
      </c>
      <c r="D992">
        <v>12</v>
      </c>
      <c r="I992">
        <v>200000</v>
      </c>
      <c r="J992" t="s">
        <v>800</v>
      </c>
      <c r="U992">
        <v>100</v>
      </c>
      <c r="Y992">
        <v>100</v>
      </c>
      <c r="AA992">
        <v>65</v>
      </c>
      <c r="AC992" s="3">
        <v>65</v>
      </c>
      <c r="AE992" s="3">
        <v>62.5</v>
      </c>
      <c r="AI992">
        <v>65</v>
      </c>
      <c r="AK992" s="3"/>
      <c r="BG992">
        <v>4</v>
      </c>
      <c r="BH992">
        <v>4</v>
      </c>
      <c r="BI992">
        <v>4</v>
      </c>
      <c r="BJ992">
        <v>4</v>
      </c>
      <c r="BK992" s="4">
        <v>3562</v>
      </c>
      <c r="BL992" s="4">
        <v>3744</v>
      </c>
      <c r="BM992" s="4">
        <v>3927</v>
      </c>
      <c r="BN992" s="4">
        <v>4109</v>
      </c>
      <c r="BR992">
        <v>14750</v>
      </c>
      <c r="BS992" t="s">
        <v>1691</v>
      </c>
      <c r="BT992">
        <v>6</v>
      </c>
      <c r="BU992">
        <v>3</v>
      </c>
      <c r="BV992">
        <v>6</v>
      </c>
      <c r="BX992">
        <v>83</v>
      </c>
      <c r="BZ992">
        <v>55</v>
      </c>
      <c r="CM992">
        <v>1911</v>
      </c>
    </row>
    <row r="993" spans="1:91" x14ac:dyDescent="0.3">
      <c r="A993" t="s">
        <v>1693</v>
      </c>
      <c r="B993">
        <v>49588</v>
      </c>
      <c r="D993">
        <v>12</v>
      </c>
      <c r="I993">
        <v>148500</v>
      </c>
      <c r="U993">
        <v>1</v>
      </c>
      <c r="Y993">
        <v>1</v>
      </c>
      <c r="AA993">
        <v>0.56000000000000005</v>
      </c>
      <c r="AC993" s="3">
        <v>0.78</v>
      </c>
      <c r="AE993" s="3">
        <v>0.56000000000000005</v>
      </c>
      <c r="AI993">
        <v>0.75</v>
      </c>
      <c r="AK993" s="3"/>
      <c r="BB993" t="s">
        <v>810</v>
      </c>
      <c r="BG993">
        <v>5</v>
      </c>
      <c r="BH993">
        <v>7.5</v>
      </c>
      <c r="BI993">
        <v>3</v>
      </c>
      <c r="BK993" s="4">
        <v>1217</v>
      </c>
      <c r="BL993" s="4">
        <v>1583</v>
      </c>
      <c r="BM993" s="4">
        <v>1948</v>
      </c>
      <c r="BR993">
        <v>2914</v>
      </c>
      <c r="BS993" t="s">
        <v>1694</v>
      </c>
      <c r="BW993" t="s">
        <v>802</v>
      </c>
      <c r="BX993">
        <v>0.75</v>
      </c>
      <c r="BZ993">
        <v>0.25</v>
      </c>
      <c r="CK993" t="s">
        <v>360</v>
      </c>
      <c r="CM993">
        <v>1911</v>
      </c>
    </row>
    <row r="994" spans="1:91" x14ac:dyDescent="0.3">
      <c r="A994" t="s">
        <v>1695</v>
      </c>
      <c r="B994">
        <v>49586</v>
      </c>
      <c r="D994">
        <v>12</v>
      </c>
      <c r="I994">
        <v>198000</v>
      </c>
      <c r="U994">
        <v>1</v>
      </c>
      <c r="Y994">
        <v>1</v>
      </c>
      <c r="AA994">
        <v>0.87</v>
      </c>
      <c r="AC994" s="3">
        <v>0.93</v>
      </c>
      <c r="AE994" s="3">
        <v>0.87</v>
      </c>
      <c r="AI994">
        <v>0.93</v>
      </c>
      <c r="AK994" s="3"/>
      <c r="AZ994" t="s">
        <v>815</v>
      </c>
      <c r="BB994" t="s">
        <v>815</v>
      </c>
      <c r="BG994">
        <v>6</v>
      </c>
      <c r="BH994">
        <v>6</v>
      </c>
      <c r="BI994">
        <v>6</v>
      </c>
      <c r="BJ994">
        <v>15</v>
      </c>
      <c r="BK994" s="4">
        <v>2132</v>
      </c>
      <c r="BL994" s="4">
        <v>2313</v>
      </c>
      <c r="BM994" s="4">
        <v>3774</v>
      </c>
      <c r="BN994" s="4">
        <v>4139</v>
      </c>
      <c r="BR994">
        <v>2914</v>
      </c>
      <c r="BS994" t="s">
        <v>1694</v>
      </c>
      <c r="BT994">
        <v>16</v>
      </c>
      <c r="BU994">
        <v>0</v>
      </c>
      <c r="BV994">
        <v>0</v>
      </c>
      <c r="BX994">
        <v>1.03</v>
      </c>
      <c r="BZ994">
        <v>0.62</v>
      </c>
      <c r="CM994">
        <v>1911</v>
      </c>
    </row>
    <row r="995" spans="1:91" x14ac:dyDescent="0.3">
      <c r="A995" t="s">
        <v>1696</v>
      </c>
      <c r="B995">
        <v>49587</v>
      </c>
      <c r="D995">
        <v>12</v>
      </c>
      <c r="I995">
        <v>160000</v>
      </c>
      <c r="J995" t="s">
        <v>800</v>
      </c>
      <c r="U995">
        <v>100</v>
      </c>
      <c r="Y995">
        <v>100</v>
      </c>
      <c r="AA995">
        <v>93</v>
      </c>
      <c r="AC995" s="3">
        <v>94.5</v>
      </c>
      <c r="AE995" s="3">
        <v>92</v>
      </c>
      <c r="AI995">
        <v>93</v>
      </c>
      <c r="AK995" s="3"/>
      <c r="AV995" t="s">
        <v>370</v>
      </c>
      <c r="AX995" t="s">
        <v>370</v>
      </c>
      <c r="AZ995" t="s">
        <v>370</v>
      </c>
      <c r="BB995" t="s">
        <v>370</v>
      </c>
      <c r="BO995" t="s">
        <v>367</v>
      </c>
      <c r="BR995">
        <v>2914</v>
      </c>
      <c r="BS995" t="s">
        <v>1694</v>
      </c>
      <c r="BT995">
        <v>5</v>
      </c>
      <c r="BU995">
        <v>10</v>
      </c>
      <c r="BV995">
        <v>0</v>
      </c>
      <c r="BX995">
        <v>97</v>
      </c>
      <c r="BZ995">
        <v>79.5</v>
      </c>
      <c r="CM995">
        <v>1911</v>
      </c>
    </row>
    <row r="996" spans="1:91" x14ac:dyDescent="0.3">
      <c r="A996" t="s">
        <v>1697</v>
      </c>
      <c r="B996">
        <v>49700</v>
      </c>
      <c r="D996">
        <v>12</v>
      </c>
      <c r="I996">
        <v>880000</v>
      </c>
      <c r="U996">
        <v>1</v>
      </c>
      <c r="Z996" t="s">
        <v>1698</v>
      </c>
      <c r="AA996">
        <v>0.93</v>
      </c>
      <c r="AC996" s="3">
        <v>0.96</v>
      </c>
      <c r="AE996" s="3">
        <v>0.93</v>
      </c>
      <c r="AI996">
        <v>0.96</v>
      </c>
      <c r="AK996" s="3"/>
      <c r="AX996" t="s">
        <v>823</v>
      </c>
      <c r="BB996" t="s">
        <v>823</v>
      </c>
      <c r="BG996">
        <v>10</v>
      </c>
      <c r="BH996">
        <v>5</v>
      </c>
      <c r="BI996">
        <v>15</v>
      </c>
      <c r="BJ996">
        <v>5</v>
      </c>
      <c r="BK996" s="4">
        <v>3835</v>
      </c>
      <c r="BL996" s="4">
        <v>4019</v>
      </c>
      <c r="BM996" s="4">
        <v>4200</v>
      </c>
      <c r="BN996" s="4">
        <v>4384</v>
      </c>
      <c r="BR996">
        <v>99219</v>
      </c>
      <c r="BS996" t="s">
        <v>1699</v>
      </c>
      <c r="BT996">
        <v>7</v>
      </c>
      <c r="BU996">
        <v>4</v>
      </c>
      <c r="BV996">
        <v>6</v>
      </c>
      <c r="BX996">
        <v>1.06</v>
      </c>
      <c r="BZ996">
        <v>0.87</v>
      </c>
      <c r="CK996" t="s">
        <v>399</v>
      </c>
      <c r="CM996">
        <v>1911</v>
      </c>
    </row>
    <row r="997" spans="1:91" x14ac:dyDescent="0.3">
      <c r="A997" t="s">
        <v>1697</v>
      </c>
      <c r="B997">
        <v>49701</v>
      </c>
      <c r="C997" t="s">
        <v>1700</v>
      </c>
      <c r="D997">
        <v>12</v>
      </c>
      <c r="I997">
        <v>208335</v>
      </c>
      <c r="U997">
        <v>1</v>
      </c>
      <c r="Y997">
        <v>1</v>
      </c>
      <c r="AA997">
        <v>1.31</v>
      </c>
      <c r="AC997" s="3">
        <v>1.31</v>
      </c>
      <c r="AE997" s="3">
        <v>1.28</v>
      </c>
      <c r="AI997">
        <v>1.31</v>
      </c>
      <c r="AK997" s="3"/>
      <c r="AX997" t="s">
        <v>823</v>
      </c>
      <c r="BB997" t="s">
        <v>823</v>
      </c>
      <c r="BG997">
        <v>10</v>
      </c>
      <c r="BH997">
        <v>5</v>
      </c>
      <c r="BI997">
        <v>15</v>
      </c>
      <c r="BJ997">
        <v>5</v>
      </c>
      <c r="BK997" s="4">
        <v>3835</v>
      </c>
      <c r="BL997" s="4">
        <v>4019</v>
      </c>
      <c r="BM997" s="4">
        <v>4200</v>
      </c>
      <c r="BN997" s="4">
        <v>4384</v>
      </c>
      <c r="BR997">
        <v>99219</v>
      </c>
      <c r="BS997" t="s">
        <v>1699</v>
      </c>
      <c r="BT997">
        <v>7</v>
      </c>
      <c r="BU997">
        <v>12</v>
      </c>
      <c r="BV997">
        <v>6</v>
      </c>
      <c r="BX997">
        <v>1.93</v>
      </c>
      <c r="BZ997">
        <v>1.21</v>
      </c>
      <c r="CM997">
        <v>1911</v>
      </c>
    </row>
    <row r="998" spans="1:91" x14ac:dyDescent="0.3">
      <c r="A998" t="s">
        <v>1701</v>
      </c>
      <c r="B998">
        <v>49906</v>
      </c>
      <c r="D998">
        <v>12</v>
      </c>
      <c r="I998">
        <v>942900</v>
      </c>
      <c r="J998" t="s">
        <v>800</v>
      </c>
      <c r="U998">
        <v>100</v>
      </c>
      <c r="Y998">
        <v>100</v>
      </c>
      <c r="AA998">
        <v>40</v>
      </c>
      <c r="AC998" s="3">
        <v>4.5</v>
      </c>
      <c r="AE998" s="3">
        <v>40</v>
      </c>
      <c r="AI998">
        <v>47.5</v>
      </c>
      <c r="AK998" s="3"/>
      <c r="AV998" t="s">
        <v>385</v>
      </c>
      <c r="AX998" t="s">
        <v>815</v>
      </c>
      <c r="AZ998" t="s">
        <v>815</v>
      </c>
      <c r="BB998" t="s">
        <v>815</v>
      </c>
      <c r="BH998">
        <v>12.5</v>
      </c>
      <c r="BI998">
        <v>5</v>
      </c>
      <c r="BJ998">
        <v>2.5</v>
      </c>
      <c r="BL998" t="s">
        <v>1702</v>
      </c>
      <c r="BM998" t="s">
        <v>1703</v>
      </c>
      <c r="BN998" s="4">
        <v>4109</v>
      </c>
      <c r="BS998" t="s">
        <v>385</v>
      </c>
      <c r="BT998">
        <v>10</v>
      </c>
      <c r="BU998">
        <v>10</v>
      </c>
      <c r="BV998">
        <v>6</v>
      </c>
      <c r="BX998">
        <v>51.5</v>
      </c>
      <c r="BZ998">
        <v>40</v>
      </c>
      <c r="CM998">
        <v>1911</v>
      </c>
    </row>
    <row r="999" spans="1:91" x14ac:dyDescent="0.3">
      <c r="A999" t="s">
        <v>1704</v>
      </c>
      <c r="B999">
        <v>49970</v>
      </c>
      <c r="D999">
        <v>12</v>
      </c>
      <c r="I999" s="2">
        <v>508302000</v>
      </c>
      <c r="J999" t="s">
        <v>773</v>
      </c>
      <c r="U999">
        <v>100</v>
      </c>
      <c r="V999" t="s">
        <v>773</v>
      </c>
      <c r="Y999">
        <v>100</v>
      </c>
      <c r="Z999" t="s">
        <v>773</v>
      </c>
      <c r="AA999">
        <v>64.5</v>
      </c>
      <c r="AB999" t="s">
        <v>379</v>
      </c>
      <c r="AC999" s="3">
        <v>71.12</v>
      </c>
      <c r="AE999" s="3">
        <v>63.25</v>
      </c>
      <c r="AI999">
        <v>69.75</v>
      </c>
      <c r="AK999" s="3"/>
      <c r="BG999">
        <v>5</v>
      </c>
      <c r="BH999">
        <v>5</v>
      </c>
      <c r="BI999">
        <v>5</v>
      </c>
      <c r="BJ999">
        <v>5</v>
      </c>
      <c r="BK999" s="4">
        <v>4078</v>
      </c>
      <c r="BL999" s="4">
        <v>4170</v>
      </c>
      <c r="BM999" s="4">
        <v>4262</v>
      </c>
      <c r="BN999" s="4">
        <v>4353</v>
      </c>
      <c r="BS999" t="s">
        <v>385</v>
      </c>
      <c r="BT999">
        <v>7</v>
      </c>
      <c r="BU999">
        <v>3</v>
      </c>
      <c r="BV999">
        <v>3</v>
      </c>
      <c r="BX999">
        <v>84.25</v>
      </c>
      <c r="BZ999">
        <v>53.5</v>
      </c>
      <c r="CM999">
        <v>1911</v>
      </c>
    </row>
    <row r="1000" spans="1:91" x14ac:dyDescent="0.3">
      <c r="A1000" t="s">
        <v>1704</v>
      </c>
      <c r="B1000">
        <v>49971</v>
      </c>
      <c r="C1000" t="s">
        <v>1062</v>
      </c>
      <c r="D1000">
        <v>12</v>
      </c>
      <c r="I1000" s="2">
        <v>360281000</v>
      </c>
      <c r="J1000" t="s">
        <v>773</v>
      </c>
      <c r="U1000">
        <v>100</v>
      </c>
      <c r="V1000" t="s">
        <v>773</v>
      </c>
      <c r="Y1000">
        <v>100</v>
      </c>
      <c r="Z1000" t="s">
        <v>773</v>
      </c>
      <c r="AA1000">
        <v>112.5</v>
      </c>
      <c r="AC1000" s="3">
        <v>115</v>
      </c>
      <c r="AE1000" s="3">
        <v>112</v>
      </c>
      <c r="AI1000">
        <v>114.5</v>
      </c>
      <c r="AK1000" s="3"/>
      <c r="BG1000">
        <v>7</v>
      </c>
      <c r="BH1000">
        <v>7</v>
      </c>
      <c r="BI1000">
        <v>7</v>
      </c>
      <c r="BJ1000">
        <v>7</v>
      </c>
      <c r="BK1000" s="4">
        <v>4050</v>
      </c>
      <c r="BL1000" s="4">
        <v>4139</v>
      </c>
      <c r="BM1000" s="4">
        <v>4231</v>
      </c>
      <c r="BN1000" s="4">
        <v>4323</v>
      </c>
      <c r="BS1000" t="s">
        <v>385</v>
      </c>
      <c r="BT1000">
        <v>6</v>
      </c>
      <c r="BU1000">
        <v>2</v>
      </c>
      <c r="BV1000">
        <v>3</v>
      </c>
      <c r="BX1000">
        <v>125.5</v>
      </c>
      <c r="BZ1000">
        <v>106</v>
      </c>
      <c r="CM1000">
        <v>1911</v>
      </c>
    </row>
    <row r="1001" spans="1:91" x14ac:dyDescent="0.3">
      <c r="A1001" t="s">
        <v>1704</v>
      </c>
      <c r="B1001">
        <v>49972</v>
      </c>
      <c r="C1001" t="s">
        <v>1705</v>
      </c>
      <c r="D1001">
        <v>12</v>
      </c>
      <c r="I1001" s="2">
        <v>190778000</v>
      </c>
      <c r="J1001" t="s">
        <v>773</v>
      </c>
      <c r="U1001">
        <v>1000</v>
      </c>
      <c r="V1001" t="s">
        <v>773</v>
      </c>
      <c r="Y1001">
        <v>1000</v>
      </c>
      <c r="AA1001">
        <v>105</v>
      </c>
      <c r="AC1001" s="3">
        <v>106</v>
      </c>
      <c r="AE1001" s="3">
        <v>104.87</v>
      </c>
      <c r="AI1001">
        <v>106</v>
      </c>
      <c r="AK1001" s="3"/>
      <c r="AV1001" t="s">
        <v>536</v>
      </c>
      <c r="AX1001" t="s">
        <v>536</v>
      </c>
      <c r="AZ1001" t="s">
        <v>536</v>
      </c>
      <c r="BB1001" t="s">
        <v>536</v>
      </c>
      <c r="BO1001" t="s">
        <v>367</v>
      </c>
      <c r="BS1001" t="s">
        <v>385</v>
      </c>
      <c r="BT1001">
        <v>4</v>
      </c>
      <c r="BU1001">
        <v>16</v>
      </c>
      <c r="BV1001">
        <v>3</v>
      </c>
      <c r="BX1001">
        <v>112.25</v>
      </c>
      <c r="BZ1001">
        <v>102</v>
      </c>
      <c r="CM1001">
        <v>1911</v>
      </c>
    </row>
    <row r="1002" spans="1:91" x14ac:dyDescent="0.3">
      <c r="A1002" t="s">
        <v>1706</v>
      </c>
      <c r="B1002">
        <v>50067</v>
      </c>
      <c r="D1002">
        <v>12</v>
      </c>
      <c r="I1002" s="2">
        <v>3700000</v>
      </c>
      <c r="U1002">
        <v>1</v>
      </c>
      <c r="Y1002">
        <v>1</v>
      </c>
      <c r="AA1002">
        <v>2</v>
      </c>
      <c r="AC1002" s="3">
        <v>2.06</v>
      </c>
      <c r="AE1002" s="3">
        <v>1.93</v>
      </c>
      <c r="AI1002">
        <v>2.06</v>
      </c>
      <c r="AK1002" s="3"/>
      <c r="AX1002" t="s">
        <v>823</v>
      </c>
      <c r="BB1002" t="s">
        <v>823</v>
      </c>
      <c r="BG1002">
        <v>10</v>
      </c>
      <c r="BH1002">
        <v>10</v>
      </c>
      <c r="BI1002">
        <v>10</v>
      </c>
      <c r="BJ1002">
        <v>10</v>
      </c>
      <c r="BK1002" s="4">
        <v>3713</v>
      </c>
      <c r="BL1002" s="4">
        <v>3866</v>
      </c>
      <c r="BM1002" s="4">
        <v>4078</v>
      </c>
      <c r="BN1002" s="4">
        <v>4231</v>
      </c>
      <c r="BR1002">
        <v>103970</v>
      </c>
      <c r="BS1002" t="s">
        <v>1707</v>
      </c>
      <c r="BT1002">
        <v>4</v>
      </c>
      <c r="BU1002">
        <v>17</v>
      </c>
      <c r="BV1002">
        <v>0</v>
      </c>
      <c r="BX1002">
        <v>2.1800000000000002</v>
      </c>
      <c r="BZ1002">
        <v>1.84</v>
      </c>
      <c r="CK1002" t="s">
        <v>541</v>
      </c>
      <c r="CL1002" t="s">
        <v>457</v>
      </c>
      <c r="CM1002">
        <v>1911</v>
      </c>
    </row>
    <row r="1003" spans="1:91" x14ac:dyDescent="0.3">
      <c r="A1003" t="s">
        <v>1706</v>
      </c>
      <c r="B1003">
        <v>50065</v>
      </c>
      <c r="C1003" t="s">
        <v>1708</v>
      </c>
      <c r="D1003">
        <v>12</v>
      </c>
      <c r="I1003">
        <v>750000</v>
      </c>
      <c r="J1003" t="s">
        <v>800</v>
      </c>
      <c r="V1003" t="s">
        <v>350</v>
      </c>
      <c r="Y1003">
        <v>100</v>
      </c>
      <c r="AA1003">
        <v>109</v>
      </c>
      <c r="AC1003" s="3">
        <v>109</v>
      </c>
      <c r="AE1003" s="3">
        <v>108.5</v>
      </c>
      <c r="AI1003">
        <v>109</v>
      </c>
      <c r="AK1003" s="3"/>
      <c r="AV1003" t="s">
        <v>1256</v>
      </c>
      <c r="AX1003" t="s">
        <v>1256</v>
      </c>
      <c r="AZ1003" t="s">
        <v>1256</v>
      </c>
      <c r="BB1003" t="s">
        <v>1256</v>
      </c>
      <c r="BO1003" t="s">
        <v>367</v>
      </c>
      <c r="BR1003">
        <v>103970</v>
      </c>
      <c r="BS1003" t="s">
        <v>1707</v>
      </c>
      <c r="BT1003">
        <v>4</v>
      </c>
      <c r="BU1003">
        <v>13</v>
      </c>
      <c r="BV1003">
        <v>3</v>
      </c>
      <c r="BX1003">
        <v>113.25</v>
      </c>
      <c r="BZ1003">
        <v>107.5</v>
      </c>
      <c r="CM1003">
        <v>1911</v>
      </c>
    </row>
    <row r="1004" spans="1:91" x14ac:dyDescent="0.3">
      <c r="A1004" t="s">
        <v>1706</v>
      </c>
      <c r="B1004">
        <v>50066</v>
      </c>
      <c r="C1004" t="s">
        <v>1709</v>
      </c>
      <c r="D1004">
        <v>12</v>
      </c>
      <c r="I1004">
        <v>750000</v>
      </c>
      <c r="U1004">
        <v>1</v>
      </c>
      <c r="Y1004">
        <v>1</v>
      </c>
      <c r="AA1004">
        <v>1.1200000000000001</v>
      </c>
      <c r="AC1004" s="3">
        <v>1.1200000000000001</v>
      </c>
      <c r="AE1004" s="3">
        <v>1.0900000000000001</v>
      </c>
      <c r="AI1004">
        <v>1.1200000000000001</v>
      </c>
      <c r="AK1004" s="3"/>
      <c r="AV1004" t="s">
        <v>1256</v>
      </c>
      <c r="AX1004" t="s">
        <v>1256</v>
      </c>
      <c r="AZ1004" t="s">
        <v>1256</v>
      </c>
      <c r="BB1004" t="s">
        <v>1256</v>
      </c>
      <c r="BO1004" t="s">
        <v>367</v>
      </c>
      <c r="BR1004">
        <v>103970</v>
      </c>
      <c r="BS1004" t="s">
        <v>1707</v>
      </c>
      <c r="BT1004">
        <v>4</v>
      </c>
      <c r="BU1004">
        <v>9</v>
      </c>
      <c r="BV1004">
        <v>0</v>
      </c>
      <c r="BX1004">
        <v>1.1499999999999999</v>
      </c>
      <c r="BZ1004">
        <v>1</v>
      </c>
      <c r="CM1004">
        <v>1911</v>
      </c>
    </row>
    <row r="1005" spans="1:91" x14ac:dyDescent="0.3">
      <c r="A1005" t="s">
        <v>1706</v>
      </c>
      <c r="B1005">
        <v>50063</v>
      </c>
      <c r="C1005" t="s">
        <v>860</v>
      </c>
      <c r="D1005">
        <v>12</v>
      </c>
      <c r="I1005" s="2">
        <v>1250000</v>
      </c>
      <c r="J1005" t="s">
        <v>800</v>
      </c>
      <c r="V1005" t="s">
        <v>350</v>
      </c>
      <c r="Y1005">
        <v>100</v>
      </c>
      <c r="AA1005">
        <v>100</v>
      </c>
      <c r="AC1005" s="3">
        <v>100.75</v>
      </c>
      <c r="AE1005" s="3">
        <v>99.25</v>
      </c>
      <c r="AI1005">
        <v>100</v>
      </c>
      <c r="AK1005" s="3"/>
      <c r="AV1005" t="s">
        <v>421</v>
      </c>
      <c r="AX1005" t="s">
        <v>421</v>
      </c>
      <c r="AZ1005" t="s">
        <v>421</v>
      </c>
      <c r="BB1005" t="s">
        <v>421</v>
      </c>
      <c r="BO1005" t="s">
        <v>367</v>
      </c>
      <c r="BR1005">
        <v>103970</v>
      </c>
      <c r="BS1005" t="s">
        <v>1707</v>
      </c>
      <c r="BT1005">
        <v>4</v>
      </c>
      <c r="BU1005">
        <v>0</v>
      </c>
      <c r="BV1005">
        <v>0</v>
      </c>
      <c r="BX1005">
        <v>103.5</v>
      </c>
      <c r="BZ1005">
        <v>98</v>
      </c>
      <c r="CM1005">
        <v>1911</v>
      </c>
    </row>
    <row r="1006" spans="1:91" x14ac:dyDescent="0.3">
      <c r="A1006" t="s">
        <v>1706</v>
      </c>
      <c r="B1006">
        <v>50062</v>
      </c>
      <c r="C1006" t="s">
        <v>1710</v>
      </c>
      <c r="D1006">
        <v>12</v>
      </c>
      <c r="I1006">
        <v>664200</v>
      </c>
      <c r="J1006" t="s">
        <v>800</v>
      </c>
      <c r="U1006">
        <v>100</v>
      </c>
      <c r="Y1006">
        <v>100</v>
      </c>
      <c r="AA1006">
        <v>106</v>
      </c>
      <c r="AC1006" s="3">
        <v>106</v>
      </c>
      <c r="AE1006" s="3">
        <v>103.25</v>
      </c>
      <c r="AI1006">
        <v>104</v>
      </c>
      <c r="AK1006" s="3"/>
      <c r="AV1006" t="s">
        <v>421</v>
      </c>
      <c r="AX1006" t="s">
        <v>421</v>
      </c>
      <c r="AZ1006" t="s">
        <v>421</v>
      </c>
      <c r="BB1006" t="s">
        <v>421</v>
      </c>
      <c r="BO1006" t="s">
        <v>367</v>
      </c>
      <c r="BR1006">
        <v>103970</v>
      </c>
      <c r="BS1006" t="s">
        <v>1707</v>
      </c>
      <c r="BT1006">
        <v>4</v>
      </c>
      <c r="BU1006">
        <v>6</v>
      </c>
      <c r="BV1006">
        <v>6</v>
      </c>
      <c r="BX1006">
        <v>106.25</v>
      </c>
      <c r="BZ1006">
        <v>103</v>
      </c>
      <c r="CM1006">
        <v>1911</v>
      </c>
    </row>
    <row r="1007" spans="1:91" x14ac:dyDescent="0.3">
      <c r="A1007" t="s">
        <v>1706</v>
      </c>
      <c r="B1007">
        <v>50064</v>
      </c>
      <c r="C1007" t="s">
        <v>1711</v>
      </c>
      <c r="D1007">
        <v>12</v>
      </c>
      <c r="I1007">
        <v>936800</v>
      </c>
      <c r="J1007" t="s">
        <v>800</v>
      </c>
      <c r="U1007">
        <v>100</v>
      </c>
      <c r="Y1007">
        <v>100</v>
      </c>
      <c r="AA1007">
        <v>106</v>
      </c>
      <c r="AC1007" s="3">
        <v>106</v>
      </c>
      <c r="AE1007" s="3">
        <v>104</v>
      </c>
      <c r="AI1007">
        <v>105</v>
      </c>
      <c r="AK1007" s="3"/>
      <c r="AV1007" t="s">
        <v>421</v>
      </c>
      <c r="AX1007" t="s">
        <v>421</v>
      </c>
      <c r="AZ1007" t="s">
        <v>421</v>
      </c>
      <c r="BB1007" t="s">
        <v>421</v>
      </c>
      <c r="BO1007" t="s">
        <v>367</v>
      </c>
      <c r="BR1007">
        <v>103970</v>
      </c>
      <c r="BS1007" t="s">
        <v>1707</v>
      </c>
      <c r="BT1007">
        <v>4</v>
      </c>
      <c r="BU1007">
        <v>15</v>
      </c>
      <c r="BV1007">
        <v>3</v>
      </c>
      <c r="BX1007">
        <v>106.75</v>
      </c>
      <c r="BZ1007">
        <v>102.75</v>
      </c>
      <c r="CM1007">
        <v>1911</v>
      </c>
    </row>
    <row r="1008" spans="1:91" x14ac:dyDescent="0.3">
      <c r="A1008" t="s">
        <v>1712</v>
      </c>
      <c r="B1008">
        <v>50115</v>
      </c>
      <c r="D1008">
        <v>12</v>
      </c>
      <c r="I1008">
        <v>252235</v>
      </c>
      <c r="U1008">
        <v>1</v>
      </c>
      <c r="Y1008">
        <v>1</v>
      </c>
      <c r="AA1008">
        <v>1.37</v>
      </c>
      <c r="AC1008" s="3">
        <v>1.37</v>
      </c>
      <c r="AE1008" s="3">
        <v>1.34</v>
      </c>
      <c r="AI1008">
        <v>1.37</v>
      </c>
      <c r="AK1008" s="3"/>
      <c r="AV1008" t="s">
        <v>815</v>
      </c>
      <c r="AX1008" t="s">
        <v>815</v>
      </c>
      <c r="AZ1008" t="s">
        <v>815</v>
      </c>
      <c r="BB1008" t="s">
        <v>815</v>
      </c>
      <c r="BG1008">
        <v>15</v>
      </c>
      <c r="BH1008">
        <v>15</v>
      </c>
      <c r="BI1008">
        <v>10</v>
      </c>
      <c r="BJ1008">
        <v>10</v>
      </c>
      <c r="BK1008" s="4">
        <v>3197</v>
      </c>
      <c r="BL1008" s="4">
        <v>3562</v>
      </c>
      <c r="BM1008" s="4">
        <v>3562</v>
      </c>
      <c r="BN1008" s="4">
        <v>3927</v>
      </c>
      <c r="BR1008">
        <v>78768</v>
      </c>
      <c r="BS1008" t="s">
        <v>1713</v>
      </c>
      <c r="BT1008">
        <v>7</v>
      </c>
      <c r="BU1008">
        <v>5</v>
      </c>
      <c r="BV1008">
        <v>6</v>
      </c>
      <c r="BX1008">
        <v>1.53</v>
      </c>
      <c r="BZ1008">
        <v>1.34</v>
      </c>
      <c r="CK1008" t="s">
        <v>399</v>
      </c>
      <c r="CM1008">
        <v>1911</v>
      </c>
    </row>
    <row r="1009" spans="1:91" x14ac:dyDescent="0.3">
      <c r="A1009" t="s">
        <v>1712</v>
      </c>
      <c r="B1009">
        <v>50116</v>
      </c>
      <c r="C1009" t="s">
        <v>817</v>
      </c>
      <c r="D1009">
        <v>12</v>
      </c>
      <c r="I1009">
        <v>100000</v>
      </c>
      <c r="U1009">
        <v>1</v>
      </c>
      <c r="Y1009">
        <v>1</v>
      </c>
      <c r="AA1009">
        <v>1.03</v>
      </c>
      <c r="AC1009" s="3">
        <v>1.03</v>
      </c>
      <c r="AE1009" s="3">
        <v>1.03</v>
      </c>
      <c r="AI1009">
        <v>1.03</v>
      </c>
      <c r="AK1009" s="3"/>
      <c r="BG1009">
        <v>5</v>
      </c>
      <c r="BH1009">
        <v>5</v>
      </c>
      <c r="BI1009">
        <v>5</v>
      </c>
      <c r="BJ1009">
        <v>5</v>
      </c>
      <c r="BK1009" s="4">
        <v>3744</v>
      </c>
      <c r="BL1009" s="4">
        <v>3927</v>
      </c>
      <c r="BM1009" s="4">
        <v>4109</v>
      </c>
      <c r="BN1009" s="4">
        <v>4292</v>
      </c>
      <c r="BR1009">
        <v>78768</v>
      </c>
      <c r="BS1009" t="s">
        <v>1713</v>
      </c>
      <c r="BT1009">
        <v>4</v>
      </c>
      <c r="BU1009">
        <v>17</v>
      </c>
      <c r="BV1009">
        <v>0</v>
      </c>
      <c r="BX1009">
        <v>1.1200000000000001</v>
      </c>
      <c r="BZ1009">
        <v>1.03</v>
      </c>
      <c r="CM1009">
        <v>1911</v>
      </c>
    </row>
    <row r="1010" spans="1:91" x14ac:dyDescent="0.3">
      <c r="A1010" t="s">
        <v>1714</v>
      </c>
      <c r="B1010">
        <v>50218</v>
      </c>
      <c r="D1010">
        <v>12</v>
      </c>
      <c r="I1010">
        <v>148530</v>
      </c>
      <c r="U1010">
        <v>1</v>
      </c>
      <c r="Y1010">
        <v>1</v>
      </c>
      <c r="AA1010">
        <v>1.0900000000000001</v>
      </c>
      <c r="AC1010" s="3">
        <v>1.0900000000000001</v>
      </c>
      <c r="AE1010" s="3">
        <v>1.0900000000000001</v>
      </c>
      <c r="AI1010">
        <v>1.0900000000000001</v>
      </c>
      <c r="AK1010" s="3"/>
      <c r="AV1010" t="s">
        <v>823</v>
      </c>
      <c r="AZ1010" t="s">
        <v>823</v>
      </c>
      <c r="BG1010">
        <v>5</v>
      </c>
      <c r="BH1010">
        <v>5</v>
      </c>
      <c r="BI1010">
        <v>5</v>
      </c>
      <c r="BJ1010">
        <v>5</v>
      </c>
      <c r="BK1010" s="4">
        <v>3532</v>
      </c>
      <c r="BL1010" s="4">
        <v>3713</v>
      </c>
      <c r="BM1010" s="4">
        <v>3897</v>
      </c>
      <c r="BN1010" s="4">
        <v>4078</v>
      </c>
      <c r="BR1010">
        <v>77113</v>
      </c>
      <c r="BS1010" t="s">
        <v>1715</v>
      </c>
      <c r="BT1010">
        <v>4</v>
      </c>
      <c r="BU1010">
        <v>11</v>
      </c>
      <c r="BV1010">
        <v>6</v>
      </c>
      <c r="BX1010">
        <v>1.0900000000000001</v>
      </c>
      <c r="BZ1010">
        <v>1.06</v>
      </c>
      <c r="CK1010" t="s">
        <v>1076</v>
      </c>
      <c r="CM1010">
        <v>1911</v>
      </c>
    </row>
    <row r="1011" spans="1:91" x14ac:dyDescent="0.3">
      <c r="A1011" t="s">
        <v>1714</v>
      </c>
      <c r="B1011">
        <v>50219</v>
      </c>
      <c r="C1011" t="s">
        <v>817</v>
      </c>
      <c r="D1011">
        <v>12</v>
      </c>
      <c r="I1011">
        <v>83550</v>
      </c>
      <c r="U1011">
        <v>1</v>
      </c>
      <c r="Y1011">
        <v>1</v>
      </c>
      <c r="AA1011">
        <v>1</v>
      </c>
      <c r="AC1011" s="3">
        <v>1</v>
      </c>
      <c r="AE1011" s="3">
        <v>1</v>
      </c>
      <c r="AI1011">
        <v>1</v>
      </c>
      <c r="AK1011" s="3"/>
      <c r="AV1011" t="s">
        <v>373</v>
      </c>
      <c r="AX1011" t="s">
        <v>373</v>
      </c>
      <c r="AZ1011" t="s">
        <v>373</v>
      </c>
      <c r="BB1011" t="s">
        <v>373</v>
      </c>
      <c r="BO1011" t="s">
        <v>367</v>
      </c>
      <c r="BR1011">
        <v>77113</v>
      </c>
      <c r="BS1011" t="s">
        <v>1715</v>
      </c>
      <c r="BT1011">
        <v>5</v>
      </c>
      <c r="BU1011">
        <v>0</v>
      </c>
      <c r="BV1011">
        <v>0</v>
      </c>
      <c r="BX1011">
        <v>1</v>
      </c>
      <c r="BZ1011">
        <v>0.96</v>
      </c>
      <c r="CM1011">
        <v>1911</v>
      </c>
    </row>
    <row r="1012" spans="1:91" x14ac:dyDescent="0.3">
      <c r="A1012" t="s">
        <v>1716</v>
      </c>
      <c r="B1012">
        <v>50278</v>
      </c>
      <c r="D1012">
        <v>12</v>
      </c>
      <c r="I1012">
        <v>137500</v>
      </c>
      <c r="U1012">
        <v>1</v>
      </c>
      <c r="Y1012">
        <v>1</v>
      </c>
      <c r="AA1012">
        <v>1.56</v>
      </c>
      <c r="AC1012" s="3">
        <v>1.56</v>
      </c>
      <c r="AE1012" s="3">
        <v>1.56</v>
      </c>
      <c r="AI1012">
        <v>1.56</v>
      </c>
      <c r="AK1012" s="3"/>
      <c r="AU1012" t="s">
        <v>1623</v>
      </c>
      <c r="AV1012" s="5">
        <v>40603</v>
      </c>
      <c r="AW1012" t="s">
        <v>1717</v>
      </c>
      <c r="AX1012" t="s">
        <v>1718</v>
      </c>
      <c r="AY1012" t="s">
        <v>1717</v>
      </c>
      <c r="AZ1012" t="s">
        <v>1719</v>
      </c>
      <c r="BA1012" t="s">
        <v>1720</v>
      </c>
      <c r="BB1012" t="s">
        <v>1721</v>
      </c>
      <c r="BC1012">
        <v>15</v>
      </c>
      <c r="BD1012">
        <v>12</v>
      </c>
      <c r="BE1012">
        <v>12</v>
      </c>
      <c r="BF1012">
        <v>9</v>
      </c>
      <c r="BK1012" s="4">
        <v>3713</v>
      </c>
      <c r="BL1012" s="4">
        <v>3866</v>
      </c>
      <c r="BM1012" s="4">
        <v>4078</v>
      </c>
      <c r="BN1012" s="4">
        <v>4231</v>
      </c>
      <c r="BR1012">
        <v>103381</v>
      </c>
      <c r="BS1012" t="s">
        <v>1722</v>
      </c>
      <c r="BT1012">
        <v>5</v>
      </c>
      <c r="BU1012">
        <v>12</v>
      </c>
      <c r="BV1012">
        <v>0</v>
      </c>
      <c r="BX1012">
        <v>1.56</v>
      </c>
      <c r="BZ1012">
        <v>1.56</v>
      </c>
      <c r="CK1012" t="s">
        <v>541</v>
      </c>
      <c r="CM1012">
        <v>1911</v>
      </c>
    </row>
    <row r="1013" spans="1:91" x14ac:dyDescent="0.3">
      <c r="A1013" t="s">
        <v>1716</v>
      </c>
      <c r="B1013">
        <v>50279</v>
      </c>
      <c r="C1013" t="s">
        <v>921</v>
      </c>
      <c r="D1013">
        <v>12</v>
      </c>
      <c r="I1013">
        <v>92500</v>
      </c>
      <c r="U1013">
        <v>1</v>
      </c>
      <c r="Y1013">
        <v>1</v>
      </c>
      <c r="AA1013">
        <v>1.06</v>
      </c>
      <c r="AC1013" s="3">
        <v>1.06</v>
      </c>
      <c r="AE1013" s="3">
        <v>1.06</v>
      </c>
      <c r="AI1013">
        <v>1.06</v>
      </c>
      <c r="AK1013" s="3"/>
      <c r="AV1013" t="s">
        <v>370</v>
      </c>
      <c r="AX1013" t="s">
        <v>370</v>
      </c>
      <c r="AZ1013" t="s">
        <v>370</v>
      </c>
      <c r="BB1013" t="s">
        <v>370</v>
      </c>
      <c r="BO1013" t="s">
        <v>367</v>
      </c>
      <c r="BR1013">
        <v>103381</v>
      </c>
      <c r="BS1013" t="s">
        <v>1722</v>
      </c>
      <c r="BT1013">
        <v>5</v>
      </c>
      <c r="BU1013">
        <v>3</v>
      </c>
      <c r="BV1013">
        <v>6</v>
      </c>
      <c r="BX1013">
        <v>1.06</v>
      </c>
      <c r="BZ1013">
        <v>1.06</v>
      </c>
      <c r="CM1013">
        <v>1911</v>
      </c>
    </row>
    <row r="1014" spans="1:91" x14ac:dyDescent="0.3">
      <c r="A1014" t="s">
        <v>1723</v>
      </c>
      <c r="B1014">
        <v>50302</v>
      </c>
      <c r="D1014">
        <v>12</v>
      </c>
      <c r="I1014">
        <v>300000</v>
      </c>
      <c r="U1014">
        <v>1</v>
      </c>
      <c r="Y1014">
        <v>1</v>
      </c>
      <c r="AA1014">
        <v>2.31</v>
      </c>
      <c r="AC1014" s="3">
        <v>2.68</v>
      </c>
      <c r="AE1014" s="3">
        <v>2.31</v>
      </c>
      <c r="AI1014">
        <v>2.68</v>
      </c>
      <c r="AK1014" s="3"/>
      <c r="AZ1014" t="s">
        <v>1724</v>
      </c>
      <c r="BG1014">
        <v>18.82</v>
      </c>
      <c r="BH1014">
        <v>14.11</v>
      </c>
      <c r="BI1014">
        <v>9</v>
      </c>
      <c r="BJ1014">
        <v>18.82</v>
      </c>
      <c r="BK1014" t="s">
        <v>1225</v>
      </c>
      <c r="BL1014" t="s">
        <v>913</v>
      </c>
      <c r="BM1014" t="s">
        <v>811</v>
      </c>
      <c r="BN1014" t="s">
        <v>1226</v>
      </c>
      <c r="BR1014">
        <v>90283</v>
      </c>
      <c r="BS1014" t="s">
        <v>1725</v>
      </c>
      <c r="BT1014">
        <v>7</v>
      </c>
      <c r="BU1014">
        <v>0</v>
      </c>
      <c r="BV1014">
        <v>3</v>
      </c>
      <c r="BX1014">
        <v>2.68</v>
      </c>
      <c r="BZ1014">
        <v>2.31</v>
      </c>
      <c r="CK1014" t="s">
        <v>465</v>
      </c>
      <c r="CM1014">
        <v>1911</v>
      </c>
    </row>
    <row r="1015" spans="1:91" x14ac:dyDescent="0.3">
      <c r="A1015" t="s">
        <v>1726</v>
      </c>
      <c r="B1015">
        <v>50313</v>
      </c>
      <c r="D1015">
        <v>12</v>
      </c>
      <c r="I1015">
        <v>225000</v>
      </c>
      <c r="U1015">
        <v>1</v>
      </c>
      <c r="Y1015">
        <v>1</v>
      </c>
      <c r="AA1015">
        <v>0.81</v>
      </c>
      <c r="AC1015" s="3">
        <v>0.81</v>
      </c>
      <c r="AE1015" s="3">
        <v>0.75</v>
      </c>
      <c r="AI1015">
        <v>0.75</v>
      </c>
      <c r="AK1015" s="3"/>
      <c r="AV1015" t="s">
        <v>815</v>
      </c>
      <c r="AX1015" t="s">
        <v>815</v>
      </c>
      <c r="AZ1015" t="s">
        <v>815</v>
      </c>
      <c r="BB1015" t="s">
        <v>815</v>
      </c>
      <c r="BG1015">
        <v>6</v>
      </c>
      <c r="BH1015">
        <v>6</v>
      </c>
      <c r="BI1015">
        <v>6</v>
      </c>
      <c r="BJ1015">
        <v>6</v>
      </c>
      <c r="BK1015" t="s">
        <v>1224</v>
      </c>
      <c r="BL1015" s="4">
        <v>3593</v>
      </c>
      <c r="BM1015" s="4">
        <v>3958</v>
      </c>
      <c r="BN1015" s="4">
        <v>4323</v>
      </c>
      <c r="BR1015">
        <v>280351</v>
      </c>
      <c r="BS1015" t="s">
        <v>1727</v>
      </c>
      <c r="BT1015">
        <v>8</v>
      </c>
      <c r="BU1015">
        <v>0</v>
      </c>
      <c r="BV1015">
        <v>0</v>
      </c>
      <c r="BX1015">
        <v>0.93</v>
      </c>
      <c r="BZ1015">
        <v>0.75</v>
      </c>
      <c r="CM1015">
        <v>1911</v>
      </c>
    </row>
    <row r="1016" spans="1:91" x14ac:dyDescent="0.3">
      <c r="A1016" t="s">
        <v>1728</v>
      </c>
      <c r="B1016">
        <v>50314</v>
      </c>
      <c r="D1016">
        <v>12</v>
      </c>
      <c r="I1016">
        <v>500000</v>
      </c>
      <c r="U1016">
        <v>1</v>
      </c>
      <c r="Y1016">
        <v>1</v>
      </c>
      <c r="AA1016">
        <v>0.81</v>
      </c>
      <c r="AC1016" s="3">
        <v>0.87</v>
      </c>
      <c r="AE1016" s="3">
        <v>0.81</v>
      </c>
      <c r="AI1016">
        <v>0.87</v>
      </c>
      <c r="AK1016" s="3"/>
      <c r="AV1016" t="s">
        <v>815</v>
      </c>
      <c r="AX1016" t="s">
        <v>815</v>
      </c>
      <c r="AZ1016" t="s">
        <v>815</v>
      </c>
      <c r="BB1016" t="s">
        <v>815</v>
      </c>
      <c r="BG1016">
        <v>6</v>
      </c>
      <c r="BH1016">
        <v>6</v>
      </c>
      <c r="BI1016">
        <v>6</v>
      </c>
      <c r="BJ1016">
        <v>6</v>
      </c>
      <c r="BK1016" t="s">
        <v>1729</v>
      </c>
      <c r="BL1016" t="s">
        <v>1260</v>
      </c>
      <c r="BM1016" t="s">
        <v>1261</v>
      </c>
      <c r="BN1016" t="s">
        <v>1262</v>
      </c>
      <c r="BR1016">
        <v>280351</v>
      </c>
      <c r="BS1016" t="s">
        <v>1727</v>
      </c>
      <c r="BT1016">
        <v>6</v>
      </c>
      <c r="BU1016">
        <v>17</v>
      </c>
      <c r="BV1016">
        <v>3</v>
      </c>
      <c r="BX1016">
        <v>1</v>
      </c>
      <c r="BZ1016">
        <v>0.81</v>
      </c>
      <c r="CM1016">
        <v>1911</v>
      </c>
    </row>
    <row r="1017" spans="1:91" x14ac:dyDescent="0.3">
      <c r="A1017" t="s">
        <v>1728</v>
      </c>
      <c r="B1017">
        <v>50315</v>
      </c>
      <c r="C1017" t="s">
        <v>818</v>
      </c>
      <c r="D1017">
        <v>12</v>
      </c>
      <c r="I1017">
        <v>400000</v>
      </c>
      <c r="J1017" t="s">
        <v>800</v>
      </c>
      <c r="V1017" t="s">
        <v>350</v>
      </c>
      <c r="Y1017">
        <v>100</v>
      </c>
      <c r="AA1017">
        <v>82</v>
      </c>
      <c r="AC1017" s="3">
        <v>82</v>
      </c>
      <c r="AE1017" s="3">
        <v>82</v>
      </c>
      <c r="AI1017">
        <v>82</v>
      </c>
      <c r="AK1017" s="3"/>
      <c r="AV1017" t="s">
        <v>366</v>
      </c>
      <c r="AX1017" t="s">
        <v>366</v>
      </c>
      <c r="AZ1017" t="s">
        <v>366</v>
      </c>
      <c r="BB1017" t="s">
        <v>366</v>
      </c>
      <c r="BO1017" t="s">
        <v>367</v>
      </c>
      <c r="BR1017">
        <v>280351</v>
      </c>
      <c r="BS1017" t="s">
        <v>1727</v>
      </c>
      <c r="BT1017">
        <v>4</v>
      </c>
      <c r="BU1017">
        <v>17</v>
      </c>
      <c r="BV1017">
        <v>9</v>
      </c>
      <c r="BX1017">
        <v>85.5</v>
      </c>
      <c r="BZ1017">
        <v>82</v>
      </c>
      <c r="CM1017">
        <v>1911</v>
      </c>
    </row>
    <row r="1018" spans="1:91" x14ac:dyDescent="0.3">
      <c r="A1018" t="s">
        <v>1730</v>
      </c>
      <c r="B1018">
        <v>50346</v>
      </c>
      <c r="D1018">
        <v>12</v>
      </c>
      <c r="I1018">
        <v>25000</v>
      </c>
      <c r="U1018">
        <v>10</v>
      </c>
      <c r="Y1018">
        <v>9</v>
      </c>
      <c r="AA1018">
        <v>1.75</v>
      </c>
      <c r="AC1018" s="3">
        <v>1.75</v>
      </c>
      <c r="AE1018" s="3">
        <v>1.75</v>
      </c>
      <c r="AI1018">
        <v>1.75</v>
      </c>
      <c r="AK1018" s="3"/>
      <c r="AV1018" t="s">
        <v>815</v>
      </c>
      <c r="AX1018" t="s">
        <v>815</v>
      </c>
      <c r="AZ1018" t="s">
        <v>815</v>
      </c>
      <c r="BB1018" t="s">
        <v>810</v>
      </c>
      <c r="BG1018">
        <v>2</v>
      </c>
      <c r="BH1018">
        <v>5</v>
      </c>
      <c r="BI1018">
        <v>2.5</v>
      </c>
      <c r="BK1018" s="4">
        <v>2252</v>
      </c>
      <c r="BL1018" s="4">
        <v>3014</v>
      </c>
      <c r="BM1018" s="4">
        <v>3379</v>
      </c>
      <c r="BR1018">
        <v>6292</v>
      </c>
      <c r="BS1018" t="s">
        <v>1731</v>
      </c>
      <c r="BW1018" t="s">
        <v>802</v>
      </c>
      <c r="BX1018">
        <v>2.25</v>
      </c>
      <c r="BZ1018">
        <v>1.75</v>
      </c>
      <c r="CK1018" t="s">
        <v>541</v>
      </c>
      <c r="CM1018">
        <v>1911</v>
      </c>
    </row>
    <row r="1019" spans="1:91" x14ac:dyDescent="0.3">
      <c r="A1019" t="s">
        <v>1732</v>
      </c>
      <c r="B1019">
        <v>50352</v>
      </c>
      <c r="D1019">
        <v>12</v>
      </c>
      <c r="I1019">
        <v>15000</v>
      </c>
      <c r="U1019">
        <v>10</v>
      </c>
      <c r="Y1019">
        <v>10</v>
      </c>
      <c r="AA1019">
        <v>11.68</v>
      </c>
      <c r="AC1019" s="3">
        <v>11.68</v>
      </c>
      <c r="AE1019" s="3">
        <v>11.68</v>
      </c>
      <c r="AI1019">
        <v>11.68</v>
      </c>
      <c r="AK1019" s="3"/>
      <c r="AV1019" t="s">
        <v>366</v>
      </c>
      <c r="AX1019" t="s">
        <v>366</v>
      </c>
      <c r="AZ1019" t="s">
        <v>366</v>
      </c>
      <c r="BB1019" t="s">
        <v>366</v>
      </c>
      <c r="BO1019" t="s">
        <v>367</v>
      </c>
      <c r="BS1019" t="s">
        <v>385</v>
      </c>
      <c r="BT1019">
        <v>5</v>
      </c>
      <c r="BU1019">
        <v>2</v>
      </c>
      <c r="BV1019">
        <v>3</v>
      </c>
      <c r="BX1019">
        <v>12</v>
      </c>
      <c r="BZ1019">
        <v>11.56</v>
      </c>
      <c r="CK1019" t="s">
        <v>454</v>
      </c>
      <c r="CM1019">
        <v>1911</v>
      </c>
    </row>
    <row r="1020" spans="1:91" x14ac:dyDescent="0.3">
      <c r="A1020" t="s">
        <v>1733</v>
      </c>
      <c r="B1020">
        <v>50354</v>
      </c>
      <c r="D1020">
        <v>12</v>
      </c>
      <c r="I1020">
        <v>25000</v>
      </c>
      <c r="U1020">
        <v>10</v>
      </c>
      <c r="Y1020">
        <v>10</v>
      </c>
      <c r="AA1020">
        <v>10.5</v>
      </c>
      <c r="AC1020" s="3">
        <v>11</v>
      </c>
      <c r="AE1020" s="3">
        <v>10.5</v>
      </c>
      <c r="AI1020">
        <v>10.93</v>
      </c>
      <c r="AK1020" s="3"/>
      <c r="AV1020" t="s">
        <v>366</v>
      </c>
      <c r="AX1020" t="s">
        <v>366</v>
      </c>
      <c r="AZ1020" t="s">
        <v>366</v>
      </c>
      <c r="BB1020" t="s">
        <v>366</v>
      </c>
      <c r="BO1020" t="s">
        <v>367</v>
      </c>
      <c r="BS1020" t="s">
        <v>385</v>
      </c>
      <c r="BT1020">
        <v>5</v>
      </c>
      <c r="BU1020">
        <v>0</v>
      </c>
      <c r="BV1020">
        <v>9</v>
      </c>
      <c r="BX1020">
        <v>11.12</v>
      </c>
      <c r="BZ1020">
        <v>10.5</v>
      </c>
      <c r="CK1020" t="s">
        <v>454</v>
      </c>
      <c r="CM1020">
        <v>1911</v>
      </c>
    </row>
    <row r="1021" spans="1:91" x14ac:dyDescent="0.3">
      <c r="A1021" t="s">
        <v>1733</v>
      </c>
      <c r="B1021">
        <v>50355</v>
      </c>
      <c r="C1021" t="s">
        <v>1734</v>
      </c>
      <c r="D1021">
        <v>12</v>
      </c>
      <c r="I1021">
        <v>200000</v>
      </c>
      <c r="J1021" t="s">
        <v>800</v>
      </c>
      <c r="U1021">
        <v>100</v>
      </c>
      <c r="Y1021">
        <v>100</v>
      </c>
      <c r="AA1021">
        <v>93.5</v>
      </c>
      <c r="AC1021" s="3">
        <v>93.5</v>
      </c>
      <c r="AE1021" s="3">
        <v>93</v>
      </c>
      <c r="AI1021">
        <v>93</v>
      </c>
      <c r="AK1021" s="3"/>
      <c r="AV1021" t="s">
        <v>366</v>
      </c>
      <c r="AX1021" t="s">
        <v>366</v>
      </c>
      <c r="AZ1021" t="s">
        <v>366</v>
      </c>
      <c r="BB1021" t="s">
        <v>366</v>
      </c>
      <c r="BO1021" t="s">
        <v>367</v>
      </c>
      <c r="BS1021" t="s">
        <v>385</v>
      </c>
      <c r="BT1021">
        <v>4</v>
      </c>
      <c r="BU1021">
        <v>1</v>
      </c>
      <c r="BV1021">
        <v>6</v>
      </c>
      <c r="BX1021">
        <v>97.5</v>
      </c>
      <c r="BZ1021">
        <v>93</v>
      </c>
      <c r="CM1021">
        <v>1911</v>
      </c>
    </row>
    <row r="1022" spans="1:91" x14ac:dyDescent="0.3">
      <c r="A1022" t="s">
        <v>1735</v>
      </c>
      <c r="B1022">
        <v>50538</v>
      </c>
      <c r="D1022">
        <v>12</v>
      </c>
      <c r="I1022">
        <v>65960</v>
      </c>
      <c r="U1022">
        <v>10</v>
      </c>
      <c r="Y1022">
        <v>10</v>
      </c>
      <c r="AA1022">
        <v>7.62</v>
      </c>
      <c r="AC1022" s="3">
        <v>7.62</v>
      </c>
      <c r="AE1022" s="3">
        <v>7.62</v>
      </c>
      <c r="AI1022">
        <v>7.62</v>
      </c>
      <c r="AK1022" s="3"/>
      <c r="AX1022" t="s">
        <v>823</v>
      </c>
      <c r="BB1022" t="s">
        <v>823</v>
      </c>
      <c r="BG1022">
        <v>2.5</v>
      </c>
      <c r="BH1022">
        <v>3</v>
      </c>
      <c r="BI1022">
        <v>5</v>
      </c>
      <c r="BJ1022">
        <v>3</v>
      </c>
      <c r="BK1022" s="4">
        <v>3685</v>
      </c>
      <c r="BL1022" s="4">
        <v>3866</v>
      </c>
      <c r="BM1022" s="4">
        <v>4050</v>
      </c>
      <c r="BN1022" s="4">
        <v>4231</v>
      </c>
      <c r="BR1022">
        <v>237094</v>
      </c>
      <c r="BS1022" t="s">
        <v>1736</v>
      </c>
      <c r="BT1022">
        <v>5</v>
      </c>
      <c r="BU1022">
        <v>5</v>
      </c>
      <c r="BV1022">
        <v>0</v>
      </c>
      <c r="BX1022">
        <v>7.87</v>
      </c>
      <c r="BZ1022">
        <v>7.5</v>
      </c>
      <c r="CK1022" t="s">
        <v>1737</v>
      </c>
      <c r="CM1022">
        <v>1911</v>
      </c>
    </row>
    <row r="1023" spans="1:91" x14ac:dyDescent="0.3">
      <c r="A1023" t="s">
        <v>1735</v>
      </c>
      <c r="B1023">
        <v>50539</v>
      </c>
      <c r="C1023" t="s">
        <v>1738</v>
      </c>
      <c r="D1023">
        <v>12</v>
      </c>
      <c r="I1023">
        <v>153350</v>
      </c>
      <c r="U1023">
        <v>10</v>
      </c>
      <c r="Y1023">
        <v>7.5</v>
      </c>
      <c r="AA1023">
        <v>5.18</v>
      </c>
      <c r="AC1023" s="3">
        <v>5.25</v>
      </c>
      <c r="AE1023" s="3">
        <v>5.0599999999999996</v>
      </c>
      <c r="AI1023">
        <v>5.0599999999999996</v>
      </c>
      <c r="AK1023" s="3"/>
      <c r="AX1023" t="s">
        <v>823</v>
      </c>
      <c r="BB1023" t="s">
        <v>823</v>
      </c>
      <c r="BG1023">
        <v>2.5</v>
      </c>
      <c r="BH1023">
        <v>3</v>
      </c>
      <c r="BI1023">
        <v>5</v>
      </c>
      <c r="BJ1023">
        <v>3</v>
      </c>
      <c r="BK1023" s="4">
        <v>3685</v>
      </c>
      <c r="BL1023" s="4">
        <v>3866</v>
      </c>
      <c r="BM1023" s="4">
        <v>4050</v>
      </c>
      <c r="BN1023" s="4">
        <v>4231</v>
      </c>
      <c r="BR1023">
        <v>237094</v>
      </c>
      <c r="BS1023" t="s">
        <v>1736</v>
      </c>
      <c r="BT1023">
        <v>5</v>
      </c>
      <c r="BU1023">
        <v>18</v>
      </c>
      <c r="BV1023">
        <v>0</v>
      </c>
      <c r="BX1023">
        <v>5.12</v>
      </c>
      <c r="BZ1023">
        <v>5.0599999999999996</v>
      </c>
      <c r="CM1023">
        <v>1911</v>
      </c>
    </row>
    <row r="1024" spans="1:91" x14ac:dyDescent="0.3">
      <c r="A1024" t="s">
        <v>1739</v>
      </c>
      <c r="B1024">
        <v>50549</v>
      </c>
      <c r="D1024">
        <v>12</v>
      </c>
      <c r="I1024">
        <v>66666</v>
      </c>
      <c r="U1024">
        <v>1</v>
      </c>
      <c r="Y1024">
        <v>1</v>
      </c>
      <c r="AA1024">
        <v>0.06</v>
      </c>
      <c r="AC1024" s="3">
        <v>0.12</v>
      </c>
      <c r="AE1024" s="3">
        <v>0.06</v>
      </c>
      <c r="AI1024">
        <v>0.12</v>
      </c>
      <c r="AK1024" s="3"/>
      <c r="BB1024" t="s">
        <v>810</v>
      </c>
      <c r="BG1024">
        <v>10</v>
      </c>
      <c r="BH1024">
        <v>10</v>
      </c>
      <c r="BI1024">
        <v>10</v>
      </c>
      <c r="BK1024" s="4">
        <v>2831</v>
      </c>
      <c r="BL1024" s="4">
        <v>3014</v>
      </c>
      <c r="BM1024" s="4">
        <v>3197</v>
      </c>
      <c r="BR1024">
        <v>9785</v>
      </c>
      <c r="BS1024" t="s">
        <v>1740</v>
      </c>
      <c r="BW1024" t="s">
        <v>802</v>
      </c>
      <c r="BX1024">
        <v>0.25</v>
      </c>
      <c r="BZ1024">
        <v>0.06</v>
      </c>
      <c r="CK1024" t="s">
        <v>360</v>
      </c>
      <c r="CM1024">
        <v>1911</v>
      </c>
    </row>
    <row r="1025" spans="1:91" x14ac:dyDescent="0.3">
      <c r="A1025" t="s">
        <v>1739</v>
      </c>
      <c r="B1025">
        <v>50550</v>
      </c>
      <c r="C1025" t="s">
        <v>844</v>
      </c>
      <c r="D1025">
        <v>12</v>
      </c>
      <c r="I1025">
        <v>66666</v>
      </c>
      <c r="U1025">
        <v>5</v>
      </c>
      <c r="Y1025">
        <v>5</v>
      </c>
      <c r="AA1025">
        <v>0.5</v>
      </c>
      <c r="AC1025" s="3">
        <v>0.5</v>
      </c>
      <c r="AE1025" s="3">
        <v>0.5</v>
      </c>
      <c r="AI1025">
        <v>0.5</v>
      </c>
      <c r="AK1025" s="3"/>
      <c r="BB1025" t="s">
        <v>810</v>
      </c>
      <c r="BG1025">
        <v>6</v>
      </c>
      <c r="BH1025">
        <v>6</v>
      </c>
      <c r="BI1025">
        <v>3</v>
      </c>
      <c r="BK1025" s="4">
        <v>3197</v>
      </c>
      <c r="BL1025" s="4">
        <v>3379</v>
      </c>
      <c r="BM1025" s="4">
        <v>3562</v>
      </c>
      <c r="BR1025">
        <v>9785</v>
      </c>
      <c r="BS1025" t="s">
        <v>1740</v>
      </c>
      <c r="BW1025" t="s">
        <v>802</v>
      </c>
      <c r="BX1025">
        <v>1.25</v>
      </c>
      <c r="BZ1025">
        <v>0.5</v>
      </c>
      <c r="CM1025">
        <v>1911</v>
      </c>
    </row>
    <row r="1026" spans="1:91" x14ac:dyDescent="0.3">
      <c r="A1026" t="s">
        <v>1739</v>
      </c>
      <c r="B1026">
        <v>50551</v>
      </c>
      <c r="C1026" t="s">
        <v>1512</v>
      </c>
      <c r="D1026">
        <v>12</v>
      </c>
      <c r="I1026">
        <v>208895</v>
      </c>
      <c r="J1026" t="s">
        <v>800</v>
      </c>
      <c r="V1026" t="s">
        <v>350</v>
      </c>
      <c r="Y1026">
        <v>100</v>
      </c>
      <c r="AA1026">
        <v>58</v>
      </c>
      <c r="AB1026" t="s">
        <v>379</v>
      </c>
      <c r="AC1026" s="3">
        <v>58</v>
      </c>
      <c r="AE1026" s="3">
        <v>58</v>
      </c>
      <c r="AI1026">
        <v>58</v>
      </c>
      <c r="AK1026" s="3"/>
      <c r="BG1026">
        <v>4</v>
      </c>
      <c r="BH1026">
        <v>4</v>
      </c>
      <c r="BI1026">
        <v>4</v>
      </c>
      <c r="BJ1026">
        <v>4</v>
      </c>
      <c r="BK1026" s="4">
        <v>3623</v>
      </c>
      <c r="BL1026" s="4">
        <v>3805</v>
      </c>
      <c r="BM1026" s="4">
        <v>3988</v>
      </c>
      <c r="BN1026" s="4">
        <v>4170</v>
      </c>
      <c r="BR1026">
        <v>9785</v>
      </c>
      <c r="BS1026" t="s">
        <v>1740</v>
      </c>
      <c r="BT1026">
        <v>6</v>
      </c>
      <c r="BU1026">
        <v>18</v>
      </c>
      <c r="BV1026">
        <v>6</v>
      </c>
      <c r="BX1026">
        <v>61</v>
      </c>
      <c r="BZ1026">
        <v>57</v>
      </c>
      <c r="CM1026">
        <v>1911</v>
      </c>
    </row>
    <row r="1027" spans="1:91" x14ac:dyDescent="0.3">
      <c r="A1027" t="s">
        <v>1741</v>
      </c>
      <c r="B1027">
        <v>50565</v>
      </c>
      <c r="D1027">
        <v>12</v>
      </c>
      <c r="I1027">
        <v>60000</v>
      </c>
      <c r="U1027">
        <v>3</v>
      </c>
      <c r="Y1027">
        <v>3</v>
      </c>
      <c r="AA1027">
        <v>8.25</v>
      </c>
      <c r="AC1027" s="3">
        <v>9.3699999999999992</v>
      </c>
      <c r="AE1027" s="3">
        <v>8.25</v>
      </c>
      <c r="AI1027">
        <v>9.3699999999999992</v>
      </c>
      <c r="AK1027" s="3"/>
      <c r="AV1027" t="s">
        <v>823</v>
      </c>
      <c r="AZ1027" t="s">
        <v>823</v>
      </c>
      <c r="BG1027">
        <v>13.33</v>
      </c>
      <c r="BH1027">
        <v>20</v>
      </c>
      <c r="BI1027">
        <v>10</v>
      </c>
      <c r="BJ1027">
        <v>16.66</v>
      </c>
      <c r="BK1027" s="4">
        <v>3744</v>
      </c>
      <c r="BL1027" s="4">
        <v>3958</v>
      </c>
      <c r="BM1027" s="4">
        <v>4109</v>
      </c>
      <c r="BN1027" s="4">
        <v>4323</v>
      </c>
      <c r="BR1027">
        <v>99116</v>
      </c>
      <c r="BT1027">
        <v>4</v>
      </c>
      <c r="BU1027">
        <v>5</v>
      </c>
      <c r="BV1027">
        <v>3</v>
      </c>
      <c r="BX1027">
        <v>9.5</v>
      </c>
      <c r="BZ1027">
        <v>7.5</v>
      </c>
      <c r="CK1027" t="s">
        <v>1742</v>
      </c>
      <c r="CM1027">
        <v>1911</v>
      </c>
    </row>
    <row r="1028" spans="1:91" x14ac:dyDescent="0.3">
      <c r="A1028" t="s">
        <v>1743</v>
      </c>
      <c r="B1028">
        <v>50641</v>
      </c>
      <c r="D1028">
        <v>12</v>
      </c>
      <c r="I1028" s="2">
        <v>1097120</v>
      </c>
      <c r="U1028">
        <v>1</v>
      </c>
      <c r="Y1028">
        <v>1</v>
      </c>
      <c r="AA1028">
        <v>0.62</v>
      </c>
      <c r="AC1028" s="3">
        <v>0.75</v>
      </c>
      <c r="AE1028" s="3">
        <v>0.62</v>
      </c>
      <c r="AI1028">
        <v>0.71</v>
      </c>
      <c r="AK1028" s="3"/>
      <c r="AV1028" t="s">
        <v>385</v>
      </c>
      <c r="AX1028" t="s">
        <v>385</v>
      </c>
      <c r="AZ1028" t="s">
        <v>385</v>
      </c>
      <c r="BB1028" t="s">
        <v>815</v>
      </c>
      <c r="BJ1028">
        <v>3</v>
      </c>
      <c r="BL1028" t="s">
        <v>811</v>
      </c>
      <c r="BM1028" t="s">
        <v>811</v>
      </c>
      <c r="BN1028" s="4">
        <v>4262</v>
      </c>
      <c r="BR1028">
        <v>19109</v>
      </c>
      <c r="BS1028" t="s">
        <v>1744</v>
      </c>
      <c r="BT1028">
        <v>4</v>
      </c>
      <c r="BU1028">
        <v>3</v>
      </c>
      <c r="BV1028">
        <v>6</v>
      </c>
      <c r="BX1028">
        <v>0.75</v>
      </c>
      <c r="BZ1028">
        <v>0.53</v>
      </c>
      <c r="CM1028">
        <v>1911</v>
      </c>
    </row>
    <row r="1029" spans="1:91" x14ac:dyDescent="0.3">
      <c r="A1029" t="s">
        <v>1743</v>
      </c>
      <c r="B1029">
        <v>50642</v>
      </c>
      <c r="C1029" t="s">
        <v>844</v>
      </c>
      <c r="D1029">
        <v>12</v>
      </c>
      <c r="I1029" s="2">
        <v>1000000</v>
      </c>
      <c r="U1029">
        <v>1</v>
      </c>
      <c r="Y1029">
        <v>1</v>
      </c>
      <c r="AA1029">
        <v>1.03</v>
      </c>
      <c r="AC1029" s="3">
        <v>1.03</v>
      </c>
      <c r="AE1029" s="3">
        <v>1.03</v>
      </c>
      <c r="AI1029">
        <v>1.03</v>
      </c>
      <c r="AK1029" s="3"/>
      <c r="BG1029">
        <v>6</v>
      </c>
      <c r="BH1029">
        <v>6</v>
      </c>
      <c r="BI1029">
        <v>6</v>
      </c>
      <c r="BJ1029">
        <v>6</v>
      </c>
      <c r="BK1029" s="4">
        <v>3713</v>
      </c>
      <c r="BL1029" s="4">
        <v>3897</v>
      </c>
      <c r="BM1029" s="4">
        <v>4078</v>
      </c>
      <c r="BN1029" s="4">
        <v>4262</v>
      </c>
      <c r="BR1029">
        <v>19109</v>
      </c>
      <c r="BS1029" t="s">
        <v>1744</v>
      </c>
      <c r="BT1029">
        <v>5</v>
      </c>
      <c r="BU1029">
        <v>16</v>
      </c>
      <c r="BV1029">
        <v>3</v>
      </c>
      <c r="BX1029">
        <v>1.0900000000000001</v>
      </c>
      <c r="BZ1029">
        <v>0.93</v>
      </c>
      <c r="CM1029">
        <v>1911</v>
      </c>
    </row>
    <row r="1030" spans="1:91" x14ac:dyDescent="0.3">
      <c r="A1030" t="s">
        <v>1745</v>
      </c>
      <c r="B1030">
        <v>40044</v>
      </c>
      <c r="D1030">
        <v>12</v>
      </c>
      <c r="I1030">
        <v>300000</v>
      </c>
      <c r="U1030">
        <v>1</v>
      </c>
      <c r="Y1030">
        <v>1</v>
      </c>
      <c r="AA1030">
        <v>1.56</v>
      </c>
      <c r="AC1030" s="3">
        <v>1.56</v>
      </c>
      <c r="AE1030" s="3">
        <v>1.5</v>
      </c>
      <c r="AI1030">
        <v>1.56</v>
      </c>
      <c r="AK1030" s="3"/>
      <c r="AX1030" t="s">
        <v>823</v>
      </c>
      <c r="BB1030" t="s">
        <v>823</v>
      </c>
      <c r="BG1030">
        <v>8</v>
      </c>
      <c r="BH1030">
        <v>8</v>
      </c>
      <c r="BI1030">
        <v>8</v>
      </c>
      <c r="BJ1030">
        <v>8</v>
      </c>
      <c r="BK1030" s="4">
        <v>3774</v>
      </c>
      <c r="BL1030" s="4">
        <v>3988</v>
      </c>
      <c r="BM1030" s="4">
        <v>4139</v>
      </c>
      <c r="BN1030" s="4">
        <v>4353</v>
      </c>
      <c r="BS1030" t="s">
        <v>385</v>
      </c>
      <c r="BT1030">
        <v>5</v>
      </c>
      <c r="BU1030">
        <v>2</v>
      </c>
      <c r="BV1030">
        <v>6</v>
      </c>
      <c r="BX1030">
        <v>1.81</v>
      </c>
      <c r="BZ1030">
        <v>1.5</v>
      </c>
      <c r="CM1030">
        <v>1911</v>
      </c>
    </row>
    <row r="1031" spans="1:91" x14ac:dyDescent="0.3">
      <c r="A1031" t="s">
        <v>1746</v>
      </c>
      <c r="B1031">
        <v>40256</v>
      </c>
      <c r="D1031">
        <v>12</v>
      </c>
      <c r="I1031">
        <v>197500</v>
      </c>
      <c r="J1031" t="s">
        <v>800</v>
      </c>
      <c r="V1031" t="s">
        <v>350</v>
      </c>
      <c r="Y1031">
        <v>100</v>
      </c>
      <c r="AA1031">
        <v>108</v>
      </c>
      <c r="AC1031" s="3">
        <v>109.25</v>
      </c>
      <c r="AE1031" s="3">
        <v>108</v>
      </c>
      <c r="AI1031">
        <v>108</v>
      </c>
      <c r="AK1031" s="3"/>
      <c r="AV1031" t="s">
        <v>370</v>
      </c>
      <c r="AX1031" t="s">
        <v>370</v>
      </c>
      <c r="AZ1031" t="s">
        <v>370</v>
      </c>
      <c r="BB1031" t="s">
        <v>370</v>
      </c>
      <c r="BO1031" t="s">
        <v>367</v>
      </c>
      <c r="BR1031">
        <v>103492</v>
      </c>
      <c r="BS1031" t="s">
        <v>1747</v>
      </c>
      <c r="BT1031">
        <v>5</v>
      </c>
      <c r="BU1031">
        <v>12</v>
      </c>
      <c r="BV1031">
        <v>9</v>
      </c>
      <c r="BX1031">
        <v>110</v>
      </c>
      <c r="BZ1031">
        <v>101</v>
      </c>
      <c r="CK1031" t="s">
        <v>1748</v>
      </c>
      <c r="CM1031">
        <v>1911</v>
      </c>
    </row>
    <row r="1032" spans="1:91" x14ac:dyDescent="0.3">
      <c r="A1032" t="s">
        <v>1749</v>
      </c>
      <c r="B1032">
        <v>40254</v>
      </c>
      <c r="D1032">
        <v>12</v>
      </c>
      <c r="I1032">
        <v>620000</v>
      </c>
      <c r="J1032" t="s">
        <v>800</v>
      </c>
      <c r="V1032" t="s">
        <v>350</v>
      </c>
      <c r="Y1032">
        <v>100</v>
      </c>
      <c r="AA1032">
        <v>102.5</v>
      </c>
      <c r="AC1032" s="3">
        <v>100</v>
      </c>
      <c r="AE1032" s="3">
        <v>102.5</v>
      </c>
      <c r="AI1032">
        <v>102.5</v>
      </c>
      <c r="AK1032" s="3"/>
      <c r="AV1032" t="s">
        <v>370</v>
      </c>
      <c r="AX1032" t="s">
        <v>370</v>
      </c>
      <c r="AZ1032" t="s">
        <v>370</v>
      </c>
      <c r="BB1032" t="s">
        <v>370</v>
      </c>
      <c r="BO1032" t="s">
        <v>367</v>
      </c>
      <c r="BR1032">
        <v>103492</v>
      </c>
      <c r="BS1032" t="s">
        <v>1747</v>
      </c>
      <c r="BT1032">
        <v>4</v>
      </c>
      <c r="BU1032">
        <v>10</v>
      </c>
      <c r="BV1032">
        <v>3</v>
      </c>
      <c r="BX1032">
        <v>101.5</v>
      </c>
      <c r="BZ1032">
        <v>99</v>
      </c>
      <c r="CM1032">
        <v>1911</v>
      </c>
    </row>
    <row r="1033" spans="1:91" x14ac:dyDescent="0.3">
      <c r="A1033" t="s">
        <v>1750</v>
      </c>
      <c r="B1033">
        <v>40338</v>
      </c>
      <c r="D1033">
        <v>12</v>
      </c>
      <c r="I1033">
        <v>70000</v>
      </c>
      <c r="U1033">
        <v>5</v>
      </c>
      <c r="Y1033">
        <v>5</v>
      </c>
      <c r="AA1033">
        <v>2</v>
      </c>
      <c r="AC1033" s="3">
        <v>2</v>
      </c>
      <c r="AE1033" s="3">
        <v>2</v>
      </c>
      <c r="AI1033">
        <v>2</v>
      </c>
      <c r="AK1033" s="3"/>
      <c r="AV1033" t="s">
        <v>385</v>
      </c>
      <c r="AX1033" t="s">
        <v>385</v>
      </c>
      <c r="AZ1033" t="s">
        <v>385</v>
      </c>
      <c r="BB1033" t="s">
        <v>385</v>
      </c>
      <c r="BR1033">
        <v>9895</v>
      </c>
      <c r="BS1033" t="s">
        <v>1731</v>
      </c>
      <c r="BW1033" t="s">
        <v>802</v>
      </c>
      <c r="BX1033">
        <v>2.5</v>
      </c>
      <c r="BZ1033">
        <v>1.62</v>
      </c>
      <c r="CK1033" t="s">
        <v>360</v>
      </c>
      <c r="CM1033">
        <v>1911</v>
      </c>
    </row>
    <row r="1034" spans="1:91" x14ac:dyDescent="0.3">
      <c r="A1034" t="s">
        <v>1751</v>
      </c>
      <c r="B1034">
        <v>40351</v>
      </c>
      <c r="D1034">
        <v>12</v>
      </c>
      <c r="I1034">
        <v>500000</v>
      </c>
      <c r="U1034">
        <v>1</v>
      </c>
      <c r="Y1034">
        <v>1</v>
      </c>
      <c r="AA1034">
        <v>0.84</v>
      </c>
      <c r="AC1034" s="3">
        <v>0.84</v>
      </c>
      <c r="AE1034" s="3">
        <v>0.68</v>
      </c>
      <c r="AI1034">
        <v>0.75</v>
      </c>
      <c r="AK1034" s="3"/>
      <c r="AU1034" t="s">
        <v>1467</v>
      </c>
      <c r="AV1034" t="s">
        <v>1468</v>
      </c>
      <c r="AX1034" t="s">
        <v>815</v>
      </c>
      <c r="AZ1034" t="s">
        <v>815</v>
      </c>
      <c r="BB1034" t="s">
        <v>815</v>
      </c>
      <c r="BC1034">
        <v>48</v>
      </c>
      <c r="BH1034">
        <v>10</v>
      </c>
      <c r="BI1034">
        <v>12.5</v>
      </c>
      <c r="BJ1034">
        <v>7.5</v>
      </c>
      <c r="BK1034" s="4">
        <v>1887</v>
      </c>
      <c r="BL1034" s="4">
        <v>3409</v>
      </c>
      <c r="BM1034" s="4">
        <v>3774</v>
      </c>
      <c r="BN1034" s="4">
        <v>4139</v>
      </c>
      <c r="BR1034">
        <v>223185</v>
      </c>
      <c r="BS1034" t="s">
        <v>1752</v>
      </c>
      <c r="BT1034">
        <v>10</v>
      </c>
      <c r="BU1034">
        <v>0</v>
      </c>
      <c r="BV1034">
        <v>0</v>
      </c>
      <c r="BX1034">
        <v>1.65</v>
      </c>
      <c r="BZ1034">
        <v>0.68</v>
      </c>
      <c r="CK1034" t="s">
        <v>360</v>
      </c>
      <c r="CM1034">
        <v>1911</v>
      </c>
    </row>
    <row r="1035" spans="1:91" x14ac:dyDescent="0.3">
      <c r="A1035" t="s">
        <v>1753</v>
      </c>
      <c r="B1035">
        <v>40352</v>
      </c>
      <c r="C1035" t="s">
        <v>1754</v>
      </c>
      <c r="D1035">
        <v>12</v>
      </c>
      <c r="I1035">
        <v>500000</v>
      </c>
      <c r="U1035">
        <v>1</v>
      </c>
      <c r="Y1035">
        <v>1</v>
      </c>
      <c r="AA1035">
        <v>0.84</v>
      </c>
      <c r="AC1035" s="3">
        <v>0.84</v>
      </c>
      <c r="AE1035" s="3">
        <v>0.78</v>
      </c>
      <c r="AI1035">
        <v>0.81</v>
      </c>
      <c r="AK1035" s="3"/>
      <c r="AV1035" t="s">
        <v>370</v>
      </c>
      <c r="AX1035" t="s">
        <v>370</v>
      </c>
      <c r="AZ1035" t="s">
        <v>370</v>
      </c>
      <c r="BB1035" t="s">
        <v>370</v>
      </c>
      <c r="BO1035" t="s">
        <v>367</v>
      </c>
      <c r="BR1035">
        <v>223185</v>
      </c>
      <c r="BS1035" t="s">
        <v>1752</v>
      </c>
      <c r="BT1035">
        <v>7</v>
      </c>
      <c r="BU1035">
        <v>7</v>
      </c>
      <c r="BV1035">
        <v>9</v>
      </c>
      <c r="BX1035">
        <v>1</v>
      </c>
      <c r="BZ1035">
        <v>0.78</v>
      </c>
      <c r="CM1035">
        <v>1911</v>
      </c>
    </row>
    <row r="1036" spans="1:91" x14ac:dyDescent="0.3">
      <c r="A1036" t="s">
        <v>1755</v>
      </c>
      <c r="B1036">
        <v>40361</v>
      </c>
      <c r="D1036">
        <v>12</v>
      </c>
      <c r="I1036">
        <v>500000</v>
      </c>
      <c r="J1036" t="s">
        <v>800</v>
      </c>
      <c r="V1036" t="s">
        <v>350</v>
      </c>
      <c r="Y1036">
        <v>100</v>
      </c>
      <c r="AA1036">
        <v>100.5</v>
      </c>
      <c r="AC1036" s="3">
        <v>101.5</v>
      </c>
      <c r="AE1036" s="3">
        <v>100</v>
      </c>
      <c r="AI1036">
        <v>101</v>
      </c>
      <c r="AK1036" s="3"/>
      <c r="AV1036" t="s">
        <v>536</v>
      </c>
      <c r="AX1036" t="s">
        <v>536</v>
      </c>
      <c r="AZ1036" t="s">
        <v>536</v>
      </c>
      <c r="BB1036" t="s">
        <v>536</v>
      </c>
      <c r="BO1036" t="s">
        <v>367</v>
      </c>
      <c r="BR1036">
        <v>5097</v>
      </c>
      <c r="BT1036">
        <v>5</v>
      </c>
      <c r="BU1036">
        <v>2</v>
      </c>
      <c r="BV1036">
        <v>6</v>
      </c>
      <c r="BX1036">
        <v>104.75</v>
      </c>
      <c r="BZ1036">
        <v>99.5</v>
      </c>
      <c r="CM1036">
        <v>1911</v>
      </c>
    </row>
    <row r="1037" spans="1:91" x14ac:dyDescent="0.3">
      <c r="A1037" t="s">
        <v>1756</v>
      </c>
      <c r="B1037">
        <v>40411</v>
      </c>
      <c r="D1037">
        <v>12</v>
      </c>
      <c r="I1037">
        <v>400000</v>
      </c>
      <c r="U1037">
        <v>1</v>
      </c>
      <c r="Y1037">
        <v>1</v>
      </c>
      <c r="AA1037">
        <v>1</v>
      </c>
      <c r="AC1037" s="3">
        <v>1.03</v>
      </c>
      <c r="AE1037" s="3">
        <v>0.96</v>
      </c>
      <c r="AI1037">
        <v>0.96</v>
      </c>
      <c r="AJ1037" t="s">
        <v>379</v>
      </c>
      <c r="AK1037" s="3"/>
      <c r="BG1037">
        <v>6</v>
      </c>
      <c r="BH1037">
        <v>6</v>
      </c>
      <c r="BI1037">
        <v>6</v>
      </c>
      <c r="BJ1037">
        <v>6</v>
      </c>
      <c r="BK1037" s="4">
        <v>3654</v>
      </c>
      <c r="BL1037" s="4">
        <v>3835</v>
      </c>
      <c r="BM1037" s="4">
        <v>4019</v>
      </c>
      <c r="BN1037" s="4">
        <v>4200</v>
      </c>
      <c r="BR1037">
        <v>19804</v>
      </c>
      <c r="BT1037">
        <v>6</v>
      </c>
      <c r="BU1037">
        <v>4</v>
      </c>
      <c r="BV1037">
        <v>0</v>
      </c>
      <c r="BX1037">
        <v>1.03</v>
      </c>
      <c r="BZ1037">
        <v>0.93</v>
      </c>
      <c r="CM1037">
        <v>1911</v>
      </c>
    </row>
    <row r="1038" spans="1:91" x14ac:dyDescent="0.3">
      <c r="A1038" t="s">
        <v>1757</v>
      </c>
      <c r="B1038">
        <v>40420</v>
      </c>
      <c r="D1038">
        <v>12</v>
      </c>
      <c r="I1038">
        <v>104469</v>
      </c>
      <c r="U1038">
        <v>1</v>
      </c>
      <c r="Z1038" t="s">
        <v>1758</v>
      </c>
      <c r="AA1038">
        <v>0.75</v>
      </c>
      <c r="AC1038" s="3">
        <v>0.93</v>
      </c>
      <c r="AE1038" s="3">
        <v>0.75</v>
      </c>
      <c r="AI1038">
        <v>0.93</v>
      </c>
      <c r="AK1038" s="3"/>
      <c r="AV1038" t="s">
        <v>815</v>
      </c>
      <c r="AX1038" t="s">
        <v>815</v>
      </c>
      <c r="AZ1038" t="s">
        <v>815</v>
      </c>
      <c r="BB1038" t="s">
        <v>823</v>
      </c>
      <c r="BG1038">
        <v>5</v>
      </c>
      <c r="BH1038">
        <v>5</v>
      </c>
      <c r="BI1038">
        <v>5</v>
      </c>
      <c r="BJ1038">
        <v>5</v>
      </c>
      <c r="BK1038" s="4">
        <v>3409</v>
      </c>
      <c r="BL1038" s="4">
        <v>3805</v>
      </c>
      <c r="BM1038" s="4">
        <v>4139</v>
      </c>
      <c r="BN1038" s="4">
        <v>4323</v>
      </c>
      <c r="BR1038">
        <v>7308</v>
      </c>
      <c r="BS1038" t="s">
        <v>1759</v>
      </c>
      <c r="BT1038">
        <v>2</v>
      </c>
      <c r="BU1038">
        <v>13</v>
      </c>
      <c r="BV1038">
        <v>3</v>
      </c>
      <c r="BX1038">
        <v>0.93</v>
      </c>
      <c r="BZ1038">
        <v>0.34</v>
      </c>
      <c r="CK1038" t="s">
        <v>360</v>
      </c>
      <c r="CM1038">
        <v>1911</v>
      </c>
    </row>
    <row r="1039" spans="1:91" x14ac:dyDescent="0.3">
      <c r="A1039" t="s">
        <v>1757</v>
      </c>
      <c r="B1039">
        <v>40422</v>
      </c>
      <c r="C1039" t="s">
        <v>1531</v>
      </c>
      <c r="D1039">
        <v>12</v>
      </c>
      <c r="I1039">
        <v>108930</v>
      </c>
      <c r="U1039">
        <v>4</v>
      </c>
      <c r="Y1039">
        <v>4</v>
      </c>
      <c r="AA1039">
        <v>4.25</v>
      </c>
      <c r="AC1039" s="3">
        <v>4.5</v>
      </c>
      <c r="AE1039" s="3">
        <v>4.18</v>
      </c>
      <c r="AI1039">
        <v>4.5</v>
      </c>
      <c r="AK1039" s="3"/>
      <c r="AU1039" t="s">
        <v>1582</v>
      </c>
      <c r="AV1039" t="s">
        <v>1760</v>
      </c>
      <c r="AW1039" t="s">
        <v>1582</v>
      </c>
      <c r="AX1039" t="s">
        <v>1583</v>
      </c>
      <c r="AY1039" t="s">
        <v>1582</v>
      </c>
      <c r="AZ1039" t="s">
        <v>1760</v>
      </c>
      <c r="BA1039" t="s">
        <v>1582</v>
      </c>
      <c r="BB1039" t="s">
        <v>1583</v>
      </c>
      <c r="BC1039">
        <v>24</v>
      </c>
      <c r="BD1039">
        <v>24</v>
      </c>
      <c r="BE1039">
        <v>24</v>
      </c>
      <c r="BF1039">
        <v>24</v>
      </c>
      <c r="BK1039" s="4">
        <v>3774</v>
      </c>
      <c r="BL1039" s="4">
        <v>3927</v>
      </c>
      <c r="BM1039" s="4">
        <v>4139</v>
      </c>
      <c r="BN1039" s="4">
        <v>4292</v>
      </c>
      <c r="BR1039">
        <v>7308</v>
      </c>
      <c r="BS1039" t="s">
        <v>1759</v>
      </c>
      <c r="BT1039">
        <v>4</v>
      </c>
      <c r="BU1039">
        <v>9</v>
      </c>
      <c r="BV1039">
        <v>0</v>
      </c>
      <c r="BX1039">
        <v>4.5</v>
      </c>
      <c r="BZ1039">
        <v>3.62</v>
      </c>
      <c r="CM1039">
        <v>1911</v>
      </c>
    </row>
    <row r="1040" spans="1:91" x14ac:dyDescent="0.3">
      <c r="A1040" t="s">
        <v>1761</v>
      </c>
      <c r="B1040">
        <v>40434</v>
      </c>
      <c r="D1040">
        <v>12</v>
      </c>
      <c r="I1040">
        <v>300000</v>
      </c>
      <c r="U1040">
        <v>1</v>
      </c>
      <c r="Y1040">
        <v>1</v>
      </c>
      <c r="AA1040">
        <v>1.81</v>
      </c>
      <c r="AC1040" s="3">
        <v>1.9</v>
      </c>
      <c r="AE1040" s="3">
        <v>1.75</v>
      </c>
      <c r="AI1040">
        <v>1.81</v>
      </c>
      <c r="AK1040" s="3"/>
      <c r="AV1040" t="s">
        <v>385</v>
      </c>
      <c r="AX1040" t="s">
        <v>385</v>
      </c>
      <c r="AZ1040" t="s">
        <v>385</v>
      </c>
      <c r="BB1040" t="s">
        <v>385</v>
      </c>
      <c r="BS1040" t="s">
        <v>385</v>
      </c>
      <c r="BW1040" t="s">
        <v>802</v>
      </c>
      <c r="BX1040">
        <v>1.9</v>
      </c>
      <c r="BZ1040">
        <v>1.25</v>
      </c>
      <c r="CM1040">
        <v>1911</v>
      </c>
    </row>
    <row r="1041" spans="1:91" x14ac:dyDescent="0.3">
      <c r="A1041" t="s">
        <v>1762</v>
      </c>
      <c r="B1041">
        <v>40435</v>
      </c>
      <c r="D1041">
        <v>12</v>
      </c>
      <c r="I1041">
        <v>231000</v>
      </c>
      <c r="U1041">
        <v>1</v>
      </c>
      <c r="Y1041">
        <v>1</v>
      </c>
      <c r="AA1041">
        <v>1.75</v>
      </c>
      <c r="AB1041" t="s">
        <v>379</v>
      </c>
      <c r="AC1041" s="3">
        <v>1.78</v>
      </c>
      <c r="AE1041" s="3">
        <v>1.62</v>
      </c>
      <c r="AI1041">
        <v>1.75</v>
      </c>
      <c r="AK1041" s="3"/>
      <c r="AV1041" t="s">
        <v>1763</v>
      </c>
      <c r="AX1041" t="s">
        <v>815</v>
      </c>
      <c r="AZ1041" t="s">
        <v>815</v>
      </c>
      <c r="BB1041" t="s">
        <v>815</v>
      </c>
      <c r="BG1041">
        <v>20</v>
      </c>
      <c r="BH1041">
        <v>10</v>
      </c>
      <c r="BI1041">
        <v>5</v>
      </c>
      <c r="BJ1041">
        <v>5</v>
      </c>
      <c r="BK1041" s="4">
        <v>3258</v>
      </c>
      <c r="BL1041" s="4">
        <v>3623</v>
      </c>
      <c r="BM1041" s="4">
        <v>3988</v>
      </c>
      <c r="BN1041" s="4">
        <v>4353</v>
      </c>
      <c r="BR1041">
        <v>48950</v>
      </c>
      <c r="BT1041">
        <v>2</v>
      </c>
      <c r="BU1041">
        <v>17</v>
      </c>
      <c r="BV1041">
        <v>3</v>
      </c>
      <c r="BX1041">
        <v>2.84</v>
      </c>
      <c r="BZ1041">
        <v>1.62</v>
      </c>
      <c r="CK1041" t="s">
        <v>360</v>
      </c>
      <c r="CM1041">
        <v>1911</v>
      </c>
    </row>
    <row r="1042" spans="1:91" x14ac:dyDescent="0.3">
      <c r="A1042" t="s">
        <v>1764</v>
      </c>
      <c r="B1042">
        <v>40573</v>
      </c>
      <c r="D1042">
        <v>12</v>
      </c>
      <c r="I1042">
        <v>100000</v>
      </c>
      <c r="V1042" t="s">
        <v>1758</v>
      </c>
      <c r="Z1042" t="s">
        <v>1758</v>
      </c>
      <c r="AA1042">
        <v>0.96</v>
      </c>
      <c r="AC1042" s="3">
        <v>0.96</v>
      </c>
      <c r="AE1042" s="3">
        <v>0.96</v>
      </c>
      <c r="AI1042">
        <v>0.96</v>
      </c>
      <c r="AK1042" s="3"/>
      <c r="AV1042" t="s">
        <v>385</v>
      </c>
      <c r="AX1042" t="s">
        <v>385</v>
      </c>
      <c r="AZ1042" t="s">
        <v>815</v>
      </c>
      <c r="BB1042" t="s">
        <v>815</v>
      </c>
      <c r="BI1042">
        <v>12</v>
      </c>
      <c r="BJ1042">
        <v>12</v>
      </c>
      <c r="BL1042" t="s">
        <v>811</v>
      </c>
      <c r="BM1042" t="s">
        <v>1226</v>
      </c>
      <c r="BN1042" s="4">
        <v>4231</v>
      </c>
      <c r="BR1042">
        <v>20352</v>
      </c>
      <c r="BT1042">
        <v>6</v>
      </c>
      <c r="BU1042">
        <v>4</v>
      </c>
      <c r="BV1042">
        <v>0</v>
      </c>
      <c r="BX1042">
        <v>1.1200000000000001</v>
      </c>
      <c r="BZ1042">
        <v>0.96</v>
      </c>
      <c r="CK1042" t="s">
        <v>454</v>
      </c>
      <c r="CM1042">
        <v>1911</v>
      </c>
    </row>
    <row r="1043" spans="1:91" x14ac:dyDescent="0.3">
      <c r="A1043" t="s">
        <v>1765</v>
      </c>
      <c r="B1043">
        <v>40570</v>
      </c>
      <c r="D1043">
        <v>12</v>
      </c>
      <c r="I1043">
        <v>50000</v>
      </c>
      <c r="U1043">
        <v>5</v>
      </c>
      <c r="Y1043">
        <v>5</v>
      </c>
      <c r="AA1043">
        <v>5</v>
      </c>
      <c r="AC1043" s="3">
        <v>5</v>
      </c>
      <c r="AE1043" s="3">
        <v>5</v>
      </c>
      <c r="AI1043">
        <v>5</v>
      </c>
      <c r="AK1043" s="3"/>
      <c r="AX1043" t="s">
        <v>823</v>
      </c>
      <c r="BB1043" t="s">
        <v>823</v>
      </c>
      <c r="BG1043">
        <v>6</v>
      </c>
      <c r="BH1043">
        <v>6</v>
      </c>
      <c r="BI1043">
        <v>6</v>
      </c>
      <c r="BJ1043">
        <v>6</v>
      </c>
      <c r="BK1043" s="4">
        <v>3654</v>
      </c>
      <c r="BL1043" s="4">
        <v>3835</v>
      </c>
      <c r="BM1043" s="4">
        <v>4019</v>
      </c>
      <c r="BN1043" s="4">
        <v>4200</v>
      </c>
      <c r="BR1043">
        <v>51201</v>
      </c>
      <c r="BT1043">
        <v>6</v>
      </c>
      <c r="BU1043">
        <v>0</v>
      </c>
      <c r="BV1043">
        <v>0</v>
      </c>
      <c r="BX1043">
        <v>5</v>
      </c>
      <c r="BZ1043">
        <v>4.62</v>
      </c>
      <c r="CK1043" t="s">
        <v>360</v>
      </c>
      <c r="CM1043">
        <v>1911</v>
      </c>
    </row>
    <row r="1044" spans="1:91" x14ac:dyDescent="0.3">
      <c r="A1044" t="s">
        <v>1766</v>
      </c>
      <c r="B1044">
        <v>40697</v>
      </c>
      <c r="D1044">
        <v>12</v>
      </c>
      <c r="I1044">
        <v>20000</v>
      </c>
      <c r="U1044">
        <v>25</v>
      </c>
      <c r="Y1044">
        <v>21.5</v>
      </c>
      <c r="AA1044">
        <v>71</v>
      </c>
      <c r="AC1044" s="3">
        <v>71</v>
      </c>
      <c r="AE1044" s="3">
        <v>70.25</v>
      </c>
      <c r="AI1044">
        <v>71</v>
      </c>
      <c r="AK1044" s="3"/>
      <c r="AU1044" t="s">
        <v>1767</v>
      </c>
      <c r="AV1044" t="s">
        <v>1768</v>
      </c>
      <c r="AW1044" t="s">
        <v>1594</v>
      </c>
      <c r="AX1044" t="s">
        <v>1595</v>
      </c>
      <c r="AY1044" t="s">
        <v>1767</v>
      </c>
      <c r="AZ1044" t="s">
        <v>1768</v>
      </c>
      <c r="BA1044" t="s">
        <v>1767</v>
      </c>
      <c r="BB1044" t="s">
        <v>1769</v>
      </c>
      <c r="BC1044">
        <v>480</v>
      </c>
      <c r="BD1044">
        <v>600</v>
      </c>
      <c r="BE1044">
        <v>480</v>
      </c>
      <c r="BF1044">
        <v>480</v>
      </c>
      <c r="BK1044" s="4">
        <v>3685</v>
      </c>
      <c r="BL1044" s="4">
        <v>3835</v>
      </c>
      <c r="BM1044" s="4">
        <v>4050</v>
      </c>
      <c r="BN1044" s="4">
        <v>4200</v>
      </c>
      <c r="BR1044">
        <v>106669</v>
      </c>
      <c r="BT1044">
        <v>5</v>
      </c>
      <c r="BU1044">
        <v>12</v>
      </c>
      <c r="BV1044">
        <v>9</v>
      </c>
      <c r="BX1044">
        <v>75.5</v>
      </c>
      <c r="BZ1044">
        <v>69.25</v>
      </c>
      <c r="CK1044" t="s">
        <v>360</v>
      </c>
      <c r="CM1044">
        <v>1911</v>
      </c>
    </row>
    <row r="1045" spans="1:91" x14ac:dyDescent="0.3">
      <c r="A1045" t="s">
        <v>1770</v>
      </c>
      <c r="B1045">
        <v>40628</v>
      </c>
      <c r="D1045">
        <v>12</v>
      </c>
      <c r="I1045">
        <v>387420</v>
      </c>
      <c r="J1045" t="s">
        <v>800</v>
      </c>
      <c r="V1045" t="s">
        <v>350</v>
      </c>
      <c r="Y1045">
        <v>100</v>
      </c>
      <c r="AA1045">
        <v>64.5</v>
      </c>
      <c r="AC1045" s="3">
        <v>65</v>
      </c>
      <c r="AE1045" s="3">
        <v>64.5</v>
      </c>
      <c r="AI1045">
        <v>64.5</v>
      </c>
      <c r="AK1045" s="3"/>
      <c r="AV1045" t="s">
        <v>385</v>
      </c>
      <c r="AX1045" t="s">
        <v>385</v>
      </c>
      <c r="AZ1045" t="s">
        <v>385</v>
      </c>
      <c r="BB1045" t="s">
        <v>815</v>
      </c>
      <c r="BJ1045">
        <v>5</v>
      </c>
      <c r="BL1045" t="s">
        <v>811</v>
      </c>
      <c r="BM1045" t="s">
        <v>811</v>
      </c>
      <c r="BN1045" s="4">
        <v>4170</v>
      </c>
      <c r="BR1045">
        <v>91288</v>
      </c>
      <c r="BS1045" t="s">
        <v>1771</v>
      </c>
      <c r="BT1045">
        <v>7</v>
      </c>
      <c r="BU1045">
        <v>16</v>
      </c>
      <c r="BV1045">
        <v>0</v>
      </c>
      <c r="BX1045">
        <v>74.5</v>
      </c>
      <c r="BZ1045">
        <v>52.25</v>
      </c>
      <c r="CK1045" t="s">
        <v>360</v>
      </c>
      <c r="CM1045">
        <v>1911</v>
      </c>
    </row>
    <row r="1046" spans="1:91" x14ac:dyDescent="0.3">
      <c r="A1046" t="s">
        <v>1770</v>
      </c>
      <c r="B1046">
        <v>40620</v>
      </c>
      <c r="C1046" t="s">
        <v>1772</v>
      </c>
      <c r="D1046">
        <v>12</v>
      </c>
      <c r="I1046" s="2">
        <v>1376340</v>
      </c>
      <c r="J1046" t="s">
        <v>800</v>
      </c>
      <c r="V1046" t="s">
        <v>350</v>
      </c>
      <c r="Y1046">
        <v>100</v>
      </c>
      <c r="AA1046">
        <v>99</v>
      </c>
      <c r="AC1046" s="3">
        <v>100</v>
      </c>
      <c r="AE1046" s="3">
        <v>98.5</v>
      </c>
      <c r="AI1046">
        <v>99</v>
      </c>
      <c r="AJ1046" t="s">
        <v>379</v>
      </c>
      <c r="AK1046" s="3"/>
      <c r="BG1046">
        <v>4.5</v>
      </c>
      <c r="BH1046">
        <v>4.5</v>
      </c>
      <c r="BI1046">
        <v>4.5</v>
      </c>
      <c r="BJ1046">
        <v>4.5</v>
      </c>
      <c r="BK1046" s="4">
        <v>3744</v>
      </c>
      <c r="BL1046" s="4">
        <v>3927</v>
      </c>
      <c r="BM1046" s="4">
        <v>4109</v>
      </c>
      <c r="BN1046" s="4">
        <v>4292</v>
      </c>
      <c r="BR1046">
        <v>91288</v>
      </c>
      <c r="BS1046" t="s">
        <v>1771</v>
      </c>
      <c r="BT1046">
        <v>4</v>
      </c>
      <c r="BU1046">
        <v>11</v>
      </c>
      <c r="BV1046">
        <v>6</v>
      </c>
      <c r="BX1046">
        <v>101</v>
      </c>
      <c r="BZ1046">
        <v>95.5</v>
      </c>
      <c r="CM1046">
        <v>1911</v>
      </c>
    </row>
    <row r="1047" spans="1:91" x14ac:dyDescent="0.3">
      <c r="A1047" t="s">
        <v>1770</v>
      </c>
      <c r="B1047">
        <v>40619</v>
      </c>
      <c r="C1047" t="s">
        <v>1773</v>
      </c>
      <c r="D1047">
        <v>12</v>
      </c>
      <c r="I1047">
        <v>460000</v>
      </c>
      <c r="J1047" t="s">
        <v>800</v>
      </c>
      <c r="V1047" t="s">
        <v>350</v>
      </c>
      <c r="Y1047">
        <v>100</v>
      </c>
      <c r="AA1047">
        <v>92.5</v>
      </c>
      <c r="AC1047" s="3">
        <v>94</v>
      </c>
      <c r="AE1047" s="3">
        <v>91.5</v>
      </c>
      <c r="AI1047">
        <v>91.5</v>
      </c>
      <c r="AK1047" s="3"/>
      <c r="AV1047" t="s">
        <v>421</v>
      </c>
      <c r="AX1047" t="s">
        <v>421</v>
      </c>
      <c r="AZ1047" t="s">
        <v>421</v>
      </c>
      <c r="BB1047" t="s">
        <v>421</v>
      </c>
      <c r="BO1047" t="s">
        <v>367</v>
      </c>
      <c r="BR1047">
        <v>91288</v>
      </c>
      <c r="BS1047" t="s">
        <v>1771</v>
      </c>
      <c r="BT1047">
        <v>5</v>
      </c>
      <c r="BU1047">
        <v>9</v>
      </c>
      <c r="BV1047">
        <v>3</v>
      </c>
      <c r="BX1047">
        <v>94</v>
      </c>
      <c r="BZ1047">
        <v>79</v>
      </c>
      <c r="CM1047">
        <v>1911</v>
      </c>
    </row>
    <row r="1048" spans="1:91" x14ac:dyDescent="0.3">
      <c r="A1048" t="s">
        <v>1770</v>
      </c>
      <c r="B1048">
        <v>40621</v>
      </c>
      <c r="C1048" t="s">
        <v>1774</v>
      </c>
      <c r="D1048">
        <v>12</v>
      </c>
      <c r="I1048">
        <v>451559</v>
      </c>
      <c r="J1048" t="s">
        <v>800</v>
      </c>
      <c r="V1048" t="s">
        <v>350</v>
      </c>
      <c r="Y1048">
        <v>100</v>
      </c>
      <c r="AA1048">
        <v>86</v>
      </c>
      <c r="AC1048" s="3">
        <v>87</v>
      </c>
      <c r="AE1048" s="3">
        <v>84</v>
      </c>
      <c r="AI1048">
        <v>84</v>
      </c>
      <c r="AK1048" s="3"/>
      <c r="AV1048" t="s">
        <v>421</v>
      </c>
      <c r="AX1048" t="s">
        <v>421</v>
      </c>
      <c r="AZ1048" t="s">
        <v>421</v>
      </c>
      <c r="BB1048" t="s">
        <v>421</v>
      </c>
      <c r="BO1048" t="s">
        <v>367</v>
      </c>
      <c r="BR1048">
        <v>91288</v>
      </c>
      <c r="BS1048" t="s">
        <v>1771</v>
      </c>
      <c r="BT1048">
        <v>4</v>
      </c>
      <c r="BU1048">
        <v>15</v>
      </c>
      <c r="BV1048">
        <v>3</v>
      </c>
      <c r="BX1048">
        <v>87</v>
      </c>
      <c r="BZ1048">
        <v>77</v>
      </c>
      <c r="CM1048">
        <v>1911</v>
      </c>
    </row>
    <row r="1049" spans="1:91" x14ac:dyDescent="0.3">
      <c r="A1049" t="s">
        <v>1775</v>
      </c>
      <c r="B1049">
        <v>40602</v>
      </c>
      <c r="D1049">
        <v>12</v>
      </c>
      <c r="I1049">
        <v>80000</v>
      </c>
      <c r="U1049">
        <v>25</v>
      </c>
      <c r="Y1049">
        <v>5</v>
      </c>
      <c r="AA1049">
        <v>6.5</v>
      </c>
      <c r="AB1049" t="s">
        <v>379</v>
      </c>
      <c r="AC1049" s="3">
        <v>6.56</v>
      </c>
      <c r="AE1049" s="3">
        <v>6.43</v>
      </c>
      <c r="AI1049">
        <v>6.5</v>
      </c>
      <c r="AK1049" s="3"/>
      <c r="AV1049" t="s">
        <v>823</v>
      </c>
      <c r="AZ1049" t="s">
        <v>823</v>
      </c>
      <c r="BG1049">
        <v>10</v>
      </c>
      <c r="BH1049">
        <v>15</v>
      </c>
      <c r="BI1049">
        <v>10</v>
      </c>
      <c r="BJ1049">
        <v>15</v>
      </c>
      <c r="BK1049" s="4">
        <v>3774</v>
      </c>
      <c r="BL1049" s="4">
        <v>3927</v>
      </c>
      <c r="BM1049" s="4">
        <v>4139</v>
      </c>
      <c r="BN1049" s="4">
        <v>4292</v>
      </c>
      <c r="BR1049">
        <v>506092</v>
      </c>
      <c r="BS1049" t="s">
        <v>1776</v>
      </c>
      <c r="BT1049">
        <v>9</v>
      </c>
      <c r="BU1049">
        <v>12</v>
      </c>
      <c r="BV1049">
        <v>3</v>
      </c>
      <c r="BX1049">
        <v>7.75</v>
      </c>
      <c r="BZ1049">
        <v>6.43</v>
      </c>
      <c r="CK1049" t="s">
        <v>360</v>
      </c>
      <c r="CM1049">
        <v>1911</v>
      </c>
    </row>
    <row r="1050" spans="1:91" x14ac:dyDescent="0.3">
      <c r="A1050" t="s">
        <v>1777</v>
      </c>
      <c r="B1050">
        <v>40604</v>
      </c>
      <c r="C1050" t="s">
        <v>1778</v>
      </c>
      <c r="D1050">
        <v>12</v>
      </c>
      <c r="I1050">
        <v>40000</v>
      </c>
      <c r="U1050">
        <v>25</v>
      </c>
      <c r="Y1050">
        <v>3</v>
      </c>
      <c r="AA1050">
        <v>4</v>
      </c>
      <c r="AB1050" t="s">
        <v>379</v>
      </c>
      <c r="AC1050" s="3">
        <v>4</v>
      </c>
      <c r="AE1050" s="3">
        <v>3.75</v>
      </c>
      <c r="AI1050">
        <v>4</v>
      </c>
      <c r="AK1050" s="3"/>
      <c r="AV1050" t="s">
        <v>823</v>
      </c>
      <c r="AZ1050" t="s">
        <v>823</v>
      </c>
      <c r="BG1050">
        <v>10</v>
      </c>
      <c r="BH1050">
        <v>15</v>
      </c>
      <c r="BI1050">
        <v>10</v>
      </c>
      <c r="BJ1050">
        <v>15</v>
      </c>
      <c r="BK1050" s="4">
        <v>3774</v>
      </c>
      <c r="BL1050" s="4">
        <v>3927</v>
      </c>
      <c r="BM1050" s="4">
        <v>4139</v>
      </c>
      <c r="BN1050" s="4">
        <v>4292</v>
      </c>
      <c r="BR1050">
        <v>506092</v>
      </c>
      <c r="BS1050" t="s">
        <v>1776</v>
      </c>
      <c r="BT1050">
        <v>9</v>
      </c>
      <c r="BU1050">
        <v>7</v>
      </c>
      <c r="BV1050">
        <v>6</v>
      </c>
      <c r="BX1050">
        <v>4.87</v>
      </c>
      <c r="BZ1050">
        <v>4</v>
      </c>
      <c r="CM1050">
        <v>1911</v>
      </c>
    </row>
    <row r="1051" spans="1:91" x14ac:dyDescent="0.3">
      <c r="A1051" t="s">
        <v>1777</v>
      </c>
      <c r="B1051">
        <v>40603</v>
      </c>
      <c r="C1051" t="s">
        <v>860</v>
      </c>
      <c r="D1051">
        <v>12</v>
      </c>
      <c r="I1051" s="2">
        <v>1900000</v>
      </c>
      <c r="J1051" t="s">
        <v>800</v>
      </c>
      <c r="V1051" t="s">
        <v>350</v>
      </c>
      <c r="Y1051">
        <v>100</v>
      </c>
      <c r="AA1051">
        <v>100.5</v>
      </c>
      <c r="AC1051" s="3">
        <v>101.5</v>
      </c>
      <c r="AE1051" s="3">
        <v>99</v>
      </c>
      <c r="AI1051">
        <v>99</v>
      </c>
      <c r="AK1051" s="3"/>
      <c r="BG1051">
        <v>4</v>
      </c>
      <c r="BH1051">
        <v>4</v>
      </c>
      <c r="BI1051">
        <v>4</v>
      </c>
      <c r="BJ1051">
        <v>4</v>
      </c>
      <c r="BK1051" s="4">
        <v>3835</v>
      </c>
      <c r="BL1051" s="4">
        <v>4019</v>
      </c>
      <c r="BM1051" s="4">
        <v>4200</v>
      </c>
      <c r="BN1051" s="4">
        <v>4384</v>
      </c>
      <c r="BR1051">
        <v>506092</v>
      </c>
      <c r="BS1051" t="s">
        <v>1776</v>
      </c>
      <c r="BT1051">
        <v>4</v>
      </c>
      <c r="BU1051">
        <v>1</v>
      </c>
      <c r="BV1051">
        <v>9</v>
      </c>
      <c r="BX1051">
        <v>102</v>
      </c>
      <c r="BZ1051">
        <v>99</v>
      </c>
      <c r="CM1051">
        <v>1911</v>
      </c>
    </row>
    <row r="1052" spans="1:91" x14ac:dyDescent="0.3">
      <c r="A1052" t="s">
        <v>1775</v>
      </c>
      <c r="B1052">
        <v>40605</v>
      </c>
      <c r="C1052" t="s">
        <v>1779</v>
      </c>
      <c r="D1052">
        <v>12</v>
      </c>
      <c r="I1052">
        <v>100000</v>
      </c>
      <c r="J1052" t="s">
        <v>800</v>
      </c>
      <c r="V1052" t="s">
        <v>350</v>
      </c>
      <c r="Y1052">
        <v>100</v>
      </c>
      <c r="AA1052">
        <v>75</v>
      </c>
      <c r="AC1052" s="3">
        <v>75</v>
      </c>
      <c r="AE1052" s="3">
        <v>74</v>
      </c>
      <c r="AI1052">
        <v>74</v>
      </c>
      <c r="AK1052" s="3"/>
      <c r="BG1052">
        <v>3</v>
      </c>
      <c r="BH1052">
        <v>3</v>
      </c>
      <c r="BI1052">
        <v>3</v>
      </c>
      <c r="BJ1052">
        <v>3</v>
      </c>
      <c r="BK1052" s="4">
        <v>3835</v>
      </c>
      <c r="BL1052" s="4">
        <v>4019</v>
      </c>
      <c r="BM1052" s="4">
        <v>4200</v>
      </c>
      <c r="BN1052" s="4">
        <v>4384</v>
      </c>
      <c r="BR1052">
        <v>506092</v>
      </c>
      <c r="BS1052" t="s">
        <v>1776</v>
      </c>
      <c r="BT1052">
        <v>4</v>
      </c>
      <c r="BU1052">
        <v>2</v>
      </c>
      <c r="BV1052">
        <v>3</v>
      </c>
      <c r="BX1052">
        <v>77</v>
      </c>
      <c r="BZ1052">
        <v>74</v>
      </c>
      <c r="CM1052">
        <v>1911</v>
      </c>
    </row>
    <row r="1053" spans="1:91" x14ac:dyDescent="0.3">
      <c r="A1053" t="s">
        <v>1780</v>
      </c>
      <c r="B1053">
        <v>40963</v>
      </c>
      <c r="D1053">
        <v>12</v>
      </c>
      <c r="I1053">
        <v>292200</v>
      </c>
      <c r="J1053" t="s">
        <v>800</v>
      </c>
      <c r="U1053">
        <v>100</v>
      </c>
      <c r="Y1053">
        <v>100</v>
      </c>
      <c r="AA1053">
        <v>101</v>
      </c>
      <c r="AC1053" s="3">
        <v>103</v>
      </c>
      <c r="AE1053" s="3">
        <v>101</v>
      </c>
      <c r="AI1053">
        <v>102</v>
      </c>
      <c r="AK1053" s="3"/>
      <c r="AV1053" t="s">
        <v>370</v>
      </c>
      <c r="AX1053" t="s">
        <v>370</v>
      </c>
      <c r="AZ1053" t="s">
        <v>370</v>
      </c>
      <c r="BB1053" t="s">
        <v>370</v>
      </c>
      <c r="BO1053" t="s">
        <v>367</v>
      </c>
      <c r="BS1053" t="s">
        <v>385</v>
      </c>
      <c r="BT1053">
        <v>5</v>
      </c>
      <c r="BU1053">
        <v>0</v>
      </c>
      <c r="BV1053">
        <v>0</v>
      </c>
      <c r="BX1053">
        <v>103</v>
      </c>
      <c r="BZ1053">
        <v>100</v>
      </c>
      <c r="CK1053" t="s">
        <v>360</v>
      </c>
      <c r="CM1053">
        <v>1911</v>
      </c>
    </row>
    <row r="1054" spans="1:91" x14ac:dyDescent="0.3">
      <c r="A1054" t="s">
        <v>1781</v>
      </c>
      <c r="B1054">
        <v>41551</v>
      </c>
      <c r="D1054">
        <v>12</v>
      </c>
      <c r="I1054">
        <v>5597</v>
      </c>
      <c r="U1054">
        <v>1</v>
      </c>
      <c r="Y1054">
        <v>1</v>
      </c>
      <c r="AA1054">
        <v>10.5</v>
      </c>
      <c r="AC1054" s="3">
        <v>10.5</v>
      </c>
      <c r="AE1054" s="3">
        <v>10.5</v>
      </c>
      <c r="AI1054">
        <v>10.5</v>
      </c>
      <c r="AK1054" s="3"/>
      <c r="AU1054" t="s">
        <v>1782</v>
      </c>
      <c r="AV1054" s="5">
        <v>40706</v>
      </c>
      <c r="AW1054" t="s">
        <v>1782</v>
      </c>
      <c r="AX1054" t="s">
        <v>1783</v>
      </c>
      <c r="AY1054" t="s">
        <v>1782</v>
      </c>
      <c r="AZ1054" s="5">
        <v>40706</v>
      </c>
      <c r="BA1054" t="s">
        <v>1782</v>
      </c>
      <c r="BB1054" t="s">
        <v>1783</v>
      </c>
      <c r="BC1054">
        <v>150</v>
      </c>
      <c r="BD1054">
        <v>150</v>
      </c>
      <c r="BE1054">
        <v>150</v>
      </c>
      <c r="BF1054">
        <v>150</v>
      </c>
      <c r="BK1054" s="4">
        <v>3744</v>
      </c>
      <c r="BL1054" s="4">
        <v>3927</v>
      </c>
      <c r="BM1054" s="4">
        <v>4109</v>
      </c>
      <c r="BN1054" s="4">
        <v>4292</v>
      </c>
      <c r="BR1054">
        <v>22733</v>
      </c>
      <c r="BT1054">
        <v>11</v>
      </c>
      <c r="BU1054">
        <v>18</v>
      </c>
      <c r="BV1054">
        <v>0</v>
      </c>
      <c r="BX1054">
        <v>11.5</v>
      </c>
      <c r="BZ1054">
        <v>10.5</v>
      </c>
      <c r="CK1054" t="s">
        <v>360</v>
      </c>
      <c r="CM1054">
        <v>1911</v>
      </c>
    </row>
    <row r="1055" spans="1:91" x14ac:dyDescent="0.3">
      <c r="A1055" t="s">
        <v>1784</v>
      </c>
      <c r="B1055">
        <v>41521</v>
      </c>
      <c r="D1055">
        <v>12</v>
      </c>
      <c r="I1055">
        <v>80000</v>
      </c>
      <c r="U1055">
        <v>10</v>
      </c>
      <c r="Y1055">
        <v>2</v>
      </c>
      <c r="AA1055">
        <v>3.25</v>
      </c>
      <c r="AC1055" s="3">
        <v>3.5</v>
      </c>
      <c r="AE1055" s="3">
        <v>3.25</v>
      </c>
      <c r="AI1055">
        <v>3.37</v>
      </c>
      <c r="AK1055" s="3"/>
      <c r="AX1055" t="s">
        <v>823</v>
      </c>
      <c r="BB1055" t="s">
        <v>823</v>
      </c>
      <c r="BG1055">
        <v>12</v>
      </c>
      <c r="BH1055">
        <v>8</v>
      </c>
      <c r="BI1055">
        <v>12</v>
      </c>
      <c r="BJ1055">
        <v>8</v>
      </c>
      <c r="BK1055" s="4">
        <v>3713</v>
      </c>
      <c r="BL1055" s="4">
        <v>3897</v>
      </c>
      <c r="BM1055" s="4">
        <v>4078</v>
      </c>
      <c r="BN1055" s="4">
        <v>4262</v>
      </c>
      <c r="BR1055">
        <v>255152</v>
      </c>
      <c r="BS1055" t="s">
        <v>1785</v>
      </c>
      <c r="BT1055">
        <v>5</v>
      </c>
      <c r="BU1055">
        <v>18</v>
      </c>
      <c r="BV1055">
        <v>6</v>
      </c>
      <c r="BX1055">
        <v>3.5</v>
      </c>
      <c r="BZ1055">
        <v>2.75</v>
      </c>
      <c r="CK1055" t="s">
        <v>360</v>
      </c>
      <c r="CL1055" t="s">
        <v>457</v>
      </c>
      <c r="CM1055">
        <v>1911</v>
      </c>
    </row>
    <row r="1056" spans="1:91" x14ac:dyDescent="0.3">
      <c r="A1056" t="s">
        <v>1784</v>
      </c>
      <c r="B1056">
        <v>41522</v>
      </c>
      <c r="C1056" t="s">
        <v>1786</v>
      </c>
      <c r="D1056">
        <v>12</v>
      </c>
      <c r="I1056">
        <v>20000</v>
      </c>
      <c r="U1056">
        <v>10</v>
      </c>
      <c r="Y1056">
        <v>10</v>
      </c>
      <c r="AA1056">
        <v>10</v>
      </c>
      <c r="AC1056" s="3">
        <v>10</v>
      </c>
      <c r="AE1056" s="3">
        <v>10</v>
      </c>
      <c r="AI1056">
        <v>10</v>
      </c>
      <c r="AK1056" s="3"/>
      <c r="AV1056" t="s">
        <v>373</v>
      </c>
      <c r="AX1056" t="s">
        <v>373</v>
      </c>
      <c r="AZ1056" t="s">
        <v>373</v>
      </c>
      <c r="BB1056" t="s">
        <v>373</v>
      </c>
      <c r="BO1056" t="s">
        <v>367</v>
      </c>
      <c r="BR1056">
        <v>255152</v>
      </c>
      <c r="BS1056" t="s">
        <v>1785</v>
      </c>
      <c r="BT1056">
        <v>5</v>
      </c>
      <c r="BU1056">
        <v>0</v>
      </c>
      <c r="BV1056">
        <v>0</v>
      </c>
      <c r="BX1056">
        <v>10.68</v>
      </c>
      <c r="BZ1056">
        <v>10</v>
      </c>
      <c r="CM1056">
        <v>1911</v>
      </c>
    </row>
    <row r="1057" spans="1:91" x14ac:dyDescent="0.3">
      <c r="A1057" t="s">
        <v>1784</v>
      </c>
      <c r="B1057">
        <v>41524</v>
      </c>
      <c r="C1057" t="s">
        <v>860</v>
      </c>
      <c r="D1057">
        <v>12</v>
      </c>
      <c r="I1057">
        <v>500000</v>
      </c>
      <c r="J1057" t="s">
        <v>800</v>
      </c>
      <c r="V1057" t="s">
        <v>350</v>
      </c>
      <c r="Y1057">
        <v>100</v>
      </c>
      <c r="AA1057">
        <v>96</v>
      </c>
      <c r="AC1057" s="3">
        <v>97</v>
      </c>
      <c r="AE1057" s="3">
        <v>94</v>
      </c>
      <c r="AI1057">
        <v>94</v>
      </c>
      <c r="AJ1057" t="s">
        <v>379</v>
      </c>
      <c r="AK1057" s="3"/>
      <c r="AV1057" t="s">
        <v>370</v>
      </c>
      <c r="AX1057" t="s">
        <v>370</v>
      </c>
      <c r="AZ1057" t="s">
        <v>370</v>
      </c>
      <c r="BB1057" t="s">
        <v>370</v>
      </c>
      <c r="BO1057" t="s">
        <v>367</v>
      </c>
      <c r="BR1057">
        <v>255152</v>
      </c>
      <c r="BS1057" t="s">
        <v>1785</v>
      </c>
      <c r="BT1057">
        <v>4</v>
      </c>
      <c r="BU1057">
        <v>5</v>
      </c>
      <c r="BV1057">
        <v>0</v>
      </c>
      <c r="BX1057">
        <v>97</v>
      </c>
      <c r="BZ1057">
        <v>93</v>
      </c>
      <c r="CM1057">
        <v>1911</v>
      </c>
    </row>
    <row r="1058" spans="1:91" x14ac:dyDescent="0.3">
      <c r="A1058" t="s">
        <v>1787</v>
      </c>
      <c r="B1058">
        <v>41516</v>
      </c>
      <c r="D1058">
        <v>12</v>
      </c>
      <c r="I1058">
        <v>80000</v>
      </c>
      <c r="U1058">
        <v>25</v>
      </c>
      <c r="Y1058">
        <v>2.5</v>
      </c>
      <c r="AA1058">
        <v>3.25</v>
      </c>
      <c r="AC1058" s="3">
        <v>3.25</v>
      </c>
      <c r="AE1058" s="3">
        <v>3.25</v>
      </c>
      <c r="AI1058">
        <v>3.25</v>
      </c>
      <c r="AK1058" s="3"/>
      <c r="AX1058" t="s">
        <v>823</v>
      </c>
      <c r="BB1058" t="s">
        <v>823</v>
      </c>
      <c r="BG1058">
        <v>9</v>
      </c>
      <c r="BH1058">
        <v>5</v>
      </c>
      <c r="BI1058">
        <v>9</v>
      </c>
      <c r="BJ1058">
        <v>5</v>
      </c>
      <c r="BK1058" s="4">
        <v>3774</v>
      </c>
      <c r="BL1058" s="4">
        <v>3958</v>
      </c>
      <c r="BM1058" s="4">
        <v>4139</v>
      </c>
      <c r="BN1058" s="4">
        <v>4323</v>
      </c>
      <c r="BR1058">
        <v>147336</v>
      </c>
      <c r="BS1058" t="s">
        <v>1788</v>
      </c>
      <c r="BT1058">
        <v>4</v>
      </c>
      <c r="BU1058">
        <v>7</v>
      </c>
      <c r="BV1058">
        <v>9</v>
      </c>
      <c r="BX1058">
        <v>3.25</v>
      </c>
      <c r="BZ1058">
        <v>2.62</v>
      </c>
      <c r="CK1058" t="s">
        <v>360</v>
      </c>
      <c r="CM1058">
        <v>1911</v>
      </c>
    </row>
    <row r="1059" spans="1:91" x14ac:dyDescent="0.3">
      <c r="A1059" t="s">
        <v>1787</v>
      </c>
      <c r="B1059">
        <v>41520</v>
      </c>
      <c r="C1059" t="s">
        <v>1188</v>
      </c>
      <c r="D1059">
        <v>12</v>
      </c>
      <c r="I1059">
        <v>439539</v>
      </c>
      <c r="J1059" t="s">
        <v>800</v>
      </c>
      <c r="V1059" t="s">
        <v>350</v>
      </c>
      <c r="Y1059">
        <v>100</v>
      </c>
      <c r="AA1059">
        <v>96.5</v>
      </c>
      <c r="AC1059" s="3">
        <v>96.5</v>
      </c>
      <c r="AE1059" s="3">
        <v>94.5</v>
      </c>
      <c r="AI1059">
        <v>94.5</v>
      </c>
      <c r="AJ1059" t="s">
        <v>379</v>
      </c>
      <c r="AK1059" s="3"/>
      <c r="AV1059" t="s">
        <v>370</v>
      </c>
      <c r="AX1059" t="s">
        <v>370</v>
      </c>
      <c r="AZ1059" t="s">
        <v>370</v>
      </c>
      <c r="BB1059" t="s">
        <v>370</v>
      </c>
      <c r="BO1059" t="s">
        <v>367</v>
      </c>
      <c r="BR1059">
        <v>147336</v>
      </c>
      <c r="BS1059" t="s">
        <v>1788</v>
      </c>
      <c r="BT1059">
        <v>3</v>
      </c>
      <c r="BU1059">
        <v>14</v>
      </c>
      <c r="BV1059">
        <v>0</v>
      </c>
      <c r="BX1059">
        <v>97.75</v>
      </c>
      <c r="BZ1059">
        <v>92.5</v>
      </c>
      <c r="CM1059">
        <v>1911</v>
      </c>
    </row>
    <row r="1060" spans="1:91" x14ac:dyDescent="0.3">
      <c r="A1060" t="s">
        <v>1789</v>
      </c>
      <c r="B1060">
        <v>41557</v>
      </c>
      <c r="D1060">
        <v>12</v>
      </c>
      <c r="I1060">
        <v>25000</v>
      </c>
      <c r="U1060">
        <v>10</v>
      </c>
      <c r="Y1060">
        <v>5</v>
      </c>
      <c r="AA1060">
        <v>9</v>
      </c>
      <c r="AB1060" t="s">
        <v>379</v>
      </c>
      <c r="AC1060" s="3">
        <v>9</v>
      </c>
      <c r="AE1060" s="3">
        <v>9</v>
      </c>
      <c r="AI1060">
        <v>9</v>
      </c>
      <c r="AK1060" s="3"/>
      <c r="AV1060" t="s">
        <v>815</v>
      </c>
      <c r="AX1060" t="s">
        <v>815</v>
      </c>
      <c r="AZ1060" t="s">
        <v>815</v>
      </c>
      <c r="BB1060" t="s">
        <v>815</v>
      </c>
      <c r="BG1060">
        <v>20</v>
      </c>
      <c r="BH1060">
        <v>10</v>
      </c>
      <c r="BI1060">
        <v>10</v>
      </c>
      <c r="BJ1060">
        <v>10</v>
      </c>
      <c r="BK1060" s="4">
        <v>3258</v>
      </c>
      <c r="BL1060" s="4">
        <v>3623</v>
      </c>
      <c r="BM1060" s="4">
        <v>3988</v>
      </c>
      <c r="BN1060" s="4">
        <v>4353</v>
      </c>
      <c r="BR1060">
        <v>120920</v>
      </c>
      <c r="BT1060">
        <v>5</v>
      </c>
      <c r="BU1060">
        <v>11</v>
      </c>
      <c r="BV1060">
        <v>0</v>
      </c>
      <c r="BX1060">
        <v>10.25</v>
      </c>
      <c r="BZ1060">
        <v>8.6199999999999992</v>
      </c>
      <c r="CM1060">
        <v>1911</v>
      </c>
    </row>
    <row r="1061" spans="1:91" x14ac:dyDescent="0.3">
      <c r="A1061" t="s">
        <v>1790</v>
      </c>
      <c r="B1061">
        <v>41593</v>
      </c>
      <c r="D1061">
        <v>12</v>
      </c>
      <c r="I1061">
        <v>179600</v>
      </c>
      <c r="U1061">
        <v>1</v>
      </c>
      <c r="Y1061">
        <v>1</v>
      </c>
      <c r="AA1061">
        <v>1.1200000000000001</v>
      </c>
      <c r="AC1061" s="3">
        <v>1.1200000000000001</v>
      </c>
      <c r="AE1061" s="3">
        <v>1</v>
      </c>
      <c r="AI1061">
        <v>1</v>
      </c>
      <c r="AK1061" s="3"/>
      <c r="AV1061" t="s">
        <v>385</v>
      </c>
      <c r="AX1061" t="s">
        <v>385</v>
      </c>
      <c r="AZ1061" t="s">
        <v>385</v>
      </c>
      <c r="BB1061" t="s">
        <v>385</v>
      </c>
      <c r="BR1061">
        <v>1995</v>
      </c>
      <c r="BW1061" t="s">
        <v>802</v>
      </c>
      <c r="BX1061">
        <v>1.28</v>
      </c>
      <c r="BZ1061">
        <v>1</v>
      </c>
      <c r="CM1061">
        <v>1911</v>
      </c>
    </row>
    <row r="1062" spans="1:91" x14ac:dyDescent="0.3">
      <c r="A1062" t="s">
        <v>1791</v>
      </c>
      <c r="B1062">
        <v>41682</v>
      </c>
      <c r="D1062">
        <v>12</v>
      </c>
      <c r="I1062" s="2">
        <v>1839720</v>
      </c>
      <c r="U1062">
        <v>1</v>
      </c>
      <c r="Y1062">
        <v>1</v>
      </c>
      <c r="AA1062">
        <v>1.06</v>
      </c>
      <c r="AC1062" s="3">
        <v>1.06</v>
      </c>
      <c r="AE1062" s="3">
        <v>1.06</v>
      </c>
      <c r="AI1062">
        <v>1.06</v>
      </c>
      <c r="AK1062" s="3"/>
      <c r="AV1062" t="s">
        <v>815</v>
      </c>
      <c r="AX1062" t="s">
        <v>815</v>
      </c>
      <c r="AZ1062" t="s">
        <v>815</v>
      </c>
      <c r="BB1062" t="s">
        <v>815</v>
      </c>
      <c r="BG1062">
        <v>4</v>
      </c>
      <c r="BH1062">
        <v>4</v>
      </c>
      <c r="BI1062">
        <v>5</v>
      </c>
      <c r="BJ1062">
        <v>5</v>
      </c>
      <c r="BK1062" s="4">
        <v>3105</v>
      </c>
      <c r="BL1062" s="4">
        <v>3470</v>
      </c>
      <c r="BM1062" s="4">
        <v>3835</v>
      </c>
      <c r="BN1062" s="4">
        <v>4200</v>
      </c>
      <c r="BR1062">
        <v>148890</v>
      </c>
      <c r="BT1062">
        <v>4</v>
      </c>
      <c r="BU1062">
        <v>14</v>
      </c>
      <c r="BV1062">
        <v>0</v>
      </c>
      <c r="BX1062">
        <v>1.4</v>
      </c>
      <c r="BZ1062">
        <v>1.03</v>
      </c>
      <c r="CK1062" t="s">
        <v>360</v>
      </c>
      <c r="CM1062">
        <v>1911</v>
      </c>
    </row>
    <row r="1063" spans="1:91" x14ac:dyDescent="0.3">
      <c r="A1063" t="s">
        <v>1792</v>
      </c>
      <c r="B1063">
        <v>41710</v>
      </c>
      <c r="D1063">
        <v>12</v>
      </c>
      <c r="I1063" s="2">
        <v>8056360</v>
      </c>
      <c r="U1063">
        <v>1</v>
      </c>
      <c r="Y1063">
        <v>1</v>
      </c>
      <c r="AA1063">
        <v>1.56</v>
      </c>
      <c r="AC1063" s="3">
        <v>1.56</v>
      </c>
      <c r="AE1063" s="3">
        <v>1.4</v>
      </c>
      <c r="AI1063">
        <v>1.4</v>
      </c>
      <c r="AK1063" s="3"/>
      <c r="AV1063" t="s">
        <v>385</v>
      </c>
      <c r="AX1063" t="s">
        <v>385</v>
      </c>
      <c r="AZ1063" t="s">
        <v>385</v>
      </c>
      <c r="BB1063" t="s">
        <v>385</v>
      </c>
      <c r="BS1063" t="s">
        <v>385</v>
      </c>
      <c r="BW1063" t="s">
        <v>802</v>
      </c>
      <c r="BX1063">
        <v>1.78</v>
      </c>
      <c r="BZ1063">
        <v>1.31</v>
      </c>
      <c r="CK1063" t="s">
        <v>360</v>
      </c>
      <c r="CM1063">
        <v>1911</v>
      </c>
    </row>
    <row r="1064" spans="1:91" x14ac:dyDescent="0.3">
      <c r="A1064" t="s">
        <v>1792</v>
      </c>
      <c r="B1064">
        <v>41712</v>
      </c>
      <c r="C1064" t="s">
        <v>1793</v>
      </c>
      <c r="D1064">
        <v>12</v>
      </c>
      <c r="I1064" s="2">
        <v>1250000</v>
      </c>
      <c r="J1064" t="s">
        <v>800</v>
      </c>
      <c r="U1064">
        <v>100</v>
      </c>
      <c r="Y1064">
        <v>100</v>
      </c>
      <c r="AA1064">
        <v>106.5</v>
      </c>
      <c r="AC1064" s="3">
        <v>107</v>
      </c>
      <c r="AE1064" s="3">
        <v>105.87</v>
      </c>
      <c r="AI1064">
        <v>107</v>
      </c>
      <c r="AK1064" s="3"/>
      <c r="BG1064">
        <v>5</v>
      </c>
      <c r="BH1064">
        <v>5</v>
      </c>
      <c r="BI1064">
        <v>5</v>
      </c>
      <c r="BJ1064">
        <v>5</v>
      </c>
      <c r="BK1064" s="4">
        <v>3685</v>
      </c>
      <c r="BL1064" s="4">
        <v>3866</v>
      </c>
      <c r="BM1064" s="4">
        <v>4050</v>
      </c>
      <c r="BN1064" s="4">
        <v>4231</v>
      </c>
      <c r="BS1064" t="s">
        <v>385</v>
      </c>
      <c r="BT1064">
        <v>4</v>
      </c>
      <c r="BU1064">
        <v>15</v>
      </c>
      <c r="BV1064">
        <v>3</v>
      </c>
      <c r="BX1064">
        <v>108.87</v>
      </c>
      <c r="BZ1064">
        <v>104.37</v>
      </c>
      <c r="CM1064">
        <v>1911</v>
      </c>
    </row>
    <row r="1065" spans="1:91" x14ac:dyDescent="0.3">
      <c r="A1065" t="s">
        <v>1794</v>
      </c>
      <c r="B1065">
        <v>41740</v>
      </c>
      <c r="D1065">
        <v>12</v>
      </c>
      <c r="I1065">
        <v>168200</v>
      </c>
      <c r="J1065" t="s">
        <v>800</v>
      </c>
      <c r="V1065" t="s">
        <v>350</v>
      </c>
      <c r="Y1065">
        <v>100</v>
      </c>
      <c r="AA1065">
        <v>102.5</v>
      </c>
      <c r="AC1065" s="3">
        <v>102.5</v>
      </c>
      <c r="AE1065" s="3">
        <v>101.5</v>
      </c>
      <c r="AI1065">
        <v>101.5</v>
      </c>
      <c r="AJ1065" t="s">
        <v>379</v>
      </c>
      <c r="AK1065" s="3"/>
      <c r="AV1065" t="s">
        <v>370</v>
      </c>
      <c r="AX1065" t="s">
        <v>370</v>
      </c>
      <c r="AZ1065" t="s">
        <v>370</v>
      </c>
      <c r="BB1065" t="s">
        <v>370</v>
      </c>
      <c r="BO1065" t="s">
        <v>367</v>
      </c>
      <c r="BS1065" t="s">
        <v>385</v>
      </c>
      <c r="BT1065">
        <v>4</v>
      </c>
      <c r="BU1065">
        <v>8</v>
      </c>
      <c r="BV1065">
        <v>9</v>
      </c>
      <c r="BX1065">
        <v>102.5</v>
      </c>
      <c r="BZ1065">
        <v>100.5</v>
      </c>
      <c r="CM1065">
        <v>1911</v>
      </c>
    </row>
    <row r="1066" spans="1:91" x14ac:dyDescent="0.3">
      <c r="A1066" t="s">
        <v>1795</v>
      </c>
      <c r="B1066">
        <v>41961</v>
      </c>
      <c r="D1066">
        <v>12</v>
      </c>
      <c r="I1066" s="2">
        <v>25000000</v>
      </c>
      <c r="J1066" t="s">
        <v>773</v>
      </c>
      <c r="V1066" t="s">
        <v>615</v>
      </c>
      <c r="Z1066" t="s">
        <v>615</v>
      </c>
      <c r="AA1066">
        <v>94.5</v>
      </c>
      <c r="AC1066" s="3">
        <v>95.12</v>
      </c>
      <c r="AE1066" s="3">
        <v>94.25</v>
      </c>
      <c r="AI1066">
        <v>95</v>
      </c>
      <c r="AK1066" s="3"/>
      <c r="AV1066" t="s">
        <v>366</v>
      </c>
      <c r="AX1066" t="s">
        <v>366</v>
      </c>
      <c r="AZ1066" t="s">
        <v>366</v>
      </c>
      <c r="BB1066" t="s">
        <v>366</v>
      </c>
      <c r="BO1066" t="s">
        <v>367</v>
      </c>
      <c r="BS1066" t="s">
        <v>385</v>
      </c>
      <c r="BT1066">
        <v>4</v>
      </c>
      <c r="BU1066">
        <v>15</v>
      </c>
      <c r="BV1066">
        <v>0</v>
      </c>
      <c r="BX1066">
        <v>99.75</v>
      </c>
      <c r="BZ1066">
        <v>94</v>
      </c>
      <c r="CM1066">
        <v>1911</v>
      </c>
    </row>
    <row r="1067" spans="1:91" x14ac:dyDescent="0.3">
      <c r="A1067" t="s">
        <v>1796</v>
      </c>
      <c r="B1067">
        <v>41984</v>
      </c>
      <c r="D1067">
        <v>12</v>
      </c>
      <c r="I1067">
        <v>241510</v>
      </c>
      <c r="V1067" t="s">
        <v>1797</v>
      </c>
      <c r="Z1067" t="s">
        <v>1797</v>
      </c>
      <c r="AA1067">
        <v>1.06</v>
      </c>
      <c r="AC1067" s="3">
        <v>1.0900000000000001</v>
      </c>
      <c r="AE1067" s="3">
        <v>1</v>
      </c>
      <c r="AI1067">
        <v>1.06</v>
      </c>
      <c r="AK1067" s="3"/>
      <c r="AU1067" t="s">
        <v>1717</v>
      </c>
      <c r="AV1067" t="s">
        <v>1719</v>
      </c>
      <c r="AW1067" t="s">
        <v>1717</v>
      </c>
      <c r="AX1067" t="s">
        <v>1719</v>
      </c>
      <c r="AY1067" t="s">
        <v>1717</v>
      </c>
      <c r="AZ1067" t="s">
        <v>1718</v>
      </c>
      <c r="BA1067" t="s">
        <v>1717</v>
      </c>
      <c r="BB1067" t="s">
        <v>1718</v>
      </c>
      <c r="BC1067">
        <v>12</v>
      </c>
      <c r="BD1067">
        <v>12</v>
      </c>
      <c r="BE1067">
        <v>12</v>
      </c>
      <c r="BF1067">
        <v>12</v>
      </c>
      <c r="BK1067" s="4">
        <v>3927</v>
      </c>
      <c r="BL1067" s="4">
        <v>4019</v>
      </c>
      <c r="BM1067" s="4">
        <v>4170</v>
      </c>
      <c r="BN1067" s="4">
        <v>4292</v>
      </c>
      <c r="BR1067">
        <v>14493</v>
      </c>
      <c r="BT1067">
        <v>14</v>
      </c>
      <c r="BU1067">
        <v>1</v>
      </c>
      <c r="BV1067">
        <v>3</v>
      </c>
      <c r="BX1067">
        <v>1.1499999999999999</v>
      </c>
      <c r="BZ1067">
        <v>0.9</v>
      </c>
      <c r="CM1067">
        <v>1911</v>
      </c>
    </row>
    <row r="1068" spans="1:91" x14ac:dyDescent="0.3">
      <c r="A1068" t="s">
        <v>1798</v>
      </c>
      <c r="B1068">
        <v>42076</v>
      </c>
      <c r="D1068">
        <v>12</v>
      </c>
      <c r="I1068">
        <v>8319</v>
      </c>
      <c r="U1068">
        <v>1</v>
      </c>
      <c r="Y1068">
        <v>1</v>
      </c>
      <c r="AA1068">
        <v>26</v>
      </c>
      <c r="AC1068" s="3">
        <v>27.25</v>
      </c>
      <c r="AE1068" s="3">
        <v>26</v>
      </c>
      <c r="AI1068">
        <v>27</v>
      </c>
      <c r="AJ1068" t="s">
        <v>379</v>
      </c>
      <c r="AK1068" s="3"/>
      <c r="AU1068" t="s">
        <v>1799</v>
      </c>
      <c r="AV1068" t="s">
        <v>1800</v>
      </c>
      <c r="AW1068" t="s">
        <v>1801</v>
      </c>
      <c r="AX1068" t="s">
        <v>1802</v>
      </c>
      <c r="AY1068" t="s">
        <v>1803</v>
      </c>
      <c r="AZ1068" t="s">
        <v>1804</v>
      </c>
      <c r="BA1068" t="s">
        <v>1205</v>
      </c>
      <c r="BB1068" t="s">
        <v>1206</v>
      </c>
      <c r="BC1068">
        <v>96</v>
      </c>
      <c r="BD1068">
        <v>264</v>
      </c>
      <c r="BE1068">
        <v>120</v>
      </c>
      <c r="BF1068">
        <v>300</v>
      </c>
      <c r="BK1068" s="4">
        <v>3654</v>
      </c>
      <c r="BL1068" s="4">
        <v>3835</v>
      </c>
      <c r="BM1068" s="4">
        <v>4019</v>
      </c>
      <c r="BN1068" s="4">
        <v>4200</v>
      </c>
      <c r="BR1068">
        <v>669</v>
      </c>
      <c r="BT1068">
        <v>6</v>
      </c>
      <c r="BU1068">
        <v>9</v>
      </c>
      <c r="BV1068">
        <v>6</v>
      </c>
      <c r="BX1068">
        <v>29</v>
      </c>
      <c r="BZ1068">
        <v>25.5</v>
      </c>
      <c r="CK1068" t="s">
        <v>360</v>
      </c>
      <c r="CM1068">
        <v>1911</v>
      </c>
    </row>
    <row r="1069" spans="1:91" x14ac:dyDescent="0.3">
      <c r="A1069" t="s">
        <v>1805</v>
      </c>
      <c r="B1069">
        <v>42061</v>
      </c>
      <c r="D1069">
        <v>12</v>
      </c>
      <c r="I1069">
        <v>600</v>
      </c>
      <c r="U1069">
        <v>10</v>
      </c>
      <c r="Y1069">
        <v>10</v>
      </c>
      <c r="AA1069">
        <v>12.25</v>
      </c>
      <c r="AC1069" s="3">
        <v>12.25</v>
      </c>
      <c r="AE1069" s="3">
        <v>12.25</v>
      </c>
      <c r="AI1069">
        <v>12.25</v>
      </c>
      <c r="AK1069" s="3"/>
      <c r="AX1069" t="s">
        <v>823</v>
      </c>
      <c r="BB1069" t="s">
        <v>823</v>
      </c>
      <c r="BG1069">
        <v>9</v>
      </c>
      <c r="BH1069">
        <v>5</v>
      </c>
      <c r="BI1069">
        <v>9</v>
      </c>
      <c r="BJ1069">
        <v>7</v>
      </c>
      <c r="BK1069" s="4">
        <v>3713</v>
      </c>
      <c r="BL1069" s="4">
        <v>3866</v>
      </c>
      <c r="BM1069" s="4">
        <v>4078</v>
      </c>
      <c r="BN1069" s="4">
        <v>4231</v>
      </c>
      <c r="BR1069">
        <v>75738</v>
      </c>
      <c r="BS1069" t="s">
        <v>1806</v>
      </c>
      <c r="BT1069">
        <v>6</v>
      </c>
      <c r="BU1069">
        <v>10</v>
      </c>
      <c r="BV1069">
        <v>9</v>
      </c>
      <c r="BX1069">
        <v>12.75</v>
      </c>
      <c r="BZ1069">
        <v>11.87</v>
      </c>
      <c r="CM1069">
        <v>1911</v>
      </c>
    </row>
    <row r="1070" spans="1:91" x14ac:dyDescent="0.3">
      <c r="A1070" t="s">
        <v>1805</v>
      </c>
      <c r="B1070">
        <v>42062</v>
      </c>
      <c r="D1070">
        <v>12</v>
      </c>
      <c r="I1070">
        <v>44579</v>
      </c>
      <c r="U1070">
        <v>10</v>
      </c>
      <c r="Y1070">
        <v>2</v>
      </c>
      <c r="AA1070">
        <v>2.5</v>
      </c>
      <c r="AC1070" s="3">
        <v>2.5</v>
      </c>
      <c r="AE1070" s="3">
        <v>2.5</v>
      </c>
      <c r="AI1070">
        <v>2.5</v>
      </c>
      <c r="AK1070" s="3"/>
      <c r="AX1070" t="s">
        <v>823</v>
      </c>
      <c r="BB1070" t="s">
        <v>823</v>
      </c>
      <c r="BG1070">
        <v>9</v>
      </c>
      <c r="BH1070">
        <v>5</v>
      </c>
      <c r="BI1070">
        <v>9</v>
      </c>
      <c r="BJ1070">
        <v>7</v>
      </c>
      <c r="BK1070" s="4">
        <v>3713</v>
      </c>
      <c r="BL1070" s="4">
        <v>3866</v>
      </c>
      <c r="BM1070" s="4">
        <v>4078</v>
      </c>
      <c r="BN1070" s="4">
        <v>4231</v>
      </c>
      <c r="BR1070">
        <v>75738</v>
      </c>
      <c r="BS1070" t="s">
        <v>1806</v>
      </c>
      <c r="BT1070">
        <v>6</v>
      </c>
      <c r="BU1070">
        <v>8</v>
      </c>
      <c r="BV1070">
        <v>0</v>
      </c>
      <c r="BX1070">
        <v>2.62</v>
      </c>
      <c r="BZ1070">
        <v>2.25</v>
      </c>
      <c r="CK1070" t="s">
        <v>616</v>
      </c>
      <c r="CM1070">
        <v>1911</v>
      </c>
    </row>
    <row r="1071" spans="1:91" x14ac:dyDescent="0.3">
      <c r="A1071" t="s">
        <v>1805</v>
      </c>
      <c r="B1071">
        <v>42063</v>
      </c>
      <c r="C1071" t="s">
        <v>860</v>
      </c>
      <c r="D1071">
        <v>12</v>
      </c>
      <c r="I1071">
        <v>315102</v>
      </c>
      <c r="J1071" t="s">
        <v>800</v>
      </c>
      <c r="V1071" t="s">
        <v>350</v>
      </c>
      <c r="Y1071">
        <v>100</v>
      </c>
      <c r="AA1071">
        <v>98</v>
      </c>
      <c r="AC1071" s="3">
        <v>98</v>
      </c>
      <c r="AE1071" s="3">
        <v>98</v>
      </c>
      <c r="AI1071">
        <v>98</v>
      </c>
      <c r="AK1071" s="3"/>
      <c r="AV1071" t="s">
        <v>370</v>
      </c>
      <c r="AX1071" t="s">
        <v>370</v>
      </c>
      <c r="AZ1071" t="s">
        <v>370</v>
      </c>
      <c r="BB1071" t="s">
        <v>370</v>
      </c>
      <c r="BO1071" t="s">
        <v>367</v>
      </c>
      <c r="BR1071">
        <v>75738</v>
      </c>
      <c r="BS1071" t="s">
        <v>1806</v>
      </c>
      <c r="BT1071">
        <v>4</v>
      </c>
      <c r="BU1071">
        <v>2</v>
      </c>
      <c r="BV1071">
        <v>9</v>
      </c>
      <c r="BX1071">
        <v>101</v>
      </c>
      <c r="BZ1071">
        <v>96</v>
      </c>
      <c r="CM1071">
        <v>1911</v>
      </c>
    </row>
    <row r="1072" spans="1:91" x14ac:dyDescent="0.3">
      <c r="A1072" t="s">
        <v>1807</v>
      </c>
      <c r="B1072">
        <v>42097</v>
      </c>
      <c r="D1072">
        <v>12</v>
      </c>
      <c r="I1072">
        <v>350000</v>
      </c>
      <c r="U1072">
        <v>1</v>
      </c>
      <c r="Y1072">
        <v>1</v>
      </c>
      <c r="AA1072">
        <v>0.96</v>
      </c>
      <c r="AC1072" s="3">
        <v>0.96</v>
      </c>
      <c r="AE1072" s="3">
        <v>0.93</v>
      </c>
      <c r="AI1072">
        <v>0.93</v>
      </c>
      <c r="AK1072" s="3"/>
      <c r="AV1072" t="s">
        <v>385</v>
      </c>
      <c r="AX1072" t="s">
        <v>385</v>
      </c>
      <c r="AZ1072" t="s">
        <v>385</v>
      </c>
      <c r="BB1072" t="s">
        <v>385</v>
      </c>
      <c r="BS1072" t="s">
        <v>385</v>
      </c>
      <c r="BW1072" t="s">
        <v>802</v>
      </c>
      <c r="BX1072">
        <v>1.0900000000000001</v>
      </c>
      <c r="BZ1072">
        <v>0.93</v>
      </c>
      <c r="CM1072">
        <v>1911</v>
      </c>
    </row>
    <row r="1073" spans="1:91" x14ac:dyDescent="0.3">
      <c r="A1073" t="s">
        <v>1808</v>
      </c>
      <c r="B1073">
        <v>42819</v>
      </c>
      <c r="D1073">
        <v>12</v>
      </c>
      <c r="I1073">
        <v>492560</v>
      </c>
      <c r="U1073">
        <v>1</v>
      </c>
      <c r="Y1073">
        <v>1</v>
      </c>
      <c r="AA1073">
        <v>0.15</v>
      </c>
      <c r="AC1073" s="3">
        <v>0.15</v>
      </c>
      <c r="AE1073" s="3">
        <v>0.12</v>
      </c>
      <c r="AI1073">
        <v>0.12</v>
      </c>
      <c r="AK1073" s="3"/>
      <c r="AV1073" t="s">
        <v>385</v>
      </c>
      <c r="AX1073" t="s">
        <v>385</v>
      </c>
      <c r="AZ1073" t="s">
        <v>385</v>
      </c>
      <c r="BB1073" t="s">
        <v>385</v>
      </c>
      <c r="BS1073" t="s">
        <v>385</v>
      </c>
      <c r="BW1073" t="s">
        <v>802</v>
      </c>
      <c r="BX1073">
        <v>0.18</v>
      </c>
      <c r="BZ1073">
        <v>0.09</v>
      </c>
      <c r="CK1073" t="s">
        <v>360</v>
      </c>
      <c r="CM1073">
        <v>1911</v>
      </c>
    </row>
    <row r="1074" spans="1:91" x14ac:dyDescent="0.3">
      <c r="A1074" t="s">
        <v>1809</v>
      </c>
      <c r="B1074">
        <v>42876</v>
      </c>
      <c r="D1074">
        <v>12</v>
      </c>
      <c r="I1074">
        <v>382468</v>
      </c>
      <c r="J1074" t="s">
        <v>800</v>
      </c>
      <c r="V1074" t="s">
        <v>350</v>
      </c>
      <c r="Y1074">
        <v>100</v>
      </c>
      <c r="AA1074">
        <v>79</v>
      </c>
      <c r="AC1074" s="3">
        <v>80</v>
      </c>
      <c r="AE1074" s="3">
        <v>79</v>
      </c>
      <c r="AI1074">
        <v>79</v>
      </c>
      <c r="AK1074" s="3"/>
      <c r="BG1074">
        <v>4.25</v>
      </c>
      <c r="BH1074">
        <v>4.25</v>
      </c>
      <c r="BI1074">
        <v>4.25</v>
      </c>
      <c r="BJ1074">
        <v>4.5</v>
      </c>
      <c r="BK1074" s="4">
        <v>3685</v>
      </c>
      <c r="BL1074" s="4">
        <v>3866</v>
      </c>
      <c r="BM1074" s="4">
        <v>4050</v>
      </c>
      <c r="BN1074" s="4">
        <v>4231</v>
      </c>
      <c r="BR1074">
        <v>8641</v>
      </c>
      <c r="BT1074">
        <v>5</v>
      </c>
      <c r="BU1074">
        <v>10</v>
      </c>
      <c r="BV1074">
        <v>9</v>
      </c>
      <c r="BX1074">
        <v>80</v>
      </c>
      <c r="BZ1074">
        <v>77</v>
      </c>
      <c r="CM1074">
        <v>1911</v>
      </c>
    </row>
    <row r="1075" spans="1:91" x14ac:dyDescent="0.3">
      <c r="A1075" t="s">
        <v>1810</v>
      </c>
      <c r="B1075">
        <v>43113</v>
      </c>
      <c r="D1075">
        <v>12</v>
      </c>
      <c r="I1075">
        <v>999900</v>
      </c>
      <c r="J1075" t="s">
        <v>800</v>
      </c>
      <c r="V1075" t="s">
        <v>350</v>
      </c>
      <c r="Y1075">
        <v>100</v>
      </c>
      <c r="AA1075">
        <v>62.5</v>
      </c>
      <c r="AC1075" s="3">
        <v>63.5</v>
      </c>
      <c r="AE1075" s="3">
        <v>62.5</v>
      </c>
      <c r="AI1075">
        <v>63.5</v>
      </c>
      <c r="AK1075" s="3"/>
      <c r="AX1075" t="s">
        <v>823</v>
      </c>
      <c r="BB1075" t="s">
        <v>823</v>
      </c>
      <c r="BG1075">
        <v>6</v>
      </c>
      <c r="BH1075">
        <v>4</v>
      </c>
      <c r="BI1075">
        <v>6</v>
      </c>
      <c r="BJ1075">
        <v>4</v>
      </c>
      <c r="BK1075" s="4">
        <v>3654</v>
      </c>
      <c r="BL1075" s="4">
        <v>3835</v>
      </c>
      <c r="BM1075" s="4">
        <v>4019</v>
      </c>
      <c r="BN1075" s="4">
        <v>4200</v>
      </c>
      <c r="BR1075">
        <v>250000</v>
      </c>
      <c r="BS1075" t="s">
        <v>1811</v>
      </c>
      <c r="BT1075">
        <v>8</v>
      </c>
      <c r="BU1075">
        <v>4</v>
      </c>
      <c r="BV1075">
        <v>0</v>
      </c>
      <c r="BX1075">
        <v>66.5</v>
      </c>
      <c r="BZ1075">
        <v>59.5</v>
      </c>
      <c r="CK1075" t="s">
        <v>360</v>
      </c>
      <c r="CM1075">
        <v>1911</v>
      </c>
    </row>
    <row r="1076" spans="1:91" x14ac:dyDescent="0.3">
      <c r="A1076" t="s">
        <v>1812</v>
      </c>
      <c r="B1076">
        <v>43118</v>
      </c>
      <c r="C1076" t="s">
        <v>1195</v>
      </c>
      <c r="D1076">
        <v>12</v>
      </c>
      <c r="I1076" s="2">
        <v>1000000</v>
      </c>
      <c r="J1076" t="s">
        <v>800</v>
      </c>
      <c r="V1076" t="s">
        <v>350</v>
      </c>
      <c r="Y1076">
        <v>100</v>
      </c>
      <c r="AA1076">
        <v>91.5</v>
      </c>
      <c r="AC1076" s="3">
        <v>92.75</v>
      </c>
      <c r="AE1076" s="3">
        <v>89.5</v>
      </c>
      <c r="AI1076">
        <v>89.5</v>
      </c>
      <c r="AJ1076" t="s">
        <v>379</v>
      </c>
      <c r="AK1076" s="3"/>
      <c r="AV1076" t="s">
        <v>370</v>
      </c>
      <c r="AX1076" t="s">
        <v>370</v>
      </c>
      <c r="AZ1076" t="s">
        <v>370</v>
      </c>
      <c r="BB1076" t="s">
        <v>370</v>
      </c>
      <c r="BO1076" t="s">
        <v>367</v>
      </c>
      <c r="BR1076">
        <v>250000</v>
      </c>
      <c r="BS1076" t="s">
        <v>1811</v>
      </c>
      <c r="BT1076">
        <v>5</v>
      </c>
      <c r="BU1076">
        <v>11</v>
      </c>
      <c r="BV1076">
        <v>9</v>
      </c>
      <c r="BX1076">
        <v>94.5</v>
      </c>
      <c r="BZ1076">
        <v>86.25</v>
      </c>
      <c r="CM1076">
        <v>1911</v>
      </c>
    </row>
    <row r="1077" spans="1:91" x14ac:dyDescent="0.3">
      <c r="A1077" t="s">
        <v>1812</v>
      </c>
      <c r="B1077">
        <v>43117</v>
      </c>
      <c r="C1077" t="s">
        <v>974</v>
      </c>
      <c r="D1077">
        <v>12</v>
      </c>
      <c r="I1077" s="2">
        <v>1250000</v>
      </c>
      <c r="J1077" t="s">
        <v>800</v>
      </c>
      <c r="V1077" t="s">
        <v>350</v>
      </c>
      <c r="Y1077">
        <v>100</v>
      </c>
      <c r="AA1077">
        <v>90.5</v>
      </c>
      <c r="AC1077" s="3">
        <v>91.75</v>
      </c>
      <c r="AE1077" s="3">
        <v>88.5</v>
      </c>
      <c r="AI1077">
        <v>88.5</v>
      </c>
      <c r="AJ1077" t="s">
        <v>379</v>
      </c>
      <c r="AK1077" s="3"/>
      <c r="AV1077" t="s">
        <v>370</v>
      </c>
      <c r="AX1077" t="s">
        <v>370</v>
      </c>
      <c r="AZ1077" t="s">
        <v>370</v>
      </c>
      <c r="BB1077" t="s">
        <v>370</v>
      </c>
      <c r="BO1077" t="s">
        <v>367</v>
      </c>
      <c r="BR1077">
        <v>250000</v>
      </c>
      <c r="BS1077" t="s">
        <v>1811</v>
      </c>
      <c r="BT1077">
        <v>4</v>
      </c>
      <c r="BU1077">
        <v>10</v>
      </c>
      <c r="BV1077">
        <v>6</v>
      </c>
      <c r="BX1077">
        <v>92.75</v>
      </c>
      <c r="BZ1077">
        <v>88.5</v>
      </c>
      <c r="CM1077">
        <v>1911</v>
      </c>
    </row>
    <row r="1078" spans="1:91" x14ac:dyDescent="0.3">
      <c r="A1078" t="s">
        <v>1813</v>
      </c>
      <c r="B1078">
        <v>43103</v>
      </c>
      <c r="D1078">
        <v>12</v>
      </c>
      <c r="I1078">
        <v>100000</v>
      </c>
      <c r="U1078">
        <v>3</v>
      </c>
      <c r="Y1078">
        <v>3</v>
      </c>
      <c r="AA1078">
        <v>0.56000000000000005</v>
      </c>
      <c r="AC1078" s="3">
        <v>0.34</v>
      </c>
      <c r="AE1078" s="3">
        <v>0.31</v>
      </c>
      <c r="AI1078">
        <v>0.31</v>
      </c>
      <c r="AK1078" s="3"/>
      <c r="AV1078" t="s">
        <v>815</v>
      </c>
      <c r="AX1078" t="s">
        <v>815</v>
      </c>
      <c r="AZ1078" t="s">
        <v>815</v>
      </c>
      <c r="BB1078" t="s">
        <v>815</v>
      </c>
      <c r="BG1078">
        <v>1.1200000000000001</v>
      </c>
      <c r="BH1078">
        <v>1.25</v>
      </c>
      <c r="BI1078">
        <v>1.1200000000000001</v>
      </c>
      <c r="BJ1078">
        <v>1.25</v>
      </c>
      <c r="BK1078" s="4">
        <v>2923</v>
      </c>
      <c r="BL1078" s="4">
        <v>3289</v>
      </c>
      <c r="BM1078" s="4">
        <v>3654</v>
      </c>
      <c r="BN1078" s="4">
        <v>4019</v>
      </c>
      <c r="BR1078">
        <v>18</v>
      </c>
      <c r="BT1078">
        <v>12</v>
      </c>
      <c r="BU1078">
        <v>0</v>
      </c>
      <c r="BV1078">
        <v>0</v>
      </c>
      <c r="BX1078">
        <v>0.43</v>
      </c>
      <c r="BZ1078">
        <v>0.25</v>
      </c>
      <c r="CM1078">
        <v>1911</v>
      </c>
    </row>
    <row r="1079" spans="1:91" x14ac:dyDescent="0.3">
      <c r="A1079" t="s">
        <v>1814</v>
      </c>
      <c r="B1079">
        <v>43469</v>
      </c>
      <c r="D1079">
        <v>12</v>
      </c>
      <c r="I1079">
        <v>210000</v>
      </c>
      <c r="J1079" t="s">
        <v>800</v>
      </c>
      <c r="V1079" t="s">
        <v>350</v>
      </c>
      <c r="Y1079">
        <v>100</v>
      </c>
      <c r="AA1079">
        <v>74</v>
      </c>
      <c r="AC1079" s="3">
        <v>74</v>
      </c>
      <c r="AE1079" s="3">
        <v>74</v>
      </c>
      <c r="AI1079">
        <v>74</v>
      </c>
      <c r="AK1079" s="3"/>
      <c r="BG1079">
        <v>4.5</v>
      </c>
      <c r="BH1079">
        <v>4.5</v>
      </c>
      <c r="BI1079">
        <v>4.5</v>
      </c>
      <c r="BJ1079">
        <v>4.5</v>
      </c>
      <c r="BK1079" s="4">
        <v>3774</v>
      </c>
      <c r="BL1079" s="4">
        <v>3958</v>
      </c>
      <c r="BM1079" s="4">
        <v>4139</v>
      </c>
      <c r="BN1079" s="4">
        <v>4323</v>
      </c>
      <c r="BR1079">
        <v>1098</v>
      </c>
      <c r="BS1079" t="s">
        <v>1815</v>
      </c>
      <c r="BT1079">
        <v>6</v>
      </c>
      <c r="BU1079">
        <v>3</v>
      </c>
      <c r="BV1079">
        <v>9</v>
      </c>
      <c r="BX1079">
        <v>76.75</v>
      </c>
      <c r="BZ1079">
        <v>73</v>
      </c>
      <c r="CK1079" t="s">
        <v>360</v>
      </c>
      <c r="CM1079">
        <v>1911</v>
      </c>
    </row>
    <row r="1080" spans="1:91" x14ac:dyDescent="0.3">
      <c r="A1080" t="s">
        <v>1816</v>
      </c>
      <c r="B1080">
        <v>43472</v>
      </c>
      <c r="C1080" t="s">
        <v>1274</v>
      </c>
      <c r="D1080">
        <v>12</v>
      </c>
      <c r="I1080">
        <v>105450</v>
      </c>
      <c r="J1080" t="s">
        <v>800</v>
      </c>
      <c r="V1080" t="s">
        <v>350</v>
      </c>
      <c r="Y1080">
        <v>100</v>
      </c>
      <c r="AA1080">
        <v>38</v>
      </c>
      <c r="AC1080" s="3">
        <v>38</v>
      </c>
      <c r="AE1080" s="3">
        <v>36</v>
      </c>
      <c r="AI1080">
        <v>36</v>
      </c>
      <c r="AJ1080" t="s">
        <v>379</v>
      </c>
      <c r="AK1080" s="3"/>
      <c r="BG1080">
        <v>4.5</v>
      </c>
      <c r="BH1080">
        <v>4.5</v>
      </c>
      <c r="BI1080">
        <v>4.5</v>
      </c>
      <c r="BJ1080">
        <v>4.5</v>
      </c>
      <c r="BK1080" s="4">
        <v>3654</v>
      </c>
      <c r="BL1080" s="4">
        <v>3835</v>
      </c>
      <c r="BM1080" s="4">
        <v>4019</v>
      </c>
      <c r="BN1080" s="4">
        <v>4200</v>
      </c>
      <c r="BR1080">
        <v>1098</v>
      </c>
      <c r="BS1080" t="s">
        <v>1815</v>
      </c>
      <c r="BT1080">
        <v>12</v>
      </c>
      <c r="BU1080">
        <v>10</v>
      </c>
      <c r="BV1080">
        <v>0</v>
      </c>
      <c r="BX1080">
        <v>39</v>
      </c>
      <c r="BZ1080">
        <v>36.5</v>
      </c>
      <c r="CM1080">
        <v>1911</v>
      </c>
    </row>
    <row r="1081" spans="1:91" x14ac:dyDescent="0.3">
      <c r="A1081" t="s">
        <v>1817</v>
      </c>
      <c r="B1081">
        <v>43530</v>
      </c>
      <c r="D1081">
        <v>12</v>
      </c>
      <c r="I1081">
        <v>44870</v>
      </c>
      <c r="U1081">
        <v>5</v>
      </c>
      <c r="Y1081">
        <v>1</v>
      </c>
      <c r="AA1081">
        <v>1.18</v>
      </c>
      <c r="AC1081" s="3">
        <v>1.18</v>
      </c>
      <c r="AE1081" s="3">
        <v>1.18</v>
      </c>
      <c r="AI1081">
        <v>1.18</v>
      </c>
      <c r="AK1081" s="3"/>
      <c r="AX1081" t="s">
        <v>823</v>
      </c>
      <c r="BB1081" t="s">
        <v>823</v>
      </c>
      <c r="BG1081">
        <v>9</v>
      </c>
      <c r="BH1081">
        <v>8</v>
      </c>
      <c r="BI1081">
        <v>10</v>
      </c>
      <c r="BJ1081">
        <v>9</v>
      </c>
      <c r="BK1081" s="4">
        <v>3744</v>
      </c>
      <c r="BL1081" s="4">
        <v>3897</v>
      </c>
      <c r="BM1081" s="4">
        <v>4109</v>
      </c>
      <c r="BN1081" s="4">
        <v>4262</v>
      </c>
      <c r="BR1081">
        <v>61142</v>
      </c>
      <c r="BT1081">
        <v>6</v>
      </c>
      <c r="BU1081">
        <v>1</v>
      </c>
      <c r="BV1081">
        <v>6</v>
      </c>
      <c r="BX1081">
        <v>1.4</v>
      </c>
      <c r="BZ1081">
        <v>1.43</v>
      </c>
      <c r="CK1081" t="s">
        <v>454</v>
      </c>
      <c r="CM1081">
        <v>1911</v>
      </c>
    </row>
    <row r="1082" spans="1:91" x14ac:dyDescent="0.3">
      <c r="A1082" t="s">
        <v>1818</v>
      </c>
      <c r="B1082">
        <v>43591</v>
      </c>
      <c r="D1082">
        <v>12</v>
      </c>
      <c r="I1082">
        <v>324250</v>
      </c>
      <c r="U1082">
        <v>1</v>
      </c>
      <c r="Y1082">
        <v>1</v>
      </c>
      <c r="AA1082">
        <v>0.87</v>
      </c>
      <c r="AC1082" s="3">
        <v>0.93</v>
      </c>
      <c r="AE1082" s="3">
        <v>0.78</v>
      </c>
      <c r="AI1082">
        <v>0.78</v>
      </c>
      <c r="AK1082" s="3"/>
      <c r="AV1082" t="s">
        <v>385</v>
      </c>
      <c r="AW1082" t="s">
        <v>1465</v>
      </c>
      <c r="AX1082" t="s">
        <v>1466</v>
      </c>
      <c r="AY1082" t="s">
        <v>1819</v>
      </c>
      <c r="AZ1082" t="s">
        <v>1820</v>
      </c>
      <c r="BB1082" t="s">
        <v>810</v>
      </c>
      <c r="BD1082">
        <v>36</v>
      </c>
      <c r="BE1082">
        <v>5</v>
      </c>
      <c r="BL1082">
        <v>1906</v>
      </c>
      <c r="BM1082">
        <v>1907</v>
      </c>
      <c r="BS1082" t="s">
        <v>385</v>
      </c>
      <c r="BW1082" t="s">
        <v>802</v>
      </c>
      <c r="BX1082">
        <v>1.4</v>
      </c>
      <c r="BZ1082">
        <v>0.78</v>
      </c>
      <c r="CM1082">
        <v>1911</v>
      </c>
    </row>
    <row r="1083" spans="1:91" x14ac:dyDescent="0.3">
      <c r="A1083" t="s">
        <v>1821</v>
      </c>
      <c r="B1083">
        <v>43592</v>
      </c>
      <c r="D1083">
        <v>12</v>
      </c>
      <c r="I1083">
        <v>499000</v>
      </c>
      <c r="U1083">
        <v>1</v>
      </c>
      <c r="Y1083">
        <v>1</v>
      </c>
      <c r="AA1083">
        <v>0.06</v>
      </c>
      <c r="AC1083" s="3">
        <v>0.06</v>
      </c>
      <c r="AE1083" s="3"/>
      <c r="AI1083">
        <v>0.06</v>
      </c>
      <c r="AK1083" s="3"/>
      <c r="AV1083" t="s">
        <v>385</v>
      </c>
      <c r="AX1083" t="s">
        <v>815</v>
      </c>
      <c r="AZ1083" t="s">
        <v>823</v>
      </c>
      <c r="BB1083" t="s">
        <v>810</v>
      </c>
      <c r="BG1083">
        <v>10</v>
      </c>
      <c r="BI1083">
        <v>10</v>
      </c>
      <c r="BL1083" s="4">
        <v>2313</v>
      </c>
      <c r="BM1083" s="4">
        <v>2527</v>
      </c>
      <c r="BR1083">
        <v>277989</v>
      </c>
      <c r="BW1083" t="s">
        <v>802</v>
      </c>
      <c r="BX1083">
        <v>0.09</v>
      </c>
      <c r="BZ1083">
        <v>0.06</v>
      </c>
      <c r="CK1083" t="s">
        <v>360</v>
      </c>
      <c r="CM1083">
        <v>1911</v>
      </c>
    </row>
    <row r="1084" spans="1:91" x14ac:dyDescent="0.3">
      <c r="A1084" t="s">
        <v>1822</v>
      </c>
      <c r="B1084">
        <v>43594</v>
      </c>
      <c r="D1084">
        <v>12</v>
      </c>
      <c r="I1084" s="2">
        <v>2238400</v>
      </c>
      <c r="J1084" t="s">
        <v>800</v>
      </c>
      <c r="U1084">
        <v>100</v>
      </c>
      <c r="Y1084">
        <v>100</v>
      </c>
      <c r="AA1084">
        <v>101</v>
      </c>
      <c r="AC1084" s="3">
        <v>101.5</v>
      </c>
      <c r="AE1084" s="3">
        <v>100.62</v>
      </c>
      <c r="AI1084">
        <v>101.5</v>
      </c>
      <c r="AK1084" s="3"/>
      <c r="AV1084" t="s">
        <v>370</v>
      </c>
      <c r="AX1084" t="s">
        <v>370</v>
      </c>
      <c r="AZ1084" t="s">
        <v>370</v>
      </c>
      <c r="BB1084" t="s">
        <v>370</v>
      </c>
      <c r="BO1084" t="s">
        <v>367</v>
      </c>
      <c r="BS1084" t="s">
        <v>385</v>
      </c>
      <c r="BT1084">
        <v>4</v>
      </c>
      <c r="BU1084">
        <v>0</v>
      </c>
      <c r="BV1084">
        <v>6</v>
      </c>
      <c r="BX1084">
        <v>101.5</v>
      </c>
      <c r="BZ1084">
        <v>99.25</v>
      </c>
      <c r="CK1084" t="s">
        <v>360</v>
      </c>
      <c r="CM1084">
        <v>1911</v>
      </c>
    </row>
    <row r="1085" spans="1:91" x14ac:dyDescent="0.3">
      <c r="A1085" t="s">
        <v>1823</v>
      </c>
      <c r="B1085">
        <v>43623</v>
      </c>
      <c r="D1085">
        <v>12</v>
      </c>
      <c r="I1085">
        <v>19900</v>
      </c>
      <c r="U1085">
        <v>5</v>
      </c>
      <c r="Y1085">
        <v>5</v>
      </c>
      <c r="AA1085">
        <v>4.25</v>
      </c>
      <c r="AC1085" s="3">
        <v>4.25</v>
      </c>
      <c r="AE1085" s="3">
        <v>4.25</v>
      </c>
      <c r="AI1085">
        <v>4.25</v>
      </c>
      <c r="AK1085" s="3"/>
      <c r="BG1085">
        <v>6</v>
      </c>
      <c r="BH1085">
        <v>6</v>
      </c>
      <c r="BI1085">
        <v>6</v>
      </c>
      <c r="BJ1085">
        <v>6</v>
      </c>
      <c r="BK1085" s="4">
        <v>3654</v>
      </c>
      <c r="BL1085" s="4">
        <v>3835</v>
      </c>
      <c r="BM1085" s="4">
        <v>4019</v>
      </c>
      <c r="BN1085" s="4">
        <v>4200</v>
      </c>
      <c r="BR1085">
        <v>75948</v>
      </c>
      <c r="BT1085">
        <v>7</v>
      </c>
      <c r="BU1085">
        <v>1</v>
      </c>
      <c r="BV1085">
        <v>3</v>
      </c>
      <c r="BX1085">
        <v>4.37</v>
      </c>
      <c r="BZ1085">
        <v>2.87</v>
      </c>
      <c r="CK1085" t="s">
        <v>360</v>
      </c>
      <c r="CM1085">
        <v>1911</v>
      </c>
    </row>
    <row r="1086" spans="1:91" x14ac:dyDescent="0.3">
      <c r="A1086" t="s">
        <v>1824</v>
      </c>
      <c r="B1086">
        <v>43746</v>
      </c>
      <c r="D1086">
        <v>12</v>
      </c>
      <c r="I1086">
        <v>750000</v>
      </c>
      <c r="U1086">
        <v>1</v>
      </c>
      <c r="Y1086">
        <v>1</v>
      </c>
      <c r="AA1086">
        <v>0.68</v>
      </c>
      <c r="AC1086" s="3">
        <v>0.25</v>
      </c>
      <c r="AE1086" s="3">
        <v>0.65</v>
      </c>
      <c r="AI1086">
        <v>0.68</v>
      </c>
      <c r="AK1086" s="3"/>
      <c r="AV1086" t="s">
        <v>815</v>
      </c>
      <c r="AX1086" t="s">
        <v>815</v>
      </c>
      <c r="AZ1086" t="s">
        <v>815</v>
      </c>
      <c r="BB1086" t="s">
        <v>815</v>
      </c>
      <c r="BG1086">
        <v>5</v>
      </c>
      <c r="BH1086">
        <v>5</v>
      </c>
      <c r="BI1086">
        <v>7.5</v>
      </c>
      <c r="BJ1086">
        <v>5</v>
      </c>
      <c r="BK1086" s="4">
        <v>2589</v>
      </c>
      <c r="BL1086" s="4">
        <v>3348</v>
      </c>
      <c r="BM1086" s="4">
        <v>3685</v>
      </c>
      <c r="BN1086" s="4">
        <v>4050</v>
      </c>
      <c r="BR1086">
        <v>23895</v>
      </c>
      <c r="BT1086">
        <v>7</v>
      </c>
      <c r="BU1086">
        <v>5</v>
      </c>
      <c r="BV1086">
        <v>9</v>
      </c>
      <c r="BX1086">
        <v>0.93</v>
      </c>
      <c r="BZ1086">
        <v>0.18</v>
      </c>
      <c r="CK1086" t="s">
        <v>360</v>
      </c>
      <c r="CM1086">
        <v>1911</v>
      </c>
    </row>
    <row r="1087" spans="1:91" x14ac:dyDescent="0.3">
      <c r="A1087" t="s">
        <v>1825</v>
      </c>
      <c r="B1087">
        <v>43870</v>
      </c>
      <c r="D1087">
        <v>12</v>
      </c>
      <c r="I1087">
        <v>750000</v>
      </c>
      <c r="U1087">
        <v>1</v>
      </c>
      <c r="Y1087">
        <v>1</v>
      </c>
      <c r="AA1087">
        <v>3.06</v>
      </c>
      <c r="AC1087" s="3">
        <v>3.56</v>
      </c>
      <c r="AE1087" s="3">
        <v>3.03</v>
      </c>
      <c r="AI1087">
        <v>3.12</v>
      </c>
      <c r="AK1087" s="3"/>
      <c r="AV1087" t="s">
        <v>815</v>
      </c>
      <c r="AX1087" t="s">
        <v>815</v>
      </c>
      <c r="AZ1087" t="s">
        <v>815</v>
      </c>
      <c r="BB1087" t="s">
        <v>815</v>
      </c>
      <c r="BG1087">
        <v>9</v>
      </c>
      <c r="BH1087">
        <v>9</v>
      </c>
      <c r="BI1087">
        <v>16.5</v>
      </c>
      <c r="BJ1087">
        <v>24</v>
      </c>
      <c r="BK1087" t="s">
        <v>1224</v>
      </c>
      <c r="BL1087" t="s">
        <v>1225</v>
      </c>
      <c r="BM1087" t="s">
        <v>913</v>
      </c>
      <c r="BN1087" t="s">
        <v>1226</v>
      </c>
      <c r="BR1087">
        <v>201523</v>
      </c>
      <c r="BS1087" t="s">
        <v>1826</v>
      </c>
      <c r="BT1087">
        <v>7</v>
      </c>
      <c r="BU1087">
        <v>13</v>
      </c>
      <c r="BV1087">
        <v>9</v>
      </c>
      <c r="BX1087">
        <v>3.5</v>
      </c>
      <c r="BZ1087">
        <v>2.68</v>
      </c>
      <c r="CM1087">
        <v>1911</v>
      </c>
    </row>
    <row r="1088" spans="1:91" x14ac:dyDescent="0.3">
      <c r="A1088" t="s">
        <v>1825</v>
      </c>
      <c r="B1088">
        <v>43869</v>
      </c>
      <c r="C1088" t="s">
        <v>1827</v>
      </c>
      <c r="D1088">
        <v>12</v>
      </c>
      <c r="I1088">
        <v>750000</v>
      </c>
      <c r="U1088">
        <v>1</v>
      </c>
      <c r="Y1088">
        <v>1</v>
      </c>
      <c r="AA1088">
        <v>1.81</v>
      </c>
      <c r="AC1088" s="3">
        <v>1.96</v>
      </c>
      <c r="AE1088" s="3">
        <v>1.93</v>
      </c>
      <c r="AI1088">
        <v>1.96</v>
      </c>
      <c r="AK1088" s="3"/>
      <c r="AV1088" t="s">
        <v>815</v>
      </c>
      <c r="AX1088" t="s">
        <v>815</v>
      </c>
      <c r="AZ1088" t="s">
        <v>815</v>
      </c>
      <c r="BB1088" t="s">
        <v>815</v>
      </c>
      <c r="BK1088" t="s">
        <v>1224</v>
      </c>
      <c r="BL1088" t="s">
        <v>1225</v>
      </c>
      <c r="BM1088" t="s">
        <v>913</v>
      </c>
      <c r="BN1088" t="s">
        <v>1226</v>
      </c>
      <c r="BR1088">
        <v>201523</v>
      </c>
      <c r="BS1088" t="s">
        <v>1826</v>
      </c>
      <c r="BT1088">
        <v>7</v>
      </c>
      <c r="BU1088">
        <v>2</v>
      </c>
      <c r="BV1088">
        <v>3</v>
      </c>
      <c r="BX1088">
        <v>2.1800000000000002</v>
      </c>
      <c r="BZ1088">
        <v>1.81</v>
      </c>
      <c r="CM1088">
        <v>1911</v>
      </c>
    </row>
    <row r="1089" spans="1:91" x14ac:dyDescent="0.3">
      <c r="A1089" t="s">
        <v>1825</v>
      </c>
      <c r="B1089">
        <v>43871</v>
      </c>
      <c r="C1089" t="s">
        <v>1828</v>
      </c>
      <c r="D1089">
        <v>12</v>
      </c>
      <c r="I1089">
        <v>415860</v>
      </c>
      <c r="J1089" t="s">
        <v>800</v>
      </c>
      <c r="V1089" t="s">
        <v>385</v>
      </c>
      <c r="Z1089" t="s">
        <v>385</v>
      </c>
      <c r="AA1089">
        <v>102</v>
      </c>
      <c r="AC1089" s="3">
        <v>102.5</v>
      </c>
      <c r="AE1089" s="3">
        <v>101.37</v>
      </c>
      <c r="AI1089">
        <v>102</v>
      </c>
      <c r="AK1089" s="3"/>
      <c r="AV1089" t="s">
        <v>370</v>
      </c>
      <c r="AX1089" t="s">
        <v>370</v>
      </c>
      <c r="AZ1089" t="s">
        <v>370</v>
      </c>
      <c r="BB1089" t="s">
        <v>370</v>
      </c>
      <c r="BO1089" t="s">
        <v>367</v>
      </c>
      <c r="BR1089">
        <v>201523</v>
      </c>
      <c r="BS1089" t="s">
        <v>1826</v>
      </c>
      <c r="BT1089">
        <v>4</v>
      </c>
      <c r="BU1089">
        <v>19</v>
      </c>
      <c r="BV1089">
        <v>9</v>
      </c>
      <c r="BX1089">
        <v>104.5</v>
      </c>
      <c r="BZ1089">
        <v>100.25</v>
      </c>
      <c r="CM1089">
        <v>1911</v>
      </c>
    </row>
    <row r="1090" spans="1:91" x14ac:dyDescent="0.3">
      <c r="A1090" t="s">
        <v>1829</v>
      </c>
      <c r="B1090">
        <v>43924</v>
      </c>
      <c r="D1090">
        <v>12</v>
      </c>
      <c r="I1090">
        <v>11000</v>
      </c>
      <c r="U1090">
        <v>10</v>
      </c>
      <c r="Y1090">
        <v>10</v>
      </c>
      <c r="AA1090">
        <v>5.75</v>
      </c>
      <c r="AC1090" s="3">
        <v>5.75</v>
      </c>
      <c r="AE1090" s="3">
        <v>5.75</v>
      </c>
      <c r="AI1090">
        <v>5.75</v>
      </c>
      <c r="AK1090" s="3"/>
      <c r="AX1090" t="s">
        <v>823</v>
      </c>
      <c r="BB1090" t="s">
        <v>823</v>
      </c>
      <c r="BG1090">
        <v>5</v>
      </c>
      <c r="BH1090">
        <v>5</v>
      </c>
      <c r="BI1090">
        <v>4</v>
      </c>
      <c r="BJ1090">
        <v>4</v>
      </c>
      <c r="BK1090" s="4">
        <v>3685</v>
      </c>
      <c r="BL1090" s="4">
        <v>3866</v>
      </c>
      <c r="BM1090" s="4">
        <v>4050</v>
      </c>
      <c r="BN1090" s="4">
        <v>4231</v>
      </c>
      <c r="BR1090">
        <v>18667</v>
      </c>
      <c r="BS1090" t="s">
        <v>1830</v>
      </c>
      <c r="BT1090">
        <v>6</v>
      </c>
      <c r="BU1090">
        <v>19</v>
      </c>
      <c r="BV1090">
        <v>3</v>
      </c>
      <c r="BX1090">
        <v>6.75</v>
      </c>
      <c r="BZ1090">
        <v>5.75</v>
      </c>
      <c r="CK1090" t="s">
        <v>360</v>
      </c>
      <c r="CM1090">
        <v>1911</v>
      </c>
    </row>
    <row r="1091" spans="1:91" x14ac:dyDescent="0.3">
      <c r="A1091" t="s">
        <v>1831</v>
      </c>
      <c r="B1091">
        <v>43922</v>
      </c>
      <c r="D1091">
        <v>12</v>
      </c>
      <c r="I1091">
        <v>6000</v>
      </c>
      <c r="U1091">
        <v>10</v>
      </c>
      <c r="Y1091">
        <v>10</v>
      </c>
      <c r="AA1091">
        <v>7</v>
      </c>
      <c r="AC1091" s="3">
        <v>7</v>
      </c>
      <c r="AE1091" s="3">
        <v>7</v>
      </c>
      <c r="AI1091">
        <v>7</v>
      </c>
      <c r="AK1091" s="3"/>
      <c r="AV1091" t="s">
        <v>366</v>
      </c>
      <c r="AX1091" t="s">
        <v>366</v>
      </c>
      <c r="AZ1091" t="s">
        <v>366</v>
      </c>
      <c r="BB1091" t="s">
        <v>366</v>
      </c>
      <c r="BO1091" t="s">
        <v>367</v>
      </c>
      <c r="BR1091">
        <v>18667</v>
      </c>
      <c r="BS1091" t="s">
        <v>1830</v>
      </c>
      <c r="BT1091">
        <v>7</v>
      </c>
      <c r="BU1091">
        <v>2</v>
      </c>
      <c r="BV1091">
        <v>9</v>
      </c>
      <c r="BX1091">
        <v>7.25</v>
      </c>
      <c r="BZ1091">
        <v>7</v>
      </c>
      <c r="CM1091">
        <v>1911</v>
      </c>
    </row>
    <row r="1092" spans="1:91" x14ac:dyDescent="0.3">
      <c r="A1092" t="s">
        <v>1831</v>
      </c>
      <c r="B1092">
        <v>43923</v>
      </c>
      <c r="C1092" t="s">
        <v>1832</v>
      </c>
      <c r="D1092">
        <v>12</v>
      </c>
      <c r="I1092">
        <v>150000</v>
      </c>
      <c r="J1092" t="s">
        <v>800</v>
      </c>
      <c r="V1092" t="s">
        <v>350</v>
      </c>
      <c r="Y1092">
        <v>100</v>
      </c>
      <c r="AA1092">
        <v>93</v>
      </c>
      <c r="AC1092" s="3">
        <v>83</v>
      </c>
      <c r="AE1092" s="3">
        <v>83</v>
      </c>
      <c r="AI1092">
        <v>83</v>
      </c>
      <c r="AK1092" s="3"/>
      <c r="AV1092" t="s">
        <v>366</v>
      </c>
      <c r="AX1092" t="s">
        <v>366</v>
      </c>
      <c r="AZ1092" t="s">
        <v>366</v>
      </c>
      <c r="BB1092" t="s">
        <v>366</v>
      </c>
      <c r="BO1092" t="s">
        <v>367</v>
      </c>
      <c r="BR1092">
        <v>18667</v>
      </c>
      <c r="BS1092" t="s">
        <v>1830</v>
      </c>
      <c r="BT1092">
        <v>4</v>
      </c>
      <c r="BU1092">
        <v>17</v>
      </c>
      <c r="BV1092">
        <v>3</v>
      </c>
      <c r="BX1092">
        <v>87.5</v>
      </c>
      <c r="BZ1092">
        <v>83</v>
      </c>
      <c r="CM1092">
        <v>1911</v>
      </c>
    </row>
    <row r="1093" spans="1:91" x14ac:dyDescent="0.3">
      <c r="A1093" t="s">
        <v>1833</v>
      </c>
      <c r="B1093">
        <v>44701</v>
      </c>
      <c r="D1093">
        <v>12</v>
      </c>
      <c r="I1093">
        <v>669050</v>
      </c>
      <c r="J1093" t="s">
        <v>800</v>
      </c>
      <c r="V1093" t="s">
        <v>350</v>
      </c>
      <c r="Y1093">
        <v>100</v>
      </c>
      <c r="AA1093">
        <v>41.5</v>
      </c>
      <c r="AC1093" s="3">
        <v>42.5</v>
      </c>
      <c r="AE1093" s="3">
        <v>37.75</v>
      </c>
      <c r="AI1093">
        <v>38.5</v>
      </c>
      <c r="AK1093" s="3"/>
      <c r="AX1093" t="s">
        <v>823</v>
      </c>
      <c r="BB1093" t="s">
        <v>823</v>
      </c>
      <c r="BG1093">
        <v>3.5</v>
      </c>
      <c r="BH1093">
        <v>3</v>
      </c>
      <c r="BI1093">
        <v>3</v>
      </c>
      <c r="BJ1093">
        <v>3</v>
      </c>
      <c r="BK1093" s="4">
        <v>3774</v>
      </c>
      <c r="BL1093" s="4">
        <v>3927</v>
      </c>
      <c r="BM1093" s="4">
        <v>4139</v>
      </c>
      <c r="BN1093" s="4">
        <v>4292</v>
      </c>
      <c r="BR1093">
        <v>42109</v>
      </c>
      <c r="BT1093">
        <v>7</v>
      </c>
      <c r="BU1093">
        <v>15</v>
      </c>
      <c r="BV1093">
        <v>9</v>
      </c>
      <c r="BX1093">
        <v>42.5</v>
      </c>
      <c r="BZ1093">
        <v>34</v>
      </c>
      <c r="CK1093" t="s">
        <v>360</v>
      </c>
      <c r="CM1093">
        <v>1911</v>
      </c>
    </row>
    <row r="1094" spans="1:91" x14ac:dyDescent="0.3">
      <c r="A1094" t="s">
        <v>1834</v>
      </c>
      <c r="B1094">
        <v>44404</v>
      </c>
      <c r="D1094">
        <v>12</v>
      </c>
      <c r="I1094">
        <v>100000</v>
      </c>
      <c r="U1094">
        <v>10</v>
      </c>
      <c r="Y1094">
        <v>10</v>
      </c>
      <c r="AA1094">
        <v>103.5</v>
      </c>
      <c r="AC1094" s="3">
        <v>104.5</v>
      </c>
      <c r="AE1094" s="3">
        <v>99.62</v>
      </c>
      <c r="AI1094">
        <v>103.5</v>
      </c>
      <c r="AK1094" s="3"/>
      <c r="AU1094" t="s">
        <v>1835</v>
      </c>
      <c r="AV1094" t="s">
        <v>1836</v>
      </c>
      <c r="AW1094" t="s">
        <v>1837</v>
      </c>
      <c r="AX1094" t="s">
        <v>1838</v>
      </c>
      <c r="AY1094" t="s">
        <v>1592</v>
      </c>
      <c r="AZ1094" t="s">
        <v>1593</v>
      </c>
      <c r="BA1094" t="s">
        <v>1837</v>
      </c>
      <c r="BB1094" t="s">
        <v>1838</v>
      </c>
      <c r="BC1094">
        <v>780</v>
      </c>
      <c r="BD1094">
        <v>240</v>
      </c>
      <c r="BE1094">
        <v>720</v>
      </c>
      <c r="BF1094">
        <v>240</v>
      </c>
      <c r="BK1094" s="4">
        <v>3835</v>
      </c>
      <c r="BL1094" s="4">
        <v>4019</v>
      </c>
      <c r="BM1094" s="4">
        <v>4200</v>
      </c>
      <c r="BN1094" s="4">
        <v>4384</v>
      </c>
      <c r="BR1094">
        <v>191887</v>
      </c>
      <c r="BT1094">
        <v>3</v>
      </c>
      <c r="BU1094">
        <v>17</v>
      </c>
      <c r="BV1094">
        <v>3</v>
      </c>
      <c r="BX1094">
        <v>118.87</v>
      </c>
      <c r="BZ1094">
        <v>98</v>
      </c>
      <c r="CK1094" t="s">
        <v>360</v>
      </c>
      <c r="CM1094">
        <v>1911</v>
      </c>
    </row>
    <row r="1095" spans="1:91" x14ac:dyDescent="0.3">
      <c r="A1095" t="s">
        <v>1839</v>
      </c>
      <c r="B1095">
        <v>44785</v>
      </c>
      <c r="D1095">
        <v>12</v>
      </c>
      <c r="I1095">
        <v>224000</v>
      </c>
      <c r="U1095">
        <v>3</v>
      </c>
      <c r="Y1095">
        <v>3</v>
      </c>
      <c r="AA1095">
        <v>2.56</v>
      </c>
      <c r="AB1095" t="s">
        <v>379</v>
      </c>
      <c r="AC1095" s="3">
        <v>2.62</v>
      </c>
      <c r="AE1095" s="3">
        <v>2.5</v>
      </c>
      <c r="AI1095">
        <v>2.62</v>
      </c>
      <c r="AK1095" s="3"/>
      <c r="AV1095" t="s">
        <v>815</v>
      </c>
      <c r="AX1095" t="s">
        <v>823</v>
      </c>
      <c r="BB1095" t="s">
        <v>823</v>
      </c>
      <c r="BG1095">
        <v>5.83</v>
      </c>
      <c r="BH1095">
        <v>5</v>
      </c>
      <c r="BI1095">
        <v>6.66</v>
      </c>
      <c r="BJ1095">
        <v>5</v>
      </c>
      <c r="BK1095" s="4">
        <v>40299</v>
      </c>
      <c r="BL1095" s="4">
        <v>3958</v>
      </c>
      <c r="BM1095" s="4">
        <v>4139</v>
      </c>
      <c r="BN1095" s="4">
        <v>4323</v>
      </c>
      <c r="BR1095">
        <v>38488</v>
      </c>
      <c r="BT1095">
        <v>6</v>
      </c>
      <c r="BU1095">
        <v>9</v>
      </c>
      <c r="BV1095">
        <v>6</v>
      </c>
      <c r="BX1095">
        <v>3.25</v>
      </c>
      <c r="BZ1095">
        <v>2.37</v>
      </c>
      <c r="CK1095" t="s">
        <v>360</v>
      </c>
      <c r="CM1095">
        <v>1911</v>
      </c>
    </row>
    <row r="1096" spans="1:91" x14ac:dyDescent="0.3">
      <c r="A1096" t="s">
        <v>1840</v>
      </c>
      <c r="B1096">
        <v>44802</v>
      </c>
      <c r="D1096">
        <v>12</v>
      </c>
      <c r="I1096">
        <v>149850</v>
      </c>
      <c r="J1096" t="s">
        <v>800</v>
      </c>
      <c r="V1096" t="s">
        <v>350</v>
      </c>
      <c r="Y1096">
        <v>100</v>
      </c>
      <c r="AA1096">
        <v>112</v>
      </c>
      <c r="AC1096" s="3">
        <v>113</v>
      </c>
      <c r="AE1096" s="3">
        <v>110</v>
      </c>
      <c r="AI1096">
        <v>110</v>
      </c>
      <c r="AJ1096" t="s">
        <v>379</v>
      </c>
      <c r="AK1096" s="3"/>
      <c r="AV1096" t="s">
        <v>823</v>
      </c>
      <c r="AZ1096" t="s">
        <v>823</v>
      </c>
      <c r="BG1096">
        <v>5</v>
      </c>
      <c r="BH1096">
        <v>7</v>
      </c>
      <c r="BI1096">
        <v>5</v>
      </c>
      <c r="BJ1096">
        <v>7</v>
      </c>
      <c r="BK1096" s="4">
        <v>3654</v>
      </c>
      <c r="BL1096" s="4">
        <v>3835</v>
      </c>
      <c r="BM1096" s="4">
        <v>4019</v>
      </c>
      <c r="BN1096" s="4">
        <v>4200</v>
      </c>
      <c r="BR1096">
        <v>4278</v>
      </c>
      <c r="BT1096">
        <v>5</v>
      </c>
      <c r="BU1096">
        <v>9</v>
      </c>
      <c r="BV1096">
        <v>0</v>
      </c>
      <c r="BX1096">
        <v>115</v>
      </c>
      <c r="BZ1096">
        <v>106.5</v>
      </c>
      <c r="CK1096" t="s">
        <v>360</v>
      </c>
      <c r="CM1096">
        <v>1911</v>
      </c>
    </row>
    <row r="1097" spans="1:91" x14ac:dyDescent="0.3">
      <c r="A1097" t="s">
        <v>1841</v>
      </c>
      <c r="B1097">
        <v>44835</v>
      </c>
      <c r="D1097">
        <v>12</v>
      </c>
      <c r="I1097">
        <v>185643</v>
      </c>
      <c r="J1097" t="s">
        <v>800</v>
      </c>
      <c r="V1097" t="s">
        <v>350</v>
      </c>
      <c r="Y1097">
        <v>100</v>
      </c>
      <c r="AA1097">
        <v>68</v>
      </c>
      <c r="AC1097" s="3">
        <v>68</v>
      </c>
      <c r="AE1097" s="3">
        <v>68</v>
      </c>
      <c r="AI1097">
        <v>68</v>
      </c>
      <c r="AK1097" s="3"/>
      <c r="AV1097" t="s">
        <v>370</v>
      </c>
      <c r="AX1097" t="s">
        <v>370</v>
      </c>
      <c r="AZ1097" t="s">
        <v>370</v>
      </c>
      <c r="BB1097" t="s">
        <v>370</v>
      </c>
      <c r="BO1097" t="s">
        <v>367</v>
      </c>
      <c r="BS1097" t="s">
        <v>385</v>
      </c>
      <c r="BT1097">
        <v>6</v>
      </c>
      <c r="BU1097">
        <v>0</v>
      </c>
      <c r="BV1097">
        <v>3</v>
      </c>
      <c r="BX1097">
        <v>71</v>
      </c>
      <c r="BZ1097">
        <v>67</v>
      </c>
      <c r="CK1097" t="s">
        <v>360</v>
      </c>
      <c r="CM1097">
        <v>1911</v>
      </c>
    </row>
    <row r="1098" spans="1:91" x14ac:dyDescent="0.3">
      <c r="A1098" t="s">
        <v>1841</v>
      </c>
      <c r="B1098">
        <v>44836</v>
      </c>
      <c r="C1098" t="s">
        <v>1842</v>
      </c>
      <c r="D1098">
        <v>12</v>
      </c>
      <c r="I1098">
        <v>134129</v>
      </c>
      <c r="J1098" t="s">
        <v>800</v>
      </c>
      <c r="V1098" t="s">
        <v>350</v>
      </c>
      <c r="Y1098">
        <v>100</v>
      </c>
      <c r="AA1098">
        <v>62</v>
      </c>
      <c r="AC1098" s="3">
        <v>62</v>
      </c>
      <c r="AE1098" s="3">
        <v>62</v>
      </c>
      <c r="AI1098">
        <v>62</v>
      </c>
      <c r="AK1098" s="3"/>
      <c r="AV1098" t="s">
        <v>370</v>
      </c>
      <c r="AX1098" t="s">
        <v>370</v>
      </c>
      <c r="AZ1098" t="s">
        <v>370</v>
      </c>
      <c r="BB1098" t="s">
        <v>370</v>
      </c>
      <c r="BO1098" t="s">
        <v>367</v>
      </c>
      <c r="BS1098" t="s">
        <v>385</v>
      </c>
      <c r="BT1098">
        <v>8</v>
      </c>
      <c r="BU1098">
        <v>2</v>
      </c>
      <c r="BV1098">
        <v>3</v>
      </c>
      <c r="BX1098">
        <v>66</v>
      </c>
      <c r="BZ1098">
        <v>62</v>
      </c>
      <c r="CM1098">
        <v>1911</v>
      </c>
    </row>
    <row r="1099" spans="1:91" x14ac:dyDescent="0.3">
      <c r="A1099" t="s">
        <v>1843</v>
      </c>
      <c r="B1099">
        <v>44951</v>
      </c>
      <c r="D1099">
        <v>12</v>
      </c>
      <c r="I1099">
        <v>187500</v>
      </c>
      <c r="U1099">
        <v>1</v>
      </c>
      <c r="Y1099">
        <v>1</v>
      </c>
      <c r="AA1099">
        <v>1.1200000000000001</v>
      </c>
      <c r="AC1099" s="3">
        <v>1.1200000000000001</v>
      </c>
      <c r="AE1099" s="3">
        <v>1.1200000000000001</v>
      </c>
      <c r="AI1099">
        <v>1.1200000000000001</v>
      </c>
      <c r="AK1099" s="3"/>
      <c r="AV1099" t="s">
        <v>823</v>
      </c>
      <c r="AZ1099" t="s">
        <v>823</v>
      </c>
      <c r="BG1099">
        <v>5</v>
      </c>
      <c r="BH1099">
        <v>10</v>
      </c>
      <c r="BI1099">
        <v>5</v>
      </c>
      <c r="BJ1099">
        <v>10</v>
      </c>
      <c r="BK1099" s="4">
        <v>3744</v>
      </c>
      <c r="BL1099" s="4">
        <v>3927</v>
      </c>
      <c r="BM1099" s="4">
        <v>4109</v>
      </c>
      <c r="BN1099" s="4">
        <v>4292</v>
      </c>
      <c r="BR1099">
        <v>15985</v>
      </c>
      <c r="BT1099">
        <v>6</v>
      </c>
      <c r="BU1099">
        <v>13</v>
      </c>
      <c r="BV1099">
        <v>3</v>
      </c>
      <c r="BX1099">
        <v>1.31</v>
      </c>
      <c r="BZ1099">
        <v>1.1200000000000001</v>
      </c>
      <c r="CK1099" t="s">
        <v>360</v>
      </c>
      <c r="CM1099">
        <v>1911</v>
      </c>
    </row>
    <row r="1100" spans="1:91" x14ac:dyDescent="0.3">
      <c r="A1100" t="s">
        <v>1844</v>
      </c>
      <c r="B1100">
        <v>44981</v>
      </c>
      <c r="D1100">
        <v>12</v>
      </c>
      <c r="I1100">
        <v>200000</v>
      </c>
      <c r="J1100" t="s">
        <v>800</v>
      </c>
      <c r="V1100" t="s">
        <v>350</v>
      </c>
      <c r="Y1100">
        <v>100</v>
      </c>
      <c r="AA1100">
        <v>185</v>
      </c>
      <c r="AC1100" s="3">
        <v>186.25</v>
      </c>
      <c r="AE1100" s="3">
        <v>180.25</v>
      </c>
      <c r="AI1100">
        <v>190.25</v>
      </c>
      <c r="AK1100" s="3"/>
      <c r="AV1100" t="s">
        <v>823</v>
      </c>
      <c r="AZ1100" t="s">
        <v>823</v>
      </c>
      <c r="BG1100">
        <v>8</v>
      </c>
      <c r="BH1100">
        <v>8</v>
      </c>
      <c r="BI1100">
        <v>8</v>
      </c>
      <c r="BJ1100">
        <v>10</v>
      </c>
      <c r="BK1100" s="4">
        <v>3774</v>
      </c>
      <c r="BL1100" s="4">
        <v>3988</v>
      </c>
      <c r="BM1100" s="4">
        <v>4139</v>
      </c>
      <c r="BN1100" s="4">
        <v>4353</v>
      </c>
      <c r="BR1100">
        <v>172304</v>
      </c>
      <c r="BS1100" t="s">
        <v>1845</v>
      </c>
      <c r="BT1100">
        <v>4</v>
      </c>
      <c r="BU1100">
        <v>19</v>
      </c>
      <c r="BV1100">
        <v>9</v>
      </c>
      <c r="BX1100">
        <v>186.25</v>
      </c>
      <c r="BZ1100">
        <v>160</v>
      </c>
      <c r="CK1100" t="s">
        <v>454</v>
      </c>
      <c r="CM1100">
        <v>1911</v>
      </c>
    </row>
    <row r="1101" spans="1:91" x14ac:dyDescent="0.3">
      <c r="A1101" t="s">
        <v>1844</v>
      </c>
      <c r="B1101">
        <v>44984</v>
      </c>
      <c r="C1101" t="s">
        <v>1846</v>
      </c>
      <c r="D1101">
        <v>12</v>
      </c>
      <c r="I1101">
        <v>300000</v>
      </c>
      <c r="J1101" t="s">
        <v>800</v>
      </c>
      <c r="V1101" t="s">
        <v>350</v>
      </c>
      <c r="Y1101">
        <v>100</v>
      </c>
      <c r="AA1101">
        <v>112.25</v>
      </c>
      <c r="AC1101" s="3">
        <v>112.25</v>
      </c>
      <c r="AE1101" s="3">
        <v>108.75</v>
      </c>
      <c r="AI1101">
        <v>108.75</v>
      </c>
      <c r="AK1101" s="3"/>
      <c r="BG1101">
        <v>5</v>
      </c>
      <c r="BH1101">
        <v>5</v>
      </c>
      <c r="BI1101">
        <v>5</v>
      </c>
      <c r="BJ1101">
        <v>5</v>
      </c>
      <c r="BK1101" s="4">
        <v>3774</v>
      </c>
      <c r="BL1101" s="4">
        <v>3988</v>
      </c>
      <c r="BM1101" s="4">
        <v>4139</v>
      </c>
      <c r="BN1101" s="4">
        <v>4353</v>
      </c>
      <c r="BR1101">
        <v>172304</v>
      </c>
      <c r="BS1101" t="s">
        <v>1845</v>
      </c>
      <c r="BT1101">
        <v>4</v>
      </c>
      <c r="BU1101">
        <v>12</v>
      </c>
      <c r="BV1101">
        <v>0</v>
      </c>
      <c r="BX1101">
        <v>113</v>
      </c>
      <c r="BZ1101">
        <v>108</v>
      </c>
      <c r="CM1101">
        <v>1911</v>
      </c>
    </row>
    <row r="1102" spans="1:91" x14ac:dyDescent="0.3">
      <c r="A1102" t="s">
        <v>1844</v>
      </c>
      <c r="B1102">
        <v>44985</v>
      </c>
      <c r="C1102" t="s">
        <v>922</v>
      </c>
      <c r="D1102">
        <v>12</v>
      </c>
      <c r="I1102">
        <v>327440</v>
      </c>
      <c r="V1102" t="s">
        <v>350</v>
      </c>
      <c r="Y1102">
        <v>100</v>
      </c>
      <c r="AA1102">
        <v>98.5</v>
      </c>
      <c r="AC1102" s="3"/>
      <c r="AE1102" s="3">
        <v>98.5</v>
      </c>
      <c r="AI1102">
        <v>99</v>
      </c>
      <c r="AK1102" s="3"/>
      <c r="AV1102" t="s">
        <v>366</v>
      </c>
      <c r="AX1102" t="s">
        <v>366</v>
      </c>
      <c r="AZ1102" t="s">
        <v>366</v>
      </c>
      <c r="BB1102" t="s">
        <v>366</v>
      </c>
      <c r="BO1102" t="s">
        <v>367</v>
      </c>
      <c r="BR1102">
        <v>172304</v>
      </c>
      <c r="BS1102" t="s">
        <v>1845</v>
      </c>
      <c r="BT1102">
        <v>4</v>
      </c>
      <c r="BU1102">
        <v>0</v>
      </c>
      <c r="BV1102">
        <v>9</v>
      </c>
      <c r="BX1102">
        <v>100.5</v>
      </c>
      <c r="BZ1102">
        <v>97.5</v>
      </c>
      <c r="CM1102">
        <v>1911</v>
      </c>
    </row>
    <row r="1103" spans="1:91" x14ac:dyDescent="0.3">
      <c r="A1103" t="s">
        <v>1847</v>
      </c>
      <c r="B1103">
        <v>44994</v>
      </c>
      <c r="D1103">
        <v>12</v>
      </c>
      <c r="I1103">
        <v>124650</v>
      </c>
      <c r="U1103">
        <v>25</v>
      </c>
      <c r="Y1103">
        <v>25</v>
      </c>
      <c r="AA1103">
        <v>23</v>
      </c>
      <c r="AC1103" s="3"/>
      <c r="AE1103" s="3">
        <v>22</v>
      </c>
      <c r="AI1103">
        <v>22.75</v>
      </c>
      <c r="AK1103" s="3"/>
      <c r="BG1103">
        <v>5</v>
      </c>
      <c r="BH1103">
        <v>6</v>
      </c>
      <c r="BI1103">
        <v>5</v>
      </c>
      <c r="BJ1103">
        <v>6</v>
      </c>
      <c r="BK1103" s="4">
        <v>3470</v>
      </c>
      <c r="BL1103" s="4">
        <v>3654</v>
      </c>
      <c r="BM1103" s="4">
        <v>3835</v>
      </c>
      <c r="BN1103" s="4">
        <v>4019</v>
      </c>
      <c r="BR1103">
        <v>21541</v>
      </c>
      <c r="BT1103">
        <v>6</v>
      </c>
      <c r="BU1103">
        <v>1</v>
      </c>
      <c r="BV1103">
        <v>0</v>
      </c>
      <c r="BX1103">
        <v>26.5</v>
      </c>
      <c r="BZ1103">
        <v>22</v>
      </c>
      <c r="CK1103" t="s">
        <v>1179</v>
      </c>
      <c r="CM1103">
        <v>1911</v>
      </c>
    </row>
    <row r="1104" spans="1:91" x14ac:dyDescent="0.3">
      <c r="A1104" t="s">
        <v>1848</v>
      </c>
      <c r="B1104">
        <v>45038</v>
      </c>
      <c r="D1104">
        <v>12</v>
      </c>
      <c r="I1104" s="2">
        <v>3950000</v>
      </c>
      <c r="U1104">
        <v>1</v>
      </c>
      <c r="Y1104">
        <v>1</v>
      </c>
      <c r="AA1104">
        <v>1.1200000000000001</v>
      </c>
      <c r="AC1104" s="3">
        <v>1.1200000000000001</v>
      </c>
      <c r="AE1104" s="3">
        <v>1.06</v>
      </c>
      <c r="AI1104">
        <v>1.06</v>
      </c>
      <c r="AK1104" s="3"/>
      <c r="AV1104" t="s">
        <v>815</v>
      </c>
      <c r="AX1104" t="s">
        <v>815</v>
      </c>
      <c r="AZ1104" t="s">
        <v>815</v>
      </c>
      <c r="BB1104" t="s">
        <v>815</v>
      </c>
      <c r="BG1104">
        <v>5</v>
      </c>
      <c r="BH1104">
        <v>10</v>
      </c>
      <c r="BI1104">
        <v>10</v>
      </c>
      <c r="BJ1104">
        <v>7.5</v>
      </c>
      <c r="BK1104" s="4">
        <v>3258</v>
      </c>
      <c r="BL1104" s="4">
        <v>3593</v>
      </c>
      <c r="BM1104" s="4">
        <v>3897</v>
      </c>
      <c r="BN1104" s="4">
        <v>4262</v>
      </c>
      <c r="BR1104">
        <v>405143</v>
      </c>
      <c r="BT1104">
        <v>7</v>
      </c>
      <c r="BU1104">
        <v>1</v>
      </c>
      <c r="BV1104">
        <v>3</v>
      </c>
      <c r="BX1104">
        <v>1.1200000000000001</v>
      </c>
      <c r="BZ1104">
        <v>1.03</v>
      </c>
      <c r="CK1104" t="s">
        <v>360</v>
      </c>
      <c r="CM1104">
        <v>1911</v>
      </c>
    </row>
    <row r="1105" spans="1:91" x14ac:dyDescent="0.3">
      <c r="A1105" t="s">
        <v>1849</v>
      </c>
      <c r="B1105">
        <v>45040</v>
      </c>
      <c r="D1105">
        <v>12</v>
      </c>
      <c r="I1105">
        <v>200000</v>
      </c>
      <c r="U1105">
        <v>1</v>
      </c>
      <c r="Y1105">
        <v>1</v>
      </c>
      <c r="AA1105">
        <v>0.43</v>
      </c>
      <c r="AC1105" s="3">
        <v>0.43</v>
      </c>
      <c r="AE1105" s="3">
        <v>0.43</v>
      </c>
      <c r="AI1105">
        <v>0.37</v>
      </c>
      <c r="AK1105" s="3"/>
      <c r="AV1105" t="s">
        <v>815</v>
      </c>
      <c r="AX1105" t="s">
        <v>815</v>
      </c>
      <c r="AZ1105" t="s">
        <v>815</v>
      </c>
      <c r="BB1105" t="s">
        <v>815</v>
      </c>
      <c r="BG1105">
        <v>5</v>
      </c>
      <c r="BH1105">
        <v>5</v>
      </c>
      <c r="BI1105">
        <v>2.5</v>
      </c>
      <c r="BJ1105">
        <v>2.5</v>
      </c>
      <c r="BK1105" s="4">
        <v>3167</v>
      </c>
      <c r="BL1105" s="4">
        <v>3532</v>
      </c>
      <c r="BM1105" s="4">
        <v>3897</v>
      </c>
      <c r="BN1105" s="4">
        <v>4262</v>
      </c>
      <c r="BR1105">
        <v>52262</v>
      </c>
      <c r="BT1105">
        <v>5</v>
      </c>
      <c r="BU1105">
        <v>14</v>
      </c>
      <c r="BV1105">
        <v>3</v>
      </c>
      <c r="BX1105">
        <v>0.43</v>
      </c>
      <c r="BZ1105">
        <v>0.43</v>
      </c>
      <c r="CK1105" t="s">
        <v>360</v>
      </c>
      <c r="CM1105">
        <v>1911</v>
      </c>
    </row>
    <row r="1106" spans="1:91" x14ac:dyDescent="0.3">
      <c r="A1106" t="s">
        <v>1850</v>
      </c>
      <c r="B1106">
        <v>45100</v>
      </c>
      <c r="D1106">
        <v>12</v>
      </c>
      <c r="I1106">
        <v>118700</v>
      </c>
      <c r="J1106" t="s">
        <v>800</v>
      </c>
      <c r="U1106">
        <v>100</v>
      </c>
      <c r="Y1106">
        <v>100</v>
      </c>
      <c r="AA1106">
        <v>101</v>
      </c>
      <c r="AC1106" s="3">
        <v>102</v>
      </c>
      <c r="AE1106" s="3">
        <v>101</v>
      </c>
      <c r="AI1106">
        <v>102</v>
      </c>
      <c r="AK1106" s="3"/>
      <c r="AV1106" t="s">
        <v>370</v>
      </c>
      <c r="AX1106" t="s">
        <v>370</v>
      </c>
      <c r="AZ1106" t="s">
        <v>370</v>
      </c>
      <c r="BB1106" t="s">
        <v>370</v>
      </c>
      <c r="BO1106" t="s">
        <v>367</v>
      </c>
      <c r="BS1106" t="s">
        <v>385</v>
      </c>
      <c r="BT1106">
        <v>5</v>
      </c>
      <c r="BU1106">
        <v>0</v>
      </c>
      <c r="BV1106">
        <v>0</v>
      </c>
      <c r="BX1106">
        <v>103</v>
      </c>
      <c r="BZ1106">
        <v>100</v>
      </c>
      <c r="CK1106" t="s">
        <v>360</v>
      </c>
      <c r="CM1106">
        <v>1911</v>
      </c>
    </row>
    <row r="1107" spans="1:91" x14ac:dyDescent="0.3">
      <c r="A1107" t="s">
        <v>1851</v>
      </c>
      <c r="B1107">
        <v>45292</v>
      </c>
      <c r="D1107">
        <v>12</v>
      </c>
      <c r="I1107">
        <v>50000</v>
      </c>
      <c r="U1107">
        <v>18</v>
      </c>
      <c r="Y1107">
        <v>3</v>
      </c>
      <c r="AA1107">
        <v>4.12</v>
      </c>
      <c r="AC1107" s="3">
        <v>4.12</v>
      </c>
      <c r="AE1107" s="3">
        <v>4</v>
      </c>
      <c r="AI1107">
        <v>4</v>
      </c>
      <c r="AK1107" s="3"/>
      <c r="AX1107" t="s">
        <v>823</v>
      </c>
      <c r="BB1107" t="s">
        <v>823</v>
      </c>
      <c r="BG1107">
        <v>12</v>
      </c>
      <c r="BH1107">
        <v>10</v>
      </c>
      <c r="BI1107">
        <v>10</v>
      </c>
      <c r="BJ1107">
        <v>10</v>
      </c>
      <c r="BK1107" s="4">
        <v>3774</v>
      </c>
      <c r="BL1107" s="4">
        <v>3958</v>
      </c>
      <c r="BM1107" s="4">
        <v>4139</v>
      </c>
      <c r="BN1107" s="4">
        <v>4323</v>
      </c>
      <c r="BR1107">
        <v>76959</v>
      </c>
      <c r="BS1107" t="s">
        <v>1852</v>
      </c>
      <c r="BT1107">
        <v>7</v>
      </c>
      <c r="BU1107">
        <v>10</v>
      </c>
      <c r="BV1107">
        <v>0</v>
      </c>
      <c r="BX1107">
        <v>4.5</v>
      </c>
      <c r="BZ1107">
        <v>4</v>
      </c>
      <c r="CK1107" t="s">
        <v>360</v>
      </c>
      <c r="CM1107">
        <v>1911</v>
      </c>
    </row>
    <row r="1108" spans="1:91" x14ac:dyDescent="0.3">
      <c r="A1108" t="s">
        <v>1851</v>
      </c>
      <c r="B1108">
        <v>45293</v>
      </c>
      <c r="C1108" t="s">
        <v>1853</v>
      </c>
      <c r="D1108">
        <v>12</v>
      </c>
      <c r="I1108">
        <v>74500</v>
      </c>
      <c r="J1108" t="s">
        <v>800</v>
      </c>
      <c r="U1108">
        <v>100</v>
      </c>
      <c r="Y1108">
        <v>100</v>
      </c>
      <c r="AA1108">
        <v>100</v>
      </c>
      <c r="AC1108" s="3">
        <v>100</v>
      </c>
      <c r="AE1108" s="3">
        <v>100</v>
      </c>
      <c r="AI1108">
        <v>100</v>
      </c>
      <c r="AK1108" s="3"/>
      <c r="AV1108" t="s">
        <v>366</v>
      </c>
      <c r="AX1108" t="s">
        <v>366</v>
      </c>
      <c r="AZ1108" t="s">
        <v>366</v>
      </c>
      <c r="BB1108" t="s">
        <v>366</v>
      </c>
      <c r="BO1108" t="s">
        <v>367</v>
      </c>
      <c r="BR1108">
        <v>76959</v>
      </c>
      <c r="BS1108" t="s">
        <v>1852</v>
      </c>
      <c r="BT1108">
        <v>5</v>
      </c>
      <c r="BU1108">
        <v>0</v>
      </c>
      <c r="BV1108">
        <v>6</v>
      </c>
      <c r="BX1108">
        <v>101.75</v>
      </c>
      <c r="BZ1108">
        <v>99</v>
      </c>
      <c r="CM1108">
        <v>1911</v>
      </c>
    </row>
    <row r="1109" spans="1:91" x14ac:dyDescent="0.3">
      <c r="A1109" t="s">
        <v>1851</v>
      </c>
      <c r="B1109">
        <v>45298</v>
      </c>
      <c r="C1109" t="s">
        <v>1854</v>
      </c>
      <c r="D1109">
        <v>12</v>
      </c>
      <c r="I1109">
        <v>153100</v>
      </c>
      <c r="J1109" t="s">
        <v>800</v>
      </c>
      <c r="U1109">
        <v>100</v>
      </c>
      <c r="Y1109">
        <v>100</v>
      </c>
      <c r="AA1109">
        <v>100</v>
      </c>
      <c r="AC1109" s="3">
        <v>100.25</v>
      </c>
      <c r="AE1109" s="3">
        <v>100</v>
      </c>
      <c r="AI1109">
        <v>100</v>
      </c>
      <c r="AK1109" s="3"/>
      <c r="AV1109" t="s">
        <v>366</v>
      </c>
      <c r="AX1109" t="s">
        <v>366</v>
      </c>
      <c r="AZ1109" t="s">
        <v>366</v>
      </c>
      <c r="BB1109" t="s">
        <v>366</v>
      </c>
      <c r="BO1109" t="s">
        <v>367</v>
      </c>
      <c r="BR1109">
        <v>76959</v>
      </c>
      <c r="BS1109" t="s">
        <v>1852</v>
      </c>
      <c r="BT1109">
        <v>4</v>
      </c>
      <c r="BU1109">
        <v>10</v>
      </c>
      <c r="BV1109">
        <v>6</v>
      </c>
      <c r="BX1109">
        <v>102</v>
      </c>
      <c r="BZ1109">
        <v>99</v>
      </c>
      <c r="CM1109">
        <v>1911</v>
      </c>
    </row>
    <row r="1110" spans="1:91" x14ac:dyDescent="0.3">
      <c r="A1110" t="s">
        <v>1851</v>
      </c>
      <c r="B1110">
        <v>45299</v>
      </c>
      <c r="C1110" t="s">
        <v>860</v>
      </c>
      <c r="D1110">
        <v>12</v>
      </c>
      <c r="I1110">
        <v>156500</v>
      </c>
      <c r="J1110" t="s">
        <v>800</v>
      </c>
      <c r="V1110" t="s">
        <v>350</v>
      </c>
      <c r="Y1110">
        <v>100</v>
      </c>
      <c r="AA1110">
        <v>94</v>
      </c>
      <c r="AC1110" s="3">
        <v>94</v>
      </c>
      <c r="AE1110" s="3">
        <v>94</v>
      </c>
      <c r="AI1110">
        <v>94</v>
      </c>
      <c r="AK1110" s="3"/>
      <c r="AV1110" t="s">
        <v>366</v>
      </c>
      <c r="AX1110" t="s">
        <v>366</v>
      </c>
      <c r="AZ1110" t="s">
        <v>366</v>
      </c>
      <c r="BB1110" t="s">
        <v>366</v>
      </c>
      <c r="BO1110" t="s">
        <v>367</v>
      </c>
      <c r="BR1110">
        <v>76959</v>
      </c>
      <c r="BS1110" t="s">
        <v>1852</v>
      </c>
      <c r="BT1110">
        <v>4</v>
      </c>
      <c r="BU1110">
        <v>5</v>
      </c>
      <c r="BV1110">
        <v>6</v>
      </c>
      <c r="BX1110">
        <v>97</v>
      </c>
      <c r="BZ1110">
        <v>94</v>
      </c>
      <c r="CM1110">
        <v>1911</v>
      </c>
    </row>
    <row r="1111" spans="1:91" x14ac:dyDescent="0.3">
      <c r="A1111" t="s">
        <v>1855</v>
      </c>
      <c r="B1111">
        <v>45302</v>
      </c>
      <c r="D1111">
        <v>12</v>
      </c>
      <c r="I1111">
        <v>250000</v>
      </c>
      <c r="V1111" t="s">
        <v>1856</v>
      </c>
      <c r="Z1111" t="s">
        <v>1856</v>
      </c>
      <c r="AA1111">
        <v>0.56000000000000005</v>
      </c>
      <c r="AC1111" s="3">
        <v>0.56000000000000005</v>
      </c>
      <c r="AE1111" s="3">
        <v>0.56000000000000005</v>
      </c>
      <c r="AI1111">
        <v>0.56000000000000005</v>
      </c>
      <c r="AK1111" s="3"/>
      <c r="AV1111" t="s">
        <v>385</v>
      </c>
      <c r="AX1111" t="s">
        <v>385</v>
      </c>
      <c r="AZ1111" t="s">
        <v>385</v>
      </c>
      <c r="BB1111" t="s">
        <v>385</v>
      </c>
      <c r="BS1111" t="s">
        <v>385</v>
      </c>
      <c r="BW1111" t="s">
        <v>802</v>
      </c>
      <c r="BX1111">
        <v>0.68</v>
      </c>
      <c r="BZ1111">
        <v>0.5</v>
      </c>
      <c r="CK1111" t="s">
        <v>360</v>
      </c>
      <c r="CM1111">
        <v>1911</v>
      </c>
    </row>
    <row r="1112" spans="1:91" x14ac:dyDescent="0.3">
      <c r="A1112" t="s">
        <v>1857</v>
      </c>
      <c r="B1112">
        <v>45303</v>
      </c>
      <c r="D1112">
        <v>12</v>
      </c>
      <c r="I1112">
        <v>75000</v>
      </c>
      <c r="U1112">
        <v>1</v>
      </c>
      <c r="Y1112">
        <v>1</v>
      </c>
      <c r="AA1112">
        <v>2.75</v>
      </c>
      <c r="AC1112" s="3">
        <v>2.75</v>
      </c>
      <c r="AE1112" s="3">
        <v>2.75</v>
      </c>
      <c r="AI1112">
        <v>2.75</v>
      </c>
      <c r="AK1112" s="3"/>
      <c r="AV1112" t="s">
        <v>815</v>
      </c>
      <c r="AX1112" t="s">
        <v>815</v>
      </c>
      <c r="AZ1112" t="s">
        <v>815</v>
      </c>
      <c r="BB1112" t="s">
        <v>815</v>
      </c>
      <c r="BG1112">
        <v>12.5</v>
      </c>
      <c r="BH1112">
        <v>12.5</v>
      </c>
      <c r="BI1112">
        <v>15</v>
      </c>
      <c r="BJ1112">
        <v>15</v>
      </c>
      <c r="BK1112" s="4">
        <v>3044</v>
      </c>
      <c r="BL1112" s="4">
        <v>3409</v>
      </c>
      <c r="BM1112" s="4">
        <v>3774</v>
      </c>
      <c r="BN1112" s="4">
        <v>4139</v>
      </c>
      <c r="BR1112">
        <v>27094</v>
      </c>
      <c r="BT1112">
        <v>5</v>
      </c>
      <c r="BU1112">
        <v>9</v>
      </c>
      <c r="BV1112">
        <v>3</v>
      </c>
      <c r="BX1112">
        <v>3</v>
      </c>
      <c r="BZ1112">
        <v>2.5</v>
      </c>
      <c r="CK1112" t="s">
        <v>360</v>
      </c>
      <c r="CM1112">
        <v>1911</v>
      </c>
    </row>
    <row r="1113" spans="1:91" x14ac:dyDescent="0.3">
      <c r="A1113" t="s">
        <v>1858</v>
      </c>
      <c r="B1113">
        <v>45341</v>
      </c>
      <c r="D1113">
        <v>12</v>
      </c>
      <c r="I1113">
        <v>150000</v>
      </c>
      <c r="U1113">
        <v>5</v>
      </c>
      <c r="Y1113">
        <v>2</v>
      </c>
      <c r="AA1113">
        <v>1.31</v>
      </c>
      <c r="AC1113" s="3">
        <v>1.43</v>
      </c>
      <c r="AE1113" s="3">
        <v>1.34</v>
      </c>
      <c r="AI1113">
        <v>1.37</v>
      </c>
      <c r="AK1113" s="3"/>
      <c r="AV1113" t="s">
        <v>815</v>
      </c>
      <c r="AX1113" t="s">
        <v>815</v>
      </c>
      <c r="AZ1113" t="s">
        <v>815</v>
      </c>
      <c r="BB1113" t="s">
        <v>815</v>
      </c>
      <c r="BG1113">
        <v>7</v>
      </c>
      <c r="BH1113">
        <v>7</v>
      </c>
      <c r="BI1113">
        <v>7</v>
      </c>
      <c r="BJ1113">
        <v>6</v>
      </c>
      <c r="BK1113" s="4">
        <v>2954</v>
      </c>
      <c r="BL1113" s="4">
        <v>3320</v>
      </c>
      <c r="BM1113" s="4">
        <v>3685</v>
      </c>
      <c r="BN1113" s="4">
        <v>4050</v>
      </c>
      <c r="BS1113" t="s">
        <v>385</v>
      </c>
      <c r="BT1113">
        <v>8</v>
      </c>
      <c r="BU1113">
        <v>14</v>
      </c>
      <c r="BV1113">
        <v>6</v>
      </c>
      <c r="BX1113">
        <v>1.37</v>
      </c>
      <c r="BZ1113">
        <v>1.18</v>
      </c>
      <c r="CK1113" t="s">
        <v>360</v>
      </c>
      <c r="CM1113">
        <v>1911</v>
      </c>
    </row>
    <row r="1114" spans="1:91" x14ac:dyDescent="0.3">
      <c r="A1114" t="s">
        <v>1859</v>
      </c>
      <c r="B1114">
        <v>45344</v>
      </c>
      <c r="C1114" t="s">
        <v>817</v>
      </c>
      <c r="D1114">
        <v>12</v>
      </c>
      <c r="I1114">
        <v>20000</v>
      </c>
      <c r="U1114">
        <v>10</v>
      </c>
      <c r="Y1114">
        <v>10</v>
      </c>
      <c r="AA1114">
        <v>9.75</v>
      </c>
      <c r="AC1114" s="3">
        <v>9.8699999999999992</v>
      </c>
      <c r="AE1114" s="3">
        <v>9.75</v>
      </c>
      <c r="AI1114">
        <v>9.8699999999999992</v>
      </c>
      <c r="AK1114" s="3"/>
      <c r="AV1114" t="s">
        <v>506</v>
      </c>
      <c r="AX1114" t="s">
        <v>506</v>
      </c>
      <c r="AZ1114" t="s">
        <v>506</v>
      </c>
      <c r="BB1114" t="s">
        <v>506</v>
      </c>
      <c r="BO1114" t="s">
        <v>367</v>
      </c>
      <c r="BS1114" t="s">
        <v>385</v>
      </c>
      <c r="BT1114">
        <v>5</v>
      </c>
      <c r="BU1114">
        <v>1</v>
      </c>
      <c r="BV1114">
        <v>3</v>
      </c>
      <c r="BX1114">
        <v>10.119999999999999</v>
      </c>
      <c r="BZ1114">
        <v>9.3699999999999992</v>
      </c>
      <c r="CM1114">
        <v>1911</v>
      </c>
    </row>
    <row r="1115" spans="1:91" x14ac:dyDescent="0.3">
      <c r="A1115" t="s">
        <v>1859</v>
      </c>
      <c r="B1115">
        <v>45347</v>
      </c>
      <c r="C1115" t="s">
        <v>878</v>
      </c>
      <c r="D1115">
        <v>12</v>
      </c>
      <c r="I1115">
        <v>450000</v>
      </c>
      <c r="J1115" t="s">
        <v>800</v>
      </c>
      <c r="V1115" t="s">
        <v>350</v>
      </c>
      <c r="Y1115">
        <v>100</v>
      </c>
      <c r="AA1115">
        <v>99</v>
      </c>
      <c r="AB1115" t="s">
        <v>379</v>
      </c>
      <c r="AC1115" s="3">
        <v>100</v>
      </c>
      <c r="AE1115" s="3">
        <v>99</v>
      </c>
      <c r="AI1115">
        <v>100</v>
      </c>
      <c r="AK1115" s="3"/>
      <c r="AV1115" t="s">
        <v>421</v>
      </c>
      <c r="AX1115" t="s">
        <v>421</v>
      </c>
      <c r="AZ1115" t="s">
        <v>421</v>
      </c>
      <c r="BB1115" t="s">
        <v>421</v>
      </c>
      <c r="BO1115" t="s">
        <v>367</v>
      </c>
      <c r="BS1115" t="s">
        <v>385</v>
      </c>
      <c r="BT1115">
        <v>4</v>
      </c>
      <c r="BU1115">
        <v>5</v>
      </c>
      <c r="BV1115">
        <v>0</v>
      </c>
      <c r="BX1115">
        <v>102.25</v>
      </c>
      <c r="BZ1115">
        <v>98.5</v>
      </c>
      <c r="CM1115">
        <v>1911</v>
      </c>
    </row>
    <row r="1116" spans="1:91" x14ac:dyDescent="0.3">
      <c r="A1116" t="s">
        <v>1860</v>
      </c>
      <c r="B1116">
        <v>45350</v>
      </c>
      <c r="D1116">
        <v>12</v>
      </c>
      <c r="I1116">
        <v>22500</v>
      </c>
      <c r="U1116">
        <v>10</v>
      </c>
      <c r="Y1116">
        <v>10</v>
      </c>
      <c r="AA1116">
        <v>10</v>
      </c>
      <c r="AC1116" s="3">
        <v>10.25</v>
      </c>
      <c r="AE1116" s="3">
        <v>10</v>
      </c>
      <c r="AI1116">
        <v>10.25</v>
      </c>
      <c r="AK1116" s="3"/>
      <c r="AX1116" t="s">
        <v>823</v>
      </c>
      <c r="BB1116" t="s">
        <v>823</v>
      </c>
      <c r="BG1116">
        <v>8</v>
      </c>
      <c r="BH1116">
        <v>6</v>
      </c>
      <c r="BI1116">
        <v>8</v>
      </c>
      <c r="BJ1116">
        <v>6</v>
      </c>
      <c r="BK1116" s="4">
        <v>3744</v>
      </c>
      <c r="BL1116" s="4">
        <v>3897</v>
      </c>
      <c r="BM1116" s="4">
        <v>4078</v>
      </c>
      <c r="BN1116" s="4">
        <v>4262</v>
      </c>
      <c r="BR1116">
        <v>111896</v>
      </c>
      <c r="BS1116" t="s">
        <v>1861</v>
      </c>
      <c r="BT1116">
        <v>6</v>
      </c>
      <c r="BU1116">
        <v>16</v>
      </c>
      <c r="BV1116">
        <v>6</v>
      </c>
      <c r="BX1116">
        <v>10.87</v>
      </c>
      <c r="BZ1116">
        <v>9.5</v>
      </c>
      <c r="CK1116" t="s">
        <v>360</v>
      </c>
      <c r="CM1116">
        <v>1911</v>
      </c>
    </row>
    <row r="1117" spans="1:91" x14ac:dyDescent="0.3">
      <c r="A1117" t="s">
        <v>1860</v>
      </c>
      <c r="B1117">
        <v>45349</v>
      </c>
      <c r="C1117" t="s">
        <v>977</v>
      </c>
      <c r="D1117">
        <v>12</v>
      </c>
      <c r="I1117">
        <v>43800</v>
      </c>
      <c r="U1117">
        <v>5</v>
      </c>
      <c r="Y1117">
        <v>5</v>
      </c>
      <c r="AA1117">
        <v>4.5</v>
      </c>
      <c r="AC1117" s="3">
        <v>4.62</v>
      </c>
      <c r="AE1117" s="3">
        <v>4.5</v>
      </c>
      <c r="AI1117">
        <v>4.62</v>
      </c>
      <c r="AK1117" s="3"/>
      <c r="AV1117" t="s">
        <v>370</v>
      </c>
      <c r="AX1117" t="s">
        <v>370</v>
      </c>
      <c r="AZ1117" t="s">
        <v>370</v>
      </c>
      <c r="BB1117" t="s">
        <v>370</v>
      </c>
      <c r="BO1117" t="s">
        <v>367</v>
      </c>
      <c r="BR1117">
        <v>111896</v>
      </c>
      <c r="BS1117" t="s">
        <v>1861</v>
      </c>
      <c r="BT1117">
        <v>4</v>
      </c>
      <c r="BU1117">
        <v>17</v>
      </c>
      <c r="BV1117">
        <v>3</v>
      </c>
      <c r="BX1117">
        <v>4.62</v>
      </c>
      <c r="BZ1117">
        <v>4.18</v>
      </c>
      <c r="CM1117">
        <v>1911</v>
      </c>
    </row>
    <row r="1118" spans="1:91" x14ac:dyDescent="0.3">
      <c r="A1118" t="s">
        <v>1862</v>
      </c>
      <c r="B1118">
        <v>45550</v>
      </c>
      <c r="D1118">
        <v>12</v>
      </c>
      <c r="I1118">
        <v>20000</v>
      </c>
      <c r="U1118">
        <v>20</v>
      </c>
      <c r="Y1118">
        <v>20</v>
      </c>
      <c r="AA1118">
        <v>14</v>
      </c>
      <c r="AC1118" s="3">
        <v>14.12</v>
      </c>
      <c r="AE1118" s="3">
        <v>13.87</v>
      </c>
      <c r="AI1118">
        <v>13.87</v>
      </c>
      <c r="AK1118" s="3"/>
      <c r="AX1118" t="s">
        <v>823</v>
      </c>
      <c r="BB1118" t="s">
        <v>823</v>
      </c>
      <c r="BG1118">
        <v>3.5</v>
      </c>
      <c r="BH1118">
        <v>3</v>
      </c>
      <c r="BI1118">
        <v>4</v>
      </c>
      <c r="BJ1118">
        <v>3.5</v>
      </c>
      <c r="BK1118" s="4">
        <v>3744</v>
      </c>
      <c r="BL1118" s="4">
        <v>3927</v>
      </c>
      <c r="BM1118" s="4">
        <v>4109</v>
      </c>
      <c r="BN1118" s="4">
        <v>4292</v>
      </c>
      <c r="BR1118">
        <v>4747</v>
      </c>
      <c r="BT1118">
        <v>5</v>
      </c>
      <c r="BU1118">
        <v>8</v>
      </c>
      <c r="BV1118">
        <v>3</v>
      </c>
      <c r="BX1118">
        <v>14.25</v>
      </c>
      <c r="BZ1118">
        <v>13.25</v>
      </c>
      <c r="CK1118" t="s">
        <v>616</v>
      </c>
      <c r="CM1118">
        <v>1911</v>
      </c>
    </row>
    <row r="1119" spans="1:91" x14ac:dyDescent="0.3">
      <c r="A1119" t="s">
        <v>1863</v>
      </c>
      <c r="B1119">
        <v>45631</v>
      </c>
      <c r="D1119">
        <v>12</v>
      </c>
      <c r="I1119">
        <v>69213</v>
      </c>
      <c r="U1119">
        <v>0.75</v>
      </c>
      <c r="Y1119">
        <v>0.75</v>
      </c>
      <c r="AA1119">
        <v>0.87</v>
      </c>
      <c r="AC1119" s="3">
        <v>0.87</v>
      </c>
      <c r="AE1119" s="3">
        <v>0.87</v>
      </c>
      <c r="AI1119">
        <v>0.87</v>
      </c>
      <c r="AK1119" s="3"/>
      <c r="AU1119" t="s">
        <v>1717</v>
      </c>
      <c r="AV1119" t="s">
        <v>1719</v>
      </c>
      <c r="AW1119" t="s">
        <v>1717</v>
      </c>
      <c r="AX1119" t="s">
        <v>1719</v>
      </c>
      <c r="AY1119" t="s">
        <v>1717</v>
      </c>
      <c r="AZ1119" t="s">
        <v>1719</v>
      </c>
      <c r="BA1119" t="s">
        <v>1717</v>
      </c>
      <c r="BB1119" t="s">
        <v>1719</v>
      </c>
      <c r="BC1119">
        <v>12</v>
      </c>
      <c r="BD1119">
        <v>12</v>
      </c>
      <c r="BE1119">
        <v>12</v>
      </c>
      <c r="BF1119">
        <v>12</v>
      </c>
      <c r="BK1119" s="4">
        <v>2983</v>
      </c>
      <c r="BL1119" s="4">
        <v>3348</v>
      </c>
      <c r="BM1119" s="4">
        <v>3713</v>
      </c>
      <c r="BN1119" s="4">
        <v>4078</v>
      </c>
      <c r="BR1119">
        <v>2545</v>
      </c>
      <c r="BT1119">
        <v>5</v>
      </c>
      <c r="BU1119">
        <v>14</v>
      </c>
      <c r="BV1119">
        <v>3</v>
      </c>
      <c r="BX1119">
        <v>0.93</v>
      </c>
      <c r="BZ1119">
        <v>0.75</v>
      </c>
      <c r="CM1119">
        <v>1911</v>
      </c>
    </row>
    <row r="1120" spans="1:91" x14ac:dyDescent="0.3">
      <c r="A1120" t="s">
        <v>1864</v>
      </c>
      <c r="B1120">
        <v>46086</v>
      </c>
      <c r="D1120">
        <v>12</v>
      </c>
      <c r="I1120">
        <v>398977</v>
      </c>
      <c r="U1120">
        <v>1</v>
      </c>
      <c r="Y1120">
        <v>1</v>
      </c>
      <c r="AA1120">
        <v>0.9</v>
      </c>
      <c r="AC1120" s="3">
        <v>0.9</v>
      </c>
      <c r="AE1120" s="3">
        <v>0.87</v>
      </c>
      <c r="AI1120">
        <v>0.87</v>
      </c>
      <c r="AK1120" s="3"/>
      <c r="AU1120" t="s">
        <v>1582</v>
      </c>
      <c r="AV1120" t="s">
        <v>1760</v>
      </c>
      <c r="AX1120" t="s">
        <v>969</v>
      </c>
      <c r="AZ1120" t="s">
        <v>815</v>
      </c>
      <c r="BB1120" t="s">
        <v>815</v>
      </c>
      <c r="BC1120">
        <v>24</v>
      </c>
      <c r="BI1120">
        <v>2.5</v>
      </c>
      <c r="BJ1120">
        <v>5</v>
      </c>
      <c r="BK1120" t="s">
        <v>1865</v>
      </c>
      <c r="BM1120" t="s">
        <v>913</v>
      </c>
      <c r="BN1120" t="s">
        <v>1226</v>
      </c>
      <c r="BR1120">
        <v>15221</v>
      </c>
      <c r="BT1120">
        <v>5</v>
      </c>
      <c r="BU1120">
        <v>14</v>
      </c>
      <c r="BV1120">
        <v>3</v>
      </c>
      <c r="BX1120">
        <v>1.06</v>
      </c>
      <c r="BZ1120">
        <v>0.87</v>
      </c>
      <c r="CK1120" t="s">
        <v>360</v>
      </c>
      <c r="CM1120">
        <v>1911</v>
      </c>
    </row>
    <row r="1121" spans="1:91" x14ac:dyDescent="0.3">
      <c r="A1121" t="s">
        <v>1866</v>
      </c>
      <c r="B1121">
        <v>46093</v>
      </c>
      <c r="D1121">
        <v>12</v>
      </c>
      <c r="I1121">
        <v>50000</v>
      </c>
      <c r="U1121">
        <v>6</v>
      </c>
      <c r="Y1121">
        <v>4</v>
      </c>
      <c r="AA1121">
        <v>9.25</v>
      </c>
      <c r="AC1121" s="3">
        <v>9.25</v>
      </c>
      <c r="AE1121" s="3">
        <v>9</v>
      </c>
      <c r="AI1121">
        <v>9</v>
      </c>
      <c r="AK1121" s="3"/>
      <c r="AV1121" t="s">
        <v>815</v>
      </c>
      <c r="AX1121" t="s">
        <v>815</v>
      </c>
      <c r="AZ1121" t="s">
        <v>815</v>
      </c>
      <c r="BB1121" t="s">
        <v>815</v>
      </c>
      <c r="BG1121">
        <v>3.75</v>
      </c>
      <c r="BH1121">
        <v>3.75</v>
      </c>
      <c r="BI1121">
        <v>3.75</v>
      </c>
      <c r="BJ1121">
        <v>5</v>
      </c>
      <c r="BK1121" t="s">
        <v>1224</v>
      </c>
      <c r="BL1121" t="s">
        <v>1225</v>
      </c>
      <c r="BM1121" t="s">
        <v>913</v>
      </c>
      <c r="BN1121" t="s">
        <v>1226</v>
      </c>
      <c r="BR1121">
        <v>28508</v>
      </c>
      <c r="BT1121">
        <v>2</v>
      </c>
      <c r="BU1121">
        <v>11</v>
      </c>
      <c r="BV1121">
        <v>6</v>
      </c>
      <c r="BX1121">
        <v>9.75</v>
      </c>
      <c r="BZ1121">
        <v>6</v>
      </c>
      <c r="CK1121" t="s">
        <v>1867</v>
      </c>
      <c r="CM1121">
        <v>1911</v>
      </c>
    </row>
    <row r="1122" spans="1:91" x14ac:dyDescent="0.3">
      <c r="A1122" t="s">
        <v>1868</v>
      </c>
      <c r="B1122">
        <v>46427</v>
      </c>
      <c r="D1122">
        <v>12</v>
      </c>
      <c r="I1122">
        <v>100000</v>
      </c>
      <c r="J1122" t="s">
        <v>800</v>
      </c>
      <c r="U1122">
        <v>100</v>
      </c>
      <c r="Y1122">
        <v>100</v>
      </c>
      <c r="AA1122">
        <v>101</v>
      </c>
      <c r="AC1122" s="3">
        <v>102</v>
      </c>
      <c r="AE1122" s="3">
        <v>101</v>
      </c>
      <c r="AI1122">
        <v>102</v>
      </c>
      <c r="AK1122" s="3"/>
      <c r="AV1122" t="s">
        <v>370</v>
      </c>
      <c r="AX1122" t="s">
        <v>370</v>
      </c>
      <c r="AZ1122" t="s">
        <v>370</v>
      </c>
      <c r="BB1122" t="s">
        <v>370</v>
      </c>
      <c r="BO1122" t="s">
        <v>367</v>
      </c>
      <c r="BS1122" t="s">
        <v>385</v>
      </c>
      <c r="BT1122">
        <v>5</v>
      </c>
      <c r="BU1122">
        <v>0</v>
      </c>
      <c r="BV1122">
        <v>0</v>
      </c>
      <c r="BX1122">
        <v>103</v>
      </c>
      <c r="BZ1122">
        <v>100</v>
      </c>
      <c r="CM1122">
        <v>1911</v>
      </c>
    </row>
    <row r="1123" spans="1:91" x14ac:dyDescent="0.3">
      <c r="A1123" t="s">
        <v>1869</v>
      </c>
      <c r="B1123">
        <v>46601</v>
      </c>
      <c r="D1123">
        <v>12</v>
      </c>
      <c r="I1123">
        <v>30000</v>
      </c>
      <c r="U1123">
        <v>10</v>
      </c>
      <c r="Y1123">
        <v>10</v>
      </c>
      <c r="AA1123">
        <v>9</v>
      </c>
      <c r="AC1123" s="3">
        <v>9</v>
      </c>
      <c r="AE1123" s="3">
        <v>8.75</v>
      </c>
      <c r="AI1123">
        <v>8.75</v>
      </c>
      <c r="AJ1123" t="s">
        <v>379</v>
      </c>
      <c r="AK1123" s="3"/>
      <c r="BG1123">
        <v>5</v>
      </c>
      <c r="BH1123">
        <v>6</v>
      </c>
      <c r="BI1123">
        <v>5</v>
      </c>
      <c r="BJ1123">
        <v>5</v>
      </c>
      <c r="BK1123" s="4">
        <v>3654</v>
      </c>
      <c r="BL1123" s="4">
        <v>3835</v>
      </c>
      <c r="BM1123" s="4">
        <v>4019</v>
      </c>
      <c r="BN1123" s="4">
        <v>4200</v>
      </c>
      <c r="BR1123">
        <v>53652</v>
      </c>
      <c r="BS1123" t="s">
        <v>1870</v>
      </c>
      <c r="BT1123">
        <v>5</v>
      </c>
      <c r="BU1123">
        <v>14</v>
      </c>
      <c r="BV1123">
        <v>3</v>
      </c>
      <c r="BX1123">
        <v>9.25</v>
      </c>
      <c r="BZ1123">
        <v>8.75</v>
      </c>
      <c r="CK1123" t="s">
        <v>360</v>
      </c>
      <c r="CM1123">
        <v>1911</v>
      </c>
    </row>
    <row r="1124" spans="1:91" x14ac:dyDescent="0.3">
      <c r="A1124" t="s">
        <v>1869</v>
      </c>
      <c r="B1124">
        <v>46602</v>
      </c>
      <c r="C1124" t="s">
        <v>1871</v>
      </c>
      <c r="D1124">
        <v>12</v>
      </c>
      <c r="I1124">
        <v>500000</v>
      </c>
      <c r="J1124" t="s">
        <v>800</v>
      </c>
      <c r="V1124" t="s">
        <v>350</v>
      </c>
      <c r="Y1124">
        <v>100</v>
      </c>
      <c r="AA1124">
        <v>88</v>
      </c>
      <c r="AC1124" s="3">
        <v>89.5</v>
      </c>
      <c r="AE1124" s="3">
        <v>88</v>
      </c>
      <c r="AI1124">
        <v>89</v>
      </c>
      <c r="AK1124" s="3"/>
      <c r="AV1124" t="s">
        <v>536</v>
      </c>
      <c r="AX1124" t="s">
        <v>536</v>
      </c>
      <c r="AZ1124" t="s">
        <v>536</v>
      </c>
      <c r="BB1124" t="s">
        <v>536</v>
      </c>
      <c r="BO1124" t="s">
        <v>367</v>
      </c>
      <c r="BR1124">
        <v>536521</v>
      </c>
      <c r="BS1124" t="s">
        <v>1872</v>
      </c>
      <c r="BT1124">
        <v>4</v>
      </c>
      <c r="BU1124">
        <v>15</v>
      </c>
      <c r="BV1124">
        <v>6</v>
      </c>
      <c r="BX1124">
        <v>91</v>
      </c>
      <c r="BZ1124">
        <v>87.5</v>
      </c>
      <c r="CM1124">
        <v>1911</v>
      </c>
    </row>
    <row r="1125" spans="1:91" x14ac:dyDescent="0.3">
      <c r="A1125" t="s">
        <v>1873</v>
      </c>
      <c r="B1125">
        <v>46076</v>
      </c>
      <c r="D1125">
        <v>12</v>
      </c>
      <c r="I1125">
        <v>100000</v>
      </c>
      <c r="U1125">
        <v>10</v>
      </c>
      <c r="Y1125">
        <v>10</v>
      </c>
      <c r="AA1125">
        <v>9.75</v>
      </c>
      <c r="AC1125" s="3">
        <v>9.75</v>
      </c>
      <c r="AE1125" s="3">
        <v>9.3699999999999992</v>
      </c>
      <c r="AI1125">
        <v>9.3699999999999992</v>
      </c>
      <c r="AJ1125" t="s">
        <v>379</v>
      </c>
      <c r="AK1125" s="3"/>
      <c r="AV1125" t="s">
        <v>370</v>
      </c>
      <c r="AX1125" t="s">
        <v>370</v>
      </c>
      <c r="AZ1125" t="s">
        <v>370</v>
      </c>
      <c r="BB1125" t="s">
        <v>370</v>
      </c>
      <c r="BO1125" t="s">
        <v>367</v>
      </c>
      <c r="BS1125" t="s">
        <v>385</v>
      </c>
      <c r="BT1125">
        <v>5</v>
      </c>
      <c r="BU1125">
        <v>6</v>
      </c>
      <c r="BV1125">
        <v>9</v>
      </c>
      <c r="BX1125">
        <v>10.56</v>
      </c>
      <c r="BZ1125">
        <v>9.3699999999999992</v>
      </c>
      <c r="CM1125">
        <v>1911</v>
      </c>
    </row>
    <row r="1126" spans="1:91" x14ac:dyDescent="0.3">
      <c r="A1126" t="s">
        <v>1873</v>
      </c>
      <c r="B1126">
        <v>46078</v>
      </c>
      <c r="C1126" t="s">
        <v>1874</v>
      </c>
      <c r="D1126">
        <v>12</v>
      </c>
      <c r="I1126" s="2">
        <v>1000000</v>
      </c>
      <c r="J1126" t="s">
        <v>800</v>
      </c>
      <c r="U1126">
        <v>100</v>
      </c>
      <c r="Y1126">
        <v>100</v>
      </c>
      <c r="AA1126">
        <v>98.5</v>
      </c>
      <c r="AC1126" s="3">
        <v>98.75</v>
      </c>
      <c r="AE1126" s="3">
        <v>98.43</v>
      </c>
      <c r="AI1126">
        <v>98.5</v>
      </c>
      <c r="AK1126" s="3"/>
      <c r="AV1126" t="s">
        <v>370</v>
      </c>
      <c r="AX1126" t="s">
        <v>370</v>
      </c>
      <c r="AZ1126" t="s">
        <v>370</v>
      </c>
      <c r="BB1126" t="s">
        <v>370</v>
      </c>
      <c r="BO1126" t="s">
        <v>367</v>
      </c>
      <c r="BR1126">
        <v>2822</v>
      </c>
      <c r="BT1126">
        <v>4</v>
      </c>
      <c r="BU1126">
        <v>12</v>
      </c>
      <c r="BV1126">
        <v>9</v>
      </c>
      <c r="BX1126">
        <v>99.75</v>
      </c>
      <c r="BZ1126">
        <v>96</v>
      </c>
      <c r="CM1126">
        <v>1911</v>
      </c>
    </row>
    <row r="1127" spans="1:91" x14ac:dyDescent="0.3">
      <c r="A1127" t="s">
        <v>1875</v>
      </c>
      <c r="B1127">
        <v>46590</v>
      </c>
      <c r="D1127">
        <v>12</v>
      </c>
      <c r="I1127">
        <v>100000</v>
      </c>
      <c r="U1127">
        <v>10</v>
      </c>
      <c r="Y1127">
        <v>2</v>
      </c>
      <c r="AA1127">
        <v>5.5</v>
      </c>
      <c r="AC1127" s="3">
        <v>5.68</v>
      </c>
      <c r="AE1127" s="3">
        <v>5.5</v>
      </c>
      <c r="AI1127">
        <v>5.5</v>
      </c>
      <c r="AK1127" s="3"/>
      <c r="AX1127" t="s">
        <v>823</v>
      </c>
      <c r="BB1127" t="s">
        <v>823</v>
      </c>
      <c r="BG1127">
        <v>20</v>
      </c>
      <c r="BH1127">
        <v>12</v>
      </c>
      <c r="BI1127">
        <v>20</v>
      </c>
      <c r="BJ1127">
        <v>12</v>
      </c>
      <c r="BK1127" s="4">
        <v>3685</v>
      </c>
      <c r="BL1127" s="4">
        <v>3866</v>
      </c>
      <c r="BM1127" s="4">
        <v>4050</v>
      </c>
      <c r="BN1127" s="4">
        <v>4231</v>
      </c>
      <c r="BR1127">
        <v>372795</v>
      </c>
      <c r="BS1127" t="s">
        <v>1876</v>
      </c>
      <c r="BT1127">
        <v>5</v>
      </c>
      <c r="BU1127">
        <v>16</v>
      </c>
      <c r="BV1127">
        <v>3</v>
      </c>
      <c r="BX1127">
        <v>5.68</v>
      </c>
      <c r="BZ1127">
        <v>4.12</v>
      </c>
      <c r="CK1127" t="s">
        <v>360</v>
      </c>
      <c r="CM1127">
        <v>1911</v>
      </c>
    </row>
    <row r="1128" spans="1:91" x14ac:dyDescent="0.3">
      <c r="A1128" t="s">
        <v>1875</v>
      </c>
      <c r="B1128">
        <v>46593</v>
      </c>
      <c r="C1128" t="s">
        <v>817</v>
      </c>
      <c r="D1128">
        <v>12</v>
      </c>
      <c r="I1128">
        <v>25000</v>
      </c>
      <c r="U1128">
        <v>10</v>
      </c>
      <c r="Y1128">
        <v>10</v>
      </c>
      <c r="AA1128">
        <v>11</v>
      </c>
      <c r="AC1128" s="3">
        <v>11.03</v>
      </c>
      <c r="AE1128" s="3">
        <v>10.93</v>
      </c>
      <c r="AI1128">
        <v>11</v>
      </c>
      <c r="AK1128" s="3"/>
      <c r="AV1128" t="s">
        <v>366</v>
      </c>
      <c r="AX1128" t="s">
        <v>366</v>
      </c>
      <c r="AZ1128" t="s">
        <v>366</v>
      </c>
      <c r="BB1128" t="s">
        <v>366</v>
      </c>
      <c r="BO1128" t="s">
        <v>367</v>
      </c>
      <c r="BR1128">
        <v>372795</v>
      </c>
      <c r="BS1128" t="s">
        <v>1876</v>
      </c>
      <c r="BT1128">
        <v>4</v>
      </c>
      <c r="BU1128">
        <v>11</v>
      </c>
      <c r="BV1128">
        <v>0</v>
      </c>
      <c r="BX1128">
        <v>11.25</v>
      </c>
      <c r="BZ1128">
        <v>10.62</v>
      </c>
      <c r="CM1128">
        <v>1911</v>
      </c>
    </row>
    <row r="1129" spans="1:91" x14ac:dyDescent="0.3">
      <c r="A1129" t="s">
        <v>1875</v>
      </c>
      <c r="B1129">
        <v>46591</v>
      </c>
      <c r="C1129" t="s">
        <v>805</v>
      </c>
      <c r="D1129">
        <v>12</v>
      </c>
      <c r="I1129">
        <v>693815</v>
      </c>
      <c r="J1129" t="s">
        <v>800</v>
      </c>
      <c r="V1129" t="s">
        <v>350</v>
      </c>
      <c r="Y1129">
        <v>100</v>
      </c>
      <c r="AA1129">
        <v>107</v>
      </c>
      <c r="AC1129" s="3">
        <v>107.5</v>
      </c>
      <c r="AE1129" s="3">
        <v>106.75</v>
      </c>
      <c r="AI1129">
        <v>107</v>
      </c>
      <c r="AK1129" s="3"/>
      <c r="AV1129" t="s">
        <v>370</v>
      </c>
      <c r="AX1129" t="s">
        <v>370</v>
      </c>
      <c r="AZ1129" t="s">
        <v>370</v>
      </c>
      <c r="BB1129" t="s">
        <v>370</v>
      </c>
      <c r="BO1129" t="s">
        <v>367</v>
      </c>
      <c r="BR1129">
        <v>372795</v>
      </c>
      <c r="BS1129" t="s">
        <v>1876</v>
      </c>
      <c r="BT1129">
        <v>4</v>
      </c>
      <c r="BU1129">
        <v>5</v>
      </c>
      <c r="BV1129">
        <v>6</v>
      </c>
      <c r="BX1129">
        <v>109</v>
      </c>
      <c r="BZ1129">
        <v>105.5</v>
      </c>
      <c r="CM1129">
        <v>1911</v>
      </c>
    </row>
    <row r="1130" spans="1:91" x14ac:dyDescent="0.3">
      <c r="A1130" t="s">
        <v>1877</v>
      </c>
      <c r="B1130">
        <v>46628</v>
      </c>
      <c r="D1130">
        <v>12</v>
      </c>
      <c r="I1130" s="2">
        <v>1222220</v>
      </c>
      <c r="U1130">
        <v>1</v>
      </c>
      <c r="Y1130">
        <v>1</v>
      </c>
      <c r="AA1130">
        <v>1.28</v>
      </c>
      <c r="AC1130" s="3">
        <v>1.28</v>
      </c>
      <c r="AE1130" s="3">
        <v>1.1499999999999999</v>
      </c>
      <c r="AI1130">
        <v>1.1499999999999999</v>
      </c>
      <c r="AJ1130" t="s">
        <v>379</v>
      </c>
      <c r="AK1130" s="3"/>
      <c r="AV1130" t="s">
        <v>385</v>
      </c>
      <c r="AZ1130" t="s">
        <v>1878</v>
      </c>
      <c r="BB1130" t="s">
        <v>815</v>
      </c>
      <c r="BH1130">
        <v>7.5</v>
      </c>
      <c r="BJ1130">
        <v>5</v>
      </c>
      <c r="BL1130" t="s">
        <v>1879</v>
      </c>
      <c r="BN1130" t="s">
        <v>1226</v>
      </c>
      <c r="BS1130" t="s">
        <v>385</v>
      </c>
      <c r="BT1130">
        <v>4</v>
      </c>
      <c r="BU1130">
        <v>6</v>
      </c>
      <c r="BV1130">
        <v>6</v>
      </c>
      <c r="BX1130">
        <v>1.34</v>
      </c>
      <c r="BZ1130">
        <v>1.03</v>
      </c>
      <c r="CK1130" t="s">
        <v>360</v>
      </c>
      <c r="CM1130">
        <v>1911</v>
      </c>
    </row>
    <row r="1131" spans="1:91" x14ac:dyDescent="0.3">
      <c r="A1131" t="s">
        <v>1880</v>
      </c>
      <c r="B1131">
        <v>46764</v>
      </c>
      <c r="D1131">
        <v>12</v>
      </c>
      <c r="I1131">
        <v>68066</v>
      </c>
      <c r="U1131">
        <v>5</v>
      </c>
      <c r="Y1131">
        <v>5</v>
      </c>
      <c r="AA1131">
        <v>4.75</v>
      </c>
      <c r="AC1131" s="3">
        <v>4.75</v>
      </c>
      <c r="AE1131" s="3">
        <v>4.68</v>
      </c>
      <c r="AI1131">
        <v>4.75</v>
      </c>
      <c r="AK1131" s="3"/>
      <c r="AV1131" t="s">
        <v>815</v>
      </c>
      <c r="AX1131" t="s">
        <v>853</v>
      </c>
      <c r="BB1131" t="s">
        <v>853</v>
      </c>
      <c r="BG1131">
        <v>4</v>
      </c>
      <c r="BH1131">
        <v>5</v>
      </c>
      <c r="BI1131">
        <v>8</v>
      </c>
      <c r="BJ1131">
        <v>5</v>
      </c>
      <c r="BK1131" s="4">
        <v>3744</v>
      </c>
      <c r="BL1131" s="4">
        <v>3927</v>
      </c>
      <c r="BM1131" s="4">
        <v>4109</v>
      </c>
      <c r="BN1131" s="4">
        <v>4292</v>
      </c>
      <c r="BR1131">
        <v>26618</v>
      </c>
      <c r="BS1131" t="s">
        <v>1881</v>
      </c>
      <c r="BT1131">
        <v>6</v>
      </c>
      <c r="BU1131">
        <v>16</v>
      </c>
      <c r="BV1131">
        <v>9</v>
      </c>
      <c r="BX1131">
        <v>5.18</v>
      </c>
      <c r="BZ1131">
        <v>4.37</v>
      </c>
      <c r="CK1131" t="s">
        <v>360</v>
      </c>
      <c r="CM1131">
        <v>1911</v>
      </c>
    </row>
    <row r="1132" spans="1:91" x14ac:dyDescent="0.3">
      <c r="A1132" t="s">
        <v>1880</v>
      </c>
      <c r="B1132">
        <v>46765</v>
      </c>
      <c r="C1132" t="s">
        <v>1882</v>
      </c>
      <c r="D1132">
        <v>12</v>
      </c>
      <c r="I1132">
        <v>9906</v>
      </c>
      <c r="U1132">
        <v>5</v>
      </c>
      <c r="Y1132">
        <v>5</v>
      </c>
      <c r="AA1132">
        <v>6.75</v>
      </c>
      <c r="AC1132" s="3">
        <v>6.75</v>
      </c>
      <c r="AE1132" s="3">
        <v>6.75</v>
      </c>
      <c r="AI1132">
        <v>6.75</v>
      </c>
      <c r="AK1132" s="3"/>
      <c r="AV1132" t="s">
        <v>536</v>
      </c>
      <c r="AX1132" t="s">
        <v>536</v>
      </c>
      <c r="AZ1132" t="s">
        <v>536</v>
      </c>
      <c r="BB1132" t="s">
        <v>536</v>
      </c>
      <c r="BO1132" t="s">
        <v>367</v>
      </c>
      <c r="BR1132">
        <v>26618</v>
      </c>
      <c r="BS1132" t="s">
        <v>1881</v>
      </c>
      <c r="BT1132">
        <v>5</v>
      </c>
      <c r="BU1132">
        <v>18</v>
      </c>
      <c r="BV1132">
        <v>6</v>
      </c>
      <c r="BX1132">
        <v>7.5</v>
      </c>
      <c r="BZ1132">
        <v>6.5</v>
      </c>
      <c r="CM1132">
        <v>1911</v>
      </c>
    </row>
    <row r="1133" spans="1:91" x14ac:dyDescent="0.3">
      <c r="A1133" t="s">
        <v>1883</v>
      </c>
      <c r="B1133">
        <v>46731</v>
      </c>
      <c r="D1133">
        <v>12</v>
      </c>
      <c r="I1133">
        <v>100000</v>
      </c>
      <c r="U1133">
        <v>10</v>
      </c>
      <c r="Y1133">
        <v>2</v>
      </c>
      <c r="AA1133">
        <v>3.37</v>
      </c>
      <c r="AC1133" s="3">
        <v>3.37</v>
      </c>
      <c r="AE1133" s="3">
        <v>3.37</v>
      </c>
      <c r="AI1133">
        <v>3.37</v>
      </c>
      <c r="AK1133" s="3"/>
      <c r="AX1133" t="s">
        <v>853</v>
      </c>
      <c r="BB1133" t="s">
        <v>853</v>
      </c>
      <c r="BG1133">
        <v>15</v>
      </c>
      <c r="BH1133">
        <v>7.5</v>
      </c>
      <c r="BI1133">
        <v>15</v>
      </c>
      <c r="BJ1133">
        <v>7.5</v>
      </c>
      <c r="BK1133" s="4">
        <v>3685</v>
      </c>
      <c r="BL1133" s="4">
        <v>3835</v>
      </c>
      <c r="BM1133" s="4">
        <v>40575</v>
      </c>
      <c r="BN1133" s="4">
        <v>4200</v>
      </c>
      <c r="BR1133">
        <v>174848</v>
      </c>
      <c r="BT1133">
        <v>6</v>
      </c>
      <c r="BU1133">
        <v>13</v>
      </c>
      <c r="BV1133">
        <v>3</v>
      </c>
      <c r="BX1133">
        <v>3.37</v>
      </c>
      <c r="BZ1133">
        <v>2.75</v>
      </c>
      <c r="CK1133" t="s">
        <v>360</v>
      </c>
      <c r="CM1133">
        <v>1911</v>
      </c>
    </row>
    <row r="1134" spans="1:91" x14ac:dyDescent="0.3">
      <c r="A1134" t="s">
        <v>1884</v>
      </c>
      <c r="B1134">
        <v>46910</v>
      </c>
      <c r="D1134">
        <v>12</v>
      </c>
      <c r="I1134">
        <v>52290</v>
      </c>
      <c r="U1134">
        <v>5</v>
      </c>
      <c r="Y1134">
        <v>5</v>
      </c>
      <c r="AA1134">
        <v>3.37</v>
      </c>
      <c r="AC1134" s="3">
        <v>3.37</v>
      </c>
      <c r="AE1134" s="3">
        <v>3.37</v>
      </c>
      <c r="AI1134">
        <v>3.37</v>
      </c>
      <c r="AK1134" s="3"/>
      <c r="AV1134" t="s">
        <v>815</v>
      </c>
      <c r="AX1134" t="s">
        <v>815</v>
      </c>
      <c r="AZ1134" t="s">
        <v>815</v>
      </c>
      <c r="BB1134" t="s">
        <v>815</v>
      </c>
      <c r="BG1134">
        <v>5</v>
      </c>
      <c r="BH1134">
        <v>5</v>
      </c>
      <c r="BI1134">
        <v>5</v>
      </c>
      <c r="BJ1134">
        <v>5</v>
      </c>
      <c r="BK1134" s="4">
        <v>3044</v>
      </c>
      <c r="BL1134" s="4">
        <v>3409</v>
      </c>
      <c r="BM1134" s="4">
        <v>3774</v>
      </c>
      <c r="BN1134" s="4">
        <v>4139</v>
      </c>
      <c r="BR1134">
        <v>28267</v>
      </c>
      <c r="BS1134" t="s">
        <v>1885</v>
      </c>
      <c r="BT1134">
        <v>7</v>
      </c>
      <c r="BU1134">
        <v>8</v>
      </c>
      <c r="BV1134">
        <v>3</v>
      </c>
      <c r="BX1134">
        <v>3.37</v>
      </c>
      <c r="BZ1134">
        <v>3.18</v>
      </c>
      <c r="CK1134" t="s">
        <v>360</v>
      </c>
      <c r="CM1134">
        <v>1911</v>
      </c>
    </row>
    <row r="1135" spans="1:91" x14ac:dyDescent="0.3">
      <c r="A1135" t="s">
        <v>1884</v>
      </c>
      <c r="B1135">
        <v>46911</v>
      </c>
      <c r="C1135" t="s">
        <v>922</v>
      </c>
      <c r="D1135">
        <v>12</v>
      </c>
      <c r="I1135">
        <v>160000</v>
      </c>
      <c r="J1135" t="s">
        <v>800</v>
      </c>
      <c r="V1135" t="s">
        <v>350</v>
      </c>
      <c r="Y1135">
        <v>100</v>
      </c>
      <c r="AA1135">
        <v>85</v>
      </c>
      <c r="AB1135" t="s">
        <v>379</v>
      </c>
      <c r="AC1135" s="3">
        <v>85</v>
      </c>
      <c r="AE1135" s="3">
        <v>85</v>
      </c>
      <c r="AI1135">
        <v>85</v>
      </c>
      <c r="AK1135" s="3"/>
      <c r="BG1135">
        <v>4</v>
      </c>
      <c r="BH1135">
        <v>4</v>
      </c>
      <c r="BI1135">
        <v>4</v>
      </c>
      <c r="BJ1135">
        <v>4</v>
      </c>
      <c r="BK1135" s="4">
        <v>3623</v>
      </c>
      <c r="BL1135" s="4">
        <v>3805</v>
      </c>
      <c r="BM1135" s="4">
        <v>3988</v>
      </c>
      <c r="BN1135" s="4">
        <v>4170</v>
      </c>
      <c r="BR1135">
        <v>28267</v>
      </c>
      <c r="BS1135" t="s">
        <v>1885</v>
      </c>
      <c r="BT1135">
        <v>4</v>
      </c>
      <c r="BU1135">
        <v>14</v>
      </c>
      <c r="BV1135">
        <v>9</v>
      </c>
      <c r="BX1135">
        <v>87</v>
      </c>
      <c r="BZ1135">
        <v>83</v>
      </c>
      <c r="CM1135">
        <v>1911</v>
      </c>
    </row>
    <row r="1136" spans="1:91" x14ac:dyDescent="0.3">
      <c r="A1136" t="s">
        <v>1886</v>
      </c>
      <c r="B1136">
        <v>46670</v>
      </c>
      <c r="D1136">
        <v>12</v>
      </c>
      <c r="I1136" s="2">
        <v>1000000</v>
      </c>
      <c r="J1136" t="s">
        <v>800</v>
      </c>
      <c r="V1136" t="s">
        <v>350</v>
      </c>
      <c r="Y1136">
        <v>100</v>
      </c>
      <c r="AA1136">
        <v>201</v>
      </c>
      <c r="AC1136" s="3">
        <v>201</v>
      </c>
      <c r="AE1136" s="3">
        <v>190</v>
      </c>
      <c r="AI1136">
        <v>194</v>
      </c>
      <c r="AK1136" s="3"/>
      <c r="AV1136" t="s">
        <v>853</v>
      </c>
      <c r="AZ1136" t="s">
        <v>853</v>
      </c>
      <c r="BG1136">
        <v>8</v>
      </c>
      <c r="BH1136">
        <v>16</v>
      </c>
      <c r="BI1136">
        <v>8</v>
      </c>
      <c r="BJ1136">
        <v>22</v>
      </c>
      <c r="BK1136" s="4">
        <v>3805</v>
      </c>
      <c r="BL1136" s="4">
        <v>3988</v>
      </c>
      <c r="BM1136" s="4">
        <v>4170</v>
      </c>
      <c r="BN1136" s="4">
        <v>4353</v>
      </c>
      <c r="BR1136">
        <v>595011</v>
      </c>
      <c r="BS1136" t="s">
        <v>1887</v>
      </c>
      <c r="BT1136">
        <v>7</v>
      </c>
      <c r="BU1136">
        <v>14</v>
      </c>
      <c r="BV1136">
        <v>9</v>
      </c>
      <c r="BX1136">
        <v>201</v>
      </c>
      <c r="BZ1136">
        <v>156</v>
      </c>
      <c r="CK1136" t="s">
        <v>1888</v>
      </c>
      <c r="CL1136" t="s">
        <v>457</v>
      </c>
      <c r="CM1136">
        <v>1911</v>
      </c>
    </row>
    <row r="1137" spans="1:91" x14ac:dyDescent="0.3">
      <c r="A1137" t="s">
        <v>1886</v>
      </c>
      <c r="B1137">
        <v>46671</v>
      </c>
      <c r="C1137" t="s">
        <v>1889</v>
      </c>
      <c r="D1137">
        <v>12</v>
      </c>
      <c r="I1137" s="2">
        <v>1000000</v>
      </c>
      <c r="J1137" t="s">
        <v>800</v>
      </c>
      <c r="V1137" t="s">
        <v>350</v>
      </c>
      <c r="Y1137">
        <v>100</v>
      </c>
      <c r="AA1137">
        <v>96</v>
      </c>
      <c r="AB1137" t="s">
        <v>379</v>
      </c>
      <c r="AC1137" s="3">
        <v>99.5</v>
      </c>
      <c r="AE1137" s="3">
        <v>96</v>
      </c>
      <c r="AI1137">
        <v>99.5</v>
      </c>
      <c r="AK1137" s="3"/>
      <c r="AV1137" t="s">
        <v>421</v>
      </c>
      <c r="AX1137" t="s">
        <v>421</v>
      </c>
      <c r="AZ1137" t="s">
        <v>421</v>
      </c>
      <c r="BB1137" t="s">
        <v>421</v>
      </c>
      <c r="BO1137" t="s">
        <v>367</v>
      </c>
      <c r="BR1137">
        <v>595011</v>
      </c>
      <c r="BS1137" t="s">
        <v>1887</v>
      </c>
      <c r="BT1137">
        <v>4</v>
      </c>
      <c r="BU1137">
        <v>0</v>
      </c>
      <c r="BV1137">
        <v>6</v>
      </c>
      <c r="BX1137">
        <v>99.5</v>
      </c>
      <c r="BZ1137">
        <v>94.25</v>
      </c>
      <c r="CM1137">
        <v>1911</v>
      </c>
    </row>
    <row r="1138" spans="1:91" x14ac:dyDescent="0.3">
      <c r="A1138" t="s">
        <v>1886</v>
      </c>
      <c r="B1138">
        <v>46672</v>
      </c>
      <c r="C1138" t="s">
        <v>1890</v>
      </c>
      <c r="D1138">
        <v>12</v>
      </c>
      <c r="I1138">
        <v>650000</v>
      </c>
      <c r="J1138" t="s">
        <v>800</v>
      </c>
      <c r="V1138" t="s">
        <v>350</v>
      </c>
      <c r="Y1138">
        <v>100</v>
      </c>
      <c r="AA1138">
        <v>101.5</v>
      </c>
      <c r="AC1138" s="3">
        <v>101.5</v>
      </c>
      <c r="AE1138" s="3">
        <v>101.5</v>
      </c>
      <c r="AI1138">
        <v>101.5</v>
      </c>
      <c r="AK1138" s="3"/>
      <c r="AV1138" t="s">
        <v>366</v>
      </c>
      <c r="AX1138" t="s">
        <v>366</v>
      </c>
      <c r="AZ1138" t="s">
        <v>366</v>
      </c>
      <c r="BB1138" t="s">
        <v>366</v>
      </c>
      <c r="BO1138" t="s">
        <v>367</v>
      </c>
      <c r="BR1138">
        <v>595011</v>
      </c>
      <c r="BS1138" t="s">
        <v>1887</v>
      </c>
      <c r="BT1138">
        <v>3</v>
      </c>
      <c r="BU1138">
        <v>19</v>
      </c>
      <c r="BV1138">
        <v>0</v>
      </c>
      <c r="BX1138">
        <v>101.5</v>
      </c>
      <c r="BZ1138">
        <v>98</v>
      </c>
      <c r="CM1138">
        <v>1911</v>
      </c>
    </row>
    <row r="1139" spans="1:91" x14ac:dyDescent="0.3">
      <c r="A1139" t="s">
        <v>1891</v>
      </c>
      <c r="B1139">
        <v>46716</v>
      </c>
      <c r="D1139">
        <v>12</v>
      </c>
      <c r="I1139">
        <v>300000</v>
      </c>
      <c r="U1139">
        <v>1</v>
      </c>
      <c r="Y1139">
        <v>1</v>
      </c>
      <c r="AA1139">
        <v>2.06</v>
      </c>
      <c r="AC1139" s="3">
        <v>2.06</v>
      </c>
      <c r="AE1139" s="3">
        <v>1.93</v>
      </c>
      <c r="AI1139">
        <v>2.06</v>
      </c>
      <c r="AK1139" s="3"/>
      <c r="AX1139" t="s">
        <v>853</v>
      </c>
      <c r="BB1139" t="s">
        <v>853</v>
      </c>
      <c r="BG1139">
        <v>8</v>
      </c>
      <c r="BH1139">
        <v>8</v>
      </c>
      <c r="BI1139">
        <v>8</v>
      </c>
      <c r="BJ1139">
        <v>9</v>
      </c>
      <c r="BK1139" s="4">
        <v>3654</v>
      </c>
      <c r="BL1139" s="4">
        <v>3835</v>
      </c>
      <c r="BM1139" s="4">
        <v>4019</v>
      </c>
      <c r="BN1139" s="4">
        <v>4200</v>
      </c>
      <c r="BR1139">
        <v>317288</v>
      </c>
      <c r="BT1139">
        <v>4</v>
      </c>
      <c r="BU1139">
        <v>2</v>
      </c>
      <c r="BV1139">
        <v>6</v>
      </c>
      <c r="BX1139">
        <v>2.12</v>
      </c>
      <c r="BZ1139">
        <v>1.81</v>
      </c>
      <c r="CK1139" t="s">
        <v>360</v>
      </c>
      <c r="CM1139">
        <v>1911</v>
      </c>
    </row>
    <row r="1140" spans="1:91" x14ac:dyDescent="0.3">
      <c r="A1140" t="s">
        <v>1892</v>
      </c>
      <c r="B1140">
        <v>46695</v>
      </c>
      <c r="D1140">
        <v>12</v>
      </c>
      <c r="I1140" s="2">
        <v>1962450</v>
      </c>
      <c r="J1140" t="s">
        <v>800</v>
      </c>
      <c r="V1140" t="s">
        <v>350</v>
      </c>
      <c r="Y1140">
        <v>100</v>
      </c>
      <c r="AA1140">
        <v>96</v>
      </c>
      <c r="AC1140" s="3">
        <v>98</v>
      </c>
      <c r="AE1140" s="3">
        <v>96</v>
      </c>
      <c r="AI1140">
        <v>98</v>
      </c>
      <c r="AK1140" s="3"/>
      <c r="BG1140">
        <v>4</v>
      </c>
      <c r="BH1140">
        <v>4</v>
      </c>
      <c r="BI1140">
        <v>4</v>
      </c>
      <c r="BJ1140">
        <v>4</v>
      </c>
      <c r="BK1140" s="4">
        <v>3744</v>
      </c>
      <c r="BL1140" s="4">
        <v>3927</v>
      </c>
      <c r="BM1140" s="4">
        <v>4109</v>
      </c>
      <c r="BN1140" s="4">
        <v>4292</v>
      </c>
      <c r="BR1140">
        <v>610293</v>
      </c>
      <c r="BS1140" t="s">
        <v>1893</v>
      </c>
      <c r="BT1140">
        <v>4</v>
      </c>
      <c r="BU1140">
        <v>2</v>
      </c>
      <c r="BV1140">
        <v>0</v>
      </c>
      <c r="BX1140">
        <v>99.5</v>
      </c>
      <c r="BZ1140">
        <v>94.5</v>
      </c>
      <c r="CK1140" t="s">
        <v>360</v>
      </c>
      <c r="CM1140">
        <v>1911</v>
      </c>
    </row>
    <row r="1141" spans="1:91" x14ac:dyDescent="0.3">
      <c r="A1141" t="s">
        <v>1894</v>
      </c>
      <c r="B1141">
        <v>46705</v>
      </c>
      <c r="C1141" t="s">
        <v>1895</v>
      </c>
      <c r="D1141">
        <v>12</v>
      </c>
      <c r="I1141">
        <v>511388</v>
      </c>
      <c r="J1141" t="s">
        <v>800</v>
      </c>
      <c r="V1141" t="s">
        <v>350</v>
      </c>
      <c r="Y1141">
        <v>100</v>
      </c>
      <c r="AA1141">
        <v>87</v>
      </c>
      <c r="AC1141" s="3">
        <v>87</v>
      </c>
      <c r="AE1141" s="3">
        <v>85</v>
      </c>
      <c r="AI1141">
        <v>87</v>
      </c>
      <c r="AK1141" s="3"/>
      <c r="BG1141">
        <v>4</v>
      </c>
      <c r="BH1141">
        <v>4</v>
      </c>
      <c r="BI1141">
        <v>4</v>
      </c>
      <c r="BJ1141">
        <v>4</v>
      </c>
      <c r="BK1141" s="4">
        <v>3744</v>
      </c>
      <c r="BL1141" s="4">
        <v>3927</v>
      </c>
      <c r="BM1141" s="4">
        <v>4109</v>
      </c>
      <c r="BN1141" s="4">
        <v>4658</v>
      </c>
      <c r="BR1141">
        <v>610293</v>
      </c>
      <c r="BS1141" t="s">
        <v>1893</v>
      </c>
      <c r="BT1141">
        <v>4</v>
      </c>
      <c r="BU1141">
        <v>12</v>
      </c>
      <c r="BV1141">
        <v>6</v>
      </c>
      <c r="BX1141">
        <v>87.5</v>
      </c>
      <c r="BZ1141">
        <v>82.5</v>
      </c>
      <c r="CM1141">
        <v>1911</v>
      </c>
    </row>
    <row r="1142" spans="1:91" x14ac:dyDescent="0.3">
      <c r="A1142" t="s">
        <v>1892</v>
      </c>
      <c r="B1142">
        <v>46706</v>
      </c>
      <c r="C1142" t="s">
        <v>1896</v>
      </c>
      <c r="D1142">
        <v>12</v>
      </c>
      <c r="I1142">
        <v>383541</v>
      </c>
      <c r="J1142" t="s">
        <v>800</v>
      </c>
      <c r="V1142" t="s">
        <v>350</v>
      </c>
      <c r="Y1142">
        <v>100</v>
      </c>
      <c r="AA1142">
        <v>150</v>
      </c>
      <c r="AC1142" s="3">
        <v>160</v>
      </c>
      <c r="AE1142" s="3">
        <v>150</v>
      </c>
      <c r="AI1142">
        <v>154.5</v>
      </c>
      <c r="AK1142" s="3"/>
      <c r="AV1142" t="s">
        <v>815</v>
      </c>
      <c r="AX1142" t="s">
        <v>815</v>
      </c>
      <c r="AZ1142" t="s">
        <v>815</v>
      </c>
      <c r="BB1142" t="s">
        <v>815</v>
      </c>
      <c r="BG1142">
        <v>4.5</v>
      </c>
      <c r="BH1142">
        <v>4.5</v>
      </c>
      <c r="BI1142">
        <v>7</v>
      </c>
      <c r="BJ1142">
        <v>7</v>
      </c>
      <c r="BK1142" s="4">
        <v>3289</v>
      </c>
      <c r="BL1142" s="4">
        <v>3654</v>
      </c>
      <c r="BM1142" s="4">
        <v>4019</v>
      </c>
      <c r="BN1142" s="4">
        <v>4384</v>
      </c>
      <c r="BR1142">
        <v>610293</v>
      </c>
      <c r="BS1142" t="s">
        <v>1893</v>
      </c>
      <c r="BT1142">
        <v>4</v>
      </c>
      <c r="BU1142">
        <v>10</v>
      </c>
      <c r="BV1142">
        <v>6</v>
      </c>
      <c r="BX1142">
        <v>160</v>
      </c>
      <c r="BZ1142">
        <v>116</v>
      </c>
      <c r="CM1142">
        <v>1911</v>
      </c>
    </row>
    <row r="1143" spans="1:91" x14ac:dyDescent="0.3">
      <c r="A1143" t="s">
        <v>1897</v>
      </c>
      <c r="B1143">
        <v>46689</v>
      </c>
      <c r="D1143">
        <v>12</v>
      </c>
      <c r="I1143">
        <v>110000</v>
      </c>
      <c r="U1143">
        <v>10</v>
      </c>
      <c r="Y1143">
        <v>2</v>
      </c>
      <c r="AA1143">
        <v>5.12</v>
      </c>
      <c r="AC1143" s="3">
        <v>5.37</v>
      </c>
      <c r="AE1143" s="3">
        <v>5.12</v>
      </c>
      <c r="AI1143">
        <v>5.37</v>
      </c>
      <c r="AK1143" s="3"/>
      <c r="AX1143" t="s">
        <v>853</v>
      </c>
      <c r="BB1143" t="s">
        <v>853</v>
      </c>
      <c r="BG1143">
        <v>15</v>
      </c>
      <c r="BH1143">
        <v>10</v>
      </c>
      <c r="BI1143">
        <v>15</v>
      </c>
      <c r="BJ1143">
        <v>10</v>
      </c>
      <c r="BK1143" s="4">
        <v>3623</v>
      </c>
      <c r="BL1143" s="4">
        <v>3805</v>
      </c>
      <c r="BM1143" s="4">
        <v>3988</v>
      </c>
      <c r="BN1143" s="4">
        <v>4170</v>
      </c>
      <c r="BR1143">
        <v>243220</v>
      </c>
      <c r="BS1143" t="s">
        <v>1898</v>
      </c>
      <c r="BT1143">
        <v>4</v>
      </c>
      <c r="BU1143">
        <v>13</v>
      </c>
      <c r="BV1143">
        <v>0</v>
      </c>
      <c r="BX1143">
        <v>5.37</v>
      </c>
      <c r="BZ1143">
        <v>4.18</v>
      </c>
      <c r="CK1143" t="s">
        <v>1899</v>
      </c>
      <c r="CM1143">
        <v>1911</v>
      </c>
    </row>
    <row r="1144" spans="1:91" x14ac:dyDescent="0.3">
      <c r="A1144" t="s">
        <v>1897</v>
      </c>
      <c r="B1144">
        <v>46690</v>
      </c>
      <c r="C1144" t="s">
        <v>1890</v>
      </c>
      <c r="D1144">
        <v>12</v>
      </c>
      <c r="I1144">
        <v>424678</v>
      </c>
      <c r="J1144" t="s">
        <v>800</v>
      </c>
      <c r="V1144" t="s">
        <v>350</v>
      </c>
      <c r="Y1144">
        <v>100</v>
      </c>
      <c r="AA1144">
        <v>100</v>
      </c>
      <c r="AC1144" s="3">
        <v>100</v>
      </c>
      <c r="AE1144" s="3">
        <v>100</v>
      </c>
      <c r="AI1144">
        <v>100</v>
      </c>
      <c r="AK1144" s="3"/>
      <c r="AV1144" t="s">
        <v>366</v>
      </c>
      <c r="AX1144" t="s">
        <v>366</v>
      </c>
      <c r="AZ1144" t="s">
        <v>366</v>
      </c>
      <c r="BB1144" t="s">
        <v>366</v>
      </c>
      <c r="BO1144" t="s">
        <v>367</v>
      </c>
      <c r="BR1144">
        <v>243220</v>
      </c>
      <c r="BS1144" t="s">
        <v>1898</v>
      </c>
      <c r="BT1144">
        <v>4</v>
      </c>
      <c r="BU1144">
        <v>0</v>
      </c>
      <c r="BV1144">
        <v>0</v>
      </c>
      <c r="BX1144">
        <v>101.75</v>
      </c>
      <c r="BZ1144">
        <v>99</v>
      </c>
      <c r="CM1144">
        <v>1911</v>
      </c>
    </row>
    <row r="1145" spans="1:91" x14ac:dyDescent="0.3">
      <c r="A1145" t="s">
        <v>1900</v>
      </c>
      <c r="B1145">
        <v>47192</v>
      </c>
      <c r="D1145">
        <v>12</v>
      </c>
      <c r="I1145" s="2">
        <v>2000000</v>
      </c>
      <c r="V1145" t="s">
        <v>1758</v>
      </c>
      <c r="Z1145" t="s">
        <v>1758</v>
      </c>
      <c r="AA1145">
        <v>0.5</v>
      </c>
      <c r="AC1145" s="3">
        <v>0.5</v>
      </c>
      <c r="AE1145" s="3">
        <v>0.46</v>
      </c>
      <c r="AI1145">
        <v>0.46</v>
      </c>
      <c r="AK1145" s="3"/>
      <c r="AV1145" t="s">
        <v>815</v>
      </c>
      <c r="AX1145" t="s">
        <v>1901</v>
      </c>
      <c r="AZ1145" t="s">
        <v>815</v>
      </c>
      <c r="BB1145" t="s">
        <v>1901</v>
      </c>
      <c r="BG1145">
        <v>2.5</v>
      </c>
      <c r="BH1145">
        <v>5</v>
      </c>
      <c r="BI1145">
        <v>5</v>
      </c>
      <c r="BJ1145">
        <v>5</v>
      </c>
      <c r="BK1145" s="4">
        <v>2132</v>
      </c>
      <c r="BL1145" s="4">
        <v>3623</v>
      </c>
      <c r="BM1145" s="4">
        <v>3988</v>
      </c>
      <c r="BN1145" s="4">
        <v>4109</v>
      </c>
      <c r="BR1145">
        <v>60744</v>
      </c>
      <c r="BT1145">
        <v>10</v>
      </c>
      <c r="BU1145">
        <v>13</v>
      </c>
      <c r="BV1145">
        <v>3</v>
      </c>
      <c r="BW1145" t="s">
        <v>1902</v>
      </c>
      <c r="BX1145">
        <v>0.71</v>
      </c>
      <c r="BZ1145">
        <v>0.43</v>
      </c>
      <c r="CK1145" t="s">
        <v>360</v>
      </c>
      <c r="CM1145">
        <v>1911</v>
      </c>
    </row>
    <row r="1146" spans="1:91" x14ac:dyDescent="0.3">
      <c r="A1146" t="s">
        <v>1903</v>
      </c>
      <c r="B1146">
        <v>47267</v>
      </c>
      <c r="D1146">
        <v>12</v>
      </c>
      <c r="I1146">
        <v>130000</v>
      </c>
      <c r="U1146">
        <v>1</v>
      </c>
      <c r="Y1146">
        <v>1</v>
      </c>
      <c r="AA1146">
        <v>2.25</v>
      </c>
      <c r="AC1146" s="3">
        <v>2.25</v>
      </c>
      <c r="AE1146" s="3">
        <v>2.25</v>
      </c>
      <c r="AI1146">
        <v>2.25</v>
      </c>
      <c r="AK1146" s="3"/>
      <c r="AV1146" t="s">
        <v>853</v>
      </c>
      <c r="AZ1146" t="s">
        <v>853</v>
      </c>
      <c r="BG1146">
        <v>7</v>
      </c>
      <c r="BH1146">
        <v>13</v>
      </c>
      <c r="BI1146">
        <v>7</v>
      </c>
      <c r="BJ1146">
        <v>13</v>
      </c>
      <c r="BK1146" s="4">
        <v>3654</v>
      </c>
      <c r="BL1146" s="4">
        <v>3835</v>
      </c>
      <c r="BM1146" s="4">
        <v>4019</v>
      </c>
      <c r="BN1146" s="4">
        <v>4200</v>
      </c>
      <c r="BR1146">
        <v>122496</v>
      </c>
      <c r="BT1146">
        <v>4</v>
      </c>
      <c r="BU1146">
        <v>9</v>
      </c>
      <c r="BV1146">
        <v>9</v>
      </c>
      <c r="BX1146">
        <v>2.75</v>
      </c>
      <c r="BZ1146">
        <v>2.06</v>
      </c>
      <c r="CK1146" t="s">
        <v>454</v>
      </c>
      <c r="CM1146">
        <v>1911</v>
      </c>
    </row>
    <row r="1147" spans="1:91" x14ac:dyDescent="0.3">
      <c r="A1147" t="s">
        <v>1904</v>
      </c>
      <c r="B1147">
        <v>47365</v>
      </c>
      <c r="D1147">
        <v>12</v>
      </c>
      <c r="I1147">
        <v>75000</v>
      </c>
      <c r="U1147">
        <v>10</v>
      </c>
      <c r="Y1147">
        <v>2.5</v>
      </c>
      <c r="AA1147">
        <v>3.06</v>
      </c>
      <c r="AC1147" s="3">
        <v>3.06</v>
      </c>
      <c r="AE1147" s="3">
        <v>3.06</v>
      </c>
      <c r="AI1147">
        <v>3.06</v>
      </c>
      <c r="AK1147" s="3"/>
      <c r="AV1147" t="s">
        <v>815</v>
      </c>
      <c r="AX1147" t="s">
        <v>815</v>
      </c>
      <c r="AZ1147" t="s">
        <v>815</v>
      </c>
      <c r="BB1147" t="s">
        <v>815</v>
      </c>
      <c r="BG1147">
        <v>7</v>
      </c>
      <c r="BH1147">
        <v>7</v>
      </c>
      <c r="BI1147">
        <v>8</v>
      </c>
      <c r="BJ1147">
        <v>8.5</v>
      </c>
      <c r="BK1147" s="4">
        <v>3014</v>
      </c>
      <c r="BL1147" s="4">
        <v>3379</v>
      </c>
      <c r="BM1147" s="4">
        <v>3744</v>
      </c>
      <c r="BN1147" s="4">
        <v>4109</v>
      </c>
      <c r="BR1147">
        <v>106453</v>
      </c>
      <c r="BS1147" t="s">
        <v>1905</v>
      </c>
      <c r="BT1147">
        <v>6</v>
      </c>
      <c r="BU1147">
        <v>18</v>
      </c>
      <c r="BV1147">
        <v>3</v>
      </c>
      <c r="BX1147">
        <v>3.25</v>
      </c>
      <c r="BZ1147">
        <v>2.87</v>
      </c>
      <c r="CK1147" t="s">
        <v>1906</v>
      </c>
      <c r="CM1147">
        <v>1911</v>
      </c>
    </row>
    <row r="1148" spans="1:91" x14ac:dyDescent="0.3">
      <c r="A1148" t="s">
        <v>1904</v>
      </c>
      <c r="B1148">
        <v>47366</v>
      </c>
      <c r="C1148" t="s">
        <v>1176</v>
      </c>
      <c r="D1148">
        <v>12</v>
      </c>
      <c r="I1148">
        <v>383950</v>
      </c>
      <c r="J1148" t="s">
        <v>800</v>
      </c>
      <c r="V1148" t="s">
        <v>350</v>
      </c>
      <c r="Y1148">
        <v>100</v>
      </c>
      <c r="AA1148">
        <v>99</v>
      </c>
      <c r="AC1148" s="3">
        <v>99</v>
      </c>
      <c r="AE1148" s="3">
        <v>97</v>
      </c>
      <c r="AI1148">
        <v>97</v>
      </c>
      <c r="AJ1148" t="s">
        <v>379</v>
      </c>
      <c r="AK1148" s="3"/>
      <c r="AV1148" t="s">
        <v>370</v>
      </c>
      <c r="AX1148" t="s">
        <v>370</v>
      </c>
      <c r="AZ1148" t="s">
        <v>370</v>
      </c>
      <c r="BB1148" t="s">
        <v>370</v>
      </c>
      <c r="BO1148" t="s">
        <v>367</v>
      </c>
      <c r="BR1148">
        <v>106453</v>
      </c>
      <c r="BS1148" t="s">
        <v>1905</v>
      </c>
      <c r="BT1148">
        <v>4</v>
      </c>
      <c r="BU1148">
        <v>2</v>
      </c>
      <c r="BV1148">
        <v>6</v>
      </c>
      <c r="BX1148">
        <v>99.5</v>
      </c>
      <c r="BZ1148">
        <v>96</v>
      </c>
      <c r="CM1148">
        <v>1911</v>
      </c>
    </row>
    <row r="1149" spans="1:91" x14ac:dyDescent="0.3">
      <c r="A1149" t="s">
        <v>1907</v>
      </c>
      <c r="B1149">
        <v>47508</v>
      </c>
      <c r="D1149">
        <v>12</v>
      </c>
      <c r="I1149">
        <v>360000</v>
      </c>
      <c r="J1149" t="s">
        <v>800</v>
      </c>
      <c r="V1149" t="s">
        <v>350</v>
      </c>
      <c r="Y1149">
        <v>100</v>
      </c>
      <c r="AA1149">
        <v>173.5</v>
      </c>
      <c r="AC1149" s="3">
        <v>173.5</v>
      </c>
      <c r="AE1149" s="3">
        <v>171.5</v>
      </c>
      <c r="AI1149">
        <v>173.5</v>
      </c>
      <c r="AK1149" s="3"/>
      <c r="AV1149" t="s">
        <v>1908</v>
      </c>
      <c r="AX1149" t="s">
        <v>853</v>
      </c>
      <c r="BB1149" t="s">
        <v>853</v>
      </c>
      <c r="BG1149">
        <v>16</v>
      </c>
      <c r="BH1149">
        <v>10</v>
      </c>
      <c r="BI1149">
        <v>20</v>
      </c>
      <c r="BJ1149">
        <v>10</v>
      </c>
      <c r="BK1149" s="4">
        <v>3654</v>
      </c>
      <c r="BL1149" s="4">
        <v>3835</v>
      </c>
      <c r="BM1149" s="4">
        <v>4019</v>
      </c>
      <c r="BN1149" s="4">
        <v>4200</v>
      </c>
      <c r="BR1149">
        <v>203966</v>
      </c>
      <c r="BT1149">
        <v>8</v>
      </c>
      <c r="BU1149">
        <v>13</v>
      </c>
      <c r="BV1149">
        <v>3</v>
      </c>
      <c r="BX1149">
        <v>198</v>
      </c>
      <c r="BZ1149">
        <v>171.5</v>
      </c>
      <c r="CK1149" t="s">
        <v>360</v>
      </c>
      <c r="CM1149">
        <v>1911</v>
      </c>
    </row>
    <row r="1150" spans="1:91" x14ac:dyDescent="0.3">
      <c r="A1150" t="s">
        <v>1909</v>
      </c>
      <c r="B1150">
        <v>47563</v>
      </c>
      <c r="D1150">
        <v>12</v>
      </c>
      <c r="I1150">
        <v>399000</v>
      </c>
      <c r="V1150" t="s">
        <v>1910</v>
      </c>
      <c r="Z1150" t="s">
        <v>1910</v>
      </c>
      <c r="AA1150">
        <v>1.25</v>
      </c>
      <c r="AC1150" s="3">
        <v>1.4</v>
      </c>
      <c r="AE1150" s="3">
        <v>1.1499999999999999</v>
      </c>
      <c r="AI1150">
        <v>1.37</v>
      </c>
      <c r="AK1150" s="3"/>
      <c r="AV1150" t="s">
        <v>385</v>
      </c>
      <c r="AX1150" t="s">
        <v>385</v>
      </c>
      <c r="AZ1150" t="s">
        <v>385</v>
      </c>
      <c r="BB1150" t="s">
        <v>385</v>
      </c>
      <c r="BR1150">
        <v>412275</v>
      </c>
      <c r="BS1150" t="s">
        <v>1911</v>
      </c>
      <c r="BW1150" t="s">
        <v>802</v>
      </c>
      <c r="BX1150">
        <v>1.96</v>
      </c>
      <c r="BZ1150">
        <v>1.06</v>
      </c>
      <c r="CK1150" t="s">
        <v>360</v>
      </c>
      <c r="CM1150">
        <v>1911</v>
      </c>
    </row>
    <row r="1151" spans="1:91" x14ac:dyDescent="0.3">
      <c r="A1151" t="s">
        <v>1909</v>
      </c>
      <c r="B1151">
        <v>47564</v>
      </c>
      <c r="C1151" t="s">
        <v>1912</v>
      </c>
      <c r="D1151">
        <v>12</v>
      </c>
      <c r="I1151" s="2">
        <v>1206360</v>
      </c>
      <c r="U1151">
        <v>1</v>
      </c>
      <c r="Y1151">
        <v>1</v>
      </c>
      <c r="AA1151">
        <v>1.68</v>
      </c>
      <c r="AC1151" s="3">
        <v>1.71</v>
      </c>
      <c r="AE1151" s="3">
        <v>1.62</v>
      </c>
      <c r="AI1151">
        <v>1.68</v>
      </c>
      <c r="AK1151" s="3"/>
      <c r="AV1151" t="s">
        <v>385</v>
      </c>
      <c r="AX1151" t="s">
        <v>385</v>
      </c>
      <c r="AZ1151" t="s">
        <v>385</v>
      </c>
      <c r="BB1151" t="s">
        <v>385</v>
      </c>
      <c r="BR1151">
        <v>412275</v>
      </c>
      <c r="BS1151" t="s">
        <v>1911</v>
      </c>
      <c r="BW1151" t="s">
        <v>802</v>
      </c>
      <c r="BX1151">
        <v>2.09</v>
      </c>
      <c r="BZ1151">
        <v>1.18</v>
      </c>
      <c r="CM1151">
        <v>1911</v>
      </c>
    </row>
    <row r="1152" spans="1:91" x14ac:dyDescent="0.3">
      <c r="A1152" t="s">
        <v>1913</v>
      </c>
      <c r="B1152">
        <v>47612</v>
      </c>
      <c r="D1152">
        <v>12</v>
      </c>
      <c r="I1152" s="2">
        <v>9000000</v>
      </c>
      <c r="J1152" t="s">
        <v>800</v>
      </c>
      <c r="V1152" t="s">
        <v>350</v>
      </c>
      <c r="Y1152">
        <v>100</v>
      </c>
      <c r="AA1152">
        <v>11</v>
      </c>
      <c r="AC1152" s="3">
        <v>11.87</v>
      </c>
      <c r="AE1152" s="3">
        <v>11</v>
      </c>
      <c r="AI1152">
        <v>11.5</v>
      </c>
      <c r="AK1152" s="3"/>
      <c r="AV1152" t="s">
        <v>385</v>
      </c>
      <c r="AX1152" t="s">
        <v>385</v>
      </c>
      <c r="AZ1152" t="s">
        <v>385</v>
      </c>
      <c r="BB1152" t="s">
        <v>385</v>
      </c>
      <c r="BR1152">
        <v>575000</v>
      </c>
      <c r="BS1152" t="s">
        <v>1914</v>
      </c>
      <c r="BW1152" t="s">
        <v>802</v>
      </c>
      <c r="BX1152">
        <v>12.56</v>
      </c>
      <c r="BZ1152">
        <v>9</v>
      </c>
      <c r="CK1152" t="s">
        <v>360</v>
      </c>
      <c r="CM1152">
        <v>1911</v>
      </c>
    </row>
    <row r="1153" spans="1:91" x14ac:dyDescent="0.3">
      <c r="A1153" t="s">
        <v>1913</v>
      </c>
      <c r="B1153">
        <v>47614</v>
      </c>
      <c r="C1153" t="s">
        <v>1915</v>
      </c>
      <c r="D1153">
        <v>12</v>
      </c>
      <c r="I1153" s="2">
        <v>7500000</v>
      </c>
      <c r="J1153" t="s">
        <v>800</v>
      </c>
      <c r="V1153" t="s">
        <v>350</v>
      </c>
      <c r="Y1153">
        <v>100</v>
      </c>
      <c r="AA1153">
        <v>43.5</v>
      </c>
      <c r="AC1153" s="3">
        <v>47.12</v>
      </c>
      <c r="AE1153" s="3">
        <v>43.75</v>
      </c>
      <c r="AI1153">
        <v>43.37</v>
      </c>
      <c r="AJ1153" t="s">
        <v>379</v>
      </c>
      <c r="AK1153" s="3"/>
      <c r="BG1153">
        <v>1.5</v>
      </c>
      <c r="BH1153">
        <v>1</v>
      </c>
      <c r="BI1153">
        <v>1.25</v>
      </c>
      <c r="BJ1153">
        <v>2</v>
      </c>
      <c r="BK1153" s="4">
        <v>3289</v>
      </c>
      <c r="BL1153" s="4">
        <v>3654</v>
      </c>
      <c r="BM1153" s="4">
        <v>4019</v>
      </c>
      <c r="BN1153" s="4">
        <v>4384</v>
      </c>
      <c r="BR1153">
        <v>575000</v>
      </c>
      <c r="BS1153" t="s">
        <v>1914</v>
      </c>
      <c r="BT1153">
        <v>4</v>
      </c>
      <c r="BU1153">
        <v>10</v>
      </c>
      <c r="BV1153">
        <v>3</v>
      </c>
      <c r="BX1153">
        <v>47.12</v>
      </c>
      <c r="BZ1153">
        <v>35.5</v>
      </c>
      <c r="CM1153">
        <v>1911</v>
      </c>
    </row>
    <row r="1154" spans="1:91" x14ac:dyDescent="0.3">
      <c r="A1154" t="s">
        <v>1913</v>
      </c>
      <c r="B1154">
        <v>47613</v>
      </c>
      <c r="C1154" t="s">
        <v>1916</v>
      </c>
      <c r="D1154">
        <v>12</v>
      </c>
      <c r="I1154" s="2">
        <v>5294200</v>
      </c>
      <c r="J1154" t="s">
        <v>800</v>
      </c>
      <c r="U1154">
        <v>100</v>
      </c>
      <c r="Y1154">
        <v>100</v>
      </c>
      <c r="AA1154">
        <v>105.25</v>
      </c>
      <c r="AC1154" s="3">
        <v>106.75</v>
      </c>
      <c r="AE1154" s="3">
        <v>105.25</v>
      </c>
      <c r="AI1154">
        <v>106.5</v>
      </c>
      <c r="AK1154" s="3"/>
      <c r="AV1154" t="s">
        <v>815</v>
      </c>
      <c r="AX1154" t="s">
        <v>815</v>
      </c>
      <c r="AZ1154" t="s">
        <v>815</v>
      </c>
      <c r="BB1154" t="s">
        <v>815</v>
      </c>
      <c r="BG1154">
        <v>4</v>
      </c>
      <c r="BH1154">
        <v>8</v>
      </c>
      <c r="BI1154">
        <v>4</v>
      </c>
      <c r="BJ1154">
        <v>8</v>
      </c>
      <c r="BK1154" s="4">
        <v>3927</v>
      </c>
      <c r="BL1154" s="4">
        <v>4109</v>
      </c>
      <c r="BM1154" s="4">
        <v>4292</v>
      </c>
      <c r="BN1154" s="4">
        <v>4475</v>
      </c>
      <c r="BR1154">
        <v>575000</v>
      </c>
      <c r="BS1154" t="s">
        <v>1914</v>
      </c>
      <c r="BT1154">
        <v>5</v>
      </c>
      <c r="BU1154">
        <v>12</v>
      </c>
      <c r="BV1154">
        <v>9</v>
      </c>
      <c r="BX1154">
        <v>107</v>
      </c>
      <c r="BZ1154">
        <v>100.62</v>
      </c>
      <c r="CM1154">
        <v>1911</v>
      </c>
    </row>
    <row r="1155" spans="1:91" x14ac:dyDescent="0.3">
      <c r="A1155" t="s">
        <v>1917</v>
      </c>
      <c r="B1155">
        <v>47704</v>
      </c>
      <c r="D1155">
        <v>12</v>
      </c>
      <c r="I1155">
        <v>245000</v>
      </c>
      <c r="U1155">
        <v>1</v>
      </c>
      <c r="Y1155">
        <v>1</v>
      </c>
      <c r="AA1155">
        <v>2.12</v>
      </c>
      <c r="AB1155" t="s">
        <v>379</v>
      </c>
      <c r="AC1155" s="3">
        <v>2.25</v>
      </c>
      <c r="AE1155" s="3">
        <v>1.93</v>
      </c>
      <c r="AI1155">
        <v>2.25</v>
      </c>
      <c r="AK1155" s="3"/>
      <c r="AV1155" t="s">
        <v>385</v>
      </c>
      <c r="AX1155" t="s">
        <v>385</v>
      </c>
      <c r="AZ1155" t="s">
        <v>815</v>
      </c>
      <c r="BB1155" t="s">
        <v>815</v>
      </c>
      <c r="BI1155">
        <v>5</v>
      </c>
      <c r="BJ1155">
        <v>5</v>
      </c>
      <c r="BM1155" s="4">
        <v>3988</v>
      </c>
      <c r="BN1155" s="4">
        <v>4353</v>
      </c>
      <c r="BR1155">
        <v>4816</v>
      </c>
      <c r="BT1155">
        <v>2</v>
      </c>
      <c r="BU1155">
        <v>5</v>
      </c>
      <c r="BV1155">
        <v>0</v>
      </c>
      <c r="BX1155">
        <v>2.68</v>
      </c>
      <c r="BZ1155">
        <v>1.75</v>
      </c>
      <c r="CK1155" t="s">
        <v>360</v>
      </c>
      <c r="CM1155">
        <v>1911</v>
      </c>
    </row>
    <row r="1156" spans="1:91" x14ac:dyDescent="0.3">
      <c r="A1156" t="s">
        <v>1918</v>
      </c>
      <c r="B1156">
        <v>47754</v>
      </c>
      <c r="D1156">
        <v>12</v>
      </c>
      <c r="I1156">
        <v>80000</v>
      </c>
      <c r="U1156">
        <v>1.75</v>
      </c>
      <c r="Y1156">
        <v>1.75</v>
      </c>
      <c r="AA1156">
        <v>2.81</v>
      </c>
      <c r="AC1156" s="3">
        <v>2.81</v>
      </c>
      <c r="AE1156" s="3">
        <v>2.65</v>
      </c>
      <c r="AI1156">
        <v>2.68</v>
      </c>
      <c r="AK1156" s="3"/>
      <c r="BG1156">
        <v>5.71</v>
      </c>
      <c r="BH1156">
        <v>5.71</v>
      </c>
      <c r="BI1156">
        <v>7.5</v>
      </c>
      <c r="BJ1156">
        <v>14.28</v>
      </c>
      <c r="BK1156" s="4">
        <v>2983</v>
      </c>
      <c r="BL1156" s="4">
        <v>3348</v>
      </c>
      <c r="BM1156" s="4">
        <v>3685</v>
      </c>
      <c r="BN1156" s="4">
        <v>4050</v>
      </c>
      <c r="BR1156">
        <v>34337</v>
      </c>
      <c r="BT1156">
        <v>9</v>
      </c>
      <c r="BU1156">
        <v>6</v>
      </c>
      <c r="BV1156">
        <v>0</v>
      </c>
      <c r="BX1156">
        <v>2.96</v>
      </c>
      <c r="BZ1156">
        <v>2.5</v>
      </c>
      <c r="CK1156" t="s">
        <v>1919</v>
      </c>
      <c r="CM1156">
        <v>1911</v>
      </c>
    </row>
    <row r="1157" spans="1:91" x14ac:dyDescent="0.3">
      <c r="A1157" t="s">
        <v>1920</v>
      </c>
      <c r="B1157">
        <v>47930</v>
      </c>
      <c r="D1157">
        <v>12</v>
      </c>
      <c r="I1157">
        <v>169600</v>
      </c>
      <c r="J1157" t="s">
        <v>800</v>
      </c>
      <c r="U1157">
        <v>100</v>
      </c>
      <c r="Y1157">
        <v>100</v>
      </c>
      <c r="AA1157">
        <v>101</v>
      </c>
      <c r="AC1157" s="3">
        <v>102</v>
      </c>
      <c r="AE1157" s="3">
        <v>101</v>
      </c>
      <c r="AI1157">
        <v>102</v>
      </c>
      <c r="AK1157" s="3"/>
      <c r="AV1157" t="s">
        <v>370</v>
      </c>
      <c r="AX1157" t="s">
        <v>370</v>
      </c>
      <c r="AZ1157" t="s">
        <v>370</v>
      </c>
      <c r="BB1157" t="s">
        <v>370</v>
      </c>
      <c r="BO1157" t="s">
        <v>367</v>
      </c>
      <c r="BS1157" t="s">
        <v>385</v>
      </c>
      <c r="BT1157">
        <v>5</v>
      </c>
      <c r="BU1157">
        <v>0</v>
      </c>
      <c r="BV1157">
        <v>0</v>
      </c>
      <c r="BX1157">
        <v>103</v>
      </c>
      <c r="BZ1157">
        <v>100</v>
      </c>
      <c r="CM1157">
        <v>1911</v>
      </c>
    </row>
    <row r="1158" spans="1:91" x14ac:dyDescent="0.3">
      <c r="A1158" t="s">
        <v>1921</v>
      </c>
      <c r="B1158">
        <v>47969</v>
      </c>
      <c r="D1158">
        <v>12</v>
      </c>
      <c r="I1158">
        <v>40000</v>
      </c>
      <c r="U1158">
        <v>4</v>
      </c>
      <c r="Y1158">
        <v>1</v>
      </c>
      <c r="AA1158">
        <v>2.87</v>
      </c>
      <c r="AB1158" t="s">
        <v>379</v>
      </c>
      <c r="AC1158" s="3">
        <v>2.87</v>
      </c>
      <c r="AE1158" s="3">
        <v>2.87</v>
      </c>
      <c r="AI1158">
        <v>2.87</v>
      </c>
      <c r="AK1158" s="3"/>
      <c r="BG1158">
        <v>15</v>
      </c>
      <c r="BH1158">
        <v>15</v>
      </c>
      <c r="BI1158">
        <v>17.5</v>
      </c>
      <c r="BJ1158">
        <v>17.5</v>
      </c>
      <c r="BK1158" s="4">
        <v>3958</v>
      </c>
      <c r="BL1158" s="4">
        <v>4139</v>
      </c>
      <c r="BM1158" s="4">
        <v>4323</v>
      </c>
      <c r="BN1158" s="4">
        <v>4505</v>
      </c>
      <c r="BR1158">
        <v>193502</v>
      </c>
      <c r="BS1158" t="s">
        <v>1922</v>
      </c>
      <c r="BT1158">
        <v>6</v>
      </c>
      <c r="BU1158">
        <v>1</v>
      </c>
      <c r="BV1158">
        <v>9</v>
      </c>
      <c r="BX1158">
        <v>2.96</v>
      </c>
      <c r="BZ1158">
        <v>2.68</v>
      </c>
      <c r="CK1158" t="s">
        <v>1923</v>
      </c>
      <c r="CM1158">
        <v>1911</v>
      </c>
    </row>
    <row r="1159" spans="1:91" x14ac:dyDescent="0.3">
      <c r="A1159" t="s">
        <v>1921</v>
      </c>
      <c r="B1159">
        <v>47971</v>
      </c>
      <c r="D1159">
        <v>12</v>
      </c>
      <c r="I1159">
        <v>60000</v>
      </c>
      <c r="U1159">
        <v>3</v>
      </c>
      <c r="Y1159">
        <v>1</v>
      </c>
      <c r="AA1159">
        <v>2.87</v>
      </c>
      <c r="AB1159" t="s">
        <v>379</v>
      </c>
      <c r="AC1159" s="3">
        <v>2.87</v>
      </c>
      <c r="AE1159" s="3">
        <v>2.87</v>
      </c>
      <c r="AI1159">
        <v>2.87</v>
      </c>
      <c r="AK1159" s="3"/>
      <c r="BG1159">
        <v>15</v>
      </c>
      <c r="BH1159">
        <v>15</v>
      </c>
      <c r="BI1159">
        <v>17.5</v>
      </c>
      <c r="BJ1159">
        <v>17.5</v>
      </c>
      <c r="BK1159" s="4">
        <v>3958</v>
      </c>
      <c r="BL1159" s="4">
        <v>4139</v>
      </c>
      <c r="BM1159" s="4">
        <v>4323</v>
      </c>
      <c r="BN1159" s="4">
        <v>4505</v>
      </c>
      <c r="BR1159">
        <v>193502</v>
      </c>
      <c r="BS1159" t="s">
        <v>1922</v>
      </c>
      <c r="BT1159">
        <v>6</v>
      </c>
      <c r="BU1159">
        <v>1</v>
      </c>
      <c r="BV1159">
        <v>9</v>
      </c>
      <c r="BX1159">
        <v>2.96</v>
      </c>
      <c r="BZ1159">
        <v>2.68</v>
      </c>
      <c r="CM1159">
        <v>1911</v>
      </c>
    </row>
    <row r="1160" spans="1:91" x14ac:dyDescent="0.3">
      <c r="A1160" t="s">
        <v>1924</v>
      </c>
      <c r="B1160">
        <v>47970</v>
      </c>
      <c r="C1160" t="s">
        <v>1925</v>
      </c>
      <c r="D1160">
        <v>12</v>
      </c>
      <c r="I1160">
        <v>200000</v>
      </c>
      <c r="J1160" t="s">
        <v>800</v>
      </c>
      <c r="V1160" t="s">
        <v>350</v>
      </c>
      <c r="Y1160">
        <v>100</v>
      </c>
      <c r="AA1160">
        <v>102.75</v>
      </c>
      <c r="AC1160" s="3">
        <v>102.75</v>
      </c>
      <c r="AE1160" s="3">
        <v>102.75</v>
      </c>
      <c r="AI1160">
        <v>102.75</v>
      </c>
      <c r="AK1160" s="3"/>
      <c r="AV1160" t="s">
        <v>366</v>
      </c>
      <c r="AX1160" t="s">
        <v>366</v>
      </c>
      <c r="AZ1160" t="s">
        <v>366</v>
      </c>
      <c r="BB1160" t="s">
        <v>366</v>
      </c>
      <c r="BO1160" t="s">
        <v>367</v>
      </c>
      <c r="BR1160">
        <v>193502</v>
      </c>
      <c r="BS1160" t="s">
        <v>1922</v>
      </c>
      <c r="BT1160">
        <v>4</v>
      </c>
      <c r="BU1160">
        <v>8</v>
      </c>
      <c r="BV1160">
        <v>0</v>
      </c>
      <c r="BX1160">
        <v>106</v>
      </c>
      <c r="BZ1160">
        <v>102.75</v>
      </c>
      <c r="CM1160">
        <v>1911</v>
      </c>
    </row>
    <row r="1161" spans="1:91" x14ac:dyDescent="0.3">
      <c r="A1161" t="s">
        <v>1926</v>
      </c>
      <c r="B1161">
        <v>48078</v>
      </c>
      <c r="D1161">
        <v>12</v>
      </c>
      <c r="I1161">
        <v>250000</v>
      </c>
      <c r="U1161">
        <v>1</v>
      </c>
      <c r="Y1161">
        <v>1</v>
      </c>
      <c r="AA1161">
        <v>1.28</v>
      </c>
      <c r="AC1161" s="3">
        <v>1.28</v>
      </c>
      <c r="AE1161" s="3">
        <v>1.1200000000000001</v>
      </c>
      <c r="AI1161">
        <v>1.18</v>
      </c>
      <c r="AK1161" s="3"/>
      <c r="AV1161" t="s">
        <v>385</v>
      </c>
      <c r="AX1161" t="s">
        <v>385</v>
      </c>
      <c r="AZ1161" t="s">
        <v>815</v>
      </c>
      <c r="BB1161" t="s">
        <v>815</v>
      </c>
      <c r="BI1161">
        <v>5</v>
      </c>
      <c r="BJ1161">
        <v>5</v>
      </c>
      <c r="BL1161" s="4">
        <v>3988</v>
      </c>
      <c r="BM1161" s="4">
        <v>4353</v>
      </c>
      <c r="BR1161">
        <v>11616</v>
      </c>
      <c r="BT1161">
        <v>4</v>
      </c>
      <c r="BU1161">
        <v>4</v>
      </c>
      <c r="BV1161">
        <v>3</v>
      </c>
      <c r="BX1161">
        <v>1.62</v>
      </c>
      <c r="BZ1161">
        <v>1.1200000000000001</v>
      </c>
      <c r="CK1161" t="s">
        <v>360</v>
      </c>
      <c r="CM1161">
        <v>1911</v>
      </c>
    </row>
    <row r="1162" spans="1:91" x14ac:dyDescent="0.3">
      <c r="A1162" t="s">
        <v>1927</v>
      </c>
      <c r="B1162">
        <v>48096</v>
      </c>
      <c r="D1162">
        <v>12</v>
      </c>
      <c r="I1162">
        <v>200000</v>
      </c>
      <c r="U1162">
        <v>10</v>
      </c>
      <c r="Y1162">
        <v>2</v>
      </c>
      <c r="AA1162">
        <v>8</v>
      </c>
      <c r="AC1162" s="3">
        <v>8.06</v>
      </c>
      <c r="AE1162" s="3">
        <v>7.75</v>
      </c>
      <c r="AI1162">
        <v>8</v>
      </c>
      <c r="AK1162" s="3"/>
      <c r="AX1162" t="s">
        <v>823</v>
      </c>
      <c r="BB1162" t="s">
        <v>823</v>
      </c>
      <c r="BG1162">
        <v>26</v>
      </c>
      <c r="BH1162">
        <v>16</v>
      </c>
      <c r="BI1162">
        <v>31</v>
      </c>
      <c r="BJ1162">
        <v>21</v>
      </c>
      <c r="BK1162" s="4">
        <v>3713</v>
      </c>
      <c r="BL1162" s="4">
        <v>3927</v>
      </c>
      <c r="BM1162" s="4">
        <v>4078</v>
      </c>
      <c r="BN1162" s="4">
        <v>4292</v>
      </c>
      <c r="BR1162">
        <v>762898</v>
      </c>
      <c r="BS1162" t="s">
        <v>1928</v>
      </c>
      <c r="BT1162">
        <v>6</v>
      </c>
      <c r="BU1162">
        <v>10</v>
      </c>
      <c r="BV1162">
        <v>0</v>
      </c>
      <c r="BX1162">
        <v>8.1199999999999992</v>
      </c>
      <c r="BZ1162">
        <v>6.62</v>
      </c>
      <c r="CK1162" t="s">
        <v>360</v>
      </c>
      <c r="CM1162">
        <v>1911</v>
      </c>
    </row>
    <row r="1163" spans="1:91" x14ac:dyDescent="0.3">
      <c r="A1163" t="s">
        <v>1927</v>
      </c>
      <c r="B1163">
        <v>48097</v>
      </c>
      <c r="C1163" t="s">
        <v>1929</v>
      </c>
      <c r="D1163">
        <v>12</v>
      </c>
      <c r="I1163">
        <v>100000</v>
      </c>
      <c r="U1163">
        <v>5</v>
      </c>
      <c r="Y1163">
        <v>5</v>
      </c>
      <c r="AA1163">
        <v>6</v>
      </c>
      <c r="AC1163" s="3">
        <v>6.12</v>
      </c>
      <c r="AE1163" s="3">
        <v>5.87</v>
      </c>
      <c r="AI1163">
        <v>6</v>
      </c>
      <c r="AK1163" s="3"/>
      <c r="AX1163" t="s">
        <v>823</v>
      </c>
      <c r="BB1163" t="s">
        <v>823</v>
      </c>
      <c r="BG1163">
        <v>8</v>
      </c>
      <c r="BH1163">
        <v>4</v>
      </c>
      <c r="BI1163">
        <v>10</v>
      </c>
      <c r="BJ1163">
        <v>6</v>
      </c>
      <c r="BK1163" s="4">
        <v>3713</v>
      </c>
      <c r="BL1163" s="4">
        <v>3927</v>
      </c>
      <c r="BM1163" s="4">
        <v>4078</v>
      </c>
      <c r="BN1163" s="4">
        <v>4292</v>
      </c>
      <c r="BR1163">
        <v>762898</v>
      </c>
      <c r="BS1163" t="s">
        <v>1928</v>
      </c>
      <c r="BT1163">
        <v>6</v>
      </c>
      <c r="BU1163">
        <v>13</v>
      </c>
      <c r="BV1163">
        <v>3</v>
      </c>
      <c r="BX1163">
        <v>6.62</v>
      </c>
      <c r="BZ1163">
        <v>5.5</v>
      </c>
      <c r="CM1163">
        <v>1911</v>
      </c>
    </row>
    <row r="1164" spans="1:91" x14ac:dyDescent="0.3">
      <c r="A1164" t="s">
        <v>1927</v>
      </c>
      <c r="B1164">
        <v>48092</v>
      </c>
      <c r="C1164" t="s">
        <v>1176</v>
      </c>
      <c r="D1164">
        <v>12</v>
      </c>
      <c r="I1164">
        <v>819028</v>
      </c>
      <c r="J1164" t="s">
        <v>800</v>
      </c>
      <c r="V1164" t="s">
        <v>350</v>
      </c>
      <c r="Y1164">
        <v>100</v>
      </c>
      <c r="AA1164">
        <v>104</v>
      </c>
      <c r="AC1164" s="3">
        <v>104.75</v>
      </c>
      <c r="AE1164" s="3">
        <v>102</v>
      </c>
      <c r="AI1164">
        <v>102</v>
      </c>
      <c r="AJ1164" t="s">
        <v>379</v>
      </c>
      <c r="AK1164" s="3"/>
      <c r="AV1164" t="s">
        <v>370</v>
      </c>
      <c r="AX1164" t="s">
        <v>370</v>
      </c>
      <c r="AZ1164" t="s">
        <v>370</v>
      </c>
      <c r="BB1164" t="s">
        <v>370</v>
      </c>
      <c r="BO1164" t="s">
        <v>367</v>
      </c>
      <c r="BR1164">
        <v>762898</v>
      </c>
      <c r="BS1164" t="s">
        <v>1928</v>
      </c>
      <c r="BT1164">
        <v>3</v>
      </c>
      <c r="BU1164">
        <v>18</v>
      </c>
      <c r="BV1164">
        <v>6</v>
      </c>
      <c r="BX1164">
        <v>104.75</v>
      </c>
      <c r="BZ1164">
        <v>99</v>
      </c>
      <c r="CM1164">
        <v>1911</v>
      </c>
    </row>
    <row r="1165" spans="1:91" x14ac:dyDescent="0.3">
      <c r="A1165" t="s">
        <v>1930</v>
      </c>
      <c r="B1165">
        <v>48403</v>
      </c>
      <c r="D1165">
        <v>12</v>
      </c>
      <c r="I1165">
        <v>175000</v>
      </c>
      <c r="U1165">
        <v>1</v>
      </c>
      <c r="Y1165">
        <v>1</v>
      </c>
      <c r="AA1165">
        <v>5.75</v>
      </c>
      <c r="AC1165" s="3">
        <v>5.75</v>
      </c>
      <c r="AE1165" s="3">
        <v>5.59</v>
      </c>
      <c r="AI1165">
        <v>5.75</v>
      </c>
      <c r="AK1165" s="3"/>
      <c r="AV1165" t="s">
        <v>815</v>
      </c>
      <c r="AX1165" t="s">
        <v>815</v>
      </c>
      <c r="AZ1165" t="s">
        <v>815</v>
      </c>
      <c r="BB1165" t="s">
        <v>815</v>
      </c>
      <c r="BG1165">
        <v>12.5</v>
      </c>
      <c r="BH1165">
        <v>17.5</v>
      </c>
      <c r="BI1165">
        <v>20</v>
      </c>
      <c r="BJ1165">
        <v>20</v>
      </c>
      <c r="BK1165" s="4">
        <v>3197</v>
      </c>
      <c r="BL1165" s="4">
        <v>3593</v>
      </c>
      <c r="BM1165" s="4">
        <v>3958</v>
      </c>
      <c r="BN1165" s="4">
        <v>4323</v>
      </c>
      <c r="BR1165">
        <v>48251</v>
      </c>
      <c r="BT1165">
        <v>3</v>
      </c>
      <c r="BU1165">
        <v>9</v>
      </c>
      <c r="BV1165">
        <v>9</v>
      </c>
      <c r="BX1165">
        <v>6</v>
      </c>
      <c r="BZ1165">
        <v>3.62</v>
      </c>
      <c r="CK1165" t="s">
        <v>360</v>
      </c>
      <c r="CM1165">
        <v>1911</v>
      </c>
    </row>
    <row r="1166" spans="1:91" x14ac:dyDescent="0.3">
      <c r="A1166" t="s">
        <v>1931</v>
      </c>
      <c r="B1166">
        <v>48406</v>
      </c>
      <c r="D1166">
        <v>12</v>
      </c>
      <c r="I1166">
        <v>983887</v>
      </c>
      <c r="U1166">
        <v>1</v>
      </c>
      <c r="Y1166">
        <v>1</v>
      </c>
      <c r="AA1166">
        <v>2.25</v>
      </c>
      <c r="AB1166" t="s">
        <v>379</v>
      </c>
      <c r="AC1166" s="3">
        <v>2.2799999999999998</v>
      </c>
      <c r="AE1166" s="3">
        <v>2.21</v>
      </c>
      <c r="AI1166">
        <v>2.21</v>
      </c>
      <c r="AK1166" s="3"/>
      <c r="AV1166" t="s">
        <v>823</v>
      </c>
      <c r="AZ1166" t="s">
        <v>823</v>
      </c>
      <c r="BG1166">
        <v>5</v>
      </c>
      <c r="BH1166">
        <v>20</v>
      </c>
      <c r="BI1166">
        <v>5</v>
      </c>
      <c r="BJ1166">
        <v>20</v>
      </c>
      <c r="BK1166" s="4">
        <v>3774</v>
      </c>
      <c r="BL1166" s="4">
        <v>3988</v>
      </c>
      <c r="BM1166" s="4">
        <v>4139</v>
      </c>
      <c r="BN1166" s="4">
        <v>4353</v>
      </c>
      <c r="BR1166">
        <v>288052</v>
      </c>
      <c r="BS1166" t="s">
        <v>1932</v>
      </c>
      <c r="BT1166">
        <v>5</v>
      </c>
      <c r="BU1166">
        <v>12</v>
      </c>
      <c r="BV1166">
        <v>9</v>
      </c>
      <c r="BX1166">
        <v>2.37</v>
      </c>
      <c r="BZ1166">
        <v>2.0299999999999998</v>
      </c>
      <c r="CK1166" t="s">
        <v>360</v>
      </c>
      <c r="CM1166">
        <v>1911</v>
      </c>
    </row>
    <row r="1167" spans="1:91" x14ac:dyDescent="0.3">
      <c r="A1167" t="s">
        <v>1931</v>
      </c>
      <c r="B1167">
        <v>48407</v>
      </c>
      <c r="C1167" t="s">
        <v>892</v>
      </c>
      <c r="D1167">
        <v>12</v>
      </c>
      <c r="I1167">
        <v>250000</v>
      </c>
      <c r="J1167" t="s">
        <v>800</v>
      </c>
      <c r="U1167">
        <v>100</v>
      </c>
      <c r="V1167" t="s">
        <v>615</v>
      </c>
      <c r="Y1167">
        <v>100</v>
      </c>
      <c r="Z1167" t="s">
        <v>615</v>
      </c>
      <c r="AA1167">
        <v>106</v>
      </c>
      <c r="AC1167" s="3">
        <v>106.25</v>
      </c>
      <c r="AE1167" s="3">
        <v>105.75</v>
      </c>
      <c r="AI1167">
        <v>106</v>
      </c>
      <c r="AK1167" s="3"/>
      <c r="AV1167" t="s">
        <v>370</v>
      </c>
      <c r="AX1167" t="s">
        <v>370</v>
      </c>
      <c r="AZ1167" t="s">
        <v>370</v>
      </c>
      <c r="BB1167" t="s">
        <v>370</v>
      </c>
      <c r="BO1167" t="s">
        <v>367</v>
      </c>
      <c r="BR1167">
        <v>288052</v>
      </c>
      <c r="BS1167" t="s">
        <v>1932</v>
      </c>
      <c r="BT1167">
        <v>4</v>
      </c>
      <c r="BU1167">
        <v>16</v>
      </c>
      <c r="BV1167">
        <v>6</v>
      </c>
      <c r="CM1167">
        <v>1911</v>
      </c>
    </row>
    <row r="1168" spans="1:91" x14ac:dyDescent="0.3">
      <c r="A1168" t="s">
        <v>1933</v>
      </c>
      <c r="B1168">
        <v>48488</v>
      </c>
      <c r="D1168">
        <v>12</v>
      </c>
      <c r="I1168">
        <v>300000</v>
      </c>
      <c r="U1168">
        <v>2</v>
      </c>
      <c r="Y1168">
        <v>2</v>
      </c>
      <c r="AA1168">
        <v>6.31</v>
      </c>
      <c r="AC1168" s="3">
        <v>6.37</v>
      </c>
      <c r="AE1168" s="3">
        <v>6.31</v>
      </c>
      <c r="AI1168">
        <v>6.37</v>
      </c>
      <c r="AK1168" s="3"/>
      <c r="AX1168" t="s">
        <v>823</v>
      </c>
      <c r="BB1168" t="s">
        <v>823</v>
      </c>
      <c r="BG1168">
        <v>15</v>
      </c>
      <c r="BH1168">
        <v>14</v>
      </c>
      <c r="BI1168">
        <v>18</v>
      </c>
      <c r="BJ1168">
        <v>14</v>
      </c>
      <c r="BK1168" s="4">
        <v>3685</v>
      </c>
      <c r="BL1168" s="4">
        <v>3866</v>
      </c>
      <c r="BM1168" s="4">
        <v>4050</v>
      </c>
      <c r="BN1168" s="4">
        <v>4231</v>
      </c>
      <c r="BR1168">
        <v>789132</v>
      </c>
      <c r="BS1168" t="s">
        <v>1934</v>
      </c>
      <c r="BT1168">
        <v>5</v>
      </c>
      <c r="BU1168">
        <v>0</v>
      </c>
      <c r="BV1168">
        <v>6</v>
      </c>
      <c r="BX1168">
        <v>6.4</v>
      </c>
      <c r="BZ1168">
        <v>5.75</v>
      </c>
      <c r="CK1168" t="s">
        <v>1935</v>
      </c>
      <c r="CL1168" t="s">
        <v>457</v>
      </c>
      <c r="CM1168">
        <v>1911</v>
      </c>
    </row>
    <row r="1169" spans="1:91" x14ac:dyDescent="0.3">
      <c r="A1169" t="s">
        <v>1933</v>
      </c>
      <c r="B1169">
        <v>48489</v>
      </c>
      <c r="C1169" t="s">
        <v>1915</v>
      </c>
      <c r="D1169">
        <v>12</v>
      </c>
      <c r="I1169" s="2">
        <v>1200000</v>
      </c>
      <c r="J1169" t="s">
        <v>800</v>
      </c>
      <c r="V1169" t="s">
        <v>350</v>
      </c>
      <c r="Y1169">
        <v>100</v>
      </c>
      <c r="AA1169">
        <v>99</v>
      </c>
      <c r="AC1169" s="3">
        <v>100.75</v>
      </c>
      <c r="AE1169" s="3">
        <v>99.5</v>
      </c>
      <c r="AI1169">
        <v>100.5</v>
      </c>
      <c r="AK1169" s="3"/>
      <c r="AV1169" t="s">
        <v>366</v>
      </c>
      <c r="AX1169" t="s">
        <v>366</v>
      </c>
      <c r="AZ1169" t="s">
        <v>366</v>
      </c>
      <c r="BB1169" t="s">
        <v>366</v>
      </c>
      <c r="BO1169" t="s">
        <v>367</v>
      </c>
      <c r="BR1169">
        <v>789132</v>
      </c>
      <c r="BS1169" t="s">
        <v>1934</v>
      </c>
      <c r="BT1169">
        <v>3</v>
      </c>
      <c r="BU1169">
        <v>19</v>
      </c>
      <c r="BV1169">
        <v>6</v>
      </c>
      <c r="BX1169">
        <v>102</v>
      </c>
      <c r="BZ1169">
        <v>98.25</v>
      </c>
      <c r="CM1169">
        <v>1911</v>
      </c>
    </row>
    <row r="1170" spans="1:91" x14ac:dyDescent="0.3">
      <c r="A1170" t="s">
        <v>1933</v>
      </c>
      <c r="B1170">
        <v>48494</v>
      </c>
      <c r="C1170" t="s">
        <v>1936</v>
      </c>
      <c r="D1170">
        <v>12</v>
      </c>
      <c r="I1170">
        <v>793545</v>
      </c>
      <c r="J1170" t="s">
        <v>800</v>
      </c>
      <c r="V1170" t="s">
        <v>350</v>
      </c>
      <c r="Y1170">
        <v>100</v>
      </c>
      <c r="AA1170">
        <v>89.5</v>
      </c>
      <c r="AC1170" s="3">
        <v>89.5</v>
      </c>
      <c r="AE1170" s="3">
        <v>89</v>
      </c>
      <c r="AI1170">
        <v>89</v>
      </c>
      <c r="AK1170" s="3"/>
      <c r="AV1170" t="s">
        <v>366</v>
      </c>
      <c r="AX1170" t="s">
        <v>366</v>
      </c>
      <c r="AZ1170" t="s">
        <v>366</v>
      </c>
      <c r="BB1170" t="s">
        <v>366</v>
      </c>
      <c r="BO1170" t="s">
        <v>367</v>
      </c>
      <c r="BR1170">
        <v>789132</v>
      </c>
      <c r="BS1170" t="s">
        <v>1934</v>
      </c>
      <c r="BT1170">
        <v>3</v>
      </c>
      <c r="BU1170">
        <v>18</v>
      </c>
      <c r="BV1170">
        <v>9</v>
      </c>
      <c r="BX1170">
        <v>92</v>
      </c>
      <c r="BZ1170">
        <v>87.5</v>
      </c>
      <c r="CM1170">
        <v>1911</v>
      </c>
    </row>
    <row r="1171" spans="1:91" x14ac:dyDescent="0.3">
      <c r="A1171" t="s">
        <v>1937</v>
      </c>
      <c r="B1171">
        <v>48508</v>
      </c>
      <c r="D1171">
        <v>12</v>
      </c>
      <c r="I1171">
        <v>121472</v>
      </c>
      <c r="U1171">
        <v>2</v>
      </c>
      <c r="Y1171">
        <v>2</v>
      </c>
      <c r="AA1171">
        <v>4.12</v>
      </c>
      <c r="AC1171" s="3">
        <v>4.18</v>
      </c>
      <c r="AE1171" s="3">
        <v>4.12</v>
      </c>
      <c r="AI1171">
        <v>4.12</v>
      </c>
      <c r="AJ1171" t="s">
        <v>379</v>
      </c>
      <c r="AK1171" s="3"/>
      <c r="AV1171" t="s">
        <v>823</v>
      </c>
      <c r="AZ1171" t="s">
        <v>823</v>
      </c>
      <c r="BG1171">
        <v>8</v>
      </c>
      <c r="BH1171">
        <v>12</v>
      </c>
      <c r="BI1171">
        <v>8</v>
      </c>
      <c r="BJ1171">
        <v>12</v>
      </c>
      <c r="BK1171" s="4">
        <v>3623</v>
      </c>
      <c r="BL1171" s="4">
        <v>3835</v>
      </c>
      <c r="BM1171" s="4">
        <v>3988</v>
      </c>
      <c r="BN1171" s="4">
        <v>4200</v>
      </c>
      <c r="BR1171">
        <v>198021</v>
      </c>
      <c r="BS1171" t="s">
        <v>1938</v>
      </c>
      <c r="BT1171">
        <v>4</v>
      </c>
      <c r="BU1171">
        <v>15</v>
      </c>
      <c r="BV1171">
        <v>6</v>
      </c>
      <c r="BX1171">
        <v>4.3099999999999996</v>
      </c>
      <c r="BZ1171">
        <v>3.9</v>
      </c>
      <c r="CK1171" t="s">
        <v>454</v>
      </c>
      <c r="CM1171">
        <v>1911</v>
      </c>
    </row>
    <row r="1172" spans="1:91" x14ac:dyDescent="0.3">
      <c r="A1172" t="s">
        <v>1937</v>
      </c>
      <c r="B1172">
        <v>48511</v>
      </c>
      <c r="C1172" t="s">
        <v>529</v>
      </c>
      <c r="D1172">
        <v>12</v>
      </c>
      <c r="I1172">
        <v>28097</v>
      </c>
      <c r="U1172">
        <v>10</v>
      </c>
      <c r="Y1172">
        <v>2</v>
      </c>
      <c r="AA1172">
        <v>4.0599999999999996</v>
      </c>
      <c r="AC1172" s="3">
        <v>4.0599999999999996</v>
      </c>
      <c r="AE1172" s="3">
        <v>4</v>
      </c>
      <c r="AI1172">
        <v>4</v>
      </c>
      <c r="AJ1172" t="s">
        <v>379</v>
      </c>
      <c r="AK1172" s="3"/>
      <c r="AV1172" t="s">
        <v>823</v>
      </c>
      <c r="AZ1172" t="s">
        <v>823</v>
      </c>
      <c r="BG1172">
        <v>8</v>
      </c>
      <c r="BH1172">
        <v>12</v>
      </c>
      <c r="BI1172">
        <v>8</v>
      </c>
      <c r="BJ1172">
        <v>12</v>
      </c>
      <c r="BK1172" s="4">
        <v>3623</v>
      </c>
      <c r="BL1172" s="4">
        <v>3835</v>
      </c>
      <c r="BM1172" s="4">
        <v>3988</v>
      </c>
      <c r="BN1172" s="4">
        <v>4200</v>
      </c>
      <c r="BR1172">
        <v>198021</v>
      </c>
      <c r="BS1172" t="s">
        <v>1938</v>
      </c>
      <c r="BT1172">
        <v>5</v>
      </c>
      <c r="BU1172">
        <v>0</v>
      </c>
      <c r="BV1172">
        <v>0</v>
      </c>
      <c r="BX1172">
        <v>4.21</v>
      </c>
      <c r="BZ1172">
        <v>3.84</v>
      </c>
      <c r="CM1172">
        <v>1911</v>
      </c>
    </row>
    <row r="1173" spans="1:91" x14ac:dyDescent="0.3">
      <c r="A1173" t="s">
        <v>1937</v>
      </c>
      <c r="B1173">
        <v>48517</v>
      </c>
      <c r="C1173" t="s">
        <v>1939</v>
      </c>
      <c r="D1173">
        <v>12</v>
      </c>
      <c r="I1173">
        <v>671776</v>
      </c>
      <c r="J1173" t="s">
        <v>800</v>
      </c>
      <c r="V1173" t="s">
        <v>350</v>
      </c>
      <c r="Y1173">
        <v>100</v>
      </c>
      <c r="AA1173">
        <v>100.25</v>
      </c>
      <c r="AC1173" s="3">
        <v>100.5</v>
      </c>
      <c r="AE1173" s="3">
        <v>100.25</v>
      </c>
      <c r="AI1173">
        <v>100.5</v>
      </c>
      <c r="AK1173" s="3"/>
      <c r="AV1173" t="s">
        <v>366</v>
      </c>
      <c r="AX1173" t="s">
        <v>366</v>
      </c>
      <c r="AZ1173" t="s">
        <v>366</v>
      </c>
      <c r="BB1173" t="s">
        <v>366</v>
      </c>
      <c r="BO1173" t="s">
        <v>367</v>
      </c>
      <c r="BR1173">
        <v>198021</v>
      </c>
      <c r="BS1173" t="s">
        <v>1938</v>
      </c>
      <c r="BT1173">
        <v>4</v>
      </c>
      <c r="BU1173">
        <v>4</v>
      </c>
      <c r="BV1173">
        <v>6</v>
      </c>
      <c r="BX1173">
        <v>103</v>
      </c>
      <c r="BZ1173">
        <v>99.75</v>
      </c>
      <c r="CM1173">
        <v>1911</v>
      </c>
    </row>
    <row r="1174" spans="1:91" x14ac:dyDescent="0.3">
      <c r="A1174" t="s">
        <v>1937</v>
      </c>
      <c r="B1174">
        <v>48518</v>
      </c>
      <c r="C1174" t="s">
        <v>1940</v>
      </c>
      <c r="D1174">
        <v>12</v>
      </c>
      <c r="I1174">
        <v>300000</v>
      </c>
      <c r="J1174" t="s">
        <v>800</v>
      </c>
      <c r="V1174" t="s">
        <v>350</v>
      </c>
      <c r="Y1174">
        <v>100</v>
      </c>
      <c r="AA1174">
        <v>104.5</v>
      </c>
      <c r="AC1174" s="3">
        <v>104.5</v>
      </c>
      <c r="AE1174" s="3">
        <v>104.25</v>
      </c>
      <c r="AI1174">
        <v>104.5</v>
      </c>
      <c r="AK1174" s="3"/>
      <c r="AV1174" t="s">
        <v>366</v>
      </c>
      <c r="AX1174" t="s">
        <v>366</v>
      </c>
      <c r="AZ1174" t="s">
        <v>366</v>
      </c>
      <c r="BB1174" t="s">
        <v>366</v>
      </c>
      <c r="BO1174" t="s">
        <v>367</v>
      </c>
      <c r="BR1174">
        <v>198021</v>
      </c>
      <c r="BS1174" t="s">
        <v>1938</v>
      </c>
      <c r="BT1174">
        <v>4</v>
      </c>
      <c r="BU1174">
        <v>16</v>
      </c>
      <c r="BV1174">
        <v>3</v>
      </c>
      <c r="BX1174">
        <v>107</v>
      </c>
      <c r="BZ1174">
        <v>103</v>
      </c>
      <c r="CM1174">
        <v>1911</v>
      </c>
    </row>
    <row r="1175" spans="1:91" x14ac:dyDescent="0.3">
      <c r="A1175" t="s">
        <v>1937</v>
      </c>
      <c r="B1175">
        <v>48514</v>
      </c>
      <c r="C1175" t="s">
        <v>1941</v>
      </c>
      <c r="D1175">
        <v>12</v>
      </c>
      <c r="I1175">
        <v>217180</v>
      </c>
      <c r="J1175" t="s">
        <v>800</v>
      </c>
      <c r="U1175">
        <v>100</v>
      </c>
      <c r="Y1175">
        <v>100</v>
      </c>
      <c r="AA1175">
        <v>101</v>
      </c>
      <c r="AC1175" s="3">
        <v>101.5</v>
      </c>
      <c r="AE1175" s="3">
        <v>101</v>
      </c>
      <c r="AI1175">
        <v>101.5</v>
      </c>
      <c r="AK1175" s="3"/>
      <c r="AV1175" t="s">
        <v>366</v>
      </c>
      <c r="AX1175" t="s">
        <v>366</v>
      </c>
      <c r="AZ1175" t="s">
        <v>366</v>
      </c>
      <c r="BB1175" t="s">
        <v>366</v>
      </c>
      <c r="BO1175" t="s">
        <v>367</v>
      </c>
      <c r="BR1175">
        <v>198021</v>
      </c>
      <c r="BS1175" t="s">
        <v>1938</v>
      </c>
      <c r="BT1175">
        <v>3</v>
      </c>
      <c r="BU1175">
        <v>18</v>
      </c>
      <c r="BV1175">
        <v>9</v>
      </c>
      <c r="BX1175">
        <v>102.25</v>
      </c>
      <c r="BZ1175">
        <v>100</v>
      </c>
      <c r="CM1175">
        <v>1911</v>
      </c>
    </row>
    <row r="1176" spans="1:91" x14ac:dyDescent="0.3">
      <c r="A1176" t="s">
        <v>1942</v>
      </c>
      <c r="B1176">
        <v>48461</v>
      </c>
      <c r="D1176">
        <v>12</v>
      </c>
      <c r="I1176">
        <v>500000</v>
      </c>
      <c r="J1176" t="s">
        <v>800</v>
      </c>
      <c r="V1176" t="s">
        <v>350</v>
      </c>
      <c r="Y1176">
        <v>100</v>
      </c>
      <c r="AA1176">
        <v>80</v>
      </c>
      <c r="AB1176" t="s">
        <v>379</v>
      </c>
      <c r="AC1176" s="3">
        <v>80</v>
      </c>
      <c r="AE1176" s="3">
        <v>78.5</v>
      </c>
      <c r="AI1176">
        <v>80</v>
      </c>
      <c r="AK1176" s="3"/>
      <c r="AV1176" t="s">
        <v>823</v>
      </c>
      <c r="AZ1176" t="s">
        <v>823</v>
      </c>
      <c r="BG1176">
        <v>5</v>
      </c>
      <c r="BH1176">
        <v>5</v>
      </c>
      <c r="BI1176">
        <v>5</v>
      </c>
      <c r="BJ1176">
        <v>5</v>
      </c>
      <c r="BK1176" s="4">
        <v>3774</v>
      </c>
      <c r="BL1176" s="4">
        <v>3958</v>
      </c>
      <c r="BM1176" s="4">
        <v>4139</v>
      </c>
      <c r="BN1176" s="4">
        <v>4323</v>
      </c>
      <c r="BR1176">
        <v>47802</v>
      </c>
      <c r="BS1176" t="s">
        <v>1943</v>
      </c>
      <c r="BT1176">
        <v>6</v>
      </c>
      <c r="BU1176">
        <v>5</v>
      </c>
      <c r="BV1176">
        <v>6</v>
      </c>
      <c r="BX1176">
        <v>100</v>
      </c>
      <c r="BZ1176">
        <v>78.5</v>
      </c>
      <c r="CK1176" t="s">
        <v>1944</v>
      </c>
      <c r="CM1176">
        <v>1911</v>
      </c>
    </row>
    <row r="1177" spans="1:91" x14ac:dyDescent="0.3">
      <c r="A1177" t="s">
        <v>1942</v>
      </c>
      <c r="B1177">
        <v>48463</v>
      </c>
      <c r="C1177" t="s">
        <v>1945</v>
      </c>
      <c r="D1177">
        <v>12</v>
      </c>
      <c r="I1177">
        <v>200000</v>
      </c>
      <c r="J1177" t="s">
        <v>800</v>
      </c>
      <c r="V1177" t="s">
        <v>350</v>
      </c>
      <c r="Y1177">
        <v>100</v>
      </c>
      <c r="AA1177">
        <v>113.5</v>
      </c>
      <c r="AC1177" s="3">
        <v>113.75</v>
      </c>
      <c r="AE1177" s="3">
        <v>111.5</v>
      </c>
      <c r="AI1177">
        <v>111.5</v>
      </c>
      <c r="AJ1177" t="s">
        <v>379</v>
      </c>
      <c r="AK1177" s="3"/>
      <c r="BG1177">
        <v>6</v>
      </c>
      <c r="BH1177">
        <v>6</v>
      </c>
      <c r="BI1177">
        <v>6</v>
      </c>
      <c r="BJ1177">
        <v>6</v>
      </c>
      <c r="BK1177" s="4">
        <v>3835</v>
      </c>
      <c r="BL1177" s="4">
        <v>4019</v>
      </c>
      <c r="BM1177" s="4">
        <v>4200</v>
      </c>
      <c r="BN1177" s="4">
        <v>4384</v>
      </c>
      <c r="BR1177">
        <v>47802</v>
      </c>
      <c r="BS1177" t="s">
        <v>1943</v>
      </c>
      <c r="BT1177">
        <v>5</v>
      </c>
      <c r="BU1177">
        <v>7</v>
      </c>
      <c r="BV1177">
        <v>6</v>
      </c>
      <c r="BX1177">
        <v>115.5</v>
      </c>
      <c r="BZ1177">
        <v>111</v>
      </c>
      <c r="CM1177">
        <v>1911</v>
      </c>
    </row>
    <row r="1178" spans="1:91" x14ac:dyDescent="0.3">
      <c r="A1178" t="s">
        <v>1942</v>
      </c>
      <c r="B1178">
        <v>48467</v>
      </c>
      <c r="C1178" t="s">
        <v>1946</v>
      </c>
      <c r="D1178">
        <v>12</v>
      </c>
      <c r="I1178">
        <v>400000</v>
      </c>
      <c r="J1178" t="s">
        <v>800</v>
      </c>
      <c r="V1178" t="s">
        <v>350</v>
      </c>
      <c r="Y1178">
        <v>100</v>
      </c>
      <c r="AA1178">
        <v>94.5</v>
      </c>
      <c r="AC1178" s="3">
        <v>94.5</v>
      </c>
      <c r="AE1178" s="3">
        <v>92.5</v>
      </c>
      <c r="AI1178">
        <v>92.5</v>
      </c>
      <c r="AJ1178" t="s">
        <v>379</v>
      </c>
      <c r="AK1178" s="3"/>
      <c r="BG1178">
        <v>5</v>
      </c>
      <c r="BH1178">
        <v>5</v>
      </c>
      <c r="BI1178">
        <v>5</v>
      </c>
      <c r="BJ1178">
        <v>5</v>
      </c>
      <c r="BK1178" s="4">
        <v>3835</v>
      </c>
      <c r="BL1178" s="4">
        <v>4019</v>
      </c>
      <c r="BM1178" s="4">
        <v>4200</v>
      </c>
      <c r="BN1178" s="4">
        <v>4384</v>
      </c>
      <c r="BR1178">
        <v>47802</v>
      </c>
      <c r="BS1178" t="s">
        <v>1943</v>
      </c>
      <c r="BT1178">
        <v>5</v>
      </c>
      <c r="BU1178">
        <v>8</v>
      </c>
      <c r="BV1178">
        <v>0</v>
      </c>
      <c r="BX1178">
        <v>99</v>
      </c>
      <c r="BZ1178">
        <v>90</v>
      </c>
      <c r="CM1178">
        <v>1911</v>
      </c>
    </row>
    <row r="1179" spans="1:91" x14ac:dyDescent="0.3">
      <c r="A1179" t="s">
        <v>1942</v>
      </c>
      <c r="B1179">
        <v>48470</v>
      </c>
      <c r="C1179" t="s">
        <v>1947</v>
      </c>
      <c r="D1179">
        <v>12</v>
      </c>
      <c r="I1179">
        <v>200000</v>
      </c>
      <c r="J1179" t="s">
        <v>800</v>
      </c>
      <c r="U1179">
        <v>100</v>
      </c>
      <c r="Y1179">
        <v>100</v>
      </c>
      <c r="AA1179">
        <v>94</v>
      </c>
      <c r="AC1179" s="3">
        <v>94</v>
      </c>
      <c r="AE1179" s="3">
        <v>94</v>
      </c>
      <c r="AI1179">
        <v>94</v>
      </c>
      <c r="AK1179" s="3"/>
      <c r="BG1179">
        <v>4</v>
      </c>
      <c r="BH1179">
        <v>4</v>
      </c>
      <c r="BI1179">
        <v>4</v>
      </c>
      <c r="BJ1179">
        <v>4</v>
      </c>
      <c r="BK1179" s="4">
        <v>3835</v>
      </c>
      <c r="BL1179" s="4">
        <v>4019</v>
      </c>
      <c r="BM1179" s="4">
        <v>4200</v>
      </c>
      <c r="BN1179" s="4">
        <v>4384</v>
      </c>
      <c r="BR1179">
        <v>47802</v>
      </c>
      <c r="BS1179" t="s">
        <v>1943</v>
      </c>
      <c r="BT1179">
        <v>4</v>
      </c>
      <c r="BU1179">
        <v>9</v>
      </c>
      <c r="BV1179">
        <v>0</v>
      </c>
      <c r="BX1179">
        <v>96</v>
      </c>
      <c r="BZ1179">
        <v>90.5</v>
      </c>
      <c r="CM1179">
        <v>1911</v>
      </c>
    </row>
    <row r="1180" spans="1:91" x14ac:dyDescent="0.3">
      <c r="A1180" t="s">
        <v>1948</v>
      </c>
      <c r="B1180">
        <v>48857</v>
      </c>
      <c r="D1180">
        <v>12</v>
      </c>
      <c r="I1180">
        <v>30800</v>
      </c>
      <c r="J1180" t="s">
        <v>800</v>
      </c>
      <c r="U1180">
        <v>100</v>
      </c>
      <c r="Y1180">
        <v>100</v>
      </c>
      <c r="AA1180">
        <v>101</v>
      </c>
      <c r="AC1180" s="3">
        <v>102</v>
      </c>
      <c r="AE1180" s="3">
        <v>101</v>
      </c>
      <c r="AI1180">
        <v>102</v>
      </c>
      <c r="AK1180" s="3"/>
      <c r="AV1180" t="s">
        <v>370</v>
      </c>
      <c r="AX1180" t="s">
        <v>370</v>
      </c>
      <c r="AZ1180" t="s">
        <v>370</v>
      </c>
      <c r="BB1180" t="s">
        <v>370</v>
      </c>
      <c r="BO1180" t="s">
        <v>367</v>
      </c>
      <c r="BS1180" t="s">
        <v>385</v>
      </c>
      <c r="BT1180">
        <v>5</v>
      </c>
      <c r="BU1180">
        <v>0</v>
      </c>
      <c r="BV1180">
        <v>0</v>
      </c>
      <c r="BX1180">
        <v>103</v>
      </c>
      <c r="BZ1180">
        <v>100</v>
      </c>
      <c r="CM1180">
        <v>1911</v>
      </c>
    </row>
    <row r="1181" spans="1:91" x14ac:dyDescent="0.3">
      <c r="A1181" t="s">
        <v>1949</v>
      </c>
      <c r="B1181">
        <v>48960</v>
      </c>
      <c r="D1181">
        <v>12</v>
      </c>
      <c r="I1181">
        <v>14200</v>
      </c>
      <c r="U1181">
        <v>15</v>
      </c>
      <c r="Y1181">
        <v>15</v>
      </c>
      <c r="AA1181">
        <v>63.5</v>
      </c>
      <c r="AC1181" s="3">
        <v>64.25</v>
      </c>
      <c r="AE1181" s="3">
        <v>64</v>
      </c>
      <c r="AI1181">
        <v>64</v>
      </c>
      <c r="AK1181" s="3"/>
      <c r="AV1181" t="s">
        <v>823</v>
      </c>
      <c r="AY1181" t="s">
        <v>1950</v>
      </c>
      <c r="AZ1181" t="s">
        <v>1951</v>
      </c>
      <c r="BA1181" t="s">
        <v>1952</v>
      </c>
      <c r="BB1181" t="s">
        <v>1953</v>
      </c>
      <c r="BE1181">
        <v>360</v>
      </c>
      <c r="BF1181">
        <v>420</v>
      </c>
      <c r="BG1181">
        <v>15</v>
      </c>
      <c r="BH1181">
        <v>17.5</v>
      </c>
      <c r="BK1181" s="4">
        <v>3654</v>
      </c>
      <c r="BL1181" s="4">
        <v>3835</v>
      </c>
      <c r="BM1181" s="4">
        <v>4019</v>
      </c>
      <c r="BN1181" s="4">
        <v>4200</v>
      </c>
      <c r="BR1181">
        <v>83692</v>
      </c>
      <c r="BT1181">
        <v>5</v>
      </c>
      <c r="BU1181">
        <v>1</v>
      </c>
      <c r="BV1181">
        <v>6</v>
      </c>
      <c r="BX1181">
        <v>66.5</v>
      </c>
      <c r="BZ1181">
        <v>63.12</v>
      </c>
      <c r="CK1181" t="s">
        <v>360</v>
      </c>
      <c r="CM1181">
        <v>1911</v>
      </c>
    </row>
    <row r="1182" spans="1:91" x14ac:dyDescent="0.3">
      <c r="A1182" t="s">
        <v>1954</v>
      </c>
      <c r="B1182">
        <v>48921</v>
      </c>
      <c r="D1182">
        <v>12</v>
      </c>
      <c r="I1182">
        <v>500000</v>
      </c>
      <c r="U1182">
        <v>1</v>
      </c>
      <c r="Y1182">
        <v>1</v>
      </c>
      <c r="AA1182">
        <v>2.12</v>
      </c>
      <c r="AC1182" s="3">
        <v>2.12</v>
      </c>
      <c r="AE1182" s="3">
        <v>2.06</v>
      </c>
      <c r="AI1182">
        <v>2.06</v>
      </c>
      <c r="AK1182" s="3"/>
      <c r="AV1182" t="s">
        <v>385</v>
      </c>
      <c r="AX1182" t="s">
        <v>385</v>
      </c>
      <c r="AZ1182" t="s">
        <v>385</v>
      </c>
      <c r="BB1182" t="s">
        <v>823</v>
      </c>
      <c r="BJ1182">
        <v>10</v>
      </c>
      <c r="BL1182" t="s">
        <v>811</v>
      </c>
      <c r="BM1182" t="s">
        <v>811</v>
      </c>
      <c r="BN1182" s="4">
        <v>4139</v>
      </c>
      <c r="BS1182" t="s">
        <v>385</v>
      </c>
      <c r="BT1182">
        <v>4</v>
      </c>
      <c r="BU1182">
        <v>17</v>
      </c>
      <c r="BV1182">
        <v>0</v>
      </c>
      <c r="BX1182">
        <v>2.68</v>
      </c>
      <c r="BZ1182">
        <v>1.93</v>
      </c>
      <c r="CM1182">
        <v>1911</v>
      </c>
    </row>
    <row r="1183" spans="1:91" x14ac:dyDescent="0.3">
      <c r="A1183" t="s">
        <v>1954</v>
      </c>
      <c r="B1183">
        <v>48922</v>
      </c>
      <c r="C1183" t="s">
        <v>1955</v>
      </c>
      <c r="D1183">
        <v>12</v>
      </c>
      <c r="I1183">
        <v>450000</v>
      </c>
      <c r="J1183" t="s">
        <v>800</v>
      </c>
      <c r="V1183" t="s">
        <v>350</v>
      </c>
      <c r="Y1183">
        <v>100</v>
      </c>
      <c r="AA1183">
        <v>104.5</v>
      </c>
      <c r="AC1183" s="3">
        <v>104.5</v>
      </c>
      <c r="AE1183" s="3">
        <v>101.5</v>
      </c>
      <c r="AI1183">
        <v>102</v>
      </c>
      <c r="AK1183" s="3"/>
      <c r="AV1183" t="s">
        <v>370</v>
      </c>
      <c r="AX1183" t="s">
        <v>370</v>
      </c>
      <c r="AZ1183" t="s">
        <v>370</v>
      </c>
      <c r="BB1183" t="s">
        <v>370</v>
      </c>
      <c r="BO1183" t="s">
        <v>367</v>
      </c>
      <c r="BS1183" t="s">
        <v>385</v>
      </c>
      <c r="BT1183">
        <v>5</v>
      </c>
      <c r="BU1183">
        <v>0</v>
      </c>
      <c r="BV1183">
        <v>0</v>
      </c>
      <c r="BX1183">
        <v>107</v>
      </c>
      <c r="BZ1183">
        <v>101.5</v>
      </c>
      <c r="CM1183">
        <v>1911</v>
      </c>
    </row>
    <row r="1184" spans="1:91" x14ac:dyDescent="0.3">
      <c r="A1184" t="s">
        <v>1956</v>
      </c>
      <c r="B1184">
        <v>49257</v>
      </c>
      <c r="D1184">
        <v>12</v>
      </c>
      <c r="I1184">
        <v>413600</v>
      </c>
      <c r="J1184" t="s">
        <v>800</v>
      </c>
      <c r="U1184">
        <v>100</v>
      </c>
      <c r="Y1184">
        <v>100</v>
      </c>
      <c r="AA1184">
        <v>84</v>
      </c>
      <c r="AC1184" s="3">
        <v>84</v>
      </c>
      <c r="AE1184" s="3">
        <v>84</v>
      </c>
      <c r="AI1184">
        <v>84</v>
      </c>
      <c r="AK1184" s="3"/>
      <c r="AV1184" t="s">
        <v>370</v>
      </c>
      <c r="AX1184" t="s">
        <v>370</v>
      </c>
      <c r="AZ1184" t="s">
        <v>370</v>
      </c>
      <c r="BB1184" t="s">
        <v>370</v>
      </c>
      <c r="BO1184" t="s">
        <v>367</v>
      </c>
      <c r="BS1184" t="s">
        <v>385</v>
      </c>
      <c r="BT1184">
        <v>3</v>
      </c>
      <c r="BU1184">
        <v>12</v>
      </c>
      <c r="BV1184">
        <v>6</v>
      </c>
      <c r="BX1184">
        <v>84.5</v>
      </c>
      <c r="BZ1184">
        <v>83</v>
      </c>
      <c r="CK1184" t="s">
        <v>360</v>
      </c>
      <c r="CM1184">
        <v>1911</v>
      </c>
    </row>
    <row r="1185" spans="1:91" x14ac:dyDescent="0.3">
      <c r="A1185" t="s">
        <v>1957</v>
      </c>
      <c r="B1185">
        <v>49384</v>
      </c>
      <c r="D1185">
        <v>12</v>
      </c>
      <c r="I1185">
        <v>75000</v>
      </c>
      <c r="U1185">
        <v>2</v>
      </c>
      <c r="Y1185">
        <v>2</v>
      </c>
      <c r="AA1185">
        <v>2.25</v>
      </c>
      <c r="AC1185" s="3">
        <v>2.25</v>
      </c>
      <c r="AE1185" s="3">
        <v>2.06</v>
      </c>
      <c r="AI1185">
        <v>2.56</v>
      </c>
      <c r="AK1185" s="3"/>
      <c r="AV1185" t="s">
        <v>815</v>
      </c>
      <c r="AX1185" t="s">
        <v>815</v>
      </c>
      <c r="AZ1185" t="s">
        <v>815</v>
      </c>
      <c r="BB1185" t="s">
        <v>815</v>
      </c>
      <c r="BG1185">
        <v>2.5</v>
      </c>
      <c r="BI1185">
        <v>3.12</v>
      </c>
      <c r="BJ1185">
        <v>5</v>
      </c>
      <c r="BK1185" s="4">
        <v>2983</v>
      </c>
      <c r="BL1185" s="4">
        <v>3348</v>
      </c>
      <c r="BM1185" s="4">
        <v>3713</v>
      </c>
      <c r="BN1185" s="4">
        <v>4078</v>
      </c>
      <c r="BR1185">
        <v>1835</v>
      </c>
      <c r="BS1185" t="s">
        <v>1958</v>
      </c>
      <c r="BT1185">
        <v>4</v>
      </c>
      <c r="BU1185">
        <v>12</v>
      </c>
      <c r="BV1185">
        <v>9</v>
      </c>
      <c r="BX1185">
        <v>2.81</v>
      </c>
      <c r="BZ1185">
        <v>2.06</v>
      </c>
      <c r="CK1185" t="s">
        <v>454</v>
      </c>
      <c r="CM1185">
        <v>1911</v>
      </c>
    </row>
    <row r="1186" spans="1:91" x14ac:dyDescent="0.3">
      <c r="A1186" t="s">
        <v>1957</v>
      </c>
      <c r="B1186">
        <v>49386</v>
      </c>
      <c r="C1186" t="s">
        <v>1959</v>
      </c>
      <c r="D1186">
        <v>12</v>
      </c>
      <c r="I1186">
        <v>10000</v>
      </c>
      <c r="U1186">
        <v>10</v>
      </c>
      <c r="Y1186">
        <v>10</v>
      </c>
      <c r="AA1186">
        <v>9.5</v>
      </c>
      <c r="AC1186" s="3">
        <v>9.6199999999999992</v>
      </c>
      <c r="AE1186" s="3">
        <v>9.25</v>
      </c>
      <c r="AI1186">
        <v>9.25</v>
      </c>
      <c r="AJ1186" t="s">
        <v>379</v>
      </c>
      <c r="AK1186" s="3"/>
      <c r="AV1186" t="s">
        <v>370</v>
      </c>
      <c r="AX1186" t="s">
        <v>370</v>
      </c>
      <c r="AZ1186" t="s">
        <v>370</v>
      </c>
      <c r="BB1186" t="s">
        <v>370</v>
      </c>
      <c r="BO1186" t="s">
        <v>367</v>
      </c>
      <c r="BR1186">
        <v>1835</v>
      </c>
      <c r="BS1186" t="s">
        <v>1958</v>
      </c>
      <c r="BT1186">
        <v>5</v>
      </c>
      <c r="BU1186">
        <v>8</v>
      </c>
      <c r="BV1186">
        <v>0</v>
      </c>
      <c r="BX1186">
        <v>10</v>
      </c>
      <c r="BZ1186">
        <v>9.25</v>
      </c>
      <c r="CM1186">
        <v>1911</v>
      </c>
    </row>
    <row r="1187" spans="1:91" x14ac:dyDescent="0.3">
      <c r="A1187" t="s">
        <v>1960</v>
      </c>
      <c r="B1187">
        <v>49511</v>
      </c>
      <c r="D1187">
        <v>12</v>
      </c>
      <c r="I1187">
        <v>200000</v>
      </c>
      <c r="U1187">
        <v>1</v>
      </c>
      <c r="Y1187">
        <v>1</v>
      </c>
      <c r="AA1187">
        <v>0.96</v>
      </c>
      <c r="AC1187" s="3">
        <v>0.96</v>
      </c>
      <c r="AE1187" s="3">
        <v>0.96</v>
      </c>
      <c r="AI1187">
        <v>0.96</v>
      </c>
      <c r="AK1187" s="3"/>
      <c r="AV1187" t="s">
        <v>385</v>
      </c>
      <c r="AX1187" t="s">
        <v>385</v>
      </c>
      <c r="AZ1187" t="s">
        <v>385</v>
      </c>
      <c r="BB1187" t="s">
        <v>385</v>
      </c>
      <c r="BS1187" t="s">
        <v>385</v>
      </c>
      <c r="BW1187" t="s">
        <v>802</v>
      </c>
      <c r="BX1187">
        <v>1.06</v>
      </c>
      <c r="BZ1187">
        <v>0.96</v>
      </c>
      <c r="CK1187" t="s">
        <v>360</v>
      </c>
      <c r="CM1187">
        <v>1911</v>
      </c>
    </row>
    <row r="1188" spans="1:91" x14ac:dyDescent="0.3">
      <c r="A1188" t="s">
        <v>1961</v>
      </c>
      <c r="B1188">
        <v>49551</v>
      </c>
      <c r="D1188">
        <v>12</v>
      </c>
      <c r="I1188">
        <v>355191</v>
      </c>
      <c r="J1188" t="s">
        <v>800</v>
      </c>
      <c r="V1188" t="s">
        <v>350</v>
      </c>
      <c r="Y1188">
        <v>100</v>
      </c>
      <c r="AA1188">
        <v>96</v>
      </c>
      <c r="AB1188" t="s">
        <v>379</v>
      </c>
      <c r="AC1188" s="3">
        <v>97</v>
      </c>
      <c r="AE1188" s="3">
        <v>96</v>
      </c>
      <c r="AI1188">
        <v>97</v>
      </c>
      <c r="AK1188" s="3"/>
      <c r="AV1188" t="s">
        <v>421</v>
      </c>
      <c r="AX1188" t="s">
        <v>421</v>
      </c>
      <c r="AZ1188" t="s">
        <v>421</v>
      </c>
      <c r="BB1188" t="s">
        <v>421</v>
      </c>
      <c r="BO1188" t="s">
        <v>367</v>
      </c>
      <c r="BR1188">
        <v>140598</v>
      </c>
      <c r="BT1188">
        <v>4</v>
      </c>
      <c r="BU1188">
        <v>2</v>
      </c>
      <c r="BV1188">
        <v>6</v>
      </c>
      <c r="BX1188">
        <v>98</v>
      </c>
      <c r="BZ1188">
        <v>95.5</v>
      </c>
      <c r="CK1188" t="s">
        <v>1962</v>
      </c>
      <c r="CM1188">
        <v>1911</v>
      </c>
    </row>
    <row r="1189" spans="1:91" x14ac:dyDescent="0.3">
      <c r="A1189" t="s">
        <v>1963</v>
      </c>
      <c r="B1189">
        <v>49685</v>
      </c>
      <c r="D1189">
        <v>12</v>
      </c>
      <c r="I1189">
        <v>985630</v>
      </c>
      <c r="U1189">
        <v>1</v>
      </c>
      <c r="Y1189">
        <v>1</v>
      </c>
      <c r="AA1189">
        <v>0.5</v>
      </c>
      <c r="AC1189" s="3">
        <v>0.5</v>
      </c>
      <c r="AE1189" s="3">
        <v>0.46</v>
      </c>
      <c r="AI1189">
        <v>0.46</v>
      </c>
      <c r="AK1189" s="3"/>
      <c r="AV1189" t="s">
        <v>385</v>
      </c>
      <c r="AX1189" t="s">
        <v>385</v>
      </c>
      <c r="AZ1189" t="s">
        <v>385</v>
      </c>
      <c r="BB1189" t="s">
        <v>385</v>
      </c>
      <c r="BR1189">
        <v>75758</v>
      </c>
      <c r="BW1189" t="s">
        <v>802</v>
      </c>
      <c r="BX1189">
        <v>0.71</v>
      </c>
      <c r="BZ1189">
        <v>0.46</v>
      </c>
      <c r="CK1189" t="s">
        <v>360</v>
      </c>
      <c r="CM1189">
        <v>1911</v>
      </c>
    </row>
    <row r="1190" spans="1:91" x14ac:dyDescent="0.3">
      <c r="A1190" t="s">
        <v>1964</v>
      </c>
      <c r="B1190">
        <v>49731</v>
      </c>
      <c r="D1190">
        <v>12</v>
      </c>
      <c r="I1190">
        <v>42479</v>
      </c>
      <c r="U1190">
        <v>10</v>
      </c>
      <c r="Y1190">
        <v>1</v>
      </c>
      <c r="AA1190">
        <v>0.87</v>
      </c>
      <c r="AC1190" s="3">
        <v>0.87</v>
      </c>
      <c r="AE1190" s="3">
        <v>0.87</v>
      </c>
      <c r="AI1190">
        <v>0.87</v>
      </c>
      <c r="AK1190" s="3"/>
      <c r="AX1190" t="s">
        <v>823</v>
      </c>
      <c r="BB1190" t="s">
        <v>823</v>
      </c>
      <c r="BG1190">
        <v>10</v>
      </c>
      <c r="BH1190">
        <v>5</v>
      </c>
      <c r="BI1190">
        <v>10</v>
      </c>
      <c r="BJ1190">
        <v>5</v>
      </c>
      <c r="BK1190" s="4">
        <v>3774</v>
      </c>
      <c r="BL1190" s="4">
        <v>3958</v>
      </c>
      <c r="BM1190" s="4">
        <v>4139</v>
      </c>
      <c r="BN1190" s="4">
        <v>4323</v>
      </c>
      <c r="BR1190">
        <v>167513</v>
      </c>
      <c r="BS1190" t="s">
        <v>1965</v>
      </c>
      <c r="BT1190">
        <v>8</v>
      </c>
      <c r="BU1190">
        <v>11</v>
      </c>
      <c r="BV1190">
        <v>6</v>
      </c>
      <c r="BX1190">
        <v>0.87</v>
      </c>
      <c r="BZ1190">
        <v>0.62</v>
      </c>
      <c r="CK1190" t="s">
        <v>360</v>
      </c>
      <c r="CM1190">
        <v>1911</v>
      </c>
    </row>
    <row r="1191" spans="1:91" x14ac:dyDescent="0.3">
      <c r="A1191" t="s">
        <v>1964</v>
      </c>
      <c r="B1191">
        <v>49740</v>
      </c>
      <c r="C1191" t="s">
        <v>1966</v>
      </c>
      <c r="D1191">
        <v>12</v>
      </c>
      <c r="I1191">
        <v>15314</v>
      </c>
      <c r="U1191">
        <v>10</v>
      </c>
      <c r="Y1191">
        <v>10</v>
      </c>
      <c r="AA1191">
        <v>10.25</v>
      </c>
      <c r="AC1191" s="3">
        <v>10.25</v>
      </c>
      <c r="AE1191" s="3">
        <v>10.25</v>
      </c>
      <c r="AI1191">
        <v>10.25</v>
      </c>
      <c r="AK1191" s="3"/>
      <c r="AX1191" t="s">
        <v>823</v>
      </c>
      <c r="BB1191" t="s">
        <v>823</v>
      </c>
      <c r="BG1191">
        <v>10.83</v>
      </c>
      <c r="BH1191">
        <v>5.41</v>
      </c>
      <c r="BI1191">
        <v>10.83</v>
      </c>
      <c r="BJ1191">
        <v>5.41</v>
      </c>
      <c r="BK1191" s="4">
        <v>3774</v>
      </c>
      <c r="BL1191" s="4">
        <v>3958</v>
      </c>
      <c r="BM1191" s="4">
        <v>4139</v>
      </c>
      <c r="BN1191" s="4">
        <v>4323</v>
      </c>
      <c r="BR1191">
        <v>167513</v>
      </c>
      <c r="BS1191" t="s">
        <v>1965</v>
      </c>
      <c r="BT1191">
        <v>7</v>
      </c>
      <c r="BU1191">
        <v>18</v>
      </c>
      <c r="BV1191">
        <v>6</v>
      </c>
      <c r="BX1191">
        <v>10.62</v>
      </c>
      <c r="BZ1191">
        <v>9.75</v>
      </c>
      <c r="CM1191">
        <v>1911</v>
      </c>
    </row>
    <row r="1192" spans="1:91" x14ac:dyDescent="0.3">
      <c r="A1192" t="s">
        <v>1964</v>
      </c>
      <c r="B1192">
        <v>49737</v>
      </c>
      <c r="C1192" t="s">
        <v>1967</v>
      </c>
      <c r="D1192">
        <v>12</v>
      </c>
      <c r="I1192">
        <v>28616</v>
      </c>
      <c r="U1192">
        <v>10</v>
      </c>
      <c r="Y1192">
        <v>10</v>
      </c>
      <c r="AA1192">
        <v>7</v>
      </c>
      <c r="AC1192" s="3">
        <v>7.25</v>
      </c>
      <c r="AE1192" s="3">
        <v>7</v>
      </c>
      <c r="AI1192">
        <v>7.25</v>
      </c>
      <c r="AK1192" s="3"/>
      <c r="AX1192" t="s">
        <v>823</v>
      </c>
      <c r="BB1192" t="s">
        <v>823</v>
      </c>
      <c r="BG1192">
        <v>7.16</v>
      </c>
      <c r="BH1192">
        <v>3.21</v>
      </c>
      <c r="BI1192">
        <v>7.16</v>
      </c>
      <c r="BJ1192">
        <v>3.58</v>
      </c>
      <c r="BK1192" s="4">
        <v>3774</v>
      </c>
      <c r="BL1192" s="4">
        <v>3958</v>
      </c>
      <c r="BM1192" s="4">
        <v>4139</v>
      </c>
      <c r="BN1192" s="4">
        <v>4323</v>
      </c>
      <c r="BR1192">
        <v>167513</v>
      </c>
      <c r="BS1192" t="s">
        <v>1965</v>
      </c>
      <c r="BT1192">
        <v>7</v>
      </c>
      <c r="BU1192">
        <v>8</v>
      </c>
      <c r="BV1192">
        <v>3</v>
      </c>
      <c r="BX1192">
        <v>7.56</v>
      </c>
      <c r="BZ1192">
        <v>7</v>
      </c>
      <c r="CM1192">
        <v>1911</v>
      </c>
    </row>
    <row r="1193" spans="1:91" x14ac:dyDescent="0.3">
      <c r="A1193" t="s">
        <v>1968</v>
      </c>
      <c r="B1193">
        <v>49734</v>
      </c>
      <c r="C1193" t="s">
        <v>1195</v>
      </c>
      <c r="D1193">
        <v>12</v>
      </c>
      <c r="I1193">
        <v>87500</v>
      </c>
      <c r="U1193">
        <v>10</v>
      </c>
      <c r="Y1193">
        <v>10</v>
      </c>
      <c r="AA1193">
        <v>9.75</v>
      </c>
      <c r="AC1193" s="3">
        <v>10</v>
      </c>
      <c r="AE1193" s="3">
        <v>9.5</v>
      </c>
      <c r="AI1193">
        <v>9.5</v>
      </c>
      <c r="AJ1193" t="s">
        <v>379</v>
      </c>
      <c r="AK1193" s="3"/>
      <c r="BG1193">
        <v>5</v>
      </c>
      <c r="BH1193">
        <v>5</v>
      </c>
      <c r="BI1193">
        <v>5</v>
      </c>
      <c r="BJ1193">
        <v>5</v>
      </c>
      <c r="BK1193" s="4">
        <v>3654</v>
      </c>
      <c r="BL1193" s="4">
        <v>3835</v>
      </c>
      <c r="BM1193" s="4">
        <v>4019</v>
      </c>
      <c r="BN1193" s="4">
        <v>4200</v>
      </c>
      <c r="BR1193">
        <v>167513</v>
      </c>
      <c r="BS1193" t="s">
        <v>1965</v>
      </c>
      <c r="BT1193">
        <v>5</v>
      </c>
      <c r="BU1193">
        <v>5</v>
      </c>
      <c r="BV1193">
        <v>3</v>
      </c>
      <c r="BX1193">
        <v>10.25</v>
      </c>
      <c r="BZ1193">
        <v>9.5</v>
      </c>
      <c r="CM1193">
        <v>1911</v>
      </c>
    </row>
    <row r="1194" spans="1:91" x14ac:dyDescent="0.3">
      <c r="A1194" t="s">
        <v>1964</v>
      </c>
      <c r="B1194">
        <v>49741</v>
      </c>
      <c r="C1194" t="s">
        <v>1071</v>
      </c>
      <c r="D1194">
        <v>12</v>
      </c>
      <c r="I1194">
        <v>253220</v>
      </c>
      <c r="J1194" t="s">
        <v>800</v>
      </c>
      <c r="V1194" t="s">
        <v>350</v>
      </c>
      <c r="Y1194">
        <v>100</v>
      </c>
      <c r="AA1194">
        <v>97</v>
      </c>
      <c r="AC1194" s="3">
        <v>98.5</v>
      </c>
      <c r="AE1194" s="3">
        <v>97</v>
      </c>
      <c r="AI1194">
        <v>98.5</v>
      </c>
      <c r="AK1194" s="3"/>
      <c r="AV1194" t="s">
        <v>536</v>
      </c>
      <c r="AX1194" t="s">
        <v>536</v>
      </c>
      <c r="AZ1194" t="s">
        <v>536</v>
      </c>
      <c r="BB1194" t="s">
        <v>536</v>
      </c>
      <c r="BO1194" t="s">
        <v>367</v>
      </c>
      <c r="BR1194">
        <v>167513</v>
      </c>
      <c r="BS1194" t="s">
        <v>1965</v>
      </c>
      <c r="BT1194">
        <v>4</v>
      </c>
      <c r="BU1194">
        <v>1</v>
      </c>
      <c r="BV1194">
        <v>9</v>
      </c>
      <c r="BX1194">
        <v>99</v>
      </c>
      <c r="BZ1194">
        <v>95</v>
      </c>
      <c r="CM1194">
        <v>1911</v>
      </c>
    </row>
    <row r="1195" spans="1:91" x14ac:dyDescent="0.3">
      <c r="A1195" t="s">
        <v>1969</v>
      </c>
      <c r="B1195">
        <v>49743</v>
      </c>
      <c r="D1195">
        <v>12</v>
      </c>
      <c r="I1195">
        <v>90000</v>
      </c>
      <c r="U1195">
        <v>20</v>
      </c>
      <c r="Y1195">
        <v>5</v>
      </c>
      <c r="AA1195">
        <v>6</v>
      </c>
      <c r="AB1195" t="s">
        <v>379</v>
      </c>
      <c r="AC1195" s="3">
        <v>6.12</v>
      </c>
      <c r="AE1195" s="3">
        <v>5.75</v>
      </c>
      <c r="AI1195">
        <v>5.75</v>
      </c>
      <c r="AK1195" s="3"/>
      <c r="BG1195">
        <v>8</v>
      </c>
      <c r="BH1195">
        <v>8</v>
      </c>
      <c r="BI1195">
        <v>8</v>
      </c>
      <c r="BJ1195">
        <v>8</v>
      </c>
      <c r="BK1195" s="4">
        <v>3805</v>
      </c>
      <c r="BL1195" s="4">
        <v>3988</v>
      </c>
      <c r="BM1195" s="4">
        <v>4170</v>
      </c>
      <c r="BN1195" s="4">
        <v>4353</v>
      </c>
      <c r="BR1195">
        <v>370502</v>
      </c>
      <c r="BS1195" t="s">
        <v>1970</v>
      </c>
      <c r="BT1195">
        <v>6</v>
      </c>
      <c r="BU1195">
        <v>19</v>
      </c>
      <c r="BV1195">
        <v>3</v>
      </c>
      <c r="BX1195">
        <v>6.5</v>
      </c>
      <c r="BZ1195">
        <v>5.75</v>
      </c>
      <c r="CK1195" t="s">
        <v>360</v>
      </c>
      <c r="CM1195">
        <v>1911</v>
      </c>
    </row>
    <row r="1196" spans="1:91" x14ac:dyDescent="0.3">
      <c r="A1196" t="s">
        <v>1969</v>
      </c>
      <c r="B1196">
        <v>49744</v>
      </c>
      <c r="C1196" t="s">
        <v>549</v>
      </c>
      <c r="D1196">
        <v>12</v>
      </c>
      <c r="I1196">
        <v>25000</v>
      </c>
      <c r="U1196">
        <v>20</v>
      </c>
      <c r="Y1196">
        <v>3</v>
      </c>
      <c r="AA1196">
        <v>3.25</v>
      </c>
      <c r="AB1196" t="s">
        <v>379</v>
      </c>
      <c r="AC1196" s="3">
        <v>3.25</v>
      </c>
      <c r="AE1196" s="3">
        <v>3.12</v>
      </c>
      <c r="AI1196">
        <v>3.25</v>
      </c>
      <c r="AK1196" s="3"/>
      <c r="BG1196">
        <v>8</v>
      </c>
      <c r="BH1196">
        <v>8</v>
      </c>
      <c r="BI1196">
        <v>8</v>
      </c>
      <c r="BJ1196">
        <v>8</v>
      </c>
      <c r="BK1196" s="4">
        <v>3805</v>
      </c>
      <c r="BL1196" s="4">
        <v>3988</v>
      </c>
      <c r="BM1196" s="4">
        <v>4170</v>
      </c>
      <c r="BN1196" s="4">
        <v>4353</v>
      </c>
      <c r="BR1196">
        <v>370502</v>
      </c>
      <c r="BS1196" t="s">
        <v>1970</v>
      </c>
      <c r="BT1196">
        <v>7</v>
      </c>
      <c r="BU1196">
        <v>7</v>
      </c>
      <c r="BV1196">
        <v>9</v>
      </c>
      <c r="BX1196">
        <v>3.56</v>
      </c>
      <c r="BZ1196">
        <v>3.12</v>
      </c>
      <c r="CM1196">
        <v>1911</v>
      </c>
    </row>
    <row r="1197" spans="1:91" x14ac:dyDescent="0.3">
      <c r="A1197" t="s">
        <v>1969</v>
      </c>
      <c r="B1197">
        <v>49746</v>
      </c>
      <c r="C1197" t="s">
        <v>549</v>
      </c>
      <c r="D1197">
        <v>12</v>
      </c>
      <c r="I1197">
        <v>25000</v>
      </c>
      <c r="U1197">
        <v>20</v>
      </c>
      <c r="Y1197">
        <v>3</v>
      </c>
      <c r="AA1197">
        <v>1.1200000000000001</v>
      </c>
      <c r="AB1197" t="s">
        <v>379</v>
      </c>
      <c r="AC1197" s="3">
        <v>1.1200000000000001</v>
      </c>
      <c r="AE1197" s="3">
        <v>1.1200000000000001</v>
      </c>
      <c r="AI1197">
        <v>1.1200000000000001</v>
      </c>
      <c r="AK1197" s="3"/>
      <c r="BG1197">
        <v>8</v>
      </c>
      <c r="BH1197">
        <v>8</v>
      </c>
      <c r="BI1197">
        <v>8</v>
      </c>
      <c r="BJ1197">
        <v>8</v>
      </c>
      <c r="BK1197" s="4">
        <v>3805</v>
      </c>
      <c r="BL1197" s="4">
        <v>3988</v>
      </c>
      <c r="BM1197" s="4">
        <v>4170</v>
      </c>
      <c r="BN1197" s="4">
        <v>4353</v>
      </c>
      <c r="BR1197">
        <v>370502</v>
      </c>
      <c r="BS1197" t="s">
        <v>1970</v>
      </c>
      <c r="BT1197">
        <v>7</v>
      </c>
      <c r="BU1197">
        <v>2</v>
      </c>
      <c r="BV1197">
        <v>3</v>
      </c>
      <c r="BX1197">
        <v>1.25</v>
      </c>
      <c r="BZ1197">
        <v>0.96</v>
      </c>
      <c r="CM1197">
        <v>1911</v>
      </c>
    </row>
    <row r="1198" spans="1:91" x14ac:dyDescent="0.3">
      <c r="A1198" t="s">
        <v>1971</v>
      </c>
      <c r="B1198">
        <v>49750</v>
      </c>
      <c r="D1198">
        <v>12</v>
      </c>
      <c r="I1198">
        <v>401090</v>
      </c>
      <c r="J1198" t="s">
        <v>800</v>
      </c>
      <c r="V1198" t="s">
        <v>350</v>
      </c>
      <c r="Y1198">
        <v>100</v>
      </c>
      <c r="AA1198">
        <v>86</v>
      </c>
      <c r="AC1198" s="3">
        <v>86</v>
      </c>
      <c r="AE1198" s="3">
        <v>86</v>
      </c>
      <c r="AI1198">
        <v>86</v>
      </c>
      <c r="AK1198" s="3"/>
      <c r="BG1198">
        <v>4.5</v>
      </c>
      <c r="BH1198">
        <v>4.5</v>
      </c>
      <c r="BI1198">
        <v>4.5</v>
      </c>
      <c r="BJ1198">
        <v>4.5</v>
      </c>
      <c r="BK1198" s="4">
        <v>3685</v>
      </c>
      <c r="BL1198" s="4">
        <v>3866</v>
      </c>
      <c r="BM1198" s="4">
        <v>4050</v>
      </c>
      <c r="BN1198" s="4">
        <v>4231</v>
      </c>
      <c r="BR1198">
        <v>20907</v>
      </c>
      <c r="BT1198">
        <v>5</v>
      </c>
      <c r="BU1198">
        <v>6</v>
      </c>
      <c r="BV1198">
        <v>6</v>
      </c>
      <c r="BX1198">
        <v>89</v>
      </c>
      <c r="BZ1198">
        <v>85</v>
      </c>
      <c r="CK1198" t="s">
        <v>360</v>
      </c>
      <c r="CM1198">
        <v>1911</v>
      </c>
    </row>
    <row r="1199" spans="1:91" x14ac:dyDescent="0.3">
      <c r="A1199" t="s">
        <v>1972</v>
      </c>
      <c r="B1199">
        <v>49766</v>
      </c>
      <c r="D1199">
        <v>12</v>
      </c>
      <c r="I1199">
        <v>525000</v>
      </c>
      <c r="J1199" t="s">
        <v>800</v>
      </c>
      <c r="V1199" t="s">
        <v>350</v>
      </c>
      <c r="Y1199">
        <v>100</v>
      </c>
      <c r="AA1199">
        <v>85</v>
      </c>
      <c r="AC1199" s="3">
        <v>85</v>
      </c>
      <c r="AE1199" s="3">
        <v>84</v>
      </c>
      <c r="AI1199">
        <v>85</v>
      </c>
      <c r="AK1199" s="3"/>
      <c r="AV1199" t="s">
        <v>823</v>
      </c>
      <c r="AZ1199" t="s">
        <v>823</v>
      </c>
      <c r="BG1199">
        <v>4</v>
      </c>
      <c r="BH1199">
        <v>5</v>
      </c>
      <c r="BI1199">
        <v>4</v>
      </c>
      <c r="BJ1199">
        <v>6</v>
      </c>
      <c r="BK1199" s="4">
        <v>3654</v>
      </c>
      <c r="BL1199" s="4">
        <v>3835</v>
      </c>
      <c r="BM1199" s="4">
        <v>4019</v>
      </c>
      <c r="BN1199" s="4">
        <v>4200</v>
      </c>
      <c r="BR1199">
        <v>189683</v>
      </c>
      <c r="BS1199" t="s">
        <v>1973</v>
      </c>
      <c r="BT1199">
        <v>5</v>
      </c>
      <c r="BU1199">
        <v>17</v>
      </c>
      <c r="BV1199">
        <v>9</v>
      </c>
      <c r="BX1199">
        <v>90</v>
      </c>
      <c r="BZ1199">
        <v>80</v>
      </c>
      <c r="CK1199" t="s">
        <v>360</v>
      </c>
      <c r="CM1199">
        <v>1911</v>
      </c>
    </row>
    <row r="1200" spans="1:91" x14ac:dyDescent="0.3">
      <c r="A1200" t="s">
        <v>1972</v>
      </c>
      <c r="B1200">
        <v>49773</v>
      </c>
      <c r="C1200" t="s">
        <v>1974</v>
      </c>
      <c r="D1200">
        <v>12</v>
      </c>
      <c r="I1200">
        <v>525000</v>
      </c>
      <c r="V1200" t="s">
        <v>350</v>
      </c>
      <c r="Y1200">
        <v>100</v>
      </c>
      <c r="AA1200">
        <v>93</v>
      </c>
      <c r="AB1200" t="s">
        <v>379</v>
      </c>
      <c r="AC1200" s="3">
        <v>93</v>
      </c>
      <c r="AE1200" s="3">
        <v>92</v>
      </c>
      <c r="AI1200">
        <v>92</v>
      </c>
      <c r="AK1200" s="3"/>
      <c r="AV1200" t="s">
        <v>421</v>
      </c>
      <c r="AX1200" t="s">
        <v>421</v>
      </c>
      <c r="AZ1200" t="s">
        <v>421</v>
      </c>
      <c r="BB1200" t="s">
        <v>421</v>
      </c>
      <c r="BO1200" t="s">
        <v>367</v>
      </c>
      <c r="BR1200">
        <v>189683</v>
      </c>
      <c r="BS1200" t="s">
        <v>1973</v>
      </c>
      <c r="BT1200">
        <v>4</v>
      </c>
      <c r="BU1200">
        <v>17</v>
      </c>
      <c r="BV1200">
        <v>9</v>
      </c>
      <c r="BX1200">
        <v>95.75</v>
      </c>
      <c r="BZ1200">
        <v>89.75</v>
      </c>
      <c r="CM1200">
        <v>1911</v>
      </c>
    </row>
    <row r="1201" spans="1:91" x14ac:dyDescent="0.3">
      <c r="A1201" t="s">
        <v>1972</v>
      </c>
      <c r="B1201">
        <v>49772</v>
      </c>
      <c r="C1201" t="s">
        <v>1975</v>
      </c>
      <c r="D1201">
        <v>12</v>
      </c>
      <c r="I1201">
        <v>400000</v>
      </c>
      <c r="J1201" t="s">
        <v>800</v>
      </c>
      <c r="V1201" t="s">
        <v>350</v>
      </c>
      <c r="Y1201">
        <v>100</v>
      </c>
      <c r="AA1201">
        <v>101</v>
      </c>
      <c r="AC1201" s="3">
        <v>101.25</v>
      </c>
      <c r="AE1201" s="3">
        <v>101</v>
      </c>
      <c r="AI1201">
        <v>101</v>
      </c>
      <c r="AK1201" s="3"/>
      <c r="AV1201" t="s">
        <v>536</v>
      </c>
      <c r="AX1201" t="s">
        <v>536</v>
      </c>
      <c r="AZ1201" t="s">
        <v>536</v>
      </c>
      <c r="BB1201" t="s">
        <v>536</v>
      </c>
      <c r="BO1201" t="s">
        <v>367</v>
      </c>
      <c r="BR1201">
        <v>189683</v>
      </c>
      <c r="BS1201" t="s">
        <v>1973</v>
      </c>
      <c r="BT1201">
        <v>4</v>
      </c>
      <c r="BU1201">
        <v>5</v>
      </c>
      <c r="BV1201">
        <v>3</v>
      </c>
      <c r="BX1201">
        <v>103</v>
      </c>
      <c r="BZ1201">
        <v>100</v>
      </c>
      <c r="CM1201">
        <v>1911</v>
      </c>
    </row>
    <row r="1202" spans="1:91" x14ac:dyDescent="0.3">
      <c r="A1202" t="s">
        <v>1976</v>
      </c>
      <c r="B1202">
        <v>49810</v>
      </c>
      <c r="D1202">
        <v>12</v>
      </c>
      <c r="I1202">
        <v>300000</v>
      </c>
      <c r="U1202">
        <v>4</v>
      </c>
      <c r="Y1202">
        <v>1</v>
      </c>
      <c r="AA1202">
        <v>1.1200000000000001</v>
      </c>
      <c r="AC1202" s="3">
        <v>1.1200000000000001</v>
      </c>
      <c r="AE1202" s="3">
        <v>1</v>
      </c>
      <c r="AI1202">
        <v>1.1200000000000001</v>
      </c>
      <c r="AK1202" s="3"/>
      <c r="AX1202" t="s">
        <v>823</v>
      </c>
      <c r="BB1202" t="s">
        <v>823</v>
      </c>
      <c r="BG1202">
        <v>10</v>
      </c>
      <c r="BH1202">
        <v>5</v>
      </c>
      <c r="BI1202">
        <v>10</v>
      </c>
      <c r="BJ1202">
        <v>5</v>
      </c>
      <c r="BK1202" s="4">
        <v>3713</v>
      </c>
      <c r="BL1202" s="4">
        <v>3866</v>
      </c>
      <c r="BM1202" s="4">
        <v>4050</v>
      </c>
      <c r="BN1202" s="4">
        <v>4231</v>
      </c>
      <c r="BR1202">
        <v>163693</v>
      </c>
      <c r="BS1202" t="s">
        <v>1977</v>
      </c>
      <c r="BT1202">
        <v>6</v>
      </c>
      <c r="BU1202">
        <v>13</v>
      </c>
      <c r="BV1202">
        <v>3</v>
      </c>
      <c r="BX1202">
        <v>1.18</v>
      </c>
      <c r="BZ1202">
        <v>0.87</v>
      </c>
      <c r="CK1202" t="s">
        <v>360</v>
      </c>
      <c r="CM1202">
        <v>1911</v>
      </c>
    </row>
    <row r="1203" spans="1:91" x14ac:dyDescent="0.3">
      <c r="A1203" t="s">
        <v>1978</v>
      </c>
      <c r="B1203">
        <v>49812</v>
      </c>
      <c r="C1203" t="s">
        <v>1979</v>
      </c>
      <c r="D1203">
        <v>12</v>
      </c>
      <c r="I1203">
        <v>173090</v>
      </c>
      <c r="J1203" t="s">
        <v>800</v>
      </c>
      <c r="V1203" t="s">
        <v>350</v>
      </c>
      <c r="Y1203">
        <v>100</v>
      </c>
      <c r="AA1203">
        <v>106</v>
      </c>
      <c r="AC1203" s="3">
        <v>106</v>
      </c>
      <c r="AE1203" s="3">
        <v>105.5</v>
      </c>
      <c r="AI1203">
        <v>106</v>
      </c>
      <c r="AK1203" s="3"/>
      <c r="AV1203" t="s">
        <v>506</v>
      </c>
      <c r="AX1203" t="s">
        <v>506</v>
      </c>
      <c r="AZ1203" t="s">
        <v>506</v>
      </c>
      <c r="BB1203" t="s">
        <v>506</v>
      </c>
      <c r="BO1203" t="s">
        <v>367</v>
      </c>
      <c r="BR1203">
        <v>163693</v>
      </c>
      <c r="BS1203" t="s">
        <v>1977</v>
      </c>
      <c r="BT1203">
        <v>5</v>
      </c>
      <c r="BU1203">
        <v>6</v>
      </c>
      <c r="BV1203">
        <v>3</v>
      </c>
      <c r="BX1203">
        <v>110</v>
      </c>
      <c r="BZ1203">
        <v>105</v>
      </c>
      <c r="CM1203">
        <v>1911</v>
      </c>
    </row>
    <row r="1204" spans="1:91" x14ac:dyDescent="0.3">
      <c r="A1204" t="s">
        <v>1978</v>
      </c>
      <c r="B1204">
        <v>49811</v>
      </c>
      <c r="C1204" t="s">
        <v>1980</v>
      </c>
      <c r="D1204">
        <v>12</v>
      </c>
      <c r="I1204" s="2">
        <v>1000000</v>
      </c>
      <c r="J1204" t="s">
        <v>800</v>
      </c>
      <c r="V1204" t="s">
        <v>350</v>
      </c>
      <c r="Y1204">
        <v>100</v>
      </c>
      <c r="AA1204">
        <v>104</v>
      </c>
      <c r="AC1204" s="3">
        <v>104.5</v>
      </c>
      <c r="AE1204" s="3">
        <v>104</v>
      </c>
      <c r="AI1204">
        <v>104</v>
      </c>
      <c r="AK1204" s="3"/>
      <c r="AV1204" t="s">
        <v>506</v>
      </c>
      <c r="AX1204" t="s">
        <v>506</v>
      </c>
      <c r="AZ1204" t="s">
        <v>506</v>
      </c>
      <c r="BB1204" t="s">
        <v>506</v>
      </c>
      <c r="BO1204" t="s">
        <v>367</v>
      </c>
      <c r="BR1204">
        <v>163693</v>
      </c>
      <c r="BS1204" t="s">
        <v>1977</v>
      </c>
      <c r="BT1204">
        <v>4</v>
      </c>
      <c r="BU1204">
        <v>8</v>
      </c>
      <c r="BV1204">
        <v>9</v>
      </c>
      <c r="BX1204">
        <v>106</v>
      </c>
      <c r="BZ1204">
        <v>103</v>
      </c>
      <c r="CM1204">
        <v>1911</v>
      </c>
    </row>
    <row r="1205" spans="1:91" x14ac:dyDescent="0.3">
      <c r="A1205" t="s">
        <v>1981</v>
      </c>
      <c r="B1205">
        <v>49818</v>
      </c>
      <c r="D1205">
        <v>12</v>
      </c>
      <c r="I1205">
        <v>100000</v>
      </c>
      <c r="J1205" t="s">
        <v>800</v>
      </c>
      <c r="V1205" t="s">
        <v>350</v>
      </c>
      <c r="Y1205">
        <v>100</v>
      </c>
      <c r="AA1205">
        <v>103</v>
      </c>
      <c r="AC1205" s="3">
        <v>104.5</v>
      </c>
      <c r="AE1205" s="3">
        <v>103</v>
      </c>
      <c r="AI1205">
        <v>104.5</v>
      </c>
      <c r="AK1205" s="3"/>
      <c r="AV1205" t="s">
        <v>370</v>
      </c>
      <c r="AX1205" t="s">
        <v>370</v>
      </c>
      <c r="AZ1205" t="s">
        <v>370</v>
      </c>
      <c r="BB1205" t="s">
        <v>370</v>
      </c>
      <c r="BO1205" t="s">
        <v>367</v>
      </c>
      <c r="BR1205">
        <v>12042</v>
      </c>
      <c r="BT1205">
        <v>4</v>
      </c>
      <c r="BU1205">
        <v>8</v>
      </c>
      <c r="BV1205">
        <v>0</v>
      </c>
      <c r="BX1205">
        <v>103</v>
      </c>
      <c r="BZ1205">
        <v>94.25</v>
      </c>
      <c r="CK1205" t="s">
        <v>454</v>
      </c>
      <c r="CM1205">
        <v>1911</v>
      </c>
    </row>
    <row r="1206" spans="1:91" x14ac:dyDescent="0.3">
      <c r="A1206" t="s">
        <v>1982</v>
      </c>
      <c r="B1206">
        <v>50037</v>
      </c>
      <c r="D1206">
        <v>12</v>
      </c>
      <c r="I1206">
        <v>9565</v>
      </c>
      <c r="U1206">
        <v>25</v>
      </c>
      <c r="Y1206">
        <v>25</v>
      </c>
      <c r="AA1206">
        <v>39</v>
      </c>
      <c r="AC1206" s="3">
        <v>39</v>
      </c>
      <c r="AE1206" s="3">
        <v>38</v>
      </c>
      <c r="AI1206">
        <v>39</v>
      </c>
      <c r="AK1206" s="3"/>
      <c r="AV1206" t="s">
        <v>815</v>
      </c>
      <c r="AX1206" t="s">
        <v>815</v>
      </c>
      <c r="AZ1206" t="s">
        <v>815</v>
      </c>
      <c r="BB1206" t="s">
        <v>815</v>
      </c>
      <c r="BG1206">
        <v>3.5</v>
      </c>
      <c r="BH1206">
        <v>4</v>
      </c>
      <c r="BI1206">
        <v>4</v>
      </c>
      <c r="BJ1206">
        <v>4</v>
      </c>
      <c r="BK1206" s="4">
        <v>3044</v>
      </c>
      <c r="BL1206" s="4">
        <v>3409</v>
      </c>
      <c r="BM1206" s="4">
        <v>3774</v>
      </c>
      <c r="BN1206" s="4">
        <v>4139</v>
      </c>
      <c r="BR1206">
        <v>1925</v>
      </c>
      <c r="BT1206">
        <v>2</v>
      </c>
      <c r="BU1206">
        <v>11</v>
      </c>
      <c r="BV1206">
        <v>3</v>
      </c>
      <c r="BX1206">
        <v>49.75</v>
      </c>
      <c r="BZ1206">
        <v>35.25</v>
      </c>
      <c r="CK1206" t="s">
        <v>360</v>
      </c>
      <c r="CM1206">
        <v>1911</v>
      </c>
    </row>
    <row r="1207" spans="1:91" x14ac:dyDescent="0.3">
      <c r="A1207" t="s">
        <v>1983</v>
      </c>
      <c r="B1207">
        <v>50170</v>
      </c>
      <c r="D1207">
        <v>12</v>
      </c>
      <c r="I1207">
        <v>400000</v>
      </c>
      <c r="J1207" t="s">
        <v>800</v>
      </c>
      <c r="V1207" t="s">
        <v>350</v>
      </c>
      <c r="Y1207">
        <v>100</v>
      </c>
      <c r="AA1207">
        <v>72.5</v>
      </c>
      <c r="AC1207" s="3">
        <v>72.5</v>
      </c>
      <c r="AE1207" s="3">
        <v>70.5</v>
      </c>
      <c r="AI1207">
        <v>70.5</v>
      </c>
      <c r="AK1207" s="3"/>
      <c r="AV1207" t="s">
        <v>370</v>
      </c>
      <c r="AX1207" t="s">
        <v>370</v>
      </c>
      <c r="AZ1207" t="s">
        <v>370</v>
      </c>
      <c r="BB1207" t="s">
        <v>370</v>
      </c>
      <c r="BO1207" t="s">
        <v>367</v>
      </c>
      <c r="BR1207">
        <v>34397</v>
      </c>
      <c r="BT1207">
        <v>5</v>
      </c>
      <c r="BU1207">
        <v>16</v>
      </c>
      <c r="BV1207">
        <v>9</v>
      </c>
      <c r="BX1207">
        <v>76.5</v>
      </c>
      <c r="BZ1207">
        <v>70.5</v>
      </c>
      <c r="CK1207" t="s">
        <v>594</v>
      </c>
      <c r="CM1207">
        <v>1911</v>
      </c>
    </row>
    <row r="1208" spans="1:91" x14ac:dyDescent="0.3">
      <c r="A1208" t="s">
        <v>1984</v>
      </c>
      <c r="B1208">
        <v>50250</v>
      </c>
      <c r="D1208">
        <v>12</v>
      </c>
      <c r="I1208">
        <v>22960</v>
      </c>
      <c r="U1208">
        <v>10</v>
      </c>
      <c r="Y1208">
        <v>10</v>
      </c>
      <c r="AA1208">
        <v>9.5</v>
      </c>
      <c r="AC1208" s="3">
        <v>9.5</v>
      </c>
      <c r="AE1208" s="3">
        <v>9.25</v>
      </c>
      <c r="AI1208">
        <v>9.25</v>
      </c>
      <c r="AK1208" s="3"/>
      <c r="BG1208">
        <v>5</v>
      </c>
      <c r="BH1208">
        <v>5</v>
      </c>
      <c r="BI1208">
        <v>5</v>
      </c>
      <c r="BJ1208">
        <v>5</v>
      </c>
      <c r="BK1208" s="4">
        <v>3744</v>
      </c>
      <c r="BL1208" s="4">
        <v>3927</v>
      </c>
      <c r="BM1208" s="4">
        <v>4109</v>
      </c>
      <c r="BN1208" s="4">
        <v>4292</v>
      </c>
      <c r="BR1208">
        <v>84479</v>
      </c>
      <c r="BT1208">
        <v>5</v>
      </c>
      <c r="BU1208">
        <v>8</v>
      </c>
      <c r="BV1208">
        <v>0</v>
      </c>
      <c r="BX1208">
        <v>10.119999999999999</v>
      </c>
      <c r="BZ1208">
        <v>9.25</v>
      </c>
      <c r="CM1208">
        <v>1911</v>
      </c>
    </row>
    <row r="1209" spans="1:91" x14ac:dyDescent="0.3">
      <c r="A1209" t="s">
        <v>1985</v>
      </c>
      <c r="B1209">
        <v>50367</v>
      </c>
      <c r="D1209">
        <v>12</v>
      </c>
      <c r="I1209">
        <v>500000</v>
      </c>
      <c r="U1209">
        <v>1</v>
      </c>
      <c r="Y1209">
        <v>1</v>
      </c>
      <c r="AA1209">
        <v>1.31</v>
      </c>
      <c r="AC1209" s="3">
        <v>1.4</v>
      </c>
      <c r="AE1209" s="3">
        <v>1.31</v>
      </c>
      <c r="AI1209">
        <v>1.37</v>
      </c>
      <c r="AK1209" s="3"/>
      <c r="AV1209" t="s">
        <v>385</v>
      </c>
      <c r="AX1209" t="s">
        <v>815</v>
      </c>
      <c r="AZ1209" t="s">
        <v>1878</v>
      </c>
      <c r="BB1209" t="s">
        <v>815</v>
      </c>
      <c r="BH1209">
        <v>5</v>
      </c>
      <c r="BJ1209">
        <v>5</v>
      </c>
      <c r="BL1209" s="4">
        <v>2831</v>
      </c>
      <c r="BM1209" t="s">
        <v>811</v>
      </c>
      <c r="BN1209" s="4">
        <v>4109</v>
      </c>
      <c r="BS1209" t="s">
        <v>385</v>
      </c>
      <c r="BT1209">
        <v>3</v>
      </c>
      <c r="BU1209">
        <v>12</v>
      </c>
      <c r="BV1209">
        <v>9</v>
      </c>
      <c r="BX1209">
        <v>1.62</v>
      </c>
      <c r="BZ1209">
        <v>1.21</v>
      </c>
      <c r="CK1209" t="s">
        <v>360</v>
      </c>
      <c r="CM1209">
        <v>1911</v>
      </c>
    </row>
    <row r="1210" spans="1:91" x14ac:dyDescent="0.3">
      <c r="A1210" t="s">
        <v>1986</v>
      </c>
      <c r="B1210">
        <v>40138</v>
      </c>
      <c r="D1210">
        <v>12</v>
      </c>
      <c r="I1210">
        <v>100000</v>
      </c>
      <c r="U1210">
        <v>5</v>
      </c>
      <c r="Y1210">
        <v>5</v>
      </c>
      <c r="AA1210">
        <v>14.75</v>
      </c>
      <c r="AC1210" s="3">
        <v>14.75</v>
      </c>
      <c r="AE1210" s="3">
        <v>14.31</v>
      </c>
      <c r="AI1210">
        <v>14.5</v>
      </c>
      <c r="AK1210" s="3"/>
      <c r="AX1210" t="s">
        <v>823</v>
      </c>
      <c r="BB1210" t="s">
        <v>823</v>
      </c>
      <c r="BG1210">
        <v>12</v>
      </c>
      <c r="BH1210">
        <v>18</v>
      </c>
      <c r="BI1210">
        <v>22</v>
      </c>
      <c r="BJ1210">
        <v>20</v>
      </c>
      <c r="BK1210" s="4">
        <v>3774</v>
      </c>
      <c r="BL1210" s="4">
        <v>3927</v>
      </c>
      <c r="BM1210" s="4">
        <v>4139</v>
      </c>
      <c r="BN1210" s="4">
        <v>4292</v>
      </c>
      <c r="BR1210">
        <v>299308</v>
      </c>
      <c r="BT1210">
        <v>7</v>
      </c>
      <c r="BU1210">
        <v>4</v>
      </c>
      <c r="BV1210">
        <v>9</v>
      </c>
      <c r="BX1210">
        <v>15.5</v>
      </c>
      <c r="BZ1210">
        <v>11</v>
      </c>
      <c r="CM1210">
        <v>1911</v>
      </c>
    </row>
    <row r="1211" spans="1:91" x14ac:dyDescent="0.3">
      <c r="A1211" t="s">
        <v>1987</v>
      </c>
      <c r="B1211">
        <v>40277</v>
      </c>
      <c r="D1211">
        <v>12</v>
      </c>
      <c r="I1211">
        <v>70000</v>
      </c>
      <c r="U1211">
        <v>1</v>
      </c>
      <c r="Y1211">
        <v>1</v>
      </c>
      <c r="AA1211">
        <v>1.75</v>
      </c>
      <c r="AB1211" t="s">
        <v>379</v>
      </c>
      <c r="AC1211" s="3">
        <v>1.78</v>
      </c>
      <c r="AE1211" s="3">
        <v>1.75</v>
      </c>
      <c r="AI1211">
        <v>1.78</v>
      </c>
      <c r="AK1211" s="3"/>
      <c r="AV1211" t="s">
        <v>823</v>
      </c>
      <c r="AZ1211" t="s">
        <v>815</v>
      </c>
      <c r="BB1211" t="s">
        <v>815</v>
      </c>
      <c r="BG1211">
        <v>10</v>
      </c>
      <c r="BH1211">
        <v>20</v>
      </c>
      <c r="BI1211">
        <v>7.5</v>
      </c>
      <c r="BJ1211">
        <v>7.5</v>
      </c>
      <c r="BK1211" s="4">
        <v>2831</v>
      </c>
      <c r="BL1211" s="4">
        <v>3044</v>
      </c>
      <c r="BM1211" s="4">
        <v>4170</v>
      </c>
      <c r="BN1211" s="4">
        <v>4323</v>
      </c>
      <c r="BR1211">
        <v>8622</v>
      </c>
      <c r="BT1211">
        <v>8</v>
      </c>
      <c r="BU1211">
        <v>8</v>
      </c>
      <c r="BV1211">
        <v>6</v>
      </c>
      <c r="BX1211">
        <v>2</v>
      </c>
      <c r="BZ1211">
        <v>1.03</v>
      </c>
      <c r="CM1211">
        <v>1911</v>
      </c>
    </row>
    <row r="1212" spans="1:91" x14ac:dyDescent="0.3">
      <c r="A1212" t="s">
        <v>1988</v>
      </c>
      <c r="B1212">
        <v>40294</v>
      </c>
      <c r="D1212">
        <v>12</v>
      </c>
      <c r="I1212">
        <v>30000</v>
      </c>
      <c r="U1212">
        <v>5</v>
      </c>
      <c r="Y1212">
        <v>5</v>
      </c>
      <c r="AA1212">
        <v>14.81</v>
      </c>
      <c r="AC1212" s="3">
        <v>15.87</v>
      </c>
      <c r="AE1212" s="3">
        <v>14.62</v>
      </c>
      <c r="AI1212">
        <v>15.87</v>
      </c>
      <c r="AK1212" s="3"/>
      <c r="AX1212" t="s">
        <v>823</v>
      </c>
      <c r="BB1212" t="s">
        <v>823</v>
      </c>
      <c r="BG1212">
        <v>20</v>
      </c>
      <c r="BH1212">
        <v>10</v>
      </c>
      <c r="BI1212">
        <v>20</v>
      </c>
      <c r="BJ1212">
        <v>10</v>
      </c>
      <c r="BK1212" s="4">
        <v>3774</v>
      </c>
      <c r="BL1212" s="4">
        <v>3958</v>
      </c>
      <c r="BM1212" s="4">
        <v>4139</v>
      </c>
      <c r="BN1212" s="4">
        <v>4323</v>
      </c>
      <c r="BR1212">
        <v>190518</v>
      </c>
      <c r="BS1212" t="s">
        <v>1989</v>
      </c>
      <c r="BT1212">
        <v>4</v>
      </c>
      <c r="BU1212">
        <v>14</v>
      </c>
      <c r="BV1212">
        <v>6</v>
      </c>
      <c r="BX1212">
        <v>15.87</v>
      </c>
      <c r="BZ1212">
        <v>10.68</v>
      </c>
      <c r="CK1212" t="s">
        <v>360</v>
      </c>
      <c r="CM1212">
        <v>1911</v>
      </c>
    </row>
    <row r="1213" spans="1:91" x14ac:dyDescent="0.3">
      <c r="A1213" t="s">
        <v>1988</v>
      </c>
      <c r="B1213">
        <v>40290</v>
      </c>
      <c r="C1213" t="s">
        <v>1062</v>
      </c>
      <c r="D1213">
        <v>12</v>
      </c>
      <c r="I1213">
        <v>70000</v>
      </c>
      <c r="U1213">
        <v>5</v>
      </c>
      <c r="Y1213">
        <v>5</v>
      </c>
      <c r="AA1213">
        <v>14.56</v>
      </c>
      <c r="AC1213" s="3">
        <v>15.87</v>
      </c>
      <c r="AE1213" s="3">
        <v>14.31</v>
      </c>
      <c r="AI1213">
        <v>15.87</v>
      </c>
      <c r="AK1213" s="3"/>
      <c r="AX1213" t="s">
        <v>823</v>
      </c>
      <c r="BB1213" t="s">
        <v>823</v>
      </c>
      <c r="BG1213">
        <v>20</v>
      </c>
      <c r="BH1213">
        <v>10</v>
      </c>
      <c r="BI1213">
        <v>20</v>
      </c>
      <c r="BJ1213">
        <v>10</v>
      </c>
      <c r="BK1213" s="4">
        <v>3774</v>
      </c>
      <c r="BL1213" s="4">
        <v>3958</v>
      </c>
      <c r="BM1213" s="4">
        <v>4139</v>
      </c>
      <c r="BN1213" s="4">
        <v>4323</v>
      </c>
      <c r="BR1213">
        <v>190518</v>
      </c>
      <c r="BS1213" t="s">
        <v>1989</v>
      </c>
      <c r="BT1213">
        <v>4</v>
      </c>
      <c r="BU1213">
        <v>14</v>
      </c>
      <c r="BV1213">
        <v>6</v>
      </c>
      <c r="BX1213">
        <v>15.87</v>
      </c>
      <c r="BZ1213">
        <v>11.31</v>
      </c>
      <c r="CM1213">
        <v>1911</v>
      </c>
    </row>
    <row r="1214" spans="1:91" x14ac:dyDescent="0.3">
      <c r="A1214" t="s">
        <v>1988</v>
      </c>
      <c r="B1214">
        <v>40292</v>
      </c>
      <c r="C1214" t="s">
        <v>1990</v>
      </c>
      <c r="D1214">
        <v>12</v>
      </c>
      <c r="I1214">
        <v>430900</v>
      </c>
      <c r="J1214" t="s">
        <v>800</v>
      </c>
      <c r="U1214">
        <v>100</v>
      </c>
      <c r="Y1214">
        <v>100</v>
      </c>
      <c r="AA1214">
        <v>101</v>
      </c>
      <c r="AC1214" s="3">
        <v>101</v>
      </c>
      <c r="AE1214" s="3">
        <v>100.37</v>
      </c>
      <c r="AI1214">
        <v>100.62</v>
      </c>
      <c r="AK1214" s="3"/>
      <c r="AV1214" t="s">
        <v>366</v>
      </c>
      <c r="AX1214" t="s">
        <v>366</v>
      </c>
      <c r="AZ1214" t="s">
        <v>366</v>
      </c>
      <c r="BB1214" t="s">
        <v>366</v>
      </c>
      <c r="BO1214" t="s">
        <v>367</v>
      </c>
      <c r="BR1214">
        <v>190518</v>
      </c>
      <c r="BS1214" t="s">
        <v>1989</v>
      </c>
      <c r="BT1214">
        <v>4</v>
      </c>
      <c r="BU1214">
        <v>9</v>
      </c>
      <c r="BV1214">
        <v>0</v>
      </c>
      <c r="BX1214">
        <v>103</v>
      </c>
      <c r="BZ1214">
        <v>100.12</v>
      </c>
      <c r="CM1214">
        <v>1911</v>
      </c>
    </row>
    <row r="1215" spans="1:91" x14ac:dyDescent="0.3">
      <c r="A1215" t="s">
        <v>1991</v>
      </c>
      <c r="B1215">
        <v>42629</v>
      </c>
      <c r="D1215">
        <v>12</v>
      </c>
      <c r="I1215">
        <v>32000</v>
      </c>
      <c r="U1215">
        <v>5</v>
      </c>
      <c r="Y1215">
        <v>5</v>
      </c>
      <c r="AA1215">
        <v>5.25</v>
      </c>
      <c r="AB1215" t="s">
        <v>379</v>
      </c>
      <c r="AC1215" s="3">
        <v>5.25</v>
      </c>
      <c r="AE1215" s="3">
        <v>5</v>
      </c>
      <c r="AI1215">
        <v>5</v>
      </c>
      <c r="AK1215" s="3"/>
      <c r="AV1215" t="s">
        <v>815</v>
      </c>
      <c r="AX1215" t="s">
        <v>823</v>
      </c>
      <c r="BB1215" t="s">
        <v>815</v>
      </c>
      <c r="BG1215">
        <v>5</v>
      </c>
      <c r="BH1215">
        <v>5</v>
      </c>
      <c r="BI1215">
        <v>5</v>
      </c>
      <c r="BJ1215">
        <v>5</v>
      </c>
      <c r="BK1215" s="4">
        <v>3593</v>
      </c>
      <c r="BL1215" s="4">
        <v>3774</v>
      </c>
      <c r="BM1215" s="4">
        <v>3958</v>
      </c>
      <c r="BN1215" s="4">
        <v>4323</v>
      </c>
      <c r="BR1215">
        <v>8390</v>
      </c>
      <c r="BT1215">
        <v>5</v>
      </c>
      <c r="BU1215">
        <v>0</v>
      </c>
      <c r="BV1215">
        <v>0</v>
      </c>
      <c r="BX1215">
        <v>8.7100000000000009</v>
      </c>
      <c r="BZ1215">
        <v>5</v>
      </c>
      <c r="CK1215" t="s">
        <v>616</v>
      </c>
      <c r="CM1215">
        <v>1911</v>
      </c>
    </row>
    <row r="1216" spans="1:91" x14ac:dyDescent="0.3">
      <c r="A1216" t="s">
        <v>1992</v>
      </c>
      <c r="B1216">
        <v>45235</v>
      </c>
      <c r="D1216">
        <v>12</v>
      </c>
      <c r="I1216">
        <v>180000</v>
      </c>
      <c r="U1216">
        <v>5</v>
      </c>
      <c r="Y1216">
        <v>5</v>
      </c>
      <c r="AA1216">
        <v>2.37</v>
      </c>
      <c r="AC1216" s="3">
        <v>2.37</v>
      </c>
      <c r="AE1216" s="3">
        <v>2.37</v>
      </c>
      <c r="AI1216">
        <v>2.37</v>
      </c>
      <c r="AK1216" s="3"/>
      <c r="AV1216" t="s">
        <v>815</v>
      </c>
      <c r="AX1216" t="s">
        <v>815</v>
      </c>
      <c r="AZ1216" t="s">
        <v>815</v>
      </c>
      <c r="BB1216" t="s">
        <v>815</v>
      </c>
      <c r="BG1216">
        <v>2</v>
      </c>
      <c r="BH1216">
        <v>2</v>
      </c>
      <c r="BI1216">
        <v>2</v>
      </c>
      <c r="BJ1216">
        <v>2</v>
      </c>
      <c r="BK1216" s="4">
        <v>3075</v>
      </c>
      <c r="BL1216" s="4">
        <v>3440</v>
      </c>
      <c r="BM1216" s="4">
        <v>3805</v>
      </c>
      <c r="BN1216" s="4">
        <v>4170</v>
      </c>
      <c r="BR1216">
        <v>62262</v>
      </c>
      <c r="BT1216">
        <v>4</v>
      </c>
      <c r="BU1216">
        <v>4</v>
      </c>
      <c r="BV1216">
        <v>3</v>
      </c>
      <c r="BX1216">
        <v>2.87</v>
      </c>
      <c r="BZ1216">
        <v>2</v>
      </c>
      <c r="CK1216" t="s">
        <v>360</v>
      </c>
      <c r="CM1216">
        <v>1911</v>
      </c>
    </row>
    <row r="1217" spans="1:91" x14ac:dyDescent="0.3">
      <c r="A1217" t="s">
        <v>1993</v>
      </c>
      <c r="B1217">
        <v>45236</v>
      </c>
      <c r="D1217">
        <v>12</v>
      </c>
      <c r="I1217">
        <v>220000</v>
      </c>
      <c r="U1217">
        <v>5</v>
      </c>
      <c r="Y1217">
        <v>5</v>
      </c>
      <c r="AA1217">
        <v>4</v>
      </c>
      <c r="AB1217" t="s">
        <v>379</v>
      </c>
      <c r="AC1217" s="3">
        <v>4.0599999999999996</v>
      </c>
      <c r="AE1217" s="3">
        <v>3.96</v>
      </c>
      <c r="AI1217">
        <v>4</v>
      </c>
      <c r="AK1217" s="3"/>
      <c r="AV1217" t="s">
        <v>823</v>
      </c>
      <c r="AZ1217" t="s">
        <v>823</v>
      </c>
      <c r="BG1217">
        <v>5</v>
      </c>
      <c r="BH1217">
        <v>7</v>
      </c>
      <c r="BI1217">
        <v>5</v>
      </c>
      <c r="BJ1217">
        <v>7</v>
      </c>
      <c r="BK1217" s="4">
        <v>3713</v>
      </c>
      <c r="BL1217" s="4">
        <v>3958</v>
      </c>
      <c r="BM1217" s="4">
        <v>4078</v>
      </c>
      <c r="BN1217" s="4">
        <v>4323</v>
      </c>
      <c r="BR1217">
        <v>117879</v>
      </c>
      <c r="BT1217">
        <v>7</v>
      </c>
      <c r="BU1217">
        <v>10</v>
      </c>
      <c r="BV1217">
        <v>0</v>
      </c>
      <c r="BX1217">
        <v>4.43</v>
      </c>
      <c r="BZ1217">
        <v>3.31</v>
      </c>
      <c r="CK1217" t="s">
        <v>360</v>
      </c>
      <c r="CM1217">
        <v>1911</v>
      </c>
    </row>
    <row r="1218" spans="1:91" x14ac:dyDescent="0.3">
      <c r="A1218" t="s">
        <v>1994</v>
      </c>
      <c r="B1218">
        <v>45337</v>
      </c>
      <c r="D1218">
        <v>12</v>
      </c>
      <c r="I1218">
        <v>110000</v>
      </c>
      <c r="U1218">
        <v>5</v>
      </c>
      <c r="Y1218">
        <v>5</v>
      </c>
      <c r="AA1218">
        <v>10</v>
      </c>
      <c r="AC1218" s="3">
        <v>10.25</v>
      </c>
      <c r="AE1218" s="3">
        <v>9.75</v>
      </c>
      <c r="AI1218">
        <v>9.75</v>
      </c>
      <c r="AJ1218" t="s">
        <v>379</v>
      </c>
      <c r="AK1218" s="3"/>
      <c r="AX1218" t="s">
        <v>823</v>
      </c>
      <c r="BB1218" t="s">
        <v>823</v>
      </c>
      <c r="BG1218">
        <v>12</v>
      </c>
      <c r="BH1218">
        <v>4</v>
      </c>
      <c r="BI1218">
        <v>12</v>
      </c>
      <c r="BJ1218">
        <v>8</v>
      </c>
      <c r="BK1218" s="4">
        <v>3835</v>
      </c>
      <c r="BL1218" s="4">
        <v>4019</v>
      </c>
      <c r="BM1218" s="4">
        <v>4200</v>
      </c>
      <c r="BN1218" s="4">
        <v>4384</v>
      </c>
      <c r="BR1218">
        <v>117876</v>
      </c>
      <c r="BT1218">
        <v>5</v>
      </c>
      <c r="BU1218">
        <v>2</v>
      </c>
      <c r="BV1218">
        <v>6</v>
      </c>
      <c r="BX1218">
        <v>10.25</v>
      </c>
      <c r="BZ1218">
        <v>8.8699999999999992</v>
      </c>
      <c r="CK1218" t="s">
        <v>360</v>
      </c>
      <c r="CM1218">
        <v>1911</v>
      </c>
    </row>
    <row r="1219" spans="1:91" x14ac:dyDescent="0.3">
      <c r="A1219" t="s">
        <v>1995</v>
      </c>
      <c r="B1219">
        <v>45572</v>
      </c>
      <c r="D1219">
        <v>12</v>
      </c>
      <c r="I1219">
        <v>28400</v>
      </c>
      <c r="U1219">
        <v>2</v>
      </c>
      <c r="Y1219">
        <v>2</v>
      </c>
      <c r="AA1219">
        <v>20.25</v>
      </c>
      <c r="AB1219" t="s">
        <v>379</v>
      </c>
      <c r="AC1219" s="3">
        <v>20.25</v>
      </c>
      <c r="AE1219" s="3">
        <v>20.18</v>
      </c>
      <c r="AI1219">
        <v>20.25</v>
      </c>
      <c r="AK1219" s="3"/>
      <c r="AV1219" t="s">
        <v>823</v>
      </c>
      <c r="AZ1219" t="s">
        <v>823</v>
      </c>
      <c r="BG1219">
        <v>37.5</v>
      </c>
      <c r="BH1219">
        <v>75</v>
      </c>
      <c r="BI1219">
        <v>50</v>
      </c>
      <c r="BJ1219">
        <v>100</v>
      </c>
      <c r="BK1219" s="4">
        <v>3774</v>
      </c>
      <c r="BL1219" s="4">
        <v>3958</v>
      </c>
      <c r="BM1219" s="4">
        <v>4139</v>
      </c>
      <c r="BN1219" s="4">
        <v>4323</v>
      </c>
      <c r="BR1219">
        <v>75162</v>
      </c>
      <c r="BT1219">
        <v>7</v>
      </c>
      <c r="BU1219">
        <v>10</v>
      </c>
      <c r="BV1219">
        <v>9</v>
      </c>
      <c r="BX1219">
        <v>22.12</v>
      </c>
      <c r="BZ1219">
        <v>16.5</v>
      </c>
      <c r="CK1219" t="s">
        <v>616</v>
      </c>
      <c r="CM1219">
        <v>1911</v>
      </c>
    </row>
    <row r="1220" spans="1:91" x14ac:dyDescent="0.3">
      <c r="A1220" t="s">
        <v>1996</v>
      </c>
      <c r="B1220">
        <v>45784</v>
      </c>
      <c r="D1220">
        <v>12</v>
      </c>
      <c r="I1220">
        <v>32000</v>
      </c>
      <c r="U1220">
        <v>5</v>
      </c>
      <c r="Y1220">
        <v>2.5</v>
      </c>
      <c r="AA1220">
        <v>15.25</v>
      </c>
      <c r="AC1220" s="3">
        <v>15.25</v>
      </c>
      <c r="AE1220" s="3">
        <v>14.75</v>
      </c>
      <c r="AI1220">
        <v>15.25</v>
      </c>
      <c r="AK1220" s="3"/>
      <c r="AV1220" t="s">
        <v>823</v>
      </c>
      <c r="AZ1220" t="s">
        <v>823</v>
      </c>
      <c r="BG1220">
        <v>20</v>
      </c>
      <c r="BH1220">
        <v>40</v>
      </c>
      <c r="BI1220">
        <v>30</v>
      </c>
      <c r="BJ1220">
        <v>50</v>
      </c>
      <c r="BK1220" s="4">
        <v>3805</v>
      </c>
      <c r="BL1220" s="4">
        <v>3988</v>
      </c>
      <c r="BM1220" s="4">
        <v>4170</v>
      </c>
      <c r="BN1220" s="4">
        <v>4353</v>
      </c>
      <c r="BR1220">
        <v>112301</v>
      </c>
      <c r="BT1220">
        <v>6</v>
      </c>
      <c r="BU1220">
        <v>11</v>
      </c>
      <c r="BV1220">
        <v>3</v>
      </c>
      <c r="BX1220">
        <v>15.75</v>
      </c>
      <c r="BZ1220">
        <v>11</v>
      </c>
      <c r="CK1220" t="s">
        <v>354</v>
      </c>
      <c r="CM1220">
        <v>1911</v>
      </c>
    </row>
    <row r="1221" spans="1:91" x14ac:dyDescent="0.3">
      <c r="A1221" t="s">
        <v>1997</v>
      </c>
      <c r="B1221">
        <v>46889</v>
      </c>
      <c r="D1221">
        <v>12</v>
      </c>
      <c r="I1221">
        <v>54889</v>
      </c>
      <c r="U1221">
        <v>1</v>
      </c>
      <c r="Y1221">
        <v>1</v>
      </c>
      <c r="AA1221">
        <v>4</v>
      </c>
      <c r="AC1221" s="3">
        <v>4.25</v>
      </c>
      <c r="AE1221" s="3">
        <v>3.87</v>
      </c>
      <c r="AI1221">
        <v>3.87</v>
      </c>
      <c r="AK1221" s="3"/>
      <c r="AX1221" t="s">
        <v>823</v>
      </c>
      <c r="BB1221" t="s">
        <v>823</v>
      </c>
      <c r="BG1221">
        <v>20</v>
      </c>
      <c r="BH1221">
        <v>20</v>
      </c>
      <c r="BI1221">
        <v>30</v>
      </c>
      <c r="BJ1221">
        <v>20</v>
      </c>
      <c r="BK1221" s="4">
        <v>3805</v>
      </c>
      <c r="BL1221" s="4">
        <v>3927</v>
      </c>
      <c r="BM1221" s="4">
        <v>4170</v>
      </c>
      <c r="BN1221" s="4">
        <v>4292</v>
      </c>
      <c r="BR1221">
        <v>28305</v>
      </c>
      <c r="BT1221">
        <v>6</v>
      </c>
      <c r="BU1221">
        <v>9</v>
      </c>
      <c r="BV1221">
        <v>0</v>
      </c>
      <c r="BX1221">
        <v>4.3099999999999996</v>
      </c>
      <c r="BZ1221">
        <v>3</v>
      </c>
      <c r="CM1221">
        <v>1911</v>
      </c>
    </row>
    <row r="1222" spans="1:91" x14ac:dyDescent="0.3">
      <c r="A1222" t="s">
        <v>1998</v>
      </c>
      <c r="B1222">
        <v>46917</v>
      </c>
      <c r="D1222">
        <v>12</v>
      </c>
      <c r="I1222">
        <v>273000</v>
      </c>
      <c r="U1222">
        <v>1</v>
      </c>
      <c r="Y1222">
        <v>1</v>
      </c>
      <c r="AA1222">
        <v>1.0900000000000001</v>
      </c>
      <c r="AC1222" s="3">
        <v>1.25</v>
      </c>
      <c r="AE1222" s="3">
        <v>1.06</v>
      </c>
      <c r="AI1222">
        <v>1.0900000000000001</v>
      </c>
      <c r="AK1222" s="3"/>
      <c r="AV1222" t="s">
        <v>823</v>
      </c>
      <c r="AZ1222" t="s">
        <v>823</v>
      </c>
      <c r="BG1222">
        <v>5</v>
      </c>
      <c r="BH1222">
        <v>10</v>
      </c>
      <c r="BI1222">
        <v>5</v>
      </c>
      <c r="BJ1222">
        <v>10</v>
      </c>
      <c r="BK1222" s="4">
        <v>3774</v>
      </c>
      <c r="BL1222" s="4">
        <v>4019</v>
      </c>
      <c r="BM1222" s="4">
        <v>4139</v>
      </c>
      <c r="BN1222" s="4">
        <v>4384</v>
      </c>
      <c r="BR1222">
        <v>41762</v>
      </c>
      <c r="BT1222">
        <v>6</v>
      </c>
      <c r="BU1222">
        <v>17</v>
      </c>
      <c r="BV1222">
        <v>3</v>
      </c>
      <c r="BX1222">
        <v>1.25</v>
      </c>
      <c r="BZ1222">
        <v>1</v>
      </c>
      <c r="CK1222" t="s">
        <v>360</v>
      </c>
      <c r="CM1222">
        <v>1911</v>
      </c>
    </row>
    <row r="1223" spans="1:91" x14ac:dyDescent="0.3">
      <c r="A1223" t="s">
        <v>1999</v>
      </c>
      <c r="B1223">
        <v>47423</v>
      </c>
      <c r="D1223">
        <v>12</v>
      </c>
      <c r="I1223">
        <v>22000</v>
      </c>
      <c r="U1223">
        <v>5</v>
      </c>
      <c r="Y1223">
        <v>5</v>
      </c>
      <c r="AA1223">
        <v>5.75</v>
      </c>
      <c r="AB1223" t="s">
        <v>379</v>
      </c>
      <c r="AC1223" s="3">
        <v>5.75</v>
      </c>
      <c r="AE1223" s="3">
        <v>5.12</v>
      </c>
      <c r="AI1223">
        <v>5.25</v>
      </c>
      <c r="AK1223" s="3"/>
      <c r="AX1223" t="s">
        <v>815</v>
      </c>
      <c r="AZ1223" t="s">
        <v>815</v>
      </c>
      <c r="BB1223" t="s">
        <v>815</v>
      </c>
      <c r="BG1223">
        <v>12</v>
      </c>
      <c r="BH1223">
        <v>6</v>
      </c>
      <c r="BI1223">
        <v>6</v>
      </c>
      <c r="BJ1223">
        <v>6</v>
      </c>
      <c r="BK1223" s="4">
        <v>3228</v>
      </c>
      <c r="BL1223" s="4">
        <v>3593</v>
      </c>
      <c r="BM1223" s="4">
        <v>3958</v>
      </c>
      <c r="BN1223" s="4">
        <v>4323</v>
      </c>
      <c r="BR1223">
        <v>40240</v>
      </c>
      <c r="BS1223" t="s">
        <v>2000</v>
      </c>
      <c r="BT1223">
        <v>5</v>
      </c>
      <c r="BU1223">
        <v>14</v>
      </c>
      <c r="BV1223">
        <v>3</v>
      </c>
      <c r="BX1223">
        <v>6.43</v>
      </c>
      <c r="BZ1223">
        <v>4.25</v>
      </c>
      <c r="CK1223" t="s">
        <v>360</v>
      </c>
      <c r="CM1223">
        <v>1911</v>
      </c>
    </row>
    <row r="1224" spans="1:91" x14ac:dyDescent="0.3">
      <c r="A1224" t="s">
        <v>2001</v>
      </c>
      <c r="B1224">
        <v>48179</v>
      </c>
      <c r="D1224">
        <v>12</v>
      </c>
      <c r="I1224">
        <v>120000</v>
      </c>
      <c r="U1224">
        <v>5</v>
      </c>
      <c r="Y1224">
        <v>5</v>
      </c>
      <c r="AA1224">
        <v>6.37</v>
      </c>
      <c r="AC1224" s="3">
        <v>6.37</v>
      </c>
      <c r="AE1224" s="3">
        <v>6.12</v>
      </c>
      <c r="AI1224">
        <v>6.12</v>
      </c>
      <c r="AK1224" s="3"/>
      <c r="AX1224" t="s">
        <v>823</v>
      </c>
      <c r="BB1224" t="s">
        <v>823</v>
      </c>
      <c r="BG1224">
        <v>10</v>
      </c>
      <c r="BH1224">
        <v>5</v>
      </c>
      <c r="BI1224">
        <v>7</v>
      </c>
      <c r="BJ1224">
        <v>5</v>
      </c>
      <c r="BK1224" s="4">
        <v>3685</v>
      </c>
      <c r="BL1224" s="4">
        <v>3866</v>
      </c>
      <c r="BM1224" s="4">
        <v>4050</v>
      </c>
      <c r="BN1224" s="4">
        <v>4231</v>
      </c>
      <c r="BR1224">
        <v>136908</v>
      </c>
      <c r="BS1224" t="s">
        <v>2000</v>
      </c>
      <c r="BT1224">
        <v>4</v>
      </c>
      <c r="BU1224">
        <v>18</v>
      </c>
      <c r="BV1224">
        <v>0</v>
      </c>
      <c r="BX1224">
        <v>6.93</v>
      </c>
      <c r="BZ1224">
        <v>5.87</v>
      </c>
      <c r="CK1224" t="s">
        <v>360</v>
      </c>
      <c r="CM1224">
        <v>1911</v>
      </c>
    </row>
    <row r="1225" spans="1:91" x14ac:dyDescent="0.3">
      <c r="A1225" t="s">
        <v>2002</v>
      </c>
      <c r="B1225">
        <v>48334</v>
      </c>
      <c r="D1225">
        <v>12</v>
      </c>
      <c r="I1225">
        <v>109500</v>
      </c>
      <c r="U1225">
        <v>1</v>
      </c>
      <c r="Y1225">
        <v>1</v>
      </c>
      <c r="AA1225">
        <v>3</v>
      </c>
      <c r="AC1225" s="3">
        <v>3</v>
      </c>
      <c r="AE1225" s="3">
        <v>2.87</v>
      </c>
      <c r="AI1225">
        <v>2.87</v>
      </c>
      <c r="AK1225" s="3"/>
      <c r="AX1225" t="s">
        <v>823</v>
      </c>
      <c r="BB1225" t="s">
        <v>823</v>
      </c>
      <c r="BG1225">
        <v>25</v>
      </c>
      <c r="BH1225">
        <v>15</v>
      </c>
      <c r="BI1225">
        <v>25</v>
      </c>
      <c r="BJ1225">
        <v>20</v>
      </c>
      <c r="BK1225" s="4">
        <v>3774</v>
      </c>
      <c r="BL1225" s="4">
        <v>3927</v>
      </c>
      <c r="BM1225" s="4">
        <v>4139</v>
      </c>
      <c r="BN1225" s="4">
        <v>4292</v>
      </c>
      <c r="BR1225">
        <v>97322</v>
      </c>
      <c r="BT1225">
        <v>7</v>
      </c>
      <c r="BU1225">
        <v>16</v>
      </c>
      <c r="BV1225">
        <v>6</v>
      </c>
      <c r="BX1225">
        <v>3.37</v>
      </c>
      <c r="BZ1225">
        <v>2.87</v>
      </c>
      <c r="CK1225" t="s">
        <v>360</v>
      </c>
      <c r="CM1225">
        <v>1911</v>
      </c>
    </row>
    <row r="1226" spans="1:91" x14ac:dyDescent="0.3">
      <c r="A1226" t="s">
        <v>2003</v>
      </c>
      <c r="B1226">
        <v>48376</v>
      </c>
      <c r="D1226">
        <v>12</v>
      </c>
      <c r="I1226">
        <v>24000</v>
      </c>
      <c r="U1226">
        <v>3</v>
      </c>
      <c r="Y1226">
        <v>3</v>
      </c>
      <c r="AA1226">
        <v>2.25</v>
      </c>
      <c r="AC1226" s="3">
        <v>2.25</v>
      </c>
      <c r="AE1226" s="3">
        <v>2.25</v>
      </c>
      <c r="AI1226">
        <v>2.25</v>
      </c>
      <c r="AK1226" s="3"/>
      <c r="AX1226" t="s">
        <v>823</v>
      </c>
      <c r="BB1226" t="s">
        <v>810</v>
      </c>
      <c r="BG1226">
        <v>15</v>
      </c>
      <c r="BH1226">
        <v>15</v>
      </c>
      <c r="BI1226">
        <v>15</v>
      </c>
      <c r="BK1226" s="4">
        <v>2678</v>
      </c>
      <c r="BL1226" s="4">
        <v>2862</v>
      </c>
      <c r="BM1226" s="4">
        <v>3044</v>
      </c>
      <c r="BR1226">
        <v>32301</v>
      </c>
      <c r="BW1226" t="s">
        <v>802</v>
      </c>
      <c r="BX1226">
        <v>3</v>
      </c>
      <c r="BZ1226">
        <v>1.87</v>
      </c>
      <c r="CK1226" t="s">
        <v>616</v>
      </c>
      <c r="CM1226">
        <v>1911</v>
      </c>
    </row>
    <row r="1227" spans="1:91" x14ac:dyDescent="0.3">
      <c r="A1227" t="s">
        <v>2004</v>
      </c>
      <c r="B1227">
        <v>48389</v>
      </c>
      <c r="D1227">
        <v>12</v>
      </c>
      <c r="I1227">
        <v>28750</v>
      </c>
      <c r="U1227">
        <v>5</v>
      </c>
      <c r="Y1227">
        <v>5</v>
      </c>
      <c r="AA1227">
        <v>3.75</v>
      </c>
      <c r="AC1227" s="3">
        <v>3.75</v>
      </c>
      <c r="AE1227" s="3">
        <v>3.5</v>
      </c>
      <c r="AI1227">
        <v>3.5</v>
      </c>
      <c r="AK1227" s="3"/>
      <c r="AX1227" t="s">
        <v>823</v>
      </c>
      <c r="BB1227" t="s">
        <v>815</v>
      </c>
      <c r="BG1227">
        <v>7</v>
      </c>
      <c r="BH1227">
        <v>6</v>
      </c>
      <c r="BI1227">
        <v>7</v>
      </c>
      <c r="BJ1227">
        <v>5</v>
      </c>
      <c r="BK1227" s="4">
        <v>2709</v>
      </c>
      <c r="BL1227" s="4">
        <v>2862</v>
      </c>
      <c r="BM1227" s="4">
        <v>3075</v>
      </c>
      <c r="BN1227" s="4">
        <v>4170</v>
      </c>
      <c r="BR1227">
        <v>800</v>
      </c>
      <c r="BT1227">
        <v>7</v>
      </c>
      <c r="BU1227">
        <v>2</v>
      </c>
      <c r="BV1227">
        <v>9</v>
      </c>
      <c r="BX1227">
        <v>3.93</v>
      </c>
      <c r="BZ1227">
        <v>2.4300000000000002</v>
      </c>
      <c r="CK1227" t="s">
        <v>360</v>
      </c>
      <c r="CM1227">
        <v>1911</v>
      </c>
    </row>
    <row r="1228" spans="1:91" x14ac:dyDescent="0.3">
      <c r="A1228" t="s">
        <v>2005</v>
      </c>
      <c r="B1228">
        <v>48400</v>
      </c>
      <c r="D1228">
        <v>12</v>
      </c>
      <c r="I1228">
        <v>79000</v>
      </c>
      <c r="U1228">
        <v>1</v>
      </c>
      <c r="Y1228">
        <v>1</v>
      </c>
      <c r="AA1228">
        <v>2.34</v>
      </c>
      <c r="AC1228" s="3">
        <v>2.34</v>
      </c>
      <c r="AE1228" s="3">
        <v>2.31</v>
      </c>
      <c r="AI1228">
        <v>2.34</v>
      </c>
      <c r="AK1228" s="3"/>
      <c r="AV1228" t="s">
        <v>823</v>
      </c>
      <c r="AZ1228" t="s">
        <v>823</v>
      </c>
      <c r="BG1228">
        <v>10</v>
      </c>
      <c r="BH1228">
        <v>20</v>
      </c>
      <c r="BI1228">
        <v>15</v>
      </c>
      <c r="BJ1228">
        <v>30</v>
      </c>
      <c r="BK1228" s="4">
        <v>3744</v>
      </c>
      <c r="BL1228" s="4">
        <v>3958</v>
      </c>
      <c r="BM1228" s="4">
        <v>4109</v>
      </c>
      <c r="BN1228" s="4">
        <v>4323</v>
      </c>
      <c r="BR1228">
        <v>20240</v>
      </c>
      <c r="BT1228">
        <v>9</v>
      </c>
      <c r="BU1228">
        <v>12</v>
      </c>
      <c r="BV1228">
        <v>0</v>
      </c>
      <c r="BX1228">
        <v>2.5299999999999998</v>
      </c>
      <c r="BZ1228">
        <v>1.78</v>
      </c>
      <c r="CM1228">
        <v>1911</v>
      </c>
    </row>
    <row r="1229" spans="1:91" x14ac:dyDescent="0.3">
      <c r="A1229" t="s">
        <v>2006</v>
      </c>
      <c r="B1229">
        <v>48410</v>
      </c>
      <c r="D1229">
        <v>12</v>
      </c>
      <c r="I1229">
        <v>20000</v>
      </c>
      <c r="U1229">
        <v>5</v>
      </c>
      <c r="Y1229">
        <v>5</v>
      </c>
      <c r="AA1229">
        <v>9.5</v>
      </c>
      <c r="AC1229" s="3">
        <v>9.5</v>
      </c>
      <c r="AE1229" s="3">
        <v>9.5</v>
      </c>
      <c r="AI1229">
        <v>9.5</v>
      </c>
      <c r="AK1229" s="3"/>
      <c r="AV1229" t="s">
        <v>815</v>
      </c>
      <c r="AX1229" t="s">
        <v>815</v>
      </c>
      <c r="AZ1229" t="s">
        <v>815</v>
      </c>
      <c r="BB1229" t="s">
        <v>815</v>
      </c>
      <c r="BG1229">
        <v>20</v>
      </c>
      <c r="BH1229">
        <v>7.5</v>
      </c>
      <c r="BI1229">
        <v>5</v>
      </c>
      <c r="BJ1229">
        <v>7.5</v>
      </c>
      <c r="BK1229" s="4">
        <v>3167</v>
      </c>
      <c r="BL1229" s="4">
        <v>3440</v>
      </c>
      <c r="BM1229" s="4">
        <v>3805</v>
      </c>
      <c r="BN1229" s="4">
        <v>4170</v>
      </c>
      <c r="BR1229">
        <v>50000</v>
      </c>
      <c r="BT1229">
        <v>3</v>
      </c>
      <c r="BU1229">
        <v>19</v>
      </c>
      <c r="BV1229">
        <v>0</v>
      </c>
      <c r="BX1229">
        <v>9.5</v>
      </c>
      <c r="BZ1229">
        <v>7</v>
      </c>
      <c r="CK1229" t="s">
        <v>360</v>
      </c>
      <c r="CM1229">
        <v>1911</v>
      </c>
    </row>
    <row r="1230" spans="1:91" x14ac:dyDescent="0.3">
      <c r="A1230" t="s">
        <v>2007</v>
      </c>
      <c r="B1230">
        <v>48411</v>
      </c>
      <c r="D1230">
        <v>12</v>
      </c>
      <c r="I1230">
        <v>40000</v>
      </c>
      <c r="U1230">
        <v>5</v>
      </c>
      <c r="Y1230">
        <v>5</v>
      </c>
      <c r="AA1230">
        <v>6.5</v>
      </c>
      <c r="AC1230" s="3">
        <v>6.5</v>
      </c>
      <c r="AE1230" s="3">
        <v>5.25</v>
      </c>
      <c r="AI1230">
        <v>5.25</v>
      </c>
      <c r="AK1230" s="3"/>
      <c r="AV1230" t="s">
        <v>815</v>
      </c>
      <c r="AX1230" t="s">
        <v>815</v>
      </c>
      <c r="AZ1230" t="s">
        <v>815</v>
      </c>
      <c r="BB1230" t="s">
        <v>810</v>
      </c>
      <c r="BG1230">
        <v>15</v>
      </c>
      <c r="BH1230">
        <v>5</v>
      </c>
      <c r="BI1230">
        <v>5</v>
      </c>
      <c r="BK1230" s="4">
        <v>3228</v>
      </c>
      <c r="BL1230" s="4">
        <v>3593</v>
      </c>
      <c r="BM1230" s="4">
        <v>3958</v>
      </c>
      <c r="BS1230" t="s">
        <v>385</v>
      </c>
      <c r="BW1230" t="s">
        <v>802</v>
      </c>
      <c r="BX1230">
        <v>6.75</v>
      </c>
      <c r="BZ1230">
        <v>4.75</v>
      </c>
      <c r="CM1230">
        <v>1911</v>
      </c>
    </row>
    <row r="1231" spans="1:91" x14ac:dyDescent="0.3">
      <c r="A1231" t="s">
        <v>2008</v>
      </c>
      <c r="B1231">
        <v>49487</v>
      </c>
      <c r="D1231">
        <v>12</v>
      </c>
      <c r="I1231">
        <v>400000</v>
      </c>
      <c r="U1231">
        <v>1</v>
      </c>
      <c r="Y1231">
        <v>1</v>
      </c>
      <c r="AA1231">
        <v>1.31</v>
      </c>
      <c r="AC1231" s="3">
        <v>1.31</v>
      </c>
      <c r="AE1231" s="3">
        <v>1.21</v>
      </c>
      <c r="AI1231">
        <v>1.28</v>
      </c>
      <c r="AK1231" s="3"/>
      <c r="AV1231" t="s">
        <v>815</v>
      </c>
      <c r="AX1231" t="s">
        <v>815</v>
      </c>
      <c r="AZ1231" t="s">
        <v>815</v>
      </c>
      <c r="BB1231" t="s">
        <v>815</v>
      </c>
      <c r="BG1231">
        <v>10</v>
      </c>
      <c r="BH1231">
        <v>2.5</v>
      </c>
      <c r="BI1231">
        <v>2.5</v>
      </c>
      <c r="BJ1231">
        <v>4</v>
      </c>
      <c r="BK1231" s="4">
        <v>2892</v>
      </c>
      <c r="BL1231" s="4">
        <v>3440</v>
      </c>
      <c r="BM1231" s="4">
        <v>3805</v>
      </c>
      <c r="BN1231" s="4">
        <v>4170</v>
      </c>
      <c r="BR1231">
        <v>40918</v>
      </c>
      <c r="BS1231" t="s">
        <v>2009</v>
      </c>
      <c r="BT1231">
        <v>3</v>
      </c>
      <c r="BU1231">
        <v>2</v>
      </c>
      <c r="BV1231">
        <v>6</v>
      </c>
      <c r="BX1231">
        <v>1.4</v>
      </c>
      <c r="BZ1231">
        <v>1.03</v>
      </c>
      <c r="CK1231" t="s">
        <v>360</v>
      </c>
      <c r="CM1231">
        <v>1911</v>
      </c>
    </row>
    <row r="1232" spans="1:91" x14ac:dyDescent="0.3">
      <c r="A1232" t="s">
        <v>2008</v>
      </c>
      <c r="B1232">
        <v>49486</v>
      </c>
      <c r="C1232" t="s">
        <v>651</v>
      </c>
      <c r="D1232">
        <v>12</v>
      </c>
      <c r="I1232">
        <v>218900</v>
      </c>
      <c r="J1232" t="s">
        <v>800</v>
      </c>
      <c r="U1232">
        <v>100</v>
      </c>
      <c r="Y1232">
        <v>100</v>
      </c>
      <c r="AA1232">
        <v>104</v>
      </c>
      <c r="AC1232" s="3">
        <v>105</v>
      </c>
      <c r="AE1232" s="3">
        <v>103</v>
      </c>
      <c r="AI1232">
        <v>103</v>
      </c>
      <c r="AK1232" s="3"/>
      <c r="AV1232" t="s">
        <v>421</v>
      </c>
      <c r="AX1232" t="s">
        <v>421</v>
      </c>
      <c r="AZ1232" t="s">
        <v>421</v>
      </c>
      <c r="BB1232" t="s">
        <v>421</v>
      </c>
      <c r="BO1232" t="s">
        <v>367</v>
      </c>
      <c r="BR1232">
        <v>40918</v>
      </c>
      <c r="BS1232" t="s">
        <v>2009</v>
      </c>
      <c r="BT1232">
        <v>4</v>
      </c>
      <c r="BU1232">
        <v>17</v>
      </c>
      <c r="BV1232">
        <v>0</v>
      </c>
      <c r="BX1232">
        <v>105</v>
      </c>
      <c r="BZ1232">
        <v>99</v>
      </c>
      <c r="CM1232">
        <v>1911</v>
      </c>
    </row>
    <row r="1233" spans="1:91" x14ac:dyDescent="0.3">
      <c r="A1233" t="s">
        <v>2010</v>
      </c>
      <c r="B1233">
        <v>40370</v>
      </c>
      <c r="D1233">
        <v>12</v>
      </c>
      <c r="I1233">
        <v>600000</v>
      </c>
      <c r="U1233">
        <v>1</v>
      </c>
      <c r="Y1233">
        <v>1</v>
      </c>
      <c r="AA1233">
        <v>1.06</v>
      </c>
      <c r="AC1233" s="3">
        <v>1.06</v>
      </c>
      <c r="AE1233" s="3">
        <v>1.06</v>
      </c>
      <c r="AI1233">
        <v>1.06</v>
      </c>
      <c r="AK1233" s="3"/>
      <c r="AV1233" t="s">
        <v>385</v>
      </c>
      <c r="BH1233">
        <v>6</v>
      </c>
      <c r="BI1233">
        <v>6</v>
      </c>
      <c r="BJ1233">
        <v>6</v>
      </c>
      <c r="BL1233" s="4">
        <v>3835</v>
      </c>
      <c r="BM1233" s="4">
        <v>4019</v>
      </c>
      <c r="BN1233" s="4">
        <v>4200</v>
      </c>
      <c r="BS1233" t="s">
        <v>385</v>
      </c>
      <c r="BT1233">
        <v>5</v>
      </c>
      <c r="BU1233">
        <v>13</v>
      </c>
      <c r="BV1233">
        <v>0</v>
      </c>
      <c r="BX1233">
        <v>1.1200000000000001</v>
      </c>
      <c r="BZ1233">
        <v>1</v>
      </c>
      <c r="CM1233">
        <v>1911</v>
      </c>
    </row>
    <row r="1234" spans="1:91" x14ac:dyDescent="0.3">
      <c r="A1234" t="s">
        <v>2010</v>
      </c>
      <c r="B1234">
        <v>40371</v>
      </c>
      <c r="C1234" t="s">
        <v>1616</v>
      </c>
      <c r="D1234">
        <v>12</v>
      </c>
      <c r="I1234">
        <v>600000</v>
      </c>
      <c r="J1234" t="s">
        <v>800</v>
      </c>
      <c r="V1234" t="s">
        <v>350</v>
      </c>
      <c r="Y1234">
        <v>100</v>
      </c>
      <c r="AA1234">
        <v>93.5</v>
      </c>
      <c r="AC1234" s="3">
        <v>93.5</v>
      </c>
      <c r="AE1234" s="3">
        <v>91.5</v>
      </c>
      <c r="AI1234">
        <v>91.5</v>
      </c>
      <c r="AK1234" s="3"/>
      <c r="AV1234" t="s">
        <v>421</v>
      </c>
      <c r="AX1234" t="s">
        <v>421</v>
      </c>
      <c r="AZ1234" t="s">
        <v>421</v>
      </c>
      <c r="BB1234" t="s">
        <v>421</v>
      </c>
      <c r="BO1234" t="s">
        <v>367</v>
      </c>
      <c r="BS1234" t="s">
        <v>385</v>
      </c>
      <c r="BT1234">
        <v>5</v>
      </c>
      <c r="BU1234">
        <v>9</v>
      </c>
      <c r="BV1234">
        <v>3</v>
      </c>
      <c r="BX1234">
        <v>94.5</v>
      </c>
      <c r="BZ1234">
        <v>89.12</v>
      </c>
      <c r="CM1234">
        <v>1911</v>
      </c>
    </row>
    <row r="1235" spans="1:91" x14ac:dyDescent="0.3">
      <c r="A1235" t="s">
        <v>2011</v>
      </c>
      <c r="B1235">
        <v>40547</v>
      </c>
      <c r="D1235">
        <v>12</v>
      </c>
      <c r="I1235">
        <v>310000</v>
      </c>
      <c r="U1235">
        <v>1</v>
      </c>
      <c r="Y1235">
        <v>1</v>
      </c>
      <c r="AA1235">
        <v>0.5</v>
      </c>
      <c r="AC1235" s="3">
        <v>0.5</v>
      </c>
      <c r="AE1235" s="3">
        <v>0.43</v>
      </c>
      <c r="AI1235">
        <v>0.43</v>
      </c>
      <c r="AK1235" s="3"/>
      <c r="AV1235" t="s">
        <v>815</v>
      </c>
      <c r="AX1235" t="s">
        <v>815</v>
      </c>
      <c r="AZ1235" t="s">
        <v>815</v>
      </c>
      <c r="BB1235" t="s">
        <v>815</v>
      </c>
      <c r="BG1235">
        <v>5</v>
      </c>
      <c r="BH1235">
        <v>3.33</v>
      </c>
      <c r="BI1235">
        <v>5</v>
      </c>
      <c r="BJ1235">
        <v>3.75</v>
      </c>
      <c r="BK1235" s="4">
        <v>1614</v>
      </c>
      <c r="BL1235" s="4">
        <v>2009</v>
      </c>
      <c r="BM1235" s="4">
        <v>3440</v>
      </c>
      <c r="BN1235" s="4">
        <v>4170</v>
      </c>
      <c r="BR1235">
        <v>99269</v>
      </c>
      <c r="BS1235" t="s">
        <v>2000</v>
      </c>
      <c r="BT1235">
        <v>8</v>
      </c>
      <c r="BU1235">
        <v>11</v>
      </c>
      <c r="BV1235">
        <v>6</v>
      </c>
      <c r="BX1235">
        <v>0.81</v>
      </c>
      <c r="BZ1235">
        <v>0.43</v>
      </c>
      <c r="CK1235" t="s">
        <v>360</v>
      </c>
      <c r="CM1235">
        <v>1911</v>
      </c>
    </row>
    <row r="1236" spans="1:91" x14ac:dyDescent="0.3">
      <c r="A1236" t="s">
        <v>2012</v>
      </c>
      <c r="B1236">
        <v>41047</v>
      </c>
      <c r="D1236">
        <v>12</v>
      </c>
      <c r="I1236">
        <v>380000</v>
      </c>
      <c r="U1236">
        <v>1</v>
      </c>
      <c r="Y1236">
        <v>1</v>
      </c>
      <c r="AA1236">
        <v>0.03</v>
      </c>
      <c r="AC1236" s="3">
        <v>0.03</v>
      </c>
      <c r="AE1236" s="3">
        <v>0.03</v>
      </c>
      <c r="AI1236">
        <v>0.03</v>
      </c>
      <c r="AK1236" s="3"/>
      <c r="AV1236" t="s">
        <v>385</v>
      </c>
      <c r="AX1236" t="s">
        <v>385</v>
      </c>
      <c r="AZ1236" t="s">
        <v>385</v>
      </c>
      <c r="BB1236" t="s">
        <v>385</v>
      </c>
      <c r="BR1236">
        <v>11686</v>
      </c>
      <c r="BW1236" t="s">
        <v>802</v>
      </c>
      <c r="BX1236">
        <v>0.15</v>
      </c>
      <c r="BZ1236">
        <v>0.03</v>
      </c>
      <c r="CK1236" t="s">
        <v>360</v>
      </c>
      <c r="CM1236">
        <v>1911</v>
      </c>
    </row>
    <row r="1237" spans="1:91" x14ac:dyDescent="0.3">
      <c r="A1237" t="s">
        <v>2013</v>
      </c>
      <c r="B1237">
        <v>41575</v>
      </c>
      <c r="D1237">
        <v>12</v>
      </c>
      <c r="I1237">
        <v>204000</v>
      </c>
      <c r="U1237">
        <v>1</v>
      </c>
      <c r="Y1237">
        <v>1</v>
      </c>
      <c r="AA1237">
        <v>1</v>
      </c>
      <c r="AC1237" s="3">
        <v>1</v>
      </c>
      <c r="AE1237" s="3">
        <v>0.75</v>
      </c>
      <c r="AI1237">
        <v>0.81</v>
      </c>
      <c r="AK1237" s="3"/>
      <c r="AV1237" t="s">
        <v>385</v>
      </c>
      <c r="AX1237" t="s">
        <v>385</v>
      </c>
      <c r="AZ1237" t="s">
        <v>385</v>
      </c>
      <c r="BB1237" t="s">
        <v>385</v>
      </c>
      <c r="BS1237" t="s">
        <v>385</v>
      </c>
      <c r="BW1237" t="s">
        <v>802</v>
      </c>
      <c r="BX1237">
        <v>1.06</v>
      </c>
      <c r="BZ1237">
        <v>0.75</v>
      </c>
      <c r="CM1237">
        <v>1911</v>
      </c>
    </row>
    <row r="1238" spans="1:91" x14ac:dyDescent="0.3">
      <c r="A1238" t="s">
        <v>2014</v>
      </c>
      <c r="B1238">
        <v>50793</v>
      </c>
      <c r="D1238">
        <v>12</v>
      </c>
      <c r="I1238">
        <v>524408</v>
      </c>
      <c r="J1238" t="s">
        <v>800</v>
      </c>
      <c r="V1238" t="s">
        <v>350</v>
      </c>
      <c r="Y1238">
        <v>100</v>
      </c>
      <c r="AA1238">
        <v>63.5</v>
      </c>
      <c r="AC1238" s="3">
        <v>64.87</v>
      </c>
      <c r="AE1238" s="3">
        <v>62.5</v>
      </c>
      <c r="AI1238">
        <v>62.5</v>
      </c>
      <c r="AJ1238" t="s">
        <v>379</v>
      </c>
      <c r="AK1238" s="3"/>
      <c r="AV1238" t="s">
        <v>370</v>
      </c>
      <c r="AX1238" t="s">
        <v>370</v>
      </c>
      <c r="AZ1238" t="s">
        <v>370</v>
      </c>
      <c r="BB1238" t="s">
        <v>370</v>
      </c>
      <c r="BO1238" t="s">
        <v>367</v>
      </c>
      <c r="BS1238" t="s">
        <v>385</v>
      </c>
      <c r="BT1238">
        <v>9</v>
      </c>
      <c r="BU1238">
        <v>12</v>
      </c>
      <c r="BV1238">
        <v>0</v>
      </c>
      <c r="BX1238">
        <v>94.5</v>
      </c>
      <c r="BZ1238">
        <v>62.5</v>
      </c>
      <c r="CM1238">
        <v>1911</v>
      </c>
    </row>
    <row r="1239" spans="1:91" x14ac:dyDescent="0.3">
      <c r="A1239" t="s">
        <v>2015</v>
      </c>
      <c r="B1239">
        <v>41783</v>
      </c>
      <c r="D1239">
        <v>12</v>
      </c>
      <c r="I1239">
        <v>235000</v>
      </c>
      <c r="U1239">
        <v>1</v>
      </c>
      <c r="Z1239" t="s">
        <v>2016</v>
      </c>
      <c r="AA1239">
        <v>1.0900000000000001</v>
      </c>
      <c r="AC1239" s="3">
        <v>1.1200000000000001</v>
      </c>
      <c r="AE1239" s="3">
        <v>1.0900000000000001</v>
      </c>
      <c r="AI1239">
        <v>1.1200000000000001</v>
      </c>
      <c r="AK1239" s="3"/>
      <c r="AV1239" t="s">
        <v>815</v>
      </c>
      <c r="AX1239" t="s">
        <v>815</v>
      </c>
      <c r="AZ1239" t="s">
        <v>815</v>
      </c>
      <c r="BB1239" t="s">
        <v>802</v>
      </c>
      <c r="BG1239">
        <v>17.5</v>
      </c>
      <c r="BH1239">
        <v>17.5</v>
      </c>
      <c r="BI1239">
        <v>10</v>
      </c>
      <c r="BK1239" t="s">
        <v>2017</v>
      </c>
      <c r="BL1239" t="s">
        <v>2018</v>
      </c>
      <c r="BM1239" t="s">
        <v>1703</v>
      </c>
      <c r="BN1239">
        <v>1911</v>
      </c>
      <c r="BR1239">
        <v>77033</v>
      </c>
      <c r="BS1239" t="s">
        <v>2019</v>
      </c>
      <c r="BW1239" t="s">
        <v>802</v>
      </c>
      <c r="BX1239">
        <v>1.62</v>
      </c>
      <c r="BZ1239">
        <v>0.93</v>
      </c>
      <c r="CK1239" t="s">
        <v>454</v>
      </c>
      <c r="CM1239">
        <v>1911</v>
      </c>
    </row>
    <row r="1240" spans="1:91" x14ac:dyDescent="0.3">
      <c r="A1240" t="s">
        <v>2015</v>
      </c>
      <c r="B1240">
        <v>41787</v>
      </c>
      <c r="C1240" t="s">
        <v>844</v>
      </c>
      <c r="D1240">
        <v>12</v>
      </c>
      <c r="I1240">
        <v>10000</v>
      </c>
      <c r="U1240">
        <v>10</v>
      </c>
      <c r="Y1240">
        <v>10</v>
      </c>
      <c r="AA1240">
        <v>10.18</v>
      </c>
      <c r="AC1240" s="3">
        <v>10.18</v>
      </c>
      <c r="AE1240" s="3">
        <v>10.18</v>
      </c>
      <c r="AI1240">
        <v>10.18</v>
      </c>
      <c r="AK1240" s="3"/>
      <c r="AV1240" t="s">
        <v>421</v>
      </c>
      <c r="AX1240" t="s">
        <v>421</v>
      </c>
      <c r="AZ1240" t="s">
        <v>421</v>
      </c>
      <c r="BB1240" t="s">
        <v>421</v>
      </c>
      <c r="BO1240" t="s">
        <v>367</v>
      </c>
      <c r="BR1240">
        <v>77033</v>
      </c>
      <c r="BS1240" t="s">
        <v>2019</v>
      </c>
      <c r="BT1240">
        <v>5</v>
      </c>
      <c r="BU1240">
        <v>17</v>
      </c>
      <c r="BV1240">
        <v>9</v>
      </c>
      <c r="BX1240">
        <v>10.87</v>
      </c>
      <c r="BZ1240">
        <v>10.18</v>
      </c>
      <c r="CM1240">
        <v>1911</v>
      </c>
    </row>
    <row r="1241" spans="1:91" x14ac:dyDescent="0.3">
      <c r="A1241" t="s">
        <v>2020</v>
      </c>
      <c r="B1241">
        <v>41882</v>
      </c>
      <c r="D1241">
        <v>12</v>
      </c>
      <c r="I1241" s="2">
        <v>1905000</v>
      </c>
      <c r="U1241">
        <v>1</v>
      </c>
      <c r="Y1241">
        <v>1</v>
      </c>
      <c r="AA1241">
        <v>3.43</v>
      </c>
      <c r="AC1241" s="3">
        <v>3.56</v>
      </c>
      <c r="AE1241" s="3">
        <v>3.43</v>
      </c>
      <c r="AI1241">
        <v>3.5</v>
      </c>
      <c r="AK1241" s="3"/>
      <c r="AV1241" t="s">
        <v>2021</v>
      </c>
      <c r="AX1241" t="s">
        <v>823</v>
      </c>
      <c r="BB1241" t="s">
        <v>823</v>
      </c>
      <c r="BG1241">
        <v>45</v>
      </c>
      <c r="BH1241">
        <v>10</v>
      </c>
      <c r="BI1241">
        <v>30</v>
      </c>
      <c r="BJ1241">
        <v>10</v>
      </c>
      <c r="BK1241" t="s">
        <v>2022</v>
      </c>
      <c r="BL1241" s="4">
        <v>3958</v>
      </c>
      <c r="BM1241" s="4">
        <v>4139</v>
      </c>
      <c r="BN1241" s="4">
        <v>4323</v>
      </c>
      <c r="BR1241">
        <v>787699</v>
      </c>
      <c r="BS1241" t="s">
        <v>2023</v>
      </c>
      <c r="BT1241">
        <v>5</v>
      </c>
      <c r="BU1241">
        <v>14</v>
      </c>
      <c r="BV1241">
        <v>3</v>
      </c>
      <c r="BX1241">
        <v>4.09</v>
      </c>
      <c r="BZ1241">
        <v>3.31</v>
      </c>
      <c r="CK1241" t="s">
        <v>2024</v>
      </c>
      <c r="CM1241">
        <v>1911</v>
      </c>
    </row>
    <row r="1242" spans="1:91" x14ac:dyDescent="0.3">
      <c r="A1242" t="s">
        <v>2020</v>
      </c>
      <c r="B1242">
        <v>41886</v>
      </c>
      <c r="C1242" t="s">
        <v>2025</v>
      </c>
      <c r="D1242">
        <v>12</v>
      </c>
      <c r="I1242">
        <v>250000</v>
      </c>
      <c r="U1242">
        <v>1</v>
      </c>
      <c r="Y1242">
        <v>1</v>
      </c>
      <c r="AA1242">
        <v>1.28</v>
      </c>
      <c r="AC1242" s="3">
        <v>1.31</v>
      </c>
      <c r="AE1242" s="3">
        <v>1.28</v>
      </c>
      <c r="AI1242">
        <v>1.28</v>
      </c>
      <c r="AK1242" s="3"/>
      <c r="AV1242" t="s">
        <v>366</v>
      </c>
      <c r="AX1242" t="s">
        <v>366</v>
      </c>
      <c r="AZ1242" t="s">
        <v>366</v>
      </c>
      <c r="BB1242" t="s">
        <v>366</v>
      </c>
      <c r="BO1242" t="s">
        <v>367</v>
      </c>
      <c r="BR1242">
        <v>787699</v>
      </c>
      <c r="BS1242" t="s">
        <v>2023</v>
      </c>
      <c r="BT1242">
        <v>4</v>
      </c>
      <c r="BU1242">
        <v>13</v>
      </c>
      <c r="BV1242">
        <v>9</v>
      </c>
      <c r="BX1242">
        <v>1.31</v>
      </c>
      <c r="BZ1242">
        <v>1.25</v>
      </c>
      <c r="CM1242">
        <v>1911</v>
      </c>
    </row>
    <row r="1243" spans="1:91" x14ac:dyDescent="0.3">
      <c r="A1243" t="s">
        <v>2020</v>
      </c>
      <c r="B1243">
        <v>41887</v>
      </c>
      <c r="C1243" t="s">
        <v>2026</v>
      </c>
      <c r="D1243">
        <v>12</v>
      </c>
      <c r="I1243">
        <v>75000</v>
      </c>
      <c r="U1243">
        <v>10</v>
      </c>
      <c r="Y1243">
        <v>10</v>
      </c>
      <c r="AA1243">
        <v>12</v>
      </c>
      <c r="AC1243" s="3">
        <v>12.06</v>
      </c>
      <c r="AE1243" s="3">
        <v>11.93</v>
      </c>
      <c r="AI1243">
        <v>12.06</v>
      </c>
      <c r="AK1243" s="3"/>
      <c r="AV1243" t="s">
        <v>366</v>
      </c>
      <c r="AX1243" t="s">
        <v>366</v>
      </c>
      <c r="AZ1243" t="s">
        <v>366</v>
      </c>
      <c r="BB1243" t="s">
        <v>366</v>
      </c>
      <c r="BO1243" t="s">
        <v>367</v>
      </c>
      <c r="BR1243">
        <v>787699</v>
      </c>
      <c r="BS1243" t="s">
        <v>2023</v>
      </c>
      <c r="BT1243">
        <v>4</v>
      </c>
      <c r="BU1243">
        <v>19</v>
      </c>
      <c r="BV1243">
        <v>6</v>
      </c>
      <c r="BX1243">
        <v>12.31</v>
      </c>
      <c r="BZ1243">
        <v>11.56</v>
      </c>
      <c r="CM1243">
        <v>1911</v>
      </c>
    </row>
    <row r="1244" spans="1:91" x14ac:dyDescent="0.3">
      <c r="A1244" t="s">
        <v>2020</v>
      </c>
      <c r="B1244">
        <v>41885</v>
      </c>
      <c r="C1244" t="s">
        <v>1263</v>
      </c>
      <c r="D1244">
        <v>12</v>
      </c>
      <c r="I1244">
        <v>260000</v>
      </c>
      <c r="J1244" t="s">
        <v>800</v>
      </c>
      <c r="V1244" t="s">
        <v>350</v>
      </c>
      <c r="Y1244">
        <v>100</v>
      </c>
      <c r="AA1244">
        <v>105</v>
      </c>
      <c r="AC1244" s="3">
        <v>105</v>
      </c>
      <c r="AE1244" s="3">
        <v>102.5</v>
      </c>
      <c r="AI1244">
        <v>102.5</v>
      </c>
      <c r="AK1244" s="3"/>
      <c r="AV1244" t="s">
        <v>421</v>
      </c>
      <c r="AX1244" t="s">
        <v>421</v>
      </c>
      <c r="AZ1244" t="s">
        <v>421</v>
      </c>
      <c r="BB1244" t="s">
        <v>421</v>
      </c>
      <c r="BO1244" t="s">
        <v>367</v>
      </c>
      <c r="BR1244">
        <v>787699</v>
      </c>
      <c r="BS1244" t="s">
        <v>2023</v>
      </c>
      <c r="BT1244">
        <v>4</v>
      </c>
      <c r="BU1244">
        <v>17</v>
      </c>
      <c r="BV1244">
        <v>6</v>
      </c>
      <c r="BX1244">
        <v>105.62</v>
      </c>
      <c r="BZ1244">
        <v>102.5</v>
      </c>
      <c r="CM1244">
        <v>1911</v>
      </c>
    </row>
    <row r="1245" spans="1:91" x14ac:dyDescent="0.3">
      <c r="A1245" t="s">
        <v>2027</v>
      </c>
      <c r="B1245">
        <v>42002</v>
      </c>
      <c r="D1245">
        <v>12</v>
      </c>
      <c r="I1245">
        <v>400000</v>
      </c>
      <c r="U1245">
        <v>1</v>
      </c>
      <c r="Y1245">
        <v>1</v>
      </c>
      <c r="AA1245">
        <v>4.25</v>
      </c>
      <c r="AC1245" s="3">
        <v>4.43</v>
      </c>
      <c r="AE1245" s="3">
        <v>4.25</v>
      </c>
      <c r="AI1245">
        <v>4.37</v>
      </c>
      <c r="AK1245" s="3"/>
      <c r="AX1245" t="s">
        <v>823</v>
      </c>
      <c r="BB1245" t="s">
        <v>823</v>
      </c>
      <c r="BG1245">
        <v>50</v>
      </c>
      <c r="BH1245">
        <v>20</v>
      </c>
      <c r="BI1245">
        <v>50</v>
      </c>
      <c r="BJ1245">
        <v>20</v>
      </c>
      <c r="BK1245" s="4">
        <v>3744</v>
      </c>
      <c r="BL1245" s="4">
        <v>3927</v>
      </c>
      <c r="BM1245" s="4">
        <v>4109</v>
      </c>
      <c r="BN1245" s="4">
        <v>4292</v>
      </c>
      <c r="BR1245">
        <v>135662</v>
      </c>
      <c r="BS1245" t="s">
        <v>2028</v>
      </c>
      <c r="BT1245">
        <v>7</v>
      </c>
      <c r="BU1245">
        <v>17</v>
      </c>
      <c r="BV1245">
        <v>9</v>
      </c>
      <c r="BX1245">
        <v>5.25</v>
      </c>
      <c r="BZ1245">
        <v>4.12</v>
      </c>
      <c r="CK1245" t="s">
        <v>360</v>
      </c>
      <c r="CM1245">
        <v>1911</v>
      </c>
    </row>
    <row r="1246" spans="1:91" x14ac:dyDescent="0.3">
      <c r="A1246" t="s">
        <v>2027</v>
      </c>
      <c r="B1246">
        <v>42003</v>
      </c>
      <c r="C1246" t="s">
        <v>2029</v>
      </c>
      <c r="D1246">
        <v>12</v>
      </c>
      <c r="I1246">
        <v>240000</v>
      </c>
      <c r="V1246" t="s">
        <v>350</v>
      </c>
      <c r="Y1246">
        <v>100</v>
      </c>
      <c r="AA1246">
        <v>101</v>
      </c>
      <c r="AC1246" s="3">
        <v>101</v>
      </c>
      <c r="AE1246" s="3">
        <v>101</v>
      </c>
      <c r="AI1246">
        <v>101</v>
      </c>
      <c r="AK1246" s="3"/>
      <c r="AV1246" t="s">
        <v>370</v>
      </c>
      <c r="AX1246" t="s">
        <v>370</v>
      </c>
      <c r="AZ1246" t="s">
        <v>370</v>
      </c>
      <c r="BB1246" t="s">
        <v>370</v>
      </c>
      <c r="BO1246" t="s">
        <v>367</v>
      </c>
      <c r="BR1246">
        <v>135662</v>
      </c>
      <c r="BS1246" t="s">
        <v>2028</v>
      </c>
      <c r="BT1246">
        <v>5</v>
      </c>
      <c r="BU1246">
        <v>0</v>
      </c>
      <c r="BV1246">
        <v>3</v>
      </c>
      <c r="BX1246">
        <v>103</v>
      </c>
      <c r="BZ1246">
        <v>100</v>
      </c>
      <c r="CM1246">
        <v>1911</v>
      </c>
    </row>
    <row r="1247" spans="1:91" x14ac:dyDescent="0.3">
      <c r="A1247" t="s">
        <v>2030</v>
      </c>
      <c r="B1247">
        <v>42670</v>
      </c>
      <c r="D1247">
        <v>12</v>
      </c>
      <c r="I1247">
        <v>500000</v>
      </c>
      <c r="U1247">
        <v>1</v>
      </c>
      <c r="Y1247">
        <v>1</v>
      </c>
      <c r="AA1247">
        <v>0.25</v>
      </c>
      <c r="AC1247" s="3">
        <v>0.25</v>
      </c>
      <c r="AE1247" s="3">
        <v>0.12</v>
      </c>
      <c r="AI1247">
        <v>0.12</v>
      </c>
      <c r="AK1247" s="3"/>
      <c r="AV1247" t="s">
        <v>385</v>
      </c>
      <c r="AX1247" t="s">
        <v>385</v>
      </c>
      <c r="AZ1247" t="s">
        <v>385</v>
      </c>
      <c r="BB1247" t="s">
        <v>385</v>
      </c>
      <c r="BS1247" t="s">
        <v>385</v>
      </c>
      <c r="BW1247" t="s">
        <v>802</v>
      </c>
      <c r="BX1247">
        <v>0.68</v>
      </c>
      <c r="BZ1247">
        <v>0.12</v>
      </c>
      <c r="CK1247" t="s">
        <v>360</v>
      </c>
      <c r="CM1247">
        <v>1911</v>
      </c>
    </row>
    <row r="1248" spans="1:91" x14ac:dyDescent="0.3">
      <c r="A1248" t="s">
        <v>2031</v>
      </c>
      <c r="B1248">
        <v>45155</v>
      </c>
      <c r="D1248">
        <v>12</v>
      </c>
      <c r="I1248" s="2">
        <v>1150000</v>
      </c>
      <c r="U1248">
        <v>1</v>
      </c>
      <c r="Y1248">
        <v>1</v>
      </c>
      <c r="AA1248">
        <v>0.28000000000000003</v>
      </c>
      <c r="AC1248" s="3">
        <v>0.28000000000000003</v>
      </c>
      <c r="AE1248" s="3">
        <v>0.25</v>
      </c>
      <c r="AI1248">
        <v>0.25</v>
      </c>
      <c r="AK1248" s="3"/>
      <c r="AV1248" t="s">
        <v>385</v>
      </c>
      <c r="AX1248" t="s">
        <v>385</v>
      </c>
      <c r="AZ1248" t="s">
        <v>385</v>
      </c>
      <c r="BB1248" t="s">
        <v>385</v>
      </c>
      <c r="BR1248">
        <v>31951</v>
      </c>
      <c r="BW1248" t="s">
        <v>802</v>
      </c>
      <c r="BX1248">
        <v>0.75</v>
      </c>
      <c r="BZ1248">
        <v>0.25</v>
      </c>
      <c r="CM1248">
        <v>1911</v>
      </c>
    </row>
    <row r="1249" spans="1:91" x14ac:dyDescent="0.3">
      <c r="A1249" t="s">
        <v>2032</v>
      </c>
      <c r="B1249">
        <v>45617</v>
      </c>
      <c r="D1249">
        <v>12</v>
      </c>
      <c r="I1249">
        <v>400000</v>
      </c>
      <c r="U1249">
        <v>1</v>
      </c>
      <c r="Y1249">
        <v>1</v>
      </c>
      <c r="AA1249">
        <v>0.84</v>
      </c>
      <c r="AC1249" s="3">
        <v>0.9</v>
      </c>
      <c r="AE1249" s="3">
        <v>0.81</v>
      </c>
      <c r="AI1249">
        <v>0.84</v>
      </c>
      <c r="AK1249" s="3"/>
      <c r="AV1249" t="s">
        <v>385</v>
      </c>
      <c r="AX1249" t="s">
        <v>385</v>
      </c>
      <c r="AZ1249" t="s">
        <v>385</v>
      </c>
      <c r="BB1249" t="s">
        <v>385</v>
      </c>
      <c r="BR1249">
        <v>19353</v>
      </c>
      <c r="BW1249" t="s">
        <v>802</v>
      </c>
      <c r="BX1249">
        <v>1.46</v>
      </c>
      <c r="BZ1249">
        <v>0.5</v>
      </c>
      <c r="CM1249">
        <v>1911</v>
      </c>
    </row>
    <row r="1250" spans="1:91" x14ac:dyDescent="0.3">
      <c r="A1250" t="s">
        <v>2033</v>
      </c>
      <c r="B1250">
        <v>47169</v>
      </c>
      <c r="D1250">
        <v>12</v>
      </c>
      <c r="I1250">
        <v>200000</v>
      </c>
      <c r="U1250">
        <v>1</v>
      </c>
      <c r="Z1250" t="s">
        <v>2016</v>
      </c>
      <c r="AA1250">
        <v>1.18</v>
      </c>
      <c r="AC1250" s="3">
        <v>1.18</v>
      </c>
      <c r="AE1250" s="3">
        <v>1.18</v>
      </c>
      <c r="AI1250">
        <v>1.18</v>
      </c>
      <c r="AK1250" s="3"/>
      <c r="AV1250" t="s">
        <v>815</v>
      </c>
      <c r="AX1250" t="s">
        <v>815</v>
      </c>
      <c r="AZ1250" t="s">
        <v>815</v>
      </c>
      <c r="BB1250" t="s">
        <v>815</v>
      </c>
      <c r="BG1250">
        <v>15</v>
      </c>
      <c r="BH1250">
        <v>15</v>
      </c>
      <c r="BI1250">
        <v>10</v>
      </c>
      <c r="BJ1250">
        <v>5</v>
      </c>
      <c r="BK1250" t="s">
        <v>2017</v>
      </c>
      <c r="BL1250" t="s">
        <v>2018</v>
      </c>
      <c r="BM1250" t="s">
        <v>1703</v>
      </c>
      <c r="BN1250" t="s">
        <v>2034</v>
      </c>
      <c r="BR1250">
        <v>16196</v>
      </c>
      <c r="BT1250">
        <v>3</v>
      </c>
      <c r="BU1250">
        <v>11</v>
      </c>
      <c r="BV1250">
        <v>6</v>
      </c>
      <c r="BX1250">
        <v>1.53</v>
      </c>
      <c r="BZ1250">
        <v>1</v>
      </c>
      <c r="CK1250" t="s">
        <v>465</v>
      </c>
      <c r="CM1250">
        <v>1911</v>
      </c>
    </row>
    <row r="1251" spans="1:91" x14ac:dyDescent="0.3">
      <c r="A1251" t="s">
        <v>2035</v>
      </c>
      <c r="B1251">
        <v>47363</v>
      </c>
      <c r="D1251">
        <v>12</v>
      </c>
      <c r="I1251">
        <v>200000</v>
      </c>
      <c r="U1251">
        <v>1</v>
      </c>
      <c r="Y1251">
        <v>1</v>
      </c>
      <c r="AA1251">
        <v>0.31</v>
      </c>
      <c r="AC1251" s="3">
        <v>0.31</v>
      </c>
      <c r="AE1251" s="3">
        <v>0.31</v>
      </c>
      <c r="AI1251">
        <v>0.31</v>
      </c>
      <c r="AK1251" s="3"/>
      <c r="AV1251" t="s">
        <v>385</v>
      </c>
      <c r="AX1251" t="s">
        <v>385</v>
      </c>
      <c r="AZ1251" t="s">
        <v>385</v>
      </c>
      <c r="BB1251" t="s">
        <v>385</v>
      </c>
      <c r="BS1251" t="s">
        <v>385</v>
      </c>
      <c r="BW1251" t="s">
        <v>802</v>
      </c>
      <c r="BX1251">
        <v>0.84</v>
      </c>
      <c r="BZ1251">
        <v>0.25</v>
      </c>
      <c r="CK1251" t="s">
        <v>360</v>
      </c>
      <c r="CM1251">
        <v>1911</v>
      </c>
    </row>
    <row r="1252" spans="1:91" x14ac:dyDescent="0.3">
      <c r="A1252" t="s">
        <v>2036</v>
      </c>
      <c r="B1252">
        <v>47767</v>
      </c>
      <c r="D1252">
        <v>12</v>
      </c>
      <c r="I1252">
        <v>953000</v>
      </c>
      <c r="U1252">
        <v>1</v>
      </c>
      <c r="Y1252">
        <v>1</v>
      </c>
      <c r="AA1252">
        <v>0.87</v>
      </c>
      <c r="AC1252" s="3">
        <v>0.9</v>
      </c>
      <c r="AE1252" s="3">
        <v>0.87</v>
      </c>
      <c r="AI1252">
        <v>0.87</v>
      </c>
      <c r="AK1252" s="3"/>
      <c r="AV1252" t="s">
        <v>823</v>
      </c>
      <c r="AX1252" t="s">
        <v>823</v>
      </c>
      <c r="AZ1252" t="s">
        <v>823</v>
      </c>
      <c r="BB1252" t="s">
        <v>823</v>
      </c>
      <c r="BG1252">
        <v>10</v>
      </c>
      <c r="BH1252">
        <v>10</v>
      </c>
      <c r="BI1252">
        <v>10</v>
      </c>
      <c r="BJ1252">
        <v>10</v>
      </c>
      <c r="BK1252" s="4">
        <v>3958</v>
      </c>
      <c r="BL1252" s="4">
        <v>4050</v>
      </c>
      <c r="BM1252" s="4">
        <v>4200</v>
      </c>
      <c r="BN1252" s="4">
        <v>4323</v>
      </c>
      <c r="BR1252">
        <v>726</v>
      </c>
      <c r="BT1252">
        <v>11</v>
      </c>
      <c r="BU1252">
        <v>17</v>
      </c>
      <c r="BV1252">
        <v>6</v>
      </c>
      <c r="BX1252">
        <v>1.28</v>
      </c>
      <c r="BZ1252">
        <v>0.68</v>
      </c>
      <c r="CM1252">
        <v>1911</v>
      </c>
    </row>
    <row r="1253" spans="1:91" x14ac:dyDescent="0.3">
      <c r="A1253" t="s">
        <v>2037</v>
      </c>
      <c r="B1253">
        <v>47841</v>
      </c>
      <c r="D1253">
        <v>12</v>
      </c>
      <c r="I1253">
        <v>130000</v>
      </c>
      <c r="U1253">
        <v>1</v>
      </c>
      <c r="Z1253" t="s">
        <v>2016</v>
      </c>
      <c r="AA1253">
        <v>7.06</v>
      </c>
      <c r="AB1253" t="s">
        <v>379</v>
      </c>
      <c r="AC1253" s="3">
        <v>7.06</v>
      </c>
      <c r="AE1253" s="3">
        <v>6.87</v>
      </c>
      <c r="AI1253">
        <v>6.87</v>
      </c>
      <c r="AK1253" s="3"/>
      <c r="BG1253">
        <v>50</v>
      </c>
      <c r="BH1253">
        <v>50</v>
      </c>
      <c r="BI1253">
        <v>30</v>
      </c>
      <c r="BK1253" s="4">
        <v>3805</v>
      </c>
      <c r="BL1253" s="4">
        <v>3988</v>
      </c>
      <c r="BM1253">
        <v>1911</v>
      </c>
      <c r="BR1253">
        <v>122021</v>
      </c>
      <c r="BS1253" t="s">
        <v>2038</v>
      </c>
      <c r="BT1253">
        <v>3</v>
      </c>
      <c r="BU1253">
        <v>14</v>
      </c>
      <c r="BV1253">
        <v>3</v>
      </c>
      <c r="BX1253">
        <v>7.18</v>
      </c>
      <c r="BZ1253">
        <v>5.43</v>
      </c>
      <c r="CK1253" t="s">
        <v>465</v>
      </c>
      <c r="CM1253">
        <v>1911</v>
      </c>
    </row>
    <row r="1254" spans="1:91" x14ac:dyDescent="0.3">
      <c r="A1254" t="s">
        <v>2039</v>
      </c>
      <c r="B1254">
        <v>47840</v>
      </c>
      <c r="C1254" t="s">
        <v>1754</v>
      </c>
      <c r="D1254">
        <v>12</v>
      </c>
      <c r="I1254">
        <v>10000</v>
      </c>
      <c r="U1254">
        <v>10</v>
      </c>
      <c r="Y1254">
        <v>10</v>
      </c>
      <c r="AA1254">
        <v>11.62</v>
      </c>
      <c r="AC1254" s="3">
        <v>11.62</v>
      </c>
      <c r="AE1254" s="3">
        <v>11.62</v>
      </c>
      <c r="AI1254">
        <v>11.62</v>
      </c>
      <c r="AK1254" s="3"/>
      <c r="AV1254" t="s">
        <v>2040</v>
      </c>
      <c r="AX1254" t="s">
        <v>2040</v>
      </c>
      <c r="AZ1254" t="s">
        <v>2040</v>
      </c>
      <c r="BB1254" t="s">
        <v>2040</v>
      </c>
      <c r="BO1254" t="s">
        <v>2041</v>
      </c>
      <c r="BR1254">
        <v>122021</v>
      </c>
      <c r="BS1254" t="s">
        <v>2038</v>
      </c>
      <c r="BT1254">
        <v>5</v>
      </c>
      <c r="BU1254">
        <v>3</v>
      </c>
      <c r="BV1254">
        <v>3</v>
      </c>
      <c r="BX1254">
        <v>12.12</v>
      </c>
      <c r="BZ1254">
        <v>11.5</v>
      </c>
      <c r="CM1254">
        <v>1911</v>
      </c>
    </row>
    <row r="1255" spans="1:91" x14ac:dyDescent="0.3">
      <c r="A1255" t="s">
        <v>2042</v>
      </c>
      <c r="B1255">
        <v>48452</v>
      </c>
      <c r="D1255">
        <v>12</v>
      </c>
      <c r="I1255">
        <v>115000</v>
      </c>
      <c r="U1255">
        <v>5</v>
      </c>
      <c r="Y1255">
        <v>5</v>
      </c>
      <c r="AA1255">
        <v>0.12</v>
      </c>
      <c r="AC1255" s="3">
        <v>0.12</v>
      </c>
      <c r="AE1255" s="3">
        <v>0.12</v>
      </c>
      <c r="AI1255">
        <v>0.12</v>
      </c>
      <c r="AK1255" s="3"/>
      <c r="AX1255" t="s">
        <v>802</v>
      </c>
      <c r="AY1255" t="s">
        <v>1497</v>
      </c>
      <c r="AZ1255" s="5">
        <v>40697</v>
      </c>
      <c r="BB1255" t="s">
        <v>810</v>
      </c>
      <c r="BE1255">
        <v>42</v>
      </c>
      <c r="BG1255">
        <v>6</v>
      </c>
      <c r="BK1255" s="4">
        <v>701</v>
      </c>
      <c r="BL1255" s="4">
        <v>913</v>
      </c>
      <c r="BM1255" s="4">
        <v>1066</v>
      </c>
      <c r="BR1255">
        <v>129301</v>
      </c>
      <c r="BW1255" t="s">
        <v>802</v>
      </c>
      <c r="BX1255">
        <v>0.25</v>
      </c>
      <c r="BZ1255">
        <v>0.09</v>
      </c>
      <c r="CK1255" t="s">
        <v>360</v>
      </c>
      <c r="CM1255">
        <v>1911</v>
      </c>
    </row>
    <row r="1256" spans="1:91" x14ac:dyDescent="0.3">
      <c r="A1256" t="s">
        <v>2043</v>
      </c>
      <c r="B1256">
        <v>40014</v>
      </c>
      <c r="D1256">
        <v>12</v>
      </c>
      <c r="I1256" s="2">
        <v>2500000</v>
      </c>
      <c r="U1256">
        <v>1</v>
      </c>
      <c r="Y1256">
        <v>1</v>
      </c>
      <c r="AA1256">
        <v>3.96</v>
      </c>
      <c r="AC1256" s="3">
        <v>4.1500000000000004</v>
      </c>
      <c r="AE1256" s="3">
        <v>3.96</v>
      </c>
      <c r="AI1256">
        <v>3.96</v>
      </c>
      <c r="AJ1256" t="s">
        <v>379</v>
      </c>
      <c r="AK1256" s="3"/>
      <c r="AV1256" t="s">
        <v>815</v>
      </c>
      <c r="AX1256" t="s">
        <v>815</v>
      </c>
      <c r="AZ1256" t="s">
        <v>815</v>
      </c>
      <c r="BB1256" t="s">
        <v>815</v>
      </c>
      <c r="BG1256">
        <v>15</v>
      </c>
      <c r="BH1256">
        <v>20</v>
      </c>
      <c r="BI1256">
        <v>22.5</v>
      </c>
      <c r="BJ1256">
        <v>22.5</v>
      </c>
      <c r="BK1256" t="s">
        <v>1224</v>
      </c>
      <c r="BL1256" t="s">
        <v>1225</v>
      </c>
      <c r="BM1256" t="s">
        <v>913</v>
      </c>
      <c r="BN1256" t="s">
        <v>1226</v>
      </c>
      <c r="BR1256" s="2">
        <v>1407320</v>
      </c>
      <c r="BS1256" t="s">
        <v>2044</v>
      </c>
      <c r="BT1256">
        <v>5</v>
      </c>
      <c r="BU1256">
        <v>13</v>
      </c>
      <c r="BV1256">
        <v>3</v>
      </c>
      <c r="BX1256">
        <v>4.6500000000000004</v>
      </c>
      <c r="BZ1256">
        <v>3.68</v>
      </c>
      <c r="CK1256" t="s">
        <v>360</v>
      </c>
      <c r="CM1256">
        <v>1911</v>
      </c>
    </row>
    <row r="1257" spans="1:91" x14ac:dyDescent="0.3">
      <c r="A1257" t="s">
        <v>2045</v>
      </c>
      <c r="B1257">
        <v>40012</v>
      </c>
      <c r="C1257" t="s">
        <v>817</v>
      </c>
      <c r="D1257">
        <v>12</v>
      </c>
      <c r="I1257">
        <v>150000</v>
      </c>
      <c r="U1257">
        <v>10</v>
      </c>
      <c r="Y1257">
        <v>10</v>
      </c>
      <c r="AA1257">
        <v>10.87</v>
      </c>
      <c r="AC1257" s="3">
        <v>11</v>
      </c>
      <c r="AE1257" s="3">
        <v>10.68</v>
      </c>
      <c r="AI1257">
        <v>10.75</v>
      </c>
      <c r="AK1257" s="3"/>
      <c r="BG1257">
        <v>5</v>
      </c>
      <c r="BH1257">
        <v>5</v>
      </c>
      <c r="BI1257">
        <v>5</v>
      </c>
      <c r="BJ1257">
        <v>5</v>
      </c>
      <c r="BK1257" s="4">
        <v>3744</v>
      </c>
      <c r="BL1257" s="4">
        <v>3927</v>
      </c>
      <c r="BM1257" s="4">
        <v>4109</v>
      </c>
      <c r="BN1257" s="4">
        <v>4292</v>
      </c>
      <c r="BR1257" s="2">
        <v>1407320</v>
      </c>
      <c r="BS1257" t="s">
        <v>2044</v>
      </c>
      <c r="BT1257">
        <v>4</v>
      </c>
      <c r="BU1257">
        <v>13</v>
      </c>
      <c r="BV1257">
        <v>0</v>
      </c>
      <c r="BX1257">
        <v>11.75</v>
      </c>
      <c r="BZ1257">
        <v>10.5</v>
      </c>
      <c r="CM1257">
        <v>1911</v>
      </c>
    </row>
    <row r="1258" spans="1:91" x14ac:dyDescent="0.3">
      <c r="A1258" t="s">
        <v>2046</v>
      </c>
      <c r="B1258">
        <v>49093</v>
      </c>
      <c r="D1258">
        <v>12</v>
      </c>
      <c r="I1258" s="2">
        <v>1250000</v>
      </c>
      <c r="U1258">
        <v>0.5</v>
      </c>
      <c r="Y1258">
        <v>0.5</v>
      </c>
      <c r="AA1258">
        <v>1.53</v>
      </c>
      <c r="AC1258" s="3">
        <v>1.62</v>
      </c>
      <c r="AE1258" s="3">
        <v>1.18</v>
      </c>
      <c r="AI1258">
        <v>1.18</v>
      </c>
      <c r="AJ1258" t="s">
        <v>379</v>
      </c>
      <c r="AK1258" s="3"/>
      <c r="AX1258" t="s">
        <v>823</v>
      </c>
      <c r="BB1258" t="s">
        <v>823</v>
      </c>
      <c r="BG1258">
        <v>15</v>
      </c>
      <c r="BH1258">
        <v>15</v>
      </c>
      <c r="BI1258">
        <v>25</v>
      </c>
      <c r="BJ1258">
        <v>15</v>
      </c>
      <c r="BK1258" s="4">
        <v>3805</v>
      </c>
      <c r="BL1258" s="4">
        <v>3988</v>
      </c>
      <c r="BM1258">
        <v>1911</v>
      </c>
      <c r="BN1258">
        <v>1911</v>
      </c>
      <c r="BR1258">
        <v>18742</v>
      </c>
      <c r="BT1258">
        <v>8</v>
      </c>
      <c r="BU1258">
        <v>8</v>
      </c>
      <c r="BV1258">
        <v>6</v>
      </c>
      <c r="BX1258">
        <v>1.93</v>
      </c>
      <c r="BZ1258">
        <v>1.18</v>
      </c>
      <c r="CK1258" t="s">
        <v>360</v>
      </c>
      <c r="CM1258">
        <v>1911</v>
      </c>
    </row>
    <row r="1259" spans="1:91" x14ac:dyDescent="0.3">
      <c r="A1259" t="s">
        <v>2047</v>
      </c>
      <c r="B1259">
        <v>49710</v>
      </c>
      <c r="D1259">
        <v>12</v>
      </c>
      <c r="I1259">
        <v>260000</v>
      </c>
      <c r="U1259">
        <v>1</v>
      </c>
      <c r="Y1259">
        <v>1</v>
      </c>
      <c r="AA1259">
        <v>0.75</v>
      </c>
      <c r="AC1259" s="3">
        <v>0.81</v>
      </c>
      <c r="AE1259" s="3">
        <v>0.71</v>
      </c>
      <c r="AI1259">
        <v>0.75</v>
      </c>
      <c r="AK1259" s="3"/>
      <c r="AV1259" t="s">
        <v>385</v>
      </c>
      <c r="AX1259" t="s">
        <v>385</v>
      </c>
      <c r="AZ1259" t="s">
        <v>385</v>
      </c>
      <c r="BB1259" t="s">
        <v>385</v>
      </c>
      <c r="BS1259" t="s">
        <v>385</v>
      </c>
      <c r="BW1259" t="s">
        <v>802</v>
      </c>
      <c r="BX1259">
        <v>1.03</v>
      </c>
      <c r="BZ1259">
        <v>0.56000000000000005</v>
      </c>
      <c r="CM1259">
        <v>1911</v>
      </c>
    </row>
    <row r="1260" spans="1:91" x14ac:dyDescent="0.3">
      <c r="A1260" t="s">
        <v>2048</v>
      </c>
      <c r="B1260">
        <v>50670</v>
      </c>
      <c r="D1260">
        <v>12</v>
      </c>
      <c r="I1260">
        <v>113202</v>
      </c>
      <c r="U1260">
        <v>4</v>
      </c>
      <c r="Y1260">
        <v>4</v>
      </c>
      <c r="AA1260">
        <v>1.68</v>
      </c>
      <c r="AC1260" s="3">
        <v>1.75</v>
      </c>
      <c r="AE1260" s="3">
        <v>1.56</v>
      </c>
      <c r="AI1260">
        <v>1.75</v>
      </c>
      <c r="AK1260" s="3"/>
      <c r="AV1260" t="s">
        <v>815</v>
      </c>
      <c r="AX1260" t="s">
        <v>815</v>
      </c>
      <c r="AZ1260" t="s">
        <v>815</v>
      </c>
      <c r="BB1260" t="s">
        <v>802</v>
      </c>
      <c r="BG1260">
        <v>7</v>
      </c>
      <c r="BH1260">
        <v>7</v>
      </c>
      <c r="BI1260">
        <v>4.5</v>
      </c>
      <c r="BK1260" t="s">
        <v>1729</v>
      </c>
      <c r="BL1260" t="s">
        <v>1260</v>
      </c>
      <c r="BM1260" t="s">
        <v>1261</v>
      </c>
      <c r="BN1260" t="s">
        <v>1262</v>
      </c>
      <c r="BR1260">
        <v>49687</v>
      </c>
      <c r="BW1260" t="s">
        <v>802</v>
      </c>
      <c r="BX1260">
        <v>2.5</v>
      </c>
      <c r="BZ1260">
        <v>1.4</v>
      </c>
      <c r="CK1260" t="s">
        <v>1742</v>
      </c>
      <c r="CM1260">
        <v>1911</v>
      </c>
    </row>
    <row r="1261" spans="1:91" x14ac:dyDescent="0.3">
      <c r="A1261" t="s">
        <v>2049</v>
      </c>
      <c r="B1261">
        <v>40073</v>
      </c>
      <c r="D1261">
        <v>12</v>
      </c>
      <c r="I1261">
        <v>33731</v>
      </c>
      <c r="U1261">
        <v>20</v>
      </c>
      <c r="Y1261">
        <v>20</v>
      </c>
      <c r="AA1261">
        <v>17</v>
      </c>
      <c r="AC1261" s="3">
        <v>17.5</v>
      </c>
      <c r="AE1261" s="3">
        <v>17</v>
      </c>
      <c r="AI1261">
        <v>17.5</v>
      </c>
      <c r="AK1261" s="3"/>
      <c r="AU1261" t="s">
        <v>1803</v>
      </c>
      <c r="AV1261" t="s">
        <v>2050</v>
      </c>
      <c r="AW1261" t="s">
        <v>1203</v>
      </c>
      <c r="AX1261" t="s">
        <v>2051</v>
      </c>
      <c r="AY1261" t="s">
        <v>2052</v>
      </c>
      <c r="AZ1261" t="s">
        <v>2053</v>
      </c>
      <c r="BA1261" t="s">
        <v>2054</v>
      </c>
      <c r="BB1261" t="s">
        <v>2055</v>
      </c>
      <c r="BC1261">
        <v>120</v>
      </c>
      <c r="BD1261">
        <v>144</v>
      </c>
      <c r="BE1261">
        <v>192</v>
      </c>
      <c r="BF1261">
        <v>168</v>
      </c>
      <c r="BK1261" s="4">
        <v>3744</v>
      </c>
      <c r="BL1261" s="4">
        <v>3927</v>
      </c>
      <c r="BM1261" s="4">
        <v>4109</v>
      </c>
      <c r="BN1261" s="4">
        <v>4292</v>
      </c>
      <c r="BR1261">
        <v>135252</v>
      </c>
      <c r="BT1261">
        <v>8</v>
      </c>
      <c r="BU1261">
        <v>11</v>
      </c>
      <c r="BV1261">
        <v>6</v>
      </c>
      <c r="BX1261">
        <v>18</v>
      </c>
      <c r="BZ1261">
        <v>16.68</v>
      </c>
      <c r="CK1261" t="s">
        <v>360</v>
      </c>
      <c r="CM1261">
        <v>1911</v>
      </c>
    </row>
    <row r="1262" spans="1:91" x14ac:dyDescent="0.3">
      <c r="A1262" t="s">
        <v>2056</v>
      </c>
      <c r="B1262">
        <v>40141</v>
      </c>
      <c r="D1262">
        <v>12</v>
      </c>
      <c r="I1262">
        <v>550000</v>
      </c>
      <c r="J1262" t="s">
        <v>800</v>
      </c>
      <c r="U1262">
        <v>100</v>
      </c>
      <c r="Y1262">
        <v>100</v>
      </c>
      <c r="AA1262">
        <v>92</v>
      </c>
      <c r="AC1262" s="3">
        <v>93</v>
      </c>
      <c r="AE1262" s="3">
        <v>92</v>
      </c>
      <c r="AI1262">
        <v>93</v>
      </c>
      <c r="AK1262" s="3"/>
      <c r="AV1262" t="s">
        <v>370</v>
      </c>
      <c r="AX1262" t="s">
        <v>370</v>
      </c>
      <c r="AZ1262" t="s">
        <v>370</v>
      </c>
      <c r="BB1262" t="s">
        <v>370</v>
      </c>
      <c r="BO1262" t="s">
        <v>367</v>
      </c>
      <c r="BS1262" t="s">
        <v>385</v>
      </c>
      <c r="BT1262">
        <v>4</v>
      </c>
      <c r="BU1262">
        <v>7</v>
      </c>
      <c r="BV1262">
        <v>0</v>
      </c>
      <c r="BX1262">
        <v>93.75</v>
      </c>
      <c r="BZ1262">
        <v>91</v>
      </c>
      <c r="CK1262" t="s">
        <v>465</v>
      </c>
      <c r="CM1262">
        <v>1911</v>
      </c>
    </row>
    <row r="1263" spans="1:91" x14ac:dyDescent="0.3">
      <c r="A1263" t="s">
        <v>2057</v>
      </c>
      <c r="B1263">
        <v>40271</v>
      </c>
      <c r="D1263">
        <v>12</v>
      </c>
      <c r="I1263">
        <v>32500</v>
      </c>
      <c r="U1263">
        <v>10</v>
      </c>
      <c r="Y1263">
        <v>10</v>
      </c>
      <c r="AA1263">
        <v>10.25</v>
      </c>
      <c r="AC1263" s="3">
        <v>10.25</v>
      </c>
      <c r="AE1263" s="3">
        <v>10.16</v>
      </c>
      <c r="AI1263">
        <v>10.25</v>
      </c>
      <c r="AK1263" s="3"/>
      <c r="BG1263">
        <v>5.5</v>
      </c>
      <c r="BH1263">
        <v>5.5</v>
      </c>
      <c r="BI1263">
        <v>5.5</v>
      </c>
      <c r="BJ1263">
        <v>5.5</v>
      </c>
      <c r="BK1263" s="4">
        <v>3774</v>
      </c>
      <c r="BL1263" s="4">
        <v>3958</v>
      </c>
      <c r="BM1263" s="4">
        <v>4139</v>
      </c>
      <c r="BN1263" s="4">
        <v>4323</v>
      </c>
      <c r="BR1263">
        <v>206452</v>
      </c>
      <c r="BS1263" t="s">
        <v>2058</v>
      </c>
      <c r="BT1263">
        <v>5</v>
      </c>
      <c r="BU1263">
        <v>7</v>
      </c>
      <c r="BV1263">
        <v>3</v>
      </c>
      <c r="BX1263">
        <v>10.25</v>
      </c>
      <c r="BZ1263">
        <v>8.75</v>
      </c>
      <c r="CK1263" t="s">
        <v>465</v>
      </c>
      <c r="CM1263">
        <v>1911</v>
      </c>
    </row>
    <row r="1264" spans="1:91" x14ac:dyDescent="0.3">
      <c r="A1264" t="s">
        <v>2059</v>
      </c>
      <c r="B1264">
        <v>40272</v>
      </c>
      <c r="C1264" t="s">
        <v>2060</v>
      </c>
      <c r="D1264">
        <v>12</v>
      </c>
      <c r="I1264">
        <v>465000</v>
      </c>
      <c r="J1264" t="s">
        <v>800</v>
      </c>
      <c r="V1264" t="s">
        <v>350</v>
      </c>
      <c r="Y1264">
        <v>100</v>
      </c>
      <c r="AA1264">
        <v>99</v>
      </c>
      <c r="AC1264" s="3">
        <v>101.87</v>
      </c>
      <c r="AE1264" s="3">
        <v>99</v>
      </c>
      <c r="AI1264">
        <v>100.5</v>
      </c>
      <c r="AK1264" s="3"/>
      <c r="AV1264" t="s">
        <v>366</v>
      </c>
      <c r="AX1264" t="s">
        <v>366</v>
      </c>
      <c r="AZ1264" t="s">
        <v>366</v>
      </c>
      <c r="BB1264" t="s">
        <v>366</v>
      </c>
      <c r="BO1264" t="s">
        <v>367</v>
      </c>
      <c r="BR1264">
        <v>206452</v>
      </c>
      <c r="BS1264" t="s">
        <v>2058</v>
      </c>
      <c r="BT1264">
        <v>4</v>
      </c>
      <c r="BU1264">
        <v>11</v>
      </c>
      <c r="BV1264">
        <v>0</v>
      </c>
      <c r="BX1264">
        <v>101.87</v>
      </c>
      <c r="BZ1264">
        <v>96</v>
      </c>
      <c r="CM1264">
        <v>1911</v>
      </c>
    </row>
    <row r="1265" spans="1:91" x14ac:dyDescent="0.3">
      <c r="A1265" t="s">
        <v>2061</v>
      </c>
      <c r="B1265">
        <v>40430</v>
      </c>
      <c r="D1265">
        <v>12</v>
      </c>
      <c r="I1265">
        <v>400000</v>
      </c>
      <c r="U1265">
        <v>1</v>
      </c>
      <c r="Y1265">
        <v>1</v>
      </c>
      <c r="AA1265">
        <v>1.4</v>
      </c>
      <c r="AB1265" t="s">
        <v>379</v>
      </c>
      <c r="AC1265" s="3">
        <v>1.43</v>
      </c>
      <c r="AE1265" s="3">
        <v>1.4</v>
      </c>
      <c r="AI1265">
        <v>1.43</v>
      </c>
      <c r="AK1265" s="3"/>
      <c r="BG1265">
        <v>6</v>
      </c>
      <c r="BH1265">
        <v>12</v>
      </c>
      <c r="BI1265">
        <v>6</v>
      </c>
      <c r="BJ1265">
        <v>14</v>
      </c>
      <c r="BK1265" s="4">
        <v>3835</v>
      </c>
      <c r="BL1265" s="4">
        <v>4019</v>
      </c>
      <c r="BM1265" s="4">
        <v>4139</v>
      </c>
      <c r="BN1265" s="4">
        <v>4384</v>
      </c>
      <c r="BR1265">
        <v>45071</v>
      </c>
      <c r="BS1265" t="s">
        <v>2062</v>
      </c>
      <c r="BT1265">
        <v>6</v>
      </c>
      <c r="BU1265">
        <v>19</v>
      </c>
      <c r="BV1265">
        <v>3</v>
      </c>
      <c r="BX1265">
        <v>1.5</v>
      </c>
      <c r="BZ1265">
        <v>1.18</v>
      </c>
      <c r="CM1265">
        <v>1911</v>
      </c>
    </row>
    <row r="1266" spans="1:91" x14ac:dyDescent="0.3">
      <c r="A1266" t="s">
        <v>2063</v>
      </c>
      <c r="B1266">
        <v>40431</v>
      </c>
      <c r="C1266" t="s">
        <v>2064</v>
      </c>
      <c r="D1266">
        <v>12</v>
      </c>
      <c r="I1266">
        <v>767300</v>
      </c>
      <c r="J1266" t="s">
        <v>800</v>
      </c>
      <c r="U1266">
        <v>100</v>
      </c>
      <c r="V1266" t="s">
        <v>615</v>
      </c>
      <c r="Y1266">
        <v>100</v>
      </c>
      <c r="Z1266" t="s">
        <v>615</v>
      </c>
      <c r="AA1266">
        <v>102</v>
      </c>
      <c r="AC1266" s="3">
        <v>103.75</v>
      </c>
      <c r="AE1266" s="3">
        <v>102</v>
      </c>
      <c r="AI1266">
        <v>103.25</v>
      </c>
      <c r="AK1266" s="3"/>
      <c r="AV1266" t="s">
        <v>370</v>
      </c>
      <c r="AX1266" t="s">
        <v>370</v>
      </c>
      <c r="AZ1266" t="s">
        <v>370</v>
      </c>
      <c r="BB1266" t="s">
        <v>370</v>
      </c>
      <c r="BO1266" t="s">
        <v>367</v>
      </c>
      <c r="BR1266">
        <v>45071</v>
      </c>
      <c r="BS1266" t="s">
        <v>2062</v>
      </c>
      <c r="BT1266">
        <v>5</v>
      </c>
      <c r="BU1266">
        <v>18</v>
      </c>
      <c r="BV1266">
        <v>9</v>
      </c>
      <c r="BX1266">
        <v>106</v>
      </c>
      <c r="BZ1266">
        <v>100.5</v>
      </c>
      <c r="CM1266">
        <v>1911</v>
      </c>
    </row>
    <row r="1267" spans="1:91" x14ac:dyDescent="0.3">
      <c r="A1267" t="s">
        <v>2065</v>
      </c>
      <c r="B1267">
        <v>40694</v>
      </c>
      <c r="D1267">
        <v>12</v>
      </c>
      <c r="I1267">
        <v>246845</v>
      </c>
      <c r="J1267" t="s">
        <v>800</v>
      </c>
      <c r="V1267" t="s">
        <v>350</v>
      </c>
      <c r="Y1267">
        <v>100</v>
      </c>
      <c r="AA1267">
        <v>82.5</v>
      </c>
      <c r="AC1267" s="3">
        <v>82.5</v>
      </c>
      <c r="AE1267" s="3">
        <v>81.34</v>
      </c>
      <c r="AI1267">
        <v>81.5</v>
      </c>
      <c r="AJ1267" t="s">
        <v>379</v>
      </c>
      <c r="AK1267" s="3"/>
      <c r="BG1267">
        <v>4</v>
      </c>
      <c r="BH1267">
        <v>4</v>
      </c>
      <c r="BI1267">
        <v>4</v>
      </c>
      <c r="BJ1267">
        <v>4</v>
      </c>
      <c r="BK1267" s="4">
        <v>3654</v>
      </c>
      <c r="BL1267" s="4">
        <v>3835</v>
      </c>
      <c r="BM1267" s="4">
        <v>4019</v>
      </c>
      <c r="BN1267" s="4">
        <v>4200</v>
      </c>
      <c r="BS1267" t="s">
        <v>385</v>
      </c>
      <c r="BT1267">
        <v>4</v>
      </c>
      <c r="BU1267">
        <v>18</v>
      </c>
      <c r="BV1267">
        <v>3</v>
      </c>
      <c r="BX1267">
        <v>85.5</v>
      </c>
      <c r="BZ1267">
        <v>80</v>
      </c>
      <c r="CK1267" t="s">
        <v>360</v>
      </c>
      <c r="CM1267">
        <v>1911</v>
      </c>
    </row>
    <row r="1268" spans="1:91" x14ac:dyDescent="0.3">
      <c r="A1268" t="s">
        <v>2066</v>
      </c>
      <c r="B1268">
        <v>41224</v>
      </c>
      <c r="D1268">
        <v>12</v>
      </c>
      <c r="I1268">
        <v>400000</v>
      </c>
      <c r="J1268" t="s">
        <v>800</v>
      </c>
      <c r="V1268" t="s">
        <v>350</v>
      </c>
      <c r="Y1268">
        <v>100</v>
      </c>
      <c r="AA1268">
        <v>101.5</v>
      </c>
      <c r="AC1268" s="3">
        <v>101.5</v>
      </c>
      <c r="AE1268" s="3">
        <v>98.75</v>
      </c>
      <c r="AI1268">
        <v>98.75</v>
      </c>
      <c r="AJ1268" t="s">
        <v>379</v>
      </c>
      <c r="AK1268" s="3"/>
      <c r="AV1268" t="s">
        <v>370</v>
      </c>
      <c r="AX1268" t="s">
        <v>370</v>
      </c>
      <c r="AZ1268" t="s">
        <v>370</v>
      </c>
      <c r="BB1268" t="s">
        <v>370</v>
      </c>
      <c r="BO1268" t="s">
        <v>367</v>
      </c>
      <c r="BR1268">
        <v>272363</v>
      </c>
      <c r="BT1268">
        <v>4</v>
      </c>
      <c r="BU1268">
        <v>11</v>
      </c>
      <c r="BV1268">
        <v>3</v>
      </c>
      <c r="BX1268">
        <v>108</v>
      </c>
      <c r="BZ1268">
        <v>98.75</v>
      </c>
      <c r="CM1268">
        <v>1911</v>
      </c>
    </row>
    <row r="1269" spans="1:91" x14ac:dyDescent="0.3">
      <c r="A1269" t="s">
        <v>2067</v>
      </c>
      <c r="B1269">
        <v>41490</v>
      </c>
      <c r="D1269">
        <v>12</v>
      </c>
      <c r="I1269">
        <v>381100</v>
      </c>
      <c r="J1269" t="s">
        <v>800</v>
      </c>
      <c r="V1269" t="s">
        <v>350</v>
      </c>
      <c r="Y1269">
        <v>100</v>
      </c>
      <c r="AA1269">
        <v>101</v>
      </c>
      <c r="AC1269" s="3">
        <v>102</v>
      </c>
      <c r="AE1269" s="3">
        <v>99</v>
      </c>
      <c r="AI1269">
        <v>99</v>
      </c>
      <c r="AJ1269" t="s">
        <v>379</v>
      </c>
      <c r="AK1269" s="3"/>
      <c r="AV1269" t="s">
        <v>370</v>
      </c>
      <c r="AX1269" t="s">
        <v>370</v>
      </c>
      <c r="AZ1269" t="s">
        <v>370</v>
      </c>
      <c r="BB1269" t="s">
        <v>370</v>
      </c>
      <c r="BO1269" t="s">
        <v>367</v>
      </c>
      <c r="BS1269" t="s">
        <v>385</v>
      </c>
      <c r="BT1269">
        <v>4</v>
      </c>
      <c r="BU1269">
        <v>11</v>
      </c>
      <c r="BV1269">
        <v>0</v>
      </c>
      <c r="BX1269">
        <v>102</v>
      </c>
      <c r="BZ1269">
        <v>99</v>
      </c>
      <c r="CK1269" t="s">
        <v>360</v>
      </c>
      <c r="CM1269">
        <v>1911</v>
      </c>
    </row>
    <row r="1270" spans="1:91" x14ac:dyDescent="0.3">
      <c r="A1270" t="s">
        <v>2068</v>
      </c>
      <c r="B1270">
        <v>41634</v>
      </c>
      <c r="D1270">
        <v>12</v>
      </c>
      <c r="I1270">
        <v>19144</v>
      </c>
      <c r="U1270">
        <v>50</v>
      </c>
      <c r="Y1270">
        <v>50</v>
      </c>
      <c r="AA1270">
        <v>61.25</v>
      </c>
      <c r="AB1270" t="s">
        <v>379</v>
      </c>
      <c r="AC1270" s="3">
        <v>61.25</v>
      </c>
      <c r="AE1270" s="3">
        <v>81.25</v>
      </c>
      <c r="AI1270">
        <v>61.75</v>
      </c>
      <c r="AK1270" s="3"/>
      <c r="AX1270" t="s">
        <v>823</v>
      </c>
      <c r="BB1270" t="s">
        <v>823</v>
      </c>
      <c r="BG1270">
        <v>8</v>
      </c>
      <c r="BH1270">
        <v>7</v>
      </c>
      <c r="BI1270">
        <v>8</v>
      </c>
      <c r="BJ1270">
        <v>7</v>
      </c>
      <c r="BK1270" s="4">
        <v>3805</v>
      </c>
      <c r="BL1270" s="4">
        <v>3958</v>
      </c>
      <c r="BM1270" s="4">
        <v>4170</v>
      </c>
      <c r="BN1270" s="4">
        <v>4323</v>
      </c>
      <c r="BS1270" t="s">
        <v>385</v>
      </c>
      <c r="BT1270">
        <v>6</v>
      </c>
      <c r="BU1270">
        <v>2</v>
      </c>
      <c r="BV1270">
        <v>6</v>
      </c>
      <c r="BX1270">
        <v>64</v>
      </c>
      <c r="BZ1270">
        <v>60.25</v>
      </c>
      <c r="CK1270" t="s">
        <v>2069</v>
      </c>
      <c r="CM1270">
        <v>1911</v>
      </c>
    </row>
    <row r="1271" spans="1:91" x14ac:dyDescent="0.3">
      <c r="A1271" t="s">
        <v>2068</v>
      </c>
      <c r="B1271">
        <v>41638</v>
      </c>
      <c r="C1271" t="s">
        <v>2070</v>
      </c>
      <c r="D1271">
        <v>12</v>
      </c>
      <c r="I1271">
        <v>700000</v>
      </c>
      <c r="J1271" t="s">
        <v>800</v>
      </c>
      <c r="V1271" t="s">
        <v>350</v>
      </c>
      <c r="Y1271">
        <v>100</v>
      </c>
      <c r="AA1271">
        <v>101.5</v>
      </c>
      <c r="AC1271" s="3">
        <v>101.5</v>
      </c>
      <c r="AE1271" s="3">
        <v>101.5</v>
      </c>
      <c r="AI1271">
        <v>101.5</v>
      </c>
      <c r="AK1271" s="3"/>
      <c r="AX1271" t="s">
        <v>823</v>
      </c>
      <c r="BB1271" t="s">
        <v>823</v>
      </c>
      <c r="BG1271">
        <v>5</v>
      </c>
      <c r="BH1271">
        <v>5</v>
      </c>
      <c r="BI1271">
        <v>5</v>
      </c>
      <c r="BJ1271">
        <v>5</v>
      </c>
      <c r="BK1271" s="4">
        <v>3805</v>
      </c>
      <c r="BL1271" s="4">
        <v>3958</v>
      </c>
      <c r="BM1271" s="4">
        <v>4170</v>
      </c>
      <c r="BN1271" s="4">
        <v>4323</v>
      </c>
      <c r="BS1271" t="s">
        <v>385</v>
      </c>
      <c r="BT1271">
        <v>4</v>
      </c>
      <c r="BU1271">
        <v>18</v>
      </c>
      <c r="BV1271">
        <v>9</v>
      </c>
      <c r="BX1271">
        <v>105.5</v>
      </c>
      <c r="BZ1271">
        <v>101.5</v>
      </c>
      <c r="CM1271">
        <v>1911</v>
      </c>
    </row>
    <row r="1272" spans="1:91" x14ac:dyDescent="0.3">
      <c r="A1272" t="s">
        <v>2071</v>
      </c>
      <c r="B1272">
        <v>41829</v>
      </c>
      <c r="D1272">
        <v>12</v>
      </c>
      <c r="I1272">
        <v>40000</v>
      </c>
      <c r="U1272">
        <v>10</v>
      </c>
      <c r="Y1272">
        <v>10</v>
      </c>
      <c r="AA1272">
        <v>1.37</v>
      </c>
      <c r="AC1272" s="3">
        <v>1.5</v>
      </c>
      <c r="AE1272" s="3">
        <v>1.37</v>
      </c>
      <c r="AI1272">
        <v>1.5</v>
      </c>
      <c r="AK1272" s="3"/>
      <c r="BB1272" t="s">
        <v>810</v>
      </c>
      <c r="BG1272">
        <v>5.5</v>
      </c>
      <c r="BH1272">
        <v>5.5</v>
      </c>
      <c r="BI1272">
        <v>5.5</v>
      </c>
      <c r="BK1272" s="4">
        <v>2648</v>
      </c>
      <c r="BL1272" s="4">
        <v>2831</v>
      </c>
      <c r="BM1272" s="4">
        <v>3014</v>
      </c>
      <c r="BS1272" t="s">
        <v>385</v>
      </c>
      <c r="BW1272" t="s">
        <v>802</v>
      </c>
      <c r="BX1272">
        <v>1.5</v>
      </c>
      <c r="BZ1272">
        <v>0.46</v>
      </c>
      <c r="CK1272" t="s">
        <v>360</v>
      </c>
      <c r="CM1272">
        <v>1911</v>
      </c>
    </row>
    <row r="1273" spans="1:91" x14ac:dyDescent="0.3">
      <c r="A1273" t="s">
        <v>2072</v>
      </c>
      <c r="B1273">
        <v>41832</v>
      </c>
      <c r="C1273" t="s">
        <v>2073</v>
      </c>
      <c r="D1273">
        <v>12</v>
      </c>
      <c r="I1273">
        <v>390100</v>
      </c>
      <c r="J1273" t="s">
        <v>800</v>
      </c>
      <c r="U1273">
        <v>100</v>
      </c>
      <c r="Y1273">
        <v>100</v>
      </c>
      <c r="AA1273">
        <v>95.5</v>
      </c>
      <c r="AC1273" s="3">
        <v>95.5</v>
      </c>
      <c r="AE1273" s="3">
        <v>95.5</v>
      </c>
      <c r="AI1273">
        <v>95.5</v>
      </c>
      <c r="AK1273" s="3"/>
      <c r="AV1273" t="s">
        <v>370</v>
      </c>
      <c r="AX1273" t="s">
        <v>370</v>
      </c>
      <c r="AZ1273" t="s">
        <v>370</v>
      </c>
      <c r="BB1273" t="s">
        <v>370</v>
      </c>
      <c r="BO1273" t="s">
        <v>367</v>
      </c>
      <c r="BS1273" t="s">
        <v>385</v>
      </c>
      <c r="BT1273">
        <v>4</v>
      </c>
      <c r="BU1273">
        <v>16</v>
      </c>
      <c r="BV1273">
        <v>3</v>
      </c>
      <c r="BX1273">
        <v>97.5</v>
      </c>
      <c r="BZ1273">
        <v>89.5</v>
      </c>
      <c r="CM1273">
        <v>1911</v>
      </c>
    </row>
    <row r="1274" spans="1:91" x14ac:dyDescent="0.3">
      <c r="A1274" t="s">
        <v>2074</v>
      </c>
      <c r="B1274">
        <v>42515</v>
      </c>
      <c r="D1274">
        <v>12</v>
      </c>
      <c r="I1274">
        <v>50000</v>
      </c>
      <c r="U1274">
        <v>10</v>
      </c>
      <c r="Y1274">
        <v>10</v>
      </c>
      <c r="AA1274">
        <v>9.75</v>
      </c>
      <c r="AC1274" s="3">
        <v>9.75</v>
      </c>
      <c r="AE1274" s="3">
        <v>9.75</v>
      </c>
      <c r="AI1274">
        <v>9.75</v>
      </c>
      <c r="AK1274" s="3"/>
      <c r="AX1274" t="s">
        <v>823</v>
      </c>
      <c r="BB1274" t="s">
        <v>823</v>
      </c>
      <c r="BG1274">
        <v>5</v>
      </c>
      <c r="BH1274">
        <v>5</v>
      </c>
      <c r="BI1274">
        <v>5</v>
      </c>
      <c r="BJ1274">
        <v>5</v>
      </c>
      <c r="BK1274" s="4">
        <v>3744</v>
      </c>
      <c r="BL1274" s="4">
        <v>3927</v>
      </c>
      <c r="BM1274" s="4">
        <v>4109</v>
      </c>
      <c r="BN1274" s="4">
        <v>4292</v>
      </c>
      <c r="BR1274">
        <v>390220</v>
      </c>
      <c r="BS1274" t="s">
        <v>2075</v>
      </c>
      <c r="BT1274">
        <v>5</v>
      </c>
      <c r="BU1274">
        <v>2</v>
      </c>
      <c r="BV1274">
        <v>6</v>
      </c>
      <c r="BX1274">
        <v>9.75</v>
      </c>
      <c r="BZ1274">
        <v>7.75</v>
      </c>
      <c r="CK1274" t="s">
        <v>1606</v>
      </c>
      <c r="CM1274">
        <v>1911</v>
      </c>
    </row>
    <row r="1275" spans="1:91" x14ac:dyDescent="0.3">
      <c r="A1275" t="s">
        <v>2074</v>
      </c>
      <c r="B1275">
        <v>42516</v>
      </c>
      <c r="C1275" t="s">
        <v>2076</v>
      </c>
      <c r="D1275">
        <v>12</v>
      </c>
      <c r="I1275">
        <v>750000</v>
      </c>
      <c r="J1275" t="s">
        <v>800</v>
      </c>
      <c r="V1275" t="s">
        <v>350</v>
      </c>
      <c r="Y1275">
        <v>100</v>
      </c>
      <c r="AA1275">
        <v>91.5</v>
      </c>
      <c r="AC1275" s="3">
        <v>91.5</v>
      </c>
      <c r="AE1275" s="3">
        <v>89.5</v>
      </c>
      <c r="AI1275">
        <v>89.5</v>
      </c>
      <c r="AJ1275" t="s">
        <v>379</v>
      </c>
      <c r="AK1275" s="3"/>
      <c r="AV1275" t="s">
        <v>370</v>
      </c>
      <c r="AX1275" t="s">
        <v>370</v>
      </c>
      <c r="AZ1275" t="s">
        <v>370</v>
      </c>
      <c r="BB1275" t="s">
        <v>370</v>
      </c>
      <c r="BO1275" t="s">
        <v>367</v>
      </c>
      <c r="BR1275">
        <v>390220</v>
      </c>
      <c r="BS1275" t="s">
        <v>2075</v>
      </c>
      <c r="BT1275">
        <v>5</v>
      </c>
      <c r="BU1275">
        <v>0</v>
      </c>
      <c r="BV1275">
        <v>6</v>
      </c>
      <c r="BX1275">
        <v>93.5</v>
      </c>
      <c r="BZ1275">
        <v>89.5</v>
      </c>
      <c r="CM1275">
        <v>1911</v>
      </c>
    </row>
    <row r="1276" spans="1:91" x14ac:dyDescent="0.3">
      <c r="A1276" t="s">
        <v>2077</v>
      </c>
      <c r="B1276">
        <v>42607</v>
      </c>
      <c r="D1276">
        <v>12</v>
      </c>
      <c r="I1276">
        <v>432800</v>
      </c>
      <c r="J1276" t="s">
        <v>800</v>
      </c>
      <c r="U1276">
        <v>100</v>
      </c>
      <c r="V1276" t="s">
        <v>615</v>
      </c>
      <c r="Y1276">
        <v>100</v>
      </c>
      <c r="Z1276" t="s">
        <v>615</v>
      </c>
      <c r="AA1276">
        <v>81</v>
      </c>
      <c r="AC1276" s="3">
        <v>83.5</v>
      </c>
      <c r="AE1276" s="3">
        <v>81</v>
      </c>
      <c r="AI1276">
        <v>83</v>
      </c>
      <c r="AK1276" s="3"/>
      <c r="AV1276" t="s">
        <v>370</v>
      </c>
      <c r="AX1276" t="s">
        <v>370</v>
      </c>
      <c r="AZ1276" t="s">
        <v>370</v>
      </c>
      <c r="BB1276" t="s">
        <v>370</v>
      </c>
      <c r="BO1276" t="s">
        <v>367</v>
      </c>
      <c r="BS1276" t="s">
        <v>385</v>
      </c>
      <c r="BT1276">
        <v>7</v>
      </c>
      <c r="BU1276">
        <v>8</v>
      </c>
      <c r="BV1276">
        <v>3</v>
      </c>
      <c r="BX1276">
        <v>86</v>
      </c>
      <c r="BZ1276">
        <v>78</v>
      </c>
      <c r="CM1276">
        <v>1911</v>
      </c>
    </row>
    <row r="1277" spans="1:91" x14ac:dyDescent="0.3">
      <c r="A1277" t="s">
        <v>2078</v>
      </c>
      <c r="B1277">
        <v>42996</v>
      </c>
      <c r="D1277">
        <v>12</v>
      </c>
      <c r="I1277">
        <v>60000</v>
      </c>
      <c r="U1277">
        <v>20</v>
      </c>
      <c r="Y1277">
        <v>20</v>
      </c>
      <c r="AA1277">
        <v>17.5</v>
      </c>
      <c r="AC1277" s="3">
        <v>19</v>
      </c>
      <c r="AE1277" s="3">
        <v>17.5</v>
      </c>
      <c r="AI1277">
        <v>19</v>
      </c>
      <c r="AK1277" s="3"/>
      <c r="AV1277" t="s">
        <v>815</v>
      </c>
      <c r="AX1277" t="s">
        <v>815</v>
      </c>
      <c r="AZ1277" t="s">
        <v>969</v>
      </c>
      <c r="BB1277" t="s">
        <v>815</v>
      </c>
      <c r="BG1277">
        <v>5</v>
      </c>
      <c r="BH1277">
        <v>5</v>
      </c>
      <c r="BJ1277">
        <v>5</v>
      </c>
      <c r="BK1277" s="4">
        <v>2648</v>
      </c>
      <c r="BL1277" s="4">
        <v>3014</v>
      </c>
      <c r="BM1277" t="s">
        <v>811</v>
      </c>
      <c r="BN1277" s="4">
        <v>4109</v>
      </c>
      <c r="BR1277">
        <v>845345</v>
      </c>
      <c r="BS1277" t="s">
        <v>2079</v>
      </c>
      <c r="BT1277">
        <v>5</v>
      </c>
      <c r="BU1277">
        <v>5</v>
      </c>
      <c r="BV1277">
        <v>3</v>
      </c>
      <c r="BX1277">
        <v>19</v>
      </c>
      <c r="BZ1277">
        <v>13.5</v>
      </c>
      <c r="CK1277" t="s">
        <v>2080</v>
      </c>
      <c r="CM1277">
        <v>1911</v>
      </c>
    </row>
    <row r="1278" spans="1:91" x14ac:dyDescent="0.3">
      <c r="A1278" t="s">
        <v>2078</v>
      </c>
      <c r="B1278">
        <v>42997</v>
      </c>
      <c r="C1278" t="s">
        <v>529</v>
      </c>
      <c r="D1278">
        <v>12</v>
      </c>
      <c r="I1278">
        <v>40000</v>
      </c>
      <c r="U1278">
        <v>20</v>
      </c>
      <c r="Y1278">
        <v>10</v>
      </c>
      <c r="AA1278">
        <v>8.5</v>
      </c>
      <c r="AC1278" s="3">
        <v>9</v>
      </c>
      <c r="AE1278" s="3">
        <v>8.5</v>
      </c>
      <c r="AI1278">
        <v>9.25</v>
      </c>
      <c r="AK1278" s="3"/>
      <c r="AV1278" t="s">
        <v>815</v>
      </c>
      <c r="AX1278" t="s">
        <v>815</v>
      </c>
      <c r="AZ1278" t="s">
        <v>969</v>
      </c>
      <c r="BB1278" t="s">
        <v>815</v>
      </c>
      <c r="BG1278">
        <v>5</v>
      </c>
      <c r="BH1278">
        <v>5</v>
      </c>
      <c r="BJ1278">
        <v>5</v>
      </c>
      <c r="BK1278" s="4">
        <v>2648</v>
      </c>
      <c r="BL1278" s="4">
        <v>3014</v>
      </c>
      <c r="BM1278" t="s">
        <v>811</v>
      </c>
      <c r="BN1278" s="4">
        <v>4109</v>
      </c>
      <c r="BR1278">
        <v>845345</v>
      </c>
      <c r="BS1278" t="s">
        <v>2079</v>
      </c>
      <c r="BT1278">
        <v>5</v>
      </c>
      <c r="BU1278">
        <v>8</v>
      </c>
      <c r="BV1278">
        <v>0</v>
      </c>
      <c r="BX1278">
        <v>9</v>
      </c>
      <c r="BZ1278">
        <v>6.5</v>
      </c>
      <c r="CM1278">
        <v>1911</v>
      </c>
    </row>
    <row r="1279" spans="1:91" x14ac:dyDescent="0.3">
      <c r="A1279" t="s">
        <v>2078</v>
      </c>
      <c r="B1279">
        <v>42998</v>
      </c>
      <c r="C1279" t="s">
        <v>2081</v>
      </c>
      <c r="D1279">
        <v>12</v>
      </c>
      <c r="I1279" s="2">
        <v>1600000</v>
      </c>
      <c r="J1279" t="s">
        <v>800</v>
      </c>
      <c r="V1279" t="s">
        <v>350</v>
      </c>
      <c r="Y1279">
        <v>100</v>
      </c>
      <c r="AA1279">
        <v>103</v>
      </c>
      <c r="AC1279" s="3">
        <v>104.25</v>
      </c>
      <c r="AE1279" s="3">
        <v>102</v>
      </c>
      <c r="AI1279">
        <v>102</v>
      </c>
      <c r="AJ1279" t="s">
        <v>379</v>
      </c>
      <c r="AK1279" s="3"/>
      <c r="AV1279" t="s">
        <v>421</v>
      </c>
      <c r="AX1279" t="s">
        <v>421</v>
      </c>
      <c r="AZ1279" t="s">
        <v>421</v>
      </c>
      <c r="BB1279" t="s">
        <v>421</v>
      </c>
      <c r="BO1279" t="s">
        <v>367</v>
      </c>
      <c r="BS1279" t="s">
        <v>385</v>
      </c>
      <c r="BT1279">
        <v>4</v>
      </c>
      <c r="BU1279">
        <v>8</v>
      </c>
      <c r="BV1279">
        <v>3</v>
      </c>
      <c r="BX1279">
        <v>104.5</v>
      </c>
      <c r="BZ1279">
        <v>99.25</v>
      </c>
      <c r="CM1279">
        <v>1911</v>
      </c>
    </row>
    <row r="1280" spans="1:91" x14ac:dyDescent="0.3">
      <c r="A1280" t="s">
        <v>2082</v>
      </c>
      <c r="B1280">
        <v>43609</v>
      </c>
      <c r="D1280">
        <v>12</v>
      </c>
      <c r="I1280">
        <v>400000</v>
      </c>
      <c r="U1280">
        <v>1</v>
      </c>
      <c r="Y1280">
        <v>1</v>
      </c>
      <c r="AA1280">
        <v>0.96</v>
      </c>
      <c r="AC1280" s="3">
        <v>1.03</v>
      </c>
      <c r="AE1280" s="3">
        <v>0.96</v>
      </c>
      <c r="AI1280">
        <v>1</v>
      </c>
      <c r="AK1280" s="3"/>
      <c r="AV1280" t="s">
        <v>370</v>
      </c>
      <c r="AX1280" t="s">
        <v>370</v>
      </c>
      <c r="AZ1280" t="s">
        <v>370</v>
      </c>
      <c r="BB1280" t="s">
        <v>370</v>
      </c>
      <c r="BO1280" t="s">
        <v>367</v>
      </c>
      <c r="BS1280" t="s">
        <v>385</v>
      </c>
      <c r="BT1280">
        <v>5</v>
      </c>
      <c r="BU1280">
        <v>10</v>
      </c>
      <c r="BV1280">
        <v>0</v>
      </c>
      <c r="BX1280">
        <v>1.03</v>
      </c>
      <c r="BZ1280">
        <v>0.84</v>
      </c>
      <c r="CK1280" t="s">
        <v>360</v>
      </c>
      <c r="CM1280">
        <v>1911</v>
      </c>
    </row>
    <row r="1281" spans="1:91" x14ac:dyDescent="0.3">
      <c r="A1281" t="s">
        <v>2083</v>
      </c>
      <c r="B1281">
        <v>43615</v>
      </c>
      <c r="D1281">
        <v>12</v>
      </c>
      <c r="I1281">
        <v>258300</v>
      </c>
      <c r="J1281" t="s">
        <v>800</v>
      </c>
      <c r="V1281" t="s">
        <v>350</v>
      </c>
      <c r="Y1281">
        <v>100</v>
      </c>
      <c r="AA1281">
        <v>102</v>
      </c>
      <c r="AC1281" s="3">
        <v>102</v>
      </c>
      <c r="AE1281" s="3">
        <v>102</v>
      </c>
      <c r="AI1281">
        <v>102</v>
      </c>
      <c r="AK1281" s="3"/>
      <c r="AV1281" t="s">
        <v>366</v>
      </c>
      <c r="AX1281" t="s">
        <v>366</v>
      </c>
      <c r="AZ1281" t="s">
        <v>366</v>
      </c>
      <c r="BB1281" t="s">
        <v>366</v>
      </c>
      <c r="BO1281" t="s">
        <v>367</v>
      </c>
      <c r="BS1281" t="s">
        <v>385</v>
      </c>
      <c r="BT1281">
        <v>4</v>
      </c>
      <c r="BU1281">
        <v>8</v>
      </c>
      <c r="BV1281">
        <v>3</v>
      </c>
      <c r="BX1281">
        <v>101</v>
      </c>
      <c r="BZ1281">
        <v>99.37</v>
      </c>
      <c r="CK1281" t="s">
        <v>594</v>
      </c>
      <c r="CM1281">
        <v>1911</v>
      </c>
    </row>
    <row r="1282" spans="1:91" x14ac:dyDescent="0.3">
      <c r="A1282" t="s">
        <v>2084</v>
      </c>
      <c r="B1282">
        <v>43385</v>
      </c>
      <c r="D1282">
        <v>12</v>
      </c>
      <c r="I1282">
        <v>69990</v>
      </c>
      <c r="U1282">
        <v>10</v>
      </c>
      <c r="Y1282">
        <v>10</v>
      </c>
      <c r="AA1282">
        <v>10</v>
      </c>
      <c r="AC1282" s="3">
        <v>11.25</v>
      </c>
      <c r="AE1282" s="3">
        <v>10</v>
      </c>
      <c r="AI1282">
        <v>11.25</v>
      </c>
      <c r="AK1282" s="3"/>
      <c r="AX1282" t="s">
        <v>823</v>
      </c>
      <c r="BB1282" t="s">
        <v>823</v>
      </c>
      <c r="BG1282">
        <v>6</v>
      </c>
      <c r="BH1282">
        <v>5</v>
      </c>
      <c r="BI1282">
        <v>7</v>
      </c>
      <c r="BJ1282">
        <v>6</v>
      </c>
      <c r="BK1282" s="4">
        <v>3744</v>
      </c>
      <c r="BL1282" s="4">
        <v>3927</v>
      </c>
      <c r="BM1282" s="4">
        <v>4109</v>
      </c>
      <c r="BN1282" s="4">
        <v>4292</v>
      </c>
      <c r="BS1282" t="s">
        <v>385</v>
      </c>
      <c r="BT1282">
        <v>5</v>
      </c>
      <c r="BU1282">
        <v>15</v>
      </c>
      <c r="BV1282">
        <v>6</v>
      </c>
      <c r="BX1282">
        <v>11.25</v>
      </c>
      <c r="BZ1282">
        <v>8</v>
      </c>
      <c r="CK1282" t="s">
        <v>360</v>
      </c>
      <c r="CM1282">
        <v>1911</v>
      </c>
    </row>
    <row r="1283" spans="1:91" x14ac:dyDescent="0.3">
      <c r="A1283" t="s">
        <v>2084</v>
      </c>
      <c r="B1283">
        <v>43386</v>
      </c>
      <c r="C1283" t="s">
        <v>977</v>
      </c>
      <c r="D1283">
        <v>12</v>
      </c>
      <c r="I1283">
        <v>70000</v>
      </c>
      <c r="U1283">
        <v>10</v>
      </c>
      <c r="Y1283">
        <v>10</v>
      </c>
      <c r="AA1283">
        <v>9.5</v>
      </c>
      <c r="AC1283" s="3">
        <v>9.75</v>
      </c>
      <c r="AE1283" s="3">
        <v>9.43</v>
      </c>
      <c r="AI1283">
        <v>9.75</v>
      </c>
      <c r="AK1283" s="3"/>
      <c r="AV1283" t="s">
        <v>536</v>
      </c>
      <c r="AX1283" t="s">
        <v>536</v>
      </c>
      <c r="AZ1283" t="s">
        <v>536</v>
      </c>
      <c r="BB1283" t="s">
        <v>536</v>
      </c>
      <c r="BO1283" t="s">
        <v>367</v>
      </c>
      <c r="BS1283" t="s">
        <v>385</v>
      </c>
      <c r="BT1283">
        <v>4</v>
      </c>
      <c r="BU1283">
        <v>12</v>
      </c>
      <c r="BV1283">
        <v>3</v>
      </c>
      <c r="BX1283">
        <v>9.75</v>
      </c>
      <c r="BZ1283">
        <v>8.6199999999999992</v>
      </c>
      <c r="CM1283">
        <v>1911</v>
      </c>
    </row>
    <row r="1284" spans="1:91" x14ac:dyDescent="0.3">
      <c r="A1284" t="s">
        <v>2085</v>
      </c>
      <c r="B1284">
        <v>43904</v>
      </c>
      <c r="D1284">
        <v>12</v>
      </c>
      <c r="I1284">
        <v>30000</v>
      </c>
      <c r="U1284">
        <v>5</v>
      </c>
      <c r="Y1284">
        <v>5</v>
      </c>
      <c r="AA1284">
        <v>4.75</v>
      </c>
      <c r="AC1284" s="3">
        <v>4.75</v>
      </c>
      <c r="AE1284" s="3">
        <v>4.75</v>
      </c>
      <c r="AI1284">
        <v>4.75</v>
      </c>
      <c r="AK1284" s="3"/>
      <c r="BG1284">
        <v>5.5</v>
      </c>
      <c r="BH1284">
        <v>5.5</v>
      </c>
      <c r="BI1284">
        <v>5.5</v>
      </c>
      <c r="BJ1284">
        <v>5.5</v>
      </c>
      <c r="BK1284" s="4">
        <v>3713</v>
      </c>
      <c r="BL1284" s="4">
        <v>3897</v>
      </c>
      <c r="BM1284" s="4">
        <v>4078</v>
      </c>
      <c r="BN1284" s="4">
        <v>4262</v>
      </c>
      <c r="BR1284">
        <v>50950</v>
      </c>
      <c r="BS1284" t="s">
        <v>2086</v>
      </c>
      <c r="BT1284">
        <v>5</v>
      </c>
      <c r="BU1284">
        <v>15</v>
      </c>
      <c r="BV1284">
        <v>9</v>
      </c>
      <c r="BX1284">
        <v>4.8099999999999996</v>
      </c>
      <c r="BZ1284">
        <v>4</v>
      </c>
      <c r="CK1284" t="s">
        <v>360</v>
      </c>
      <c r="CM1284">
        <v>1911</v>
      </c>
    </row>
    <row r="1285" spans="1:91" x14ac:dyDescent="0.3">
      <c r="A1285" t="s">
        <v>2087</v>
      </c>
      <c r="B1285">
        <v>43905</v>
      </c>
      <c r="C1285" t="s">
        <v>2088</v>
      </c>
      <c r="D1285">
        <v>12</v>
      </c>
      <c r="I1285">
        <v>190000</v>
      </c>
      <c r="J1285" t="s">
        <v>800</v>
      </c>
      <c r="V1285" t="s">
        <v>350</v>
      </c>
      <c r="Y1285">
        <v>100</v>
      </c>
      <c r="AA1285">
        <v>97</v>
      </c>
      <c r="AB1285" t="s">
        <v>379</v>
      </c>
      <c r="AC1285" s="3">
        <v>97</v>
      </c>
      <c r="AE1285" s="3">
        <v>97</v>
      </c>
      <c r="AI1285">
        <v>97</v>
      </c>
      <c r="AK1285" s="3"/>
      <c r="AV1285" t="s">
        <v>421</v>
      </c>
      <c r="AX1285" t="s">
        <v>421</v>
      </c>
      <c r="AZ1285" t="s">
        <v>421</v>
      </c>
      <c r="BB1285" t="s">
        <v>421</v>
      </c>
      <c r="BO1285" t="s">
        <v>367</v>
      </c>
      <c r="BR1285">
        <v>50950</v>
      </c>
      <c r="BS1285" t="s">
        <v>2086</v>
      </c>
      <c r="BT1285">
        <v>4</v>
      </c>
      <c r="BU1285">
        <v>13</v>
      </c>
      <c r="BV1285">
        <v>0</v>
      </c>
      <c r="BX1285">
        <v>101</v>
      </c>
      <c r="BZ1285">
        <v>97</v>
      </c>
      <c r="CM1285">
        <v>1911</v>
      </c>
    </row>
    <row r="1286" spans="1:91" x14ac:dyDescent="0.3">
      <c r="A1286" t="s">
        <v>2089</v>
      </c>
      <c r="B1286">
        <v>43944</v>
      </c>
      <c r="D1286">
        <v>12</v>
      </c>
      <c r="I1286" s="2">
        <v>2000000</v>
      </c>
      <c r="U1286">
        <v>1</v>
      </c>
      <c r="Y1286">
        <v>1</v>
      </c>
      <c r="AA1286">
        <v>1.1200000000000001</v>
      </c>
      <c r="AC1286" s="3">
        <v>1.31</v>
      </c>
      <c r="AE1286" s="3">
        <v>1.0900000000000001</v>
      </c>
      <c r="AI1286">
        <v>1.31</v>
      </c>
      <c r="AK1286" s="3"/>
      <c r="AV1286" t="s">
        <v>815</v>
      </c>
      <c r="AX1286" t="s">
        <v>815</v>
      </c>
      <c r="AZ1286" t="s">
        <v>815</v>
      </c>
      <c r="BB1286" t="s">
        <v>823</v>
      </c>
      <c r="BG1286">
        <v>5</v>
      </c>
      <c r="BH1286">
        <v>5</v>
      </c>
      <c r="BI1286">
        <v>7.5</v>
      </c>
      <c r="BJ1286">
        <v>5</v>
      </c>
      <c r="BK1286" t="s">
        <v>1260</v>
      </c>
      <c r="BL1286" t="s">
        <v>1261</v>
      </c>
      <c r="BM1286" t="s">
        <v>1262</v>
      </c>
      <c r="BN1286" s="4">
        <v>4323</v>
      </c>
      <c r="BR1286">
        <v>802914</v>
      </c>
      <c r="BS1286" t="s">
        <v>2090</v>
      </c>
      <c r="BT1286">
        <v>5</v>
      </c>
      <c r="BU1286">
        <v>14</v>
      </c>
      <c r="BV1286">
        <v>3</v>
      </c>
      <c r="BX1286">
        <v>1.31</v>
      </c>
      <c r="BZ1286">
        <v>0.9</v>
      </c>
      <c r="CK1286" t="s">
        <v>2091</v>
      </c>
      <c r="CM1286">
        <v>1911</v>
      </c>
    </row>
    <row r="1287" spans="1:91" x14ac:dyDescent="0.3">
      <c r="A1287" t="s">
        <v>2092</v>
      </c>
      <c r="B1287">
        <v>43945</v>
      </c>
      <c r="C1287" t="s">
        <v>2093</v>
      </c>
      <c r="D1287">
        <v>12</v>
      </c>
      <c r="I1287">
        <v>150000</v>
      </c>
      <c r="U1287">
        <v>10</v>
      </c>
      <c r="Y1287">
        <v>10</v>
      </c>
      <c r="AA1287">
        <v>9.25</v>
      </c>
      <c r="AC1287" s="3">
        <v>9.5</v>
      </c>
      <c r="AE1287" s="3">
        <v>9.25</v>
      </c>
      <c r="AI1287">
        <v>9.5</v>
      </c>
      <c r="AK1287" s="3"/>
      <c r="AV1287" t="s">
        <v>366</v>
      </c>
      <c r="AX1287" t="s">
        <v>366</v>
      </c>
      <c r="AZ1287" t="s">
        <v>366</v>
      </c>
      <c r="BB1287" t="s">
        <v>366</v>
      </c>
      <c r="BO1287" t="s">
        <v>367</v>
      </c>
      <c r="BR1287">
        <v>802914</v>
      </c>
      <c r="BS1287" t="s">
        <v>2090</v>
      </c>
      <c r="BT1287">
        <v>5</v>
      </c>
      <c r="BU1287">
        <v>5</v>
      </c>
      <c r="BV1287">
        <v>3</v>
      </c>
      <c r="BX1287">
        <v>9.93</v>
      </c>
      <c r="BZ1287">
        <v>9</v>
      </c>
      <c r="CM1287">
        <v>1911</v>
      </c>
    </row>
    <row r="1288" spans="1:91" x14ac:dyDescent="0.3">
      <c r="A1288" t="s">
        <v>2094</v>
      </c>
      <c r="B1288">
        <v>44028</v>
      </c>
      <c r="D1288">
        <v>12</v>
      </c>
      <c r="I1288">
        <v>25328</v>
      </c>
      <c r="U1288">
        <v>7.5</v>
      </c>
      <c r="Y1288">
        <v>7.5</v>
      </c>
      <c r="AA1288">
        <v>5.75</v>
      </c>
      <c r="AC1288" s="3">
        <v>7.12</v>
      </c>
      <c r="AE1288" s="3">
        <v>5.75</v>
      </c>
      <c r="AI1288">
        <v>7</v>
      </c>
      <c r="AK1288" s="3"/>
      <c r="AV1288" t="s">
        <v>815</v>
      </c>
      <c r="AX1288" t="s">
        <v>815</v>
      </c>
      <c r="AZ1288" t="s">
        <v>815</v>
      </c>
      <c r="BB1288" t="s">
        <v>815</v>
      </c>
      <c r="BG1288">
        <v>5</v>
      </c>
      <c r="BH1288">
        <v>5</v>
      </c>
      <c r="BI1288">
        <v>5</v>
      </c>
      <c r="BJ1288">
        <v>6</v>
      </c>
      <c r="BK1288" s="4">
        <v>3014</v>
      </c>
      <c r="BL1288" s="4">
        <v>3379</v>
      </c>
      <c r="BM1288" s="4">
        <v>3744</v>
      </c>
      <c r="BN1288" s="4">
        <v>4109</v>
      </c>
      <c r="BR1288">
        <v>1317</v>
      </c>
      <c r="BS1288" t="s">
        <v>2095</v>
      </c>
      <c r="BT1288">
        <v>6</v>
      </c>
      <c r="BU1288">
        <v>8</v>
      </c>
      <c r="BV1288">
        <v>6</v>
      </c>
      <c r="BX1288">
        <v>7.12</v>
      </c>
      <c r="BZ1288">
        <v>5.25</v>
      </c>
      <c r="CK1288" t="s">
        <v>360</v>
      </c>
      <c r="CM1288">
        <v>1911</v>
      </c>
    </row>
    <row r="1289" spans="1:91" x14ac:dyDescent="0.3">
      <c r="A1289" t="s">
        <v>2094</v>
      </c>
      <c r="B1289">
        <v>44031</v>
      </c>
      <c r="C1289" t="s">
        <v>2096</v>
      </c>
      <c r="D1289">
        <v>12</v>
      </c>
      <c r="I1289">
        <v>36758</v>
      </c>
      <c r="U1289">
        <v>8</v>
      </c>
      <c r="Y1289">
        <v>8</v>
      </c>
      <c r="AA1289">
        <v>8.1199999999999992</v>
      </c>
      <c r="AC1289" s="3">
        <v>8.1199999999999992</v>
      </c>
      <c r="AE1289" s="3">
        <v>8</v>
      </c>
      <c r="AI1289">
        <v>8.1199999999999992</v>
      </c>
      <c r="AK1289" s="3"/>
      <c r="AV1289" t="s">
        <v>370</v>
      </c>
      <c r="AX1289" t="s">
        <v>370</v>
      </c>
      <c r="AZ1289" t="s">
        <v>370</v>
      </c>
      <c r="BB1289" t="s">
        <v>370</v>
      </c>
      <c r="BO1289" t="s">
        <v>367</v>
      </c>
      <c r="BR1289">
        <v>1317</v>
      </c>
      <c r="BS1289" t="s">
        <v>2095</v>
      </c>
      <c r="BT1289">
        <v>5</v>
      </c>
      <c r="BU1289">
        <v>18</v>
      </c>
      <c r="BV1289">
        <v>0</v>
      </c>
      <c r="BX1289">
        <v>8.43</v>
      </c>
      <c r="BZ1289">
        <v>7.87</v>
      </c>
      <c r="CM1289">
        <v>1911</v>
      </c>
    </row>
    <row r="1290" spans="1:91" x14ac:dyDescent="0.3">
      <c r="A1290" t="s">
        <v>2094</v>
      </c>
      <c r="B1290">
        <v>44033</v>
      </c>
      <c r="C1290" t="s">
        <v>860</v>
      </c>
      <c r="D1290">
        <v>12</v>
      </c>
      <c r="I1290">
        <v>150000</v>
      </c>
      <c r="J1290" t="s">
        <v>800</v>
      </c>
      <c r="V1290" t="s">
        <v>350</v>
      </c>
      <c r="Y1290">
        <v>100</v>
      </c>
      <c r="AA1290">
        <v>98</v>
      </c>
      <c r="AC1290" s="3">
        <v>98</v>
      </c>
      <c r="AE1290" s="3">
        <v>96</v>
      </c>
      <c r="AI1290">
        <v>96</v>
      </c>
      <c r="AJ1290" t="s">
        <v>379</v>
      </c>
      <c r="AK1290" s="3"/>
      <c r="AV1290" t="s">
        <v>370</v>
      </c>
      <c r="AX1290" t="s">
        <v>370</v>
      </c>
      <c r="AZ1290" t="s">
        <v>370</v>
      </c>
      <c r="BB1290" t="s">
        <v>370</v>
      </c>
      <c r="BO1290" t="s">
        <v>367</v>
      </c>
      <c r="BR1290">
        <v>1317</v>
      </c>
      <c r="BS1290" t="s">
        <v>2095</v>
      </c>
      <c r="BT1290">
        <v>4</v>
      </c>
      <c r="BU1290">
        <v>3</v>
      </c>
      <c r="BV1290">
        <v>3</v>
      </c>
      <c r="BX1290">
        <v>98.5</v>
      </c>
      <c r="BZ1290">
        <v>96</v>
      </c>
      <c r="CM1290">
        <v>1911</v>
      </c>
    </row>
    <row r="1291" spans="1:91" x14ac:dyDescent="0.3">
      <c r="A1291" t="s">
        <v>2097</v>
      </c>
      <c r="B1291">
        <v>44699</v>
      </c>
      <c r="D1291">
        <v>12</v>
      </c>
      <c r="I1291">
        <v>40000</v>
      </c>
      <c r="U1291">
        <v>5</v>
      </c>
      <c r="Y1291">
        <v>5</v>
      </c>
      <c r="AA1291">
        <v>1.5</v>
      </c>
      <c r="AC1291" s="3">
        <v>1.62</v>
      </c>
      <c r="AE1291" s="3">
        <v>1.5</v>
      </c>
      <c r="AI1291">
        <v>1.5</v>
      </c>
      <c r="AK1291" s="3"/>
      <c r="BB1291" t="s">
        <v>810</v>
      </c>
      <c r="BG1291">
        <v>5.5</v>
      </c>
      <c r="BH1291">
        <v>5.5</v>
      </c>
      <c r="BI1291">
        <v>5.5</v>
      </c>
      <c r="BK1291" s="4">
        <v>1278</v>
      </c>
      <c r="BL1291" s="4">
        <v>1462</v>
      </c>
      <c r="BM1291" s="4">
        <v>1644</v>
      </c>
      <c r="BR1291">
        <v>112296</v>
      </c>
      <c r="BS1291" t="s">
        <v>2098</v>
      </c>
      <c r="BW1291" t="s">
        <v>802</v>
      </c>
      <c r="BX1291">
        <v>1.62</v>
      </c>
      <c r="BZ1291">
        <v>0.75</v>
      </c>
      <c r="CM1291">
        <v>1911</v>
      </c>
    </row>
    <row r="1292" spans="1:91" x14ac:dyDescent="0.3">
      <c r="A1292" t="s">
        <v>2097</v>
      </c>
      <c r="B1292">
        <v>44698</v>
      </c>
      <c r="C1292" t="s">
        <v>1248</v>
      </c>
      <c r="D1292">
        <v>12</v>
      </c>
      <c r="I1292">
        <v>200000</v>
      </c>
      <c r="J1292" t="s">
        <v>800</v>
      </c>
      <c r="V1292" t="s">
        <v>350</v>
      </c>
      <c r="Y1292">
        <v>100</v>
      </c>
      <c r="AA1292">
        <v>79.5</v>
      </c>
      <c r="AC1292" s="3">
        <v>80.5</v>
      </c>
      <c r="AE1292" s="3">
        <v>78.5</v>
      </c>
      <c r="AI1292">
        <v>78.5</v>
      </c>
      <c r="AJ1292" t="s">
        <v>379</v>
      </c>
      <c r="AK1292" s="3"/>
      <c r="AV1292" t="s">
        <v>370</v>
      </c>
      <c r="AX1292" t="s">
        <v>370</v>
      </c>
      <c r="AZ1292" t="s">
        <v>370</v>
      </c>
      <c r="BB1292" t="s">
        <v>370</v>
      </c>
      <c r="BO1292" t="s">
        <v>367</v>
      </c>
      <c r="BR1292">
        <v>112296</v>
      </c>
      <c r="BS1292" t="s">
        <v>2098</v>
      </c>
      <c r="BT1292">
        <v>5</v>
      </c>
      <c r="BU1292">
        <v>14</v>
      </c>
      <c r="BV1292">
        <v>9</v>
      </c>
      <c r="BX1292">
        <v>80.5</v>
      </c>
      <c r="BZ1292">
        <v>70.5</v>
      </c>
      <c r="CM1292">
        <v>1911</v>
      </c>
    </row>
    <row r="1293" spans="1:91" x14ac:dyDescent="0.3">
      <c r="A1293" t="s">
        <v>2099</v>
      </c>
      <c r="B1293">
        <v>44804</v>
      </c>
      <c r="D1293">
        <v>12</v>
      </c>
      <c r="I1293">
        <v>115950</v>
      </c>
      <c r="J1293" t="s">
        <v>800</v>
      </c>
      <c r="V1293" t="s">
        <v>350</v>
      </c>
      <c r="Y1293">
        <v>100</v>
      </c>
      <c r="AA1293">
        <v>98.5</v>
      </c>
      <c r="AC1293" s="3">
        <v>98.5</v>
      </c>
      <c r="AE1293" s="3">
        <v>98.5</v>
      </c>
      <c r="AI1293">
        <v>98.5</v>
      </c>
      <c r="AK1293" s="3"/>
      <c r="AV1293" t="s">
        <v>373</v>
      </c>
      <c r="AX1293" t="s">
        <v>373</v>
      </c>
      <c r="AZ1293" t="s">
        <v>373</v>
      </c>
      <c r="BB1293" t="s">
        <v>373</v>
      </c>
      <c r="BO1293" t="s">
        <v>367</v>
      </c>
      <c r="BS1293" t="s">
        <v>385</v>
      </c>
      <c r="BT1293">
        <v>4</v>
      </c>
      <c r="BU1293">
        <v>11</v>
      </c>
      <c r="BV1293">
        <v>6</v>
      </c>
      <c r="BX1293">
        <v>99.12</v>
      </c>
      <c r="BZ1293">
        <v>90.5</v>
      </c>
      <c r="CK1293" t="s">
        <v>616</v>
      </c>
      <c r="CM1293">
        <v>1911</v>
      </c>
    </row>
    <row r="1294" spans="1:91" x14ac:dyDescent="0.3">
      <c r="A1294" t="s">
        <v>2100</v>
      </c>
      <c r="B1294">
        <v>44892</v>
      </c>
      <c r="D1294">
        <v>12</v>
      </c>
      <c r="I1294">
        <v>49168</v>
      </c>
      <c r="U1294">
        <v>10</v>
      </c>
      <c r="Y1294">
        <v>10</v>
      </c>
      <c r="AA1294">
        <v>6.25</v>
      </c>
      <c r="AB1294" t="s">
        <v>379</v>
      </c>
      <c r="AC1294" s="3">
        <v>6.75</v>
      </c>
      <c r="AE1294" s="3">
        <v>6.12</v>
      </c>
      <c r="AI1294">
        <v>6.75</v>
      </c>
      <c r="AK1294" s="3"/>
      <c r="BG1294">
        <v>5</v>
      </c>
      <c r="BH1294">
        <v>5</v>
      </c>
      <c r="BI1294">
        <v>5</v>
      </c>
      <c r="BJ1294">
        <v>5</v>
      </c>
      <c r="BK1294" s="4">
        <v>3774</v>
      </c>
      <c r="BL1294" s="4">
        <v>3958</v>
      </c>
      <c r="BM1294" s="4">
        <v>4139</v>
      </c>
      <c r="BN1294" s="4">
        <v>4323</v>
      </c>
      <c r="BR1294">
        <v>94582</v>
      </c>
      <c r="BS1294" t="s">
        <v>2101</v>
      </c>
      <c r="BT1294">
        <v>7</v>
      </c>
      <c r="BU1294">
        <v>8</v>
      </c>
      <c r="BV1294">
        <v>3</v>
      </c>
      <c r="BX1294">
        <v>6.75</v>
      </c>
      <c r="BZ1294">
        <v>5.5</v>
      </c>
      <c r="CK1294" t="s">
        <v>360</v>
      </c>
      <c r="CM1294">
        <v>1911</v>
      </c>
    </row>
    <row r="1295" spans="1:91" x14ac:dyDescent="0.3">
      <c r="A1295" t="s">
        <v>2100</v>
      </c>
      <c r="B1295">
        <v>44893</v>
      </c>
      <c r="C1295" t="s">
        <v>2102</v>
      </c>
      <c r="D1295">
        <v>12</v>
      </c>
      <c r="I1295">
        <v>24403</v>
      </c>
      <c r="U1295">
        <v>10</v>
      </c>
      <c r="Y1295">
        <v>10</v>
      </c>
      <c r="AA1295">
        <v>7.5</v>
      </c>
      <c r="AB1295" t="s">
        <v>379</v>
      </c>
      <c r="AC1295" s="3">
        <v>7.5</v>
      </c>
      <c r="AE1295" s="3">
        <v>7.37</v>
      </c>
      <c r="AI1295">
        <v>7.5</v>
      </c>
      <c r="AK1295" s="3"/>
      <c r="BG1295">
        <v>5</v>
      </c>
      <c r="BH1295">
        <v>5</v>
      </c>
      <c r="BI1295">
        <v>5</v>
      </c>
      <c r="BJ1295">
        <v>5</v>
      </c>
      <c r="BK1295" s="4">
        <v>3774</v>
      </c>
      <c r="BL1295" s="4">
        <v>3958</v>
      </c>
      <c r="BM1295" s="4">
        <v>4139</v>
      </c>
      <c r="BN1295" s="4">
        <v>4323</v>
      </c>
      <c r="BR1295">
        <v>94582</v>
      </c>
      <c r="BS1295" t="s">
        <v>2101</v>
      </c>
      <c r="BT1295">
        <v>6</v>
      </c>
      <c r="BU1295">
        <v>13</v>
      </c>
      <c r="BV1295">
        <v>3</v>
      </c>
      <c r="BX1295">
        <v>7.75</v>
      </c>
      <c r="BZ1295">
        <v>7.06</v>
      </c>
      <c r="CM1295">
        <v>1911</v>
      </c>
    </row>
    <row r="1296" spans="1:91" x14ac:dyDescent="0.3">
      <c r="A1296" t="s">
        <v>2103</v>
      </c>
      <c r="B1296">
        <v>44963</v>
      </c>
      <c r="D1296">
        <v>12</v>
      </c>
      <c r="I1296" s="2">
        <v>49931700</v>
      </c>
      <c r="J1296" t="s">
        <v>773</v>
      </c>
      <c r="U1296">
        <v>100</v>
      </c>
      <c r="V1296" t="s">
        <v>773</v>
      </c>
      <c r="Y1296">
        <v>100</v>
      </c>
      <c r="Z1296" t="s">
        <v>773</v>
      </c>
      <c r="AA1296">
        <v>5.37</v>
      </c>
      <c r="AC1296" s="3">
        <v>5.37</v>
      </c>
      <c r="AE1296" s="3">
        <v>4.37</v>
      </c>
      <c r="AI1296">
        <v>5.25</v>
      </c>
      <c r="AK1296" s="3"/>
      <c r="AV1296" t="s">
        <v>385</v>
      </c>
      <c r="AX1296" t="s">
        <v>385</v>
      </c>
      <c r="AZ1296" t="s">
        <v>385</v>
      </c>
      <c r="BB1296" t="s">
        <v>385</v>
      </c>
      <c r="BS1296" t="s">
        <v>385</v>
      </c>
      <c r="BW1296" t="s">
        <v>802</v>
      </c>
      <c r="BX1296">
        <v>6</v>
      </c>
      <c r="BZ1296">
        <v>4</v>
      </c>
      <c r="CK1296" t="s">
        <v>2104</v>
      </c>
      <c r="CM1296">
        <v>1911</v>
      </c>
    </row>
    <row r="1297" spans="1:91" x14ac:dyDescent="0.3">
      <c r="A1297" t="s">
        <v>2103</v>
      </c>
      <c r="B1297">
        <v>44965</v>
      </c>
      <c r="C1297" t="s">
        <v>2105</v>
      </c>
      <c r="D1297">
        <v>12</v>
      </c>
      <c r="I1297" s="2">
        <v>51731000</v>
      </c>
      <c r="J1297" t="s">
        <v>773</v>
      </c>
      <c r="U1297">
        <v>100</v>
      </c>
      <c r="V1297" t="s">
        <v>773</v>
      </c>
      <c r="Y1297">
        <v>100</v>
      </c>
      <c r="Z1297" t="s">
        <v>773</v>
      </c>
      <c r="AA1297">
        <v>18.5</v>
      </c>
      <c r="AC1297" s="3">
        <v>23.37</v>
      </c>
      <c r="AE1297" s="3">
        <v>17.37</v>
      </c>
      <c r="AI1297">
        <v>23</v>
      </c>
      <c r="AK1297" s="3"/>
      <c r="AV1297" t="s">
        <v>385</v>
      </c>
      <c r="AX1297" t="s">
        <v>385</v>
      </c>
      <c r="AZ1297" t="s">
        <v>385</v>
      </c>
      <c r="BB1297" t="s">
        <v>385</v>
      </c>
      <c r="BS1297" t="s">
        <v>385</v>
      </c>
      <c r="BW1297" t="s">
        <v>802</v>
      </c>
      <c r="BX1297">
        <v>28.37</v>
      </c>
      <c r="BZ1297">
        <v>15</v>
      </c>
      <c r="CM1297">
        <v>1911</v>
      </c>
    </row>
    <row r="1298" spans="1:91" x14ac:dyDescent="0.3">
      <c r="A1298" t="s">
        <v>2103</v>
      </c>
      <c r="B1298">
        <v>44964</v>
      </c>
      <c r="C1298" t="s">
        <v>2106</v>
      </c>
      <c r="D1298">
        <v>12</v>
      </c>
      <c r="I1298" s="2">
        <v>52744000</v>
      </c>
      <c r="J1298" t="s">
        <v>773</v>
      </c>
      <c r="U1298">
        <v>1000</v>
      </c>
      <c r="V1298" t="s">
        <v>773</v>
      </c>
      <c r="Z1298" t="s">
        <v>385</v>
      </c>
      <c r="AA1298">
        <v>71</v>
      </c>
      <c r="AC1298" s="3">
        <v>72.5</v>
      </c>
      <c r="AE1298" s="3">
        <v>71</v>
      </c>
      <c r="AI1298">
        <v>72.5</v>
      </c>
      <c r="AK1298" s="3"/>
      <c r="AV1298" t="s">
        <v>536</v>
      </c>
      <c r="AX1298" t="s">
        <v>536</v>
      </c>
      <c r="AZ1298" t="s">
        <v>536</v>
      </c>
      <c r="BB1298" t="s">
        <v>536</v>
      </c>
      <c r="BO1298" t="s">
        <v>367</v>
      </c>
      <c r="BS1298" t="s">
        <v>385</v>
      </c>
      <c r="BT1298">
        <v>6</v>
      </c>
      <c r="BU1298">
        <v>5</v>
      </c>
      <c r="BV1298">
        <v>0</v>
      </c>
      <c r="BX1298">
        <v>72.5</v>
      </c>
      <c r="BZ1298">
        <v>66</v>
      </c>
      <c r="CM1298">
        <v>1911</v>
      </c>
    </row>
    <row r="1299" spans="1:91" x14ac:dyDescent="0.3">
      <c r="A1299" t="s">
        <v>2107</v>
      </c>
      <c r="B1299">
        <v>44997</v>
      </c>
      <c r="D1299">
        <v>12</v>
      </c>
      <c r="I1299">
        <v>18000</v>
      </c>
      <c r="U1299">
        <v>40</v>
      </c>
      <c r="Y1299">
        <v>40</v>
      </c>
      <c r="AA1299">
        <v>111</v>
      </c>
      <c r="AC1299" s="3">
        <v>111</v>
      </c>
      <c r="AE1299" s="3">
        <v>106</v>
      </c>
      <c r="AI1299">
        <v>108.12</v>
      </c>
      <c r="AK1299" s="3"/>
      <c r="AX1299" t="s">
        <v>823</v>
      </c>
      <c r="BB1299" t="s">
        <v>823</v>
      </c>
      <c r="BG1299">
        <v>20</v>
      </c>
      <c r="BH1299">
        <v>10</v>
      </c>
      <c r="BI1299">
        <v>10</v>
      </c>
      <c r="BJ1299">
        <v>10</v>
      </c>
      <c r="BK1299" s="4">
        <v>3379</v>
      </c>
      <c r="BL1299" s="4">
        <v>3897</v>
      </c>
      <c r="BM1299" s="4">
        <v>4109</v>
      </c>
      <c r="BN1299" s="4">
        <v>4262</v>
      </c>
      <c r="BR1299">
        <v>262893</v>
      </c>
      <c r="BT1299">
        <v>3</v>
      </c>
      <c r="BU1299">
        <v>13</v>
      </c>
      <c r="BV1299">
        <v>9</v>
      </c>
      <c r="BX1299">
        <v>111</v>
      </c>
      <c r="BZ1299">
        <v>87.5</v>
      </c>
      <c r="CK1299" t="s">
        <v>465</v>
      </c>
      <c r="CM1299">
        <v>1911</v>
      </c>
    </row>
    <row r="1300" spans="1:91" x14ac:dyDescent="0.3">
      <c r="A1300" t="s">
        <v>2108</v>
      </c>
      <c r="B1300">
        <v>45003</v>
      </c>
      <c r="D1300">
        <v>12</v>
      </c>
      <c r="I1300">
        <v>200000</v>
      </c>
      <c r="U1300">
        <v>1</v>
      </c>
      <c r="Y1300">
        <v>1</v>
      </c>
      <c r="AA1300">
        <v>1.1499999999999999</v>
      </c>
      <c r="AC1300" s="3">
        <v>1.18</v>
      </c>
      <c r="AE1300" s="3">
        <v>1.1499999999999999</v>
      </c>
      <c r="AI1300">
        <v>1.18</v>
      </c>
      <c r="AK1300" s="3"/>
      <c r="AZ1300" t="s">
        <v>815</v>
      </c>
      <c r="BB1300" t="s">
        <v>815</v>
      </c>
      <c r="BG1300">
        <v>6.25</v>
      </c>
      <c r="BH1300">
        <v>6.25</v>
      </c>
      <c r="BI1300">
        <v>6</v>
      </c>
      <c r="BJ1300">
        <v>6</v>
      </c>
      <c r="BK1300" s="4">
        <v>2983</v>
      </c>
      <c r="BL1300" s="4">
        <v>3348</v>
      </c>
      <c r="BM1300" s="4">
        <v>3713</v>
      </c>
      <c r="BN1300" s="4">
        <v>4078</v>
      </c>
      <c r="BR1300">
        <v>30515</v>
      </c>
      <c r="BT1300">
        <v>5</v>
      </c>
      <c r="BU1300">
        <v>1</v>
      </c>
      <c r="BV1300">
        <v>0</v>
      </c>
      <c r="BX1300">
        <v>1.31</v>
      </c>
      <c r="BZ1300">
        <v>1.0900000000000001</v>
      </c>
      <c r="CK1300" t="s">
        <v>616</v>
      </c>
      <c r="CM1300">
        <v>1911</v>
      </c>
    </row>
    <row r="1301" spans="1:91" x14ac:dyDescent="0.3">
      <c r="A1301" t="s">
        <v>2109</v>
      </c>
      <c r="B1301">
        <v>45158</v>
      </c>
      <c r="D1301">
        <v>12</v>
      </c>
      <c r="I1301">
        <v>40000</v>
      </c>
      <c r="U1301">
        <v>5</v>
      </c>
      <c r="Y1301">
        <v>5</v>
      </c>
      <c r="AA1301">
        <v>3.5</v>
      </c>
      <c r="AC1301" s="3">
        <v>3.62</v>
      </c>
      <c r="AE1301" s="3">
        <v>3.5</v>
      </c>
      <c r="AI1301">
        <v>3.62</v>
      </c>
      <c r="AK1301" s="3"/>
      <c r="AV1301" t="s">
        <v>815</v>
      </c>
      <c r="AX1301" t="s">
        <v>815</v>
      </c>
      <c r="AZ1301" t="s">
        <v>815</v>
      </c>
      <c r="BB1301" t="s">
        <v>815</v>
      </c>
      <c r="BG1301">
        <v>2.75</v>
      </c>
      <c r="BH1301">
        <v>5.5</v>
      </c>
      <c r="BI1301">
        <v>2.75</v>
      </c>
      <c r="BJ1301">
        <v>2.75</v>
      </c>
      <c r="BK1301" s="4">
        <v>3927</v>
      </c>
      <c r="BL1301" s="4">
        <v>3988</v>
      </c>
      <c r="BM1301" s="4">
        <v>4078</v>
      </c>
      <c r="BN1301" s="4">
        <v>4170</v>
      </c>
      <c r="BR1301">
        <v>28740</v>
      </c>
      <c r="BS1301" t="s">
        <v>2110</v>
      </c>
      <c r="BT1301">
        <v>7</v>
      </c>
      <c r="BU1301">
        <v>11</v>
      </c>
      <c r="BV1301">
        <v>9</v>
      </c>
      <c r="BX1301">
        <v>4.3099999999999996</v>
      </c>
      <c r="BZ1301">
        <v>3.5</v>
      </c>
      <c r="CK1301" t="s">
        <v>360</v>
      </c>
      <c r="CM1301">
        <v>1911</v>
      </c>
    </row>
    <row r="1302" spans="1:91" x14ac:dyDescent="0.3">
      <c r="A1302" t="s">
        <v>2111</v>
      </c>
      <c r="B1302">
        <v>45175</v>
      </c>
      <c r="D1302">
        <v>12</v>
      </c>
      <c r="I1302">
        <v>20000</v>
      </c>
      <c r="U1302">
        <v>10</v>
      </c>
      <c r="Y1302">
        <v>10</v>
      </c>
      <c r="AA1302">
        <v>6</v>
      </c>
      <c r="AC1302" s="3">
        <v>7.25</v>
      </c>
      <c r="AE1302" s="3">
        <v>6</v>
      </c>
      <c r="AI1302">
        <v>7.25</v>
      </c>
      <c r="AK1302" s="3"/>
      <c r="BB1302" t="s">
        <v>810</v>
      </c>
      <c r="BG1302">
        <v>9</v>
      </c>
      <c r="BH1302">
        <v>3</v>
      </c>
      <c r="BI1302">
        <v>7</v>
      </c>
      <c r="BK1302" s="4">
        <v>2617</v>
      </c>
      <c r="BL1302" s="4">
        <v>2801</v>
      </c>
      <c r="BM1302" s="4">
        <v>2983</v>
      </c>
      <c r="BR1302">
        <v>8368</v>
      </c>
      <c r="BS1302" t="s">
        <v>2112</v>
      </c>
      <c r="BW1302" t="s">
        <v>802</v>
      </c>
      <c r="BX1302">
        <v>7.25</v>
      </c>
      <c r="BZ1302">
        <v>4.75</v>
      </c>
      <c r="CK1302" t="s">
        <v>360</v>
      </c>
      <c r="CM1302">
        <v>1911</v>
      </c>
    </row>
    <row r="1303" spans="1:91" x14ac:dyDescent="0.3">
      <c r="A1303" t="s">
        <v>2113</v>
      </c>
      <c r="B1303">
        <v>45276</v>
      </c>
      <c r="D1303">
        <v>12</v>
      </c>
      <c r="I1303">
        <v>160000</v>
      </c>
      <c r="U1303">
        <v>1</v>
      </c>
      <c r="Y1303">
        <v>1</v>
      </c>
      <c r="AA1303">
        <v>0.75</v>
      </c>
      <c r="AC1303" s="3">
        <v>0.93</v>
      </c>
      <c r="AE1303" s="3">
        <v>0.75</v>
      </c>
      <c r="AI1303">
        <v>0.18</v>
      </c>
      <c r="AK1303" s="3"/>
      <c r="AV1303" t="s">
        <v>815</v>
      </c>
      <c r="AX1303" t="s">
        <v>815</v>
      </c>
      <c r="AZ1303" t="s">
        <v>815</v>
      </c>
      <c r="BB1303" t="s">
        <v>815</v>
      </c>
      <c r="BG1303">
        <v>5.5</v>
      </c>
      <c r="BH1303">
        <v>3</v>
      </c>
      <c r="BI1303">
        <v>4</v>
      </c>
      <c r="BJ1303">
        <v>5</v>
      </c>
      <c r="BK1303" t="s">
        <v>1224</v>
      </c>
      <c r="BL1303" s="4">
        <v>3289</v>
      </c>
      <c r="BM1303" s="4">
        <v>3654</v>
      </c>
      <c r="BN1303" s="4">
        <v>4019</v>
      </c>
      <c r="BR1303">
        <v>55036</v>
      </c>
      <c r="BT1303">
        <v>6</v>
      </c>
      <c r="BU1303">
        <v>3</v>
      </c>
      <c r="BV1303">
        <v>0</v>
      </c>
      <c r="BX1303">
        <v>0.81</v>
      </c>
      <c r="BZ1303">
        <v>0.56000000000000005</v>
      </c>
      <c r="CK1303" t="s">
        <v>616</v>
      </c>
      <c r="CM1303">
        <v>1911</v>
      </c>
    </row>
    <row r="1304" spans="1:91" x14ac:dyDescent="0.3">
      <c r="A1304" t="s">
        <v>2114</v>
      </c>
      <c r="B1304">
        <v>45458</v>
      </c>
      <c r="D1304">
        <v>12</v>
      </c>
      <c r="I1304">
        <v>141435</v>
      </c>
      <c r="U1304">
        <v>10</v>
      </c>
      <c r="Y1304">
        <v>10</v>
      </c>
      <c r="AA1304">
        <v>4.87</v>
      </c>
      <c r="AC1304" s="3">
        <v>5.18</v>
      </c>
      <c r="AE1304" s="3">
        <v>4.5</v>
      </c>
      <c r="AI1304">
        <v>5</v>
      </c>
      <c r="AK1304" s="3"/>
      <c r="BB1304" t="s">
        <v>810</v>
      </c>
      <c r="BG1304">
        <v>5</v>
      </c>
      <c r="BH1304">
        <v>5</v>
      </c>
      <c r="BI1304">
        <v>5</v>
      </c>
      <c r="BK1304" s="4">
        <v>913</v>
      </c>
      <c r="BL1304" s="4">
        <v>1097</v>
      </c>
      <c r="BM1304" s="4">
        <v>1278</v>
      </c>
      <c r="BR1304">
        <v>299175</v>
      </c>
      <c r="BS1304" t="s">
        <v>2115</v>
      </c>
      <c r="BW1304" t="s">
        <v>802</v>
      </c>
      <c r="BX1304">
        <v>5.31</v>
      </c>
      <c r="BZ1304">
        <v>2.5</v>
      </c>
      <c r="CK1304" t="s">
        <v>616</v>
      </c>
      <c r="CM1304">
        <v>1911</v>
      </c>
    </row>
    <row r="1305" spans="1:91" x14ac:dyDescent="0.3">
      <c r="A1305" t="s">
        <v>2114</v>
      </c>
      <c r="B1305">
        <v>45457</v>
      </c>
      <c r="C1305" t="s">
        <v>2116</v>
      </c>
      <c r="D1305">
        <v>12</v>
      </c>
      <c r="I1305">
        <v>356900</v>
      </c>
      <c r="J1305" t="s">
        <v>800</v>
      </c>
      <c r="U1305">
        <v>100</v>
      </c>
      <c r="Y1305">
        <v>100</v>
      </c>
      <c r="AA1305">
        <v>91</v>
      </c>
      <c r="AC1305" s="3">
        <v>91</v>
      </c>
      <c r="AE1305" s="3">
        <v>89</v>
      </c>
      <c r="AI1305">
        <v>89</v>
      </c>
      <c r="AK1305" s="3"/>
      <c r="AV1305" t="s">
        <v>421</v>
      </c>
      <c r="AX1305" t="s">
        <v>421</v>
      </c>
      <c r="AZ1305" t="s">
        <v>421</v>
      </c>
      <c r="BB1305" t="s">
        <v>421</v>
      </c>
      <c r="BO1305" t="s">
        <v>367</v>
      </c>
      <c r="BR1305">
        <v>299175</v>
      </c>
      <c r="BS1305" t="s">
        <v>2115</v>
      </c>
      <c r="BT1305">
        <v>4</v>
      </c>
      <c r="BU1305">
        <v>11</v>
      </c>
      <c r="BV1305">
        <v>0</v>
      </c>
      <c r="BX1305">
        <v>91.25</v>
      </c>
      <c r="BZ1305">
        <v>88</v>
      </c>
      <c r="CM1305">
        <v>1911</v>
      </c>
    </row>
    <row r="1306" spans="1:91" x14ac:dyDescent="0.3">
      <c r="A1306" t="s">
        <v>2117</v>
      </c>
      <c r="B1306">
        <v>46000</v>
      </c>
      <c r="D1306">
        <v>12</v>
      </c>
      <c r="I1306">
        <v>151000</v>
      </c>
      <c r="J1306" t="s">
        <v>800</v>
      </c>
      <c r="U1306">
        <v>100</v>
      </c>
      <c r="Y1306">
        <v>100</v>
      </c>
      <c r="AA1306">
        <v>92</v>
      </c>
      <c r="AC1306" s="3">
        <v>92</v>
      </c>
      <c r="AE1306" s="3">
        <v>92</v>
      </c>
      <c r="AI1306">
        <v>92</v>
      </c>
      <c r="AK1306" s="3"/>
      <c r="AV1306" t="s">
        <v>370</v>
      </c>
      <c r="AX1306" t="s">
        <v>370</v>
      </c>
      <c r="AZ1306" t="s">
        <v>370</v>
      </c>
      <c r="BB1306" t="s">
        <v>370</v>
      </c>
      <c r="BO1306" t="s">
        <v>367</v>
      </c>
      <c r="BR1306">
        <v>10307</v>
      </c>
      <c r="BT1306">
        <v>4</v>
      </c>
      <c r="BU1306">
        <v>19</v>
      </c>
      <c r="BV1306">
        <v>3</v>
      </c>
      <c r="BX1306">
        <v>96</v>
      </c>
      <c r="BZ1306">
        <v>92</v>
      </c>
      <c r="CK1306" t="s">
        <v>2118</v>
      </c>
      <c r="CM1306">
        <v>1911</v>
      </c>
    </row>
    <row r="1307" spans="1:91" x14ac:dyDescent="0.3">
      <c r="A1307" t="s">
        <v>2119</v>
      </c>
      <c r="B1307">
        <v>46206</v>
      </c>
      <c r="D1307">
        <v>12</v>
      </c>
      <c r="I1307">
        <v>40000</v>
      </c>
      <c r="U1307">
        <v>5</v>
      </c>
      <c r="Y1307">
        <v>5</v>
      </c>
      <c r="AA1307">
        <v>4.5</v>
      </c>
      <c r="AC1307" s="3">
        <v>5</v>
      </c>
      <c r="AE1307" s="3">
        <v>4.5</v>
      </c>
      <c r="AI1307">
        <v>5</v>
      </c>
      <c r="AK1307" s="3"/>
      <c r="AX1307" t="s">
        <v>823</v>
      </c>
      <c r="BB1307" t="s">
        <v>823</v>
      </c>
      <c r="BG1307">
        <v>3.5</v>
      </c>
      <c r="BH1307">
        <v>2.5</v>
      </c>
      <c r="BI1307">
        <v>7.5</v>
      </c>
      <c r="BJ1307">
        <v>5</v>
      </c>
      <c r="BK1307" s="4">
        <v>3685</v>
      </c>
      <c r="BL1307" s="4">
        <v>3866</v>
      </c>
      <c r="BM1307" s="4">
        <v>4050</v>
      </c>
      <c r="BN1307" s="4">
        <v>4231</v>
      </c>
      <c r="BR1307">
        <v>40404</v>
      </c>
      <c r="BS1307" t="s">
        <v>2120</v>
      </c>
      <c r="BT1307">
        <v>6</v>
      </c>
      <c r="BU1307">
        <v>5</v>
      </c>
      <c r="BV1307">
        <v>0</v>
      </c>
      <c r="BX1307">
        <v>5</v>
      </c>
      <c r="BZ1307">
        <v>3.5</v>
      </c>
      <c r="CK1307" t="s">
        <v>360</v>
      </c>
      <c r="CL1307" t="s">
        <v>457</v>
      </c>
      <c r="CM1307">
        <v>1911</v>
      </c>
    </row>
    <row r="1308" spans="1:91" x14ac:dyDescent="0.3">
      <c r="A1308" t="s">
        <v>2119</v>
      </c>
      <c r="B1308">
        <v>46207</v>
      </c>
      <c r="C1308" t="s">
        <v>2121</v>
      </c>
      <c r="D1308">
        <v>12</v>
      </c>
      <c r="I1308">
        <v>80000</v>
      </c>
      <c r="U1308">
        <v>1</v>
      </c>
      <c r="Y1308">
        <v>1</v>
      </c>
      <c r="AA1308">
        <v>0.93</v>
      </c>
      <c r="AC1308" s="3">
        <v>0.93</v>
      </c>
      <c r="AE1308" s="3">
        <v>0.93</v>
      </c>
      <c r="AI1308">
        <v>0.93</v>
      </c>
      <c r="AK1308" s="3"/>
      <c r="AV1308" t="s">
        <v>506</v>
      </c>
      <c r="AX1308" t="s">
        <v>506</v>
      </c>
      <c r="AZ1308" t="s">
        <v>506</v>
      </c>
      <c r="BB1308" t="s">
        <v>506</v>
      </c>
      <c r="BO1308" t="s">
        <v>367</v>
      </c>
      <c r="BR1308">
        <v>40404</v>
      </c>
      <c r="BS1308" t="s">
        <v>2120</v>
      </c>
      <c r="BT1308">
        <v>8</v>
      </c>
      <c r="BU1308">
        <v>3</v>
      </c>
      <c r="BV1308">
        <v>0</v>
      </c>
      <c r="BX1308">
        <v>0.93</v>
      </c>
      <c r="BZ1308">
        <v>0.93</v>
      </c>
      <c r="CM1308">
        <v>1911</v>
      </c>
    </row>
    <row r="1309" spans="1:91" x14ac:dyDescent="0.3">
      <c r="A1309" t="s">
        <v>2119</v>
      </c>
      <c r="B1309">
        <v>46208</v>
      </c>
      <c r="C1309" t="s">
        <v>2122</v>
      </c>
      <c r="D1309">
        <v>12</v>
      </c>
      <c r="I1309">
        <v>120000</v>
      </c>
      <c r="U1309">
        <v>1</v>
      </c>
      <c r="Z1309" t="s">
        <v>1660</v>
      </c>
      <c r="AA1309">
        <v>0.25</v>
      </c>
      <c r="AC1309" s="3">
        <v>0.25</v>
      </c>
      <c r="AE1309" s="3">
        <v>0.25</v>
      </c>
      <c r="AI1309">
        <v>0.75</v>
      </c>
      <c r="AK1309" s="3"/>
      <c r="AV1309" t="s">
        <v>506</v>
      </c>
      <c r="AX1309" t="s">
        <v>506</v>
      </c>
      <c r="AZ1309" t="s">
        <v>506</v>
      </c>
      <c r="BB1309" t="s">
        <v>506</v>
      </c>
      <c r="BO1309" t="s">
        <v>367</v>
      </c>
      <c r="BR1309">
        <v>40404</v>
      </c>
      <c r="BS1309" t="s">
        <v>2120</v>
      </c>
      <c r="BT1309">
        <v>8</v>
      </c>
      <c r="BU1309">
        <v>0</v>
      </c>
      <c r="BV1309">
        <v>0</v>
      </c>
      <c r="BX1309">
        <v>0.25</v>
      </c>
      <c r="BZ1309">
        <v>0.18</v>
      </c>
      <c r="CM1309">
        <v>1911</v>
      </c>
    </row>
    <row r="1310" spans="1:91" x14ac:dyDescent="0.3">
      <c r="A1310" t="s">
        <v>2123</v>
      </c>
      <c r="B1310">
        <v>46818</v>
      </c>
      <c r="D1310">
        <v>12</v>
      </c>
      <c r="I1310">
        <v>700000</v>
      </c>
      <c r="J1310" t="s">
        <v>800</v>
      </c>
      <c r="U1310">
        <v>100</v>
      </c>
      <c r="Y1310">
        <v>100</v>
      </c>
      <c r="AA1310">
        <v>99.5</v>
      </c>
      <c r="AC1310" s="3">
        <v>102</v>
      </c>
      <c r="AE1310" s="3">
        <v>99.5</v>
      </c>
      <c r="AI1310">
        <v>101</v>
      </c>
      <c r="AK1310" s="3"/>
      <c r="AV1310" t="s">
        <v>370</v>
      </c>
      <c r="AX1310" t="s">
        <v>370</v>
      </c>
      <c r="AZ1310" t="s">
        <v>370</v>
      </c>
      <c r="BB1310" t="s">
        <v>370</v>
      </c>
      <c r="BO1310" t="s">
        <v>367</v>
      </c>
      <c r="BS1310" t="s">
        <v>385</v>
      </c>
      <c r="BT1310">
        <v>4</v>
      </c>
      <c r="BU1310">
        <v>19</v>
      </c>
      <c r="BV1310">
        <v>9</v>
      </c>
      <c r="BX1310">
        <v>102</v>
      </c>
      <c r="BZ1310">
        <v>96</v>
      </c>
      <c r="CM1310">
        <v>1911</v>
      </c>
    </row>
    <row r="1311" spans="1:91" x14ac:dyDescent="0.3">
      <c r="A1311" t="s">
        <v>2124</v>
      </c>
      <c r="B1311">
        <v>46941</v>
      </c>
      <c r="D1311">
        <v>12</v>
      </c>
      <c r="I1311">
        <v>59230</v>
      </c>
      <c r="U1311">
        <v>8</v>
      </c>
      <c r="Y1311">
        <v>8</v>
      </c>
      <c r="AA1311">
        <v>14</v>
      </c>
      <c r="AC1311" s="3">
        <v>17.5</v>
      </c>
      <c r="AE1311" s="3">
        <v>13.75</v>
      </c>
      <c r="AI1311">
        <v>17.5</v>
      </c>
      <c r="AK1311" s="3"/>
      <c r="AU1311" t="s">
        <v>1463</v>
      </c>
      <c r="AV1311" t="s">
        <v>2125</v>
      </c>
      <c r="AW1311" t="s">
        <v>2126</v>
      </c>
      <c r="AX1311" s="5">
        <v>40701</v>
      </c>
      <c r="AY1311" t="s">
        <v>1463</v>
      </c>
      <c r="AZ1311" t="s">
        <v>2125</v>
      </c>
      <c r="BA1311" t="s">
        <v>2126</v>
      </c>
      <c r="BB1311" s="5">
        <v>40701</v>
      </c>
      <c r="BC1311">
        <v>60</v>
      </c>
      <c r="BD1311">
        <v>90</v>
      </c>
      <c r="BE1311">
        <v>60</v>
      </c>
      <c r="BF1311">
        <v>90</v>
      </c>
      <c r="BK1311" s="4">
        <v>3744</v>
      </c>
      <c r="BL1311" s="4">
        <v>3927</v>
      </c>
      <c r="BM1311" s="4">
        <v>4109</v>
      </c>
      <c r="BN1311" s="4">
        <v>4292</v>
      </c>
      <c r="BR1311">
        <v>116037</v>
      </c>
      <c r="BS1311" t="s">
        <v>2127</v>
      </c>
      <c r="BT1311">
        <v>3</v>
      </c>
      <c r="BU1311">
        <v>11</v>
      </c>
      <c r="BV1311">
        <v>6</v>
      </c>
      <c r="BX1311">
        <v>17.5</v>
      </c>
      <c r="BZ1311">
        <v>11.37</v>
      </c>
      <c r="CK1311" t="s">
        <v>360</v>
      </c>
      <c r="CM1311">
        <v>1911</v>
      </c>
    </row>
    <row r="1312" spans="1:91" x14ac:dyDescent="0.3">
      <c r="A1312" t="s">
        <v>2124</v>
      </c>
      <c r="B1312">
        <v>46942</v>
      </c>
      <c r="C1312" t="s">
        <v>1506</v>
      </c>
      <c r="D1312">
        <v>12</v>
      </c>
      <c r="I1312">
        <v>386500</v>
      </c>
      <c r="J1312" t="s">
        <v>800</v>
      </c>
      <c r="V1312" t="s">
        <v>350</v>
      </c>
      <c r="Y1312">
        <v>100</v>
      </c>
      <c r="AA1312">
        <v>93</v>
      </c>
      <c r="AC1312" s="3">
        <v>93</v>
      </c>
      <c r="AE1312" s="3">
        <v>93</v>
      </c>
      <c r="AI1312">
        <v>93</v>
      </c>
      <c r="AK1312" s="3"/>
      <c r="AV1312" t="s">
        <v>370</v>
      </c>
      <c r="AX1312" t="s">
        <v>370</v>
      </c>
      <c r="AZ1312" t="s">
        <v>370</v>
      </c>
      <c r="BB1312" t="s">
        <v>370</v>
      </c>
      <c r="BO1312" t="s">
        <v>367</v>
      </c>
      <c r="BR1312">
        <v>116037</v>
      </c>
      <c r="BS1312" t="s">
        <v>2127</v>
      </c>
      <c r="BT1312">
        <v>4</v>
      </c>
      <c r="BU1312">
        <v>8</v>
      </c>
      <c r="BV1312">
        <v>0</v>
      </c>
      <c r="BX1312">
        <v>94.75</v>
      </c>
      <c r="BZ1312">
        <v>92</v>
      </c>
      <c r="CM1312">
        <v>1911</v>
      </c>
    </row>
    <row r="1313" spans="1:91" x14ac:dyDescent="0.3">
      <c r="A1313" t="s">
        <v>2128</v>
      </c>
      <c r="B1313">
        <v>47034</v>
      </c>
      <c r="D1313">
        <v>12</v>
      </c>
      <c r="I1313">
        <v>31253</v>
      </c>
      <c r="U1313">
        <v>5</v>
      </c>
      <c r="Y1313">
        <v>5</v>
      </c>
      <c r="AA1313">
        <v>5</v>
      </c>
      <c r="AC1313" s="3">
        <v>5</v>
      </c>
      <c r="AE1313" s="3">
        <v>5</v>
      </c>
      <c r="AI1313">
        <v>5</v>
      </c>
      <c r="AK1313" s="3"/>
      <c r="AV1313" t="s">
        <v>823</v>
      </c>
      <c r="AZ1313" t="s">
        <v>823</v>
      </c>
      <c r="BG1313">
        <v>5</v>
      </c>
      <c r="BH1313">
        <v>7.5</v>
      </c>
      <c r="BI1313">
        <v>5</v>
      </c>
      <c r="BJ1313">
        <v>7.5</v>
      </c>
      <c r="BK1313" s="4">
        <v>3593</v>
      </c>
      <c r="BL1313" s="4">
        <v>3774</v>
      </c>
      <c r="BM1313" s="4">
        <v>3958</v>
      </c>
      <c r="BN1313" s="4">
        <v>4139</v>
      </c>
      <c r="BR1313">
        <v>4617</v>
      </c>
      <c r="BS1313" t="s">
        <v>2129</v>
      </c>
      <c r="BT1313">
        <v>6</v>
      </c>
      <c r="BU1313">
        <v>5</v>
      </c>
      <c r="BV1313">
        <v>0</v>
      </c>
      <c r="BX1313">
        <v>5.25</v>
      </c>
      <c r="BZ1313">
        <v>4.75</v>
      </c>
      <c r="CK1313" t="s">
        <v>360</v>
      </c>
      <c r="CM1313">
        <v>1911</v>
      </c>
    </row>
    <row r="1314" spans="1:91" x14ac:dyDescent="0.3">
      <c r="A1314" t="s">
        <v>2130</v>
      </c>
      <c r="B1314">
        <v>47197</v>
      </c>
      <c r="D1314">
        <v>12</v>
      </c>
      <c r="I1314" s="2">
        <v>1250000</v>
      </c>
      <c r="J1314" t="s">
        <v>800</v>
      </c>
      <c r="U1314">
        <v>100</v>
      </c>
      <c r="Y1314">
        <v>100</v>
      </c>
      <c r="AA1314">
        <v>101.5</v>
      </c>
      <c r="AC1314" s="3">
        <v>101.62</v>
      </c>
      <c r="AE1314" s="3">
        <v>101</v>
      </c>
      <c r="AI1314">
        <v>101.5</v>
      </c>
      <c r="AK1314" s="3"/>
      <c r="AV1314" t="s">
        <v>370</v>
      </c>
      <c r="AX1314" t="s">
        <v>370</v>
      </c>
      <c r="AZ1314" t="s">
        <v>370</v>
      </c>
      <c r="BB1314" t="s">
        <v>370</v>
      </c>
      <c r="BO1314" t="s">
        <v>367</v>
      </c>
      <c r="BR1314">
        <v>739136</v>
      </c>
      <c r="BS1314" t="s">
        <v>2129</v>
      </c>
      <c r="BT1314">
        <v>4</v>
      </c>
      <c r="BU1314">
        <v>9</v>
      </c>
      <c r="BV1314">
        <v>9</v>
      </c>
      <c r="BX1314">
        <v>102</v>
      </c>
      <c r="BZ1314">
        <v>96.87</v>
      </c>
      <c r="CM1314">
        <v>1911</v>
      </c>
    </row>
    <row r="1315" spans="1:91" x14ac:dyDescent="0.3">
      <c r="A1315" t="s">
        <v>2131</v>
      </c>
      <c r="B1315">
        <v>47273</v>
      </c>
      <c r="D1315">
        <v>12</v>
      </c>
      <c r="I1315">
        <v>20349</v>
      </c>
      <c r="U1315">
        <v>10</v>
      </c>
      <c r="Y1315">
        <v>10</v>
      </c>
      <c r="AA1315">
        <v>8.25</v>
      </c>
      <c r="AC1315" s="3">
        <v>9</v>
      </c>
      <c r="AE1315" s="3">
        <v>8.25</v>
      </c>
      <c r="AI1315">
        <v>9</v>
      </c>
      <c r="AJ1315" t="s">
        <v>379</v>
      </c>
      <c r="AK1315" s="3"/>
      <c r="BG1315">
        <v>5</v>
      </c>
      <c r="BH1315">
        <v>5</v>
      </c>
      <c r="BI1315">
        <v>5</v>
      </c>
      <c r="BJ1315">
        <v>5</v>
      </c>
      <c r="BK1315" s="4">
        <v>3835</v>
      </c>
      <c r="BL1315" s="4">
        <v>4019</v>
      </c>
      <c r="BM1315" s="4">
        <v>4200</v>
      </c>
      <c r="BN1315" s="4">
        <v>4384</v>
      </c>
      <c r="BR1315">
        <v>419623</v>
      </c>
      <c r="BS1315" t="s">
        <v>2132</v>
      </c>
      <c r="BT1315">
        <v>5</v>
      </c>
      <c r="BU1315">
        <v>11</v>
      </c>
      <c r="BV1315">
        <v>0</v>
      </c>
      <c r="BX1315">
        <v>9</v>
      </c>
      <c r="BZ1315">
        <v>7.87</v>
      </c>
      <c r="CK1315" t="s">
        <v>360</v>
      </c>
      <c r="CM1315">
        <v>1911</v>
      </c>
    </row>
    <row r="1316" spans="1:91" x14ac:dyDescent="0.3">
      <c r="A1316" t="s">
        <v>2131</v>
      </c>
      <c r="B1316">
        <v>47276</v>
      </c>
      <c r="C1316" t="s">
        <v>2133</v>
      </c>
      <c r="D1316">
        <v>12</v>
      </c>
      <c r="I1316">
        <v>750000</v>
      </c>
      <c r="J1316" t="s">
        <v>800</v>
      </c>
      <c r="U1316">
        <v>100</v>
      </c>
      <c r="V1316" t="s">
        <v>615</v>
      </c>
      <c r="Y1316">
        <v>100</v>
      </c>
      <c r="Z1316" t="s">
        <v>615</v>
      </c>
      <c r="AA1316">
        <v>97.5</v>
      </c>
      <c r="AC1316" s="3">
        <v>98.5</v>
      </c>
      <c r="AE1316" s="3">
        <v>97.5</v>
      </c>
      <c r="AI1316">
        <v>98</v>
      </c>
      <c r="AK1316" s="3"/>
      <c r="AV1316" t="s">
        <v>373</v>
      </c>
      <c r="AX1316" t="s">
        <v>373</v>
      </c>
      <c r="AZ1316" t="s">
        <v>373</v>
      </c>
      <c r="BB1316" t="s">
        <v>373</v>
      </c>
      <c r="BO1316" t="s">
        <v>367</v>
      </c>
      <c r="BR1316">
        <v>419623</v>
      </c>
      <c r="BS1316" t="s">
        <v>2132</v>
      </c>
      <c r="BT1316">
        <v>4</v>
      </c>
      <c r="BU1316">
        <v>13</v>
      </c>
      <c r="BV1316">
        <v>3</v>
      </c>
      <c r="BX1316">
        <v>98.5</v>
      </c>
      <c r="BZ1316">
        <v>93.5</v>
      </c>
      <c r="CM1316">
        <v>1911</v>
      </c>
    </row>
    <row r="1317" spans="1:91" x14ac:dyDescent="0.3">
      <c r="A1317" t="s">
        <v>2134</v>
      </c>
      <c r="B1317">
        <v>47340</v>
      </c>
      <c r="D1317">
        <v>12</v>
      </c>
      <c r="I1317" s="2">
        <v>1160000</v>
      </c>
      <c r="J1317" t="s">
        <v>800</v>
      </c>
      <c r="V1317" t="s">
        <v>350</v>
      </c>
      <c r="Y1317">
        <v>100</v>
      </c>
      <c r="AA1317">
        <v>118</v>
      </c>
      <c r="AC1317" s="3">
        <v>118.75</v>
      </c>
      <c r="AE1317" s="3">
        <v>115.5</v>
      </c>
      <c r="AI1317">
        <v>117</v>
      </c>
      <c r="AK1317" s="3"/>
      <c r="AV1317" t="s">
        <v>2135</v>
      </c>
      <c r="AX1317" t="s">
        <v>2135</v>
      </c>
      <c r="AZ1317" t="s">
        <v>2135</v>
      </c>
      <c r="BB1317" t="s">
        <v>2135</v>
      </c>
      <c r="BO1317" t="s">
        <v>367</v>
      </c>
      <c r="BR1317" s="2">
        <v>1567620</v>
      </c>
      <c r="BS1317" t="s">
        <v>2136</v>
      </c>
      <c r="BT1317">
        <v>4</v>
      </c>
      <c r="BU1317">
        <v>7</v>
      </c>
      <c r="BV1317">
        <v>0</v>
      </c>
      <c r="BX1317">
        <v>119</v>
      </c>
      <c r="BZ1317">
        <v>115</v>
      </c>
      <c r="CK1317" t="s">
        <v>360</v>
      </c>
      <c r="CM1317">
        <v>1911</v>
      </c>
    </row>
    <row r="1318" spans="1:91" x14ac:dyDescent="0.3">
      <c r="A1318" t="s">
        <v>2134</v>
      </c>
      <c r="B1318">
        <v>47341</v>
      </c>
      <c r="C1318" t="s">
        <v>1632</v>
      </c>
      <c r="D1318">
        <v>12</v>
      </c>
      <c r="I1318" s="2">
        <v>1160000</v>
      </c>
      <c r="J1318" t="s">
        <v>800</v>
      </c>
      <c r="V1318" t="s">
        <v>350</v>
      </c>
      <c r="Y1318">
        <v>100</v>
      </c>
      <c r="AA1318">
        <v>225.5</v>
      </c>
      <c r="AC1318" s="3">
        <v>259</v>
      </c>
      <c r="AE1318" s="3">
        <v>223.5</v>
      </c>
      <c r="AI1318">
        <v>257.5</v>
      </c>
      <c r="AK1318" s="3"/>
      <c r="AV1318" t="s">
        <v>823</v>
      </c>
      <c r="AZ1318" t="s">
        <v>823</v>
      </c>
      <c r="BG1318">
        <v>7</v>
      </c>
      <c r="BH1318">
        <v>19</v>
      </c>
      <c r="BI1318">
        <v>7</v>
      </c>
      <c r="BJ1318">
        <v>19</v>
      </c>
      <c r="BK1318" s="4">
        <v>3774</v>
      </c>
      <c r="BL1318" s="4">
        <v>3988</v>
      </c>
      <c r="BM1318" s="4">
        <v>4139</v>
      </c>
      <c r="BN1318" s="4">
        <v>4353</v>
      </c>
      <c r="BR1318" s="2">
        <v>1567620</v>
      </c>
      <c r="BS1318" t="s">
        <v>2136</v>
      </c>
      <c r="BT1318">
        <v>5</v>
      </c>
      <c r="BU1318">
        <v>1</v>
      </c>
      <c r="BV1318">
        <v>0</v>
      </c>
      <c r="BX1318">
        <v>259</v>
      </c>
      <c r="BZ1318">
        <v>218.5</v>
      </c>
      <c r="CK1318" t="s">
        <v>360</v>
      </c>
      <c r="CM1318">
        <v>1911</v>
      </c>
    </row>
    <row r="1319" spans="1:91" x14ac:dyDescent="0.3">
      <c r="A1319" t="s">
        <v>2134</v>
      </c>
      <c r="B1319">
        <v>47343</v>
      </c>
      <c r="C1319" t="s">
        <v>1188</v>
      </c>
      <c r="D1319">
        <v>12</v>
      </c>
      <c r="I1319">
        <v>800000</v>
      </c>
      <c r="J1319" t="s">
        <v>800</v>
      </c>
      <c r="V1319" t="s">
        <v>350</v>
      </c>
      <c r="Y1319">
        <v>100</v>
      </c>
      <c r="AA1319">
        <v>89</v>
      </c>
      <c r="AC1319" s="3">
        <v>90</v>
      </c>
      <c r="AE1319" s="3">
        <v>89</v>
      </c>
      <c r="AI1319">
        <v>90</v>
      </c>
      <c r="AK1319" s="3"/>
      <c r="AV1319" t="s">
        <v>373</v>
      </c>
      <c r="AX1319" t="s">
        <v>373</v>
      </c>
      <c r="AZ1319" t="s">
        <v>373</v>
      </c>
      <c r="BB1319" t="s">
        <v>373</v>
      </c>
      <c r="BO1319" t="s">
        <v>367</v>
      </c>
      <c r="BR1319" s="2">
        <v>1567620</v>
      </c>
      <c r="BS1319" t="s">
        <v>2136</v>
      </c>
      <c r="BT1319">
        <v>3</v>
      </c>
      <c r="BU1319">
        <v>19</v>
      </c>
      <c r="BV1319">
        <v>3</v>
      </c>
      <c r="BX1319">
        <v>92</v>
      </c>
      <c r="BZ1319">
        <v>88</v>
      </c>
      <c r="CM1319">
        <v>1911</v>
      </c>
    </row>
    <row r="1320" spans="1:91" x14ac:dyDescent="0.3">
      <c r="A1320" t="s">
        <v>2137</v>
      </c>
      <c r="B1320">
        <v>47344</v>
      </c>
      <c r="C1320" t="s">
        <v>2138</v>
      </c>
      <c r="D1320">
        <v>12</v>
      </c>
      <c r="I1320" s="2">
        <v>1000000</v>
      </c>
      <c r="J1320" t="s">
        <v>800</v>
      </c>
      <c r="V1320" t="s">
        <v>350</v>
      </c>
      <c r="Y1320">
        <v>100</v>
      </c>
      <c r="AA1320">
        <v>85</v>
      </c>
      <c r="AC1320" s="3">
        <v>88</v>
      </c>
      <c r="AE1320" s="3">
        <v>85</v>
      </c>
      <c r="AI1320">
        <v>88</v>
      </c>
      <c r="AK1320" s="3"/>
      <c r="AV1320" t="s">
        <v>373</v>
      </c>
      <c r="AX1320" t="s">
        <v>373</v>
      </c>
      <c r="AZ1320" t="s">
        <v>373</v>
      </c>
      <c r="BB1320" t="s">
        <v>373</v>
      </c>
      <c r="BO1320" t="s">
        <v>367</v>
      </c>
      <c r="BR1320" s="2">
        <v>1567620</v>
      </c>
      <c r="BS1320" t="s">
        <v>2136</v>
      </c>
      <c r="BT1320">
        <v>4</v>
      </c>
      <c r="BU1320">
        <v>0</v>
      </c>
      <c r="BV1320">
        <v>6</v>
      </c>
      <c r="BX1320">
        <v>89.5</v>
      </c>
      <c r="BZ1320">
        <v>85</v>
      </c>
      <c r="CM1320">
        <v>1911</v>
      </c>
    </row>
    <row r="1321" spans="1:91" x14ac:dyDescent="0.3">
      <c r="A1321" t="s">
        <v>2139</v>
      </c>
      <c r="B1321">
        <v>47802</v>
      </c>
      <c r="D1321">
        <v>12</v>
      </c>
      <c r="I1321">
        <v>601495</v>
      </c>
      <c r="U1321">
        <v>1</v>
      </c>
      <c r="Y1321">
        <v>1</v>
      </c>
      <c r="AA1321">
        <v>0.71</v>
      </c>
      <c r="AC1321" s="3">
        <v>0.93</v>
      </c>
      <c r="AE1321" s="3">
        <v>0.9</v>
      </c>
      <c r="AI1321">
        <v>0.93</v>
      </c>
      <c r="AK1321" s="3"/>
      <c r="AV1321" t="s">
        <v>2140</v>
      </c>
      <c r="AZ1321" t="s">
        <v>823</v>
      </c>
      <c r="BH1321">
        <v>5</v>
      </c>
      <c r="BI1321">
        <v>5</v>
      </c>
      <c r="BJ1321">
        <v>10</v>
      </c>
      <c r="BK1321" s="4">
        <v>3713</v>
      </c>
      <c r="BL1321" s="4">
        <v>3897</v>
      </c>
      <c r="BM1321" s="4">
        <v>4078</v>
      </c>
      <c r="BN1321" s="4">
        <v>4262</v>
      </c>
      <c r="BR1321">
        <v>112487</v>
      </c>
      <c r="BS1321" t="s">
        <v>2129</v>
      </c>
      <c r="BT1321">
        <v>8</v>
      </c>
      <c r="BU1321">
        <v>0</v>
      </c>
      <c r="BV1321">
        <v>0</v>
      </c>
      <c r="BX1321">
        <v>0.93</v>
      </c>
      <c r="BZ1321">
        <v>0.71</v>
      </c>
      <c r="CK1321" t="s">
        <v>1076</v>
      </c>
      <c r="CM1321">
        <v>1911</v>
      </c>
    </row>
    <row r="1322" spans="1:91" x14ac:dyDescent="0.3">
      <c r="A1322" t="s">
        <v>277</v>
      </c>
      <c r="B1322">
        <v>48227</v>
      </c>
      <c r="D1322">
        <v>12</v>
      </c>
      <c r="I1322">
        <v>900000</v>
      </c>
      <c r="J1322" t="s">
        <v>800</v>
      </c>
      <c r="V1322" t="s">
        <v>350</v>
      </c>
      <c r="Y1322">
        <v>100</v>
      </c>
      <c r="AA1322">
        <v>85</v>
      </c>
      <c r="AC1322" s="3">
        <v>107.5</v>
      </c>
      <c r="AE1322" s="3">
        <v>84.5</v>
      </c>
      <c r="AI1322">
        <v>103.5</v>
      </c>
      <c r="AK1322" s="3"/>
      <c r="AV1322" t="s">
        <v>815</v>
      </c>
      <c r="AX1322" t="s">
        <v>815</v>
      </c>
      <c r="AZ1322" t="s">
        <v>815</v>
      </c>
      <c r="BB1322" t="s">
        <v>815</v>
      </c>
      <c r="BG1322">
        <v>2.5</v>
      </c>
      <c r="BH1322">
        <v>2</v>
      </c>
      <c r="BI1322">
        <v>3</v>
      </c>
      <c r="BJ1322">
        <v>4</v>
      </c>
      <c r="BK1322" t="s">
        <v>1224</v>
      </c>
      <c r="BL1322" t="s">
        <v>1225</v>
      </c>
      <c r="BM1322" t="s">
        <v>913</v>
      </c>
      <c r="BN1322" t="s">
        <v>1226</v>
      </c>
      <c r="BR1322">
        <v>340000</v>
      </c>
      <c r="BS1322" t="s">
        <v>2141</v>
      </c>
      <c r="BT1322">
        <v>3</v>
      </c>
      <c r="BU1322">
        <v>17</v>
      </c>
      <c r="BV1322">
        <v>3</v>
      </c>
      <c r="BX1322">
        <v>107.5</v>
      </c>
      <c r="BZ1322">
        <v>71</v>
      </c>
      <c r="CM1322">
        <v>1911</v>
      </c>
    </row>
    <row r="1323" spans="1:91" x14ac:dyDescent="0.3">
      <c r="A1323" t="s">
        <v>277</v>
      </c>
      <c r="B1323">
        <v>48228</v>
      </c>
      <c r="C1323" t="s">
        <v>2142</v>
      </c>
      <c r="D1323">
        <v>12</v>
      </c>
      <c r="I1323">
        <v>600000</v>
      </c>
      <c r="J1323" t="s">
        <v>800</v>
      </c>
      <c r="V1323" t="s">
        <v>350</v>
      </c>
      <c r="Y1323">
        <v>100</v>
      </c>
      <c r="AA1323">
        <v>95</v>
      </c>
      <c r="AC1323" s="3">
        <v>97</v>
      </c>
      <c r="AE1323" s="3">
        <v>94</v>
      </c>
      <c r="AI1323">
        <v>96</v>
      </c>
      <c r="AK1323" s="3"/>
      <c r="AV1323" t="s">
        <v>823</v>
      </c>
      <c r="AZ1323" t="s">
        <v>823</v>
      </c>
      <c r="BG1323">
        <v>5</v>
      </c>
      <c r="BH1323">
        <v>5</v>
      </c>
      <c r="BI1323">
        <v>5</v>
      </c>
      <c r="BJ1323">
        <v>5</v>
      </c>
      <c r="BK1323" s="4">
        <v>3593</v>
      </c>
      <c r="BL1323" s="4">
        <v>3774</v>
      </c>
      <c r="BM1323" s="4">
        <v>3958</v>
      </c>
      <c r="BN1323" s="4">
        <v>4139</v>
      </c>
      <c r="BR1323">
        <v>340000</v>
      </c>
      <c r="BS1323" t="s">
        <v>2141</v>
      </c>
      <c r="BT1323">
        <v>5</v>
      </c>
      <c r="BU1323">
        <v>6</v>
      </c>
      <c r="BV1323">
        <v>0</v>
      </c>
      <c r="BX1323">
        <v>98</v>
      </c>
      <c r="BZ1323">
        <v>92</v>
      </c>
      <c r="CM1323">
        <v>1911</v>
      </c>
    </row>
    <row r="1324" spans="1:91" x14ac:dyDescent="0.3">
      <c r="A1324" t="s">
        <v>277</v>
      </c>
      <c r="B1324">
        <v>48229</v>
      </c>
      <c r="C1324" t="s">
        <v>2143</v>
      </c>
      <c r="D1324">
        <v>12</v>
      </c>
      <c r="I1324" s="2">
        <v>1000000</v>
      </c>
      <c r="J1324" t="s">
        <v>800</v>
      </c>
      <c r="V1324" t="s">
        <v>350</v>
      </c>
      <c r="Y1324">
        <v>100</v>
      </c>
      <c r="AA1324">
        <v>103.5</v>
      </c>
      <c r="AC1324" s="3">
        <v>104.5</v>
      </c>
      <c r="AE1324" s="3">
        <v>101.5</v>
      </c>
      <c r="AI1324">
        <v>101.5</v>
      </c>
      <c r="AJ1324" t="s">
        <v>379</v>
      </c>
      <c r="AK1324" s="3"/>
      <c r="AV1324" t="s">
        <v>370</v>
      </c>
      <c r="AX1324" t="s">
        <v>370</v>
      </c>
      <c r="AZ1324" t="s">
        <v>370</v>
      </c>
      <c r="BB1324" t="s">
        <v>370</v>
      </c>
      <c r="BO1324" t="s">
        <v>367</v>
      </c>
      <c r="BR1324">
        <v>340000</v>
      </c>
      <c r="BS1324" t="s">
        <v>2141</v>
      </c>
      <c r="BT1324">
        <v>4</v>
      </c>
      <c r="BU1324">
        <v>8</v>
      </c>
      <c r="BV1324">
        <v>9</v>
      </c>
      <c r="BX1324">
        <v>105</v>
      </c>
      <c r="BZ1324">
        <v>101.25</v>
      </c>
      <c r="CM1324">
        <v>1911</v>
      </c>
    </row>
    <row r="1325" spans="1:91" x14ac:dyDescent="0.3">
      <c r="A1325" t="s">
        <v>277</v>
      </c>
      <c r="B1325">
        <v>48230</v>
      </c>
      <c r="C1325" t="s">
        <v>2144</v>
      </c>
      <c r="D1325">
        <v>12</v>
      </c>
      <c r="I1325" s="2">
        <v>1250000</v>
      </c>
      <c r="J1325" t="s">
        <v>800</v>
      </c>
      <c r="V1325" t="s">
        <v>350</v>
      </c>
      <c r="Y1325">
        <v>100</v>
      </c>
      <c r="AA1325">
        <v>102</v>
      </c>
      <c r="AC1325" s="3">
        <v>104</v>
      </c>
      <c r="AE1325" s="3">
        <v>101</v>
      </c>
      <c r="AI1325">
        <v>101</v>
      </c>
      <c r="AJ1325" t="s">
        <v>379</v>
      </c>
      <c r="AK1325" s="3"/>
      <c r="AV1325" t="s">
        <v>370</v>
      </c>
      <c r="AX1325" t="s">
        <v>370</v>
      </c>
      <c r="AZ1325" t="s">
        <v>370</v>
      </c>
      <c r="BB1325" t="s">
        <v>370</v>
      </c>
      <c r="BO1325" t="s">
        <v>367</v>
      </c>
      <c r="BS1325" t="s">
        <v>385</v>
      </c>
      <c r="BT1325">
        <v>4</v>
      </c>
      <c r="BU1325">
        <v>19</v>
      </c>
      <c r="BV1325">
        <v>0</v>
      </c>
      <c r="BX1325">
        <v>104</v>
      </c>
      <c r="BZ1325">
        <v>98.25</v>
      </c>
      <c r="CM1325">
        <v>1911</v>
      </c>
    </row>
    <row r="1326" spans="1:91" x14ac:dyDescent="0.3">
      <c r="A1326" t="s">
        <v>2145</v>
      </c>
      <c r="B1326">
        <v>48645</v>
      </c>
      <c r="D1326">
        <v>12</v>
      </c>
      <c r="I1326">
        <v>39075</v>
      </c>
      <c r="U1326">
        <v>5</v>
      </c>
      <c r="Y1326">
        <v>5</v>
      </c>
      <c r="AA1326">
        <v>5.37</v>
      </c>
      <c r="AC1326" s="3">
        <v>5.37</v>
      </c>
      <c r="AE1326" s="3">
        <v>5.31</v>
      </c>
      <c r="AI1326">
        <v>5.37</v>
      </c>
      <c r="AK1326" s="3"/>
      <c r="AX1326" t="s">
        <v>823</v>
      </c>
      <c r="BB1326" t="s">
        <v>823</v>
      </c>
      <c r="BG1326">
        <v>5</v>
      </c>
      <c r="BH1326">
        <v>5</v>
      </c>
      <c r="BI1326">
        <v>5</v>
      </c>
      <c r="BJ1326">
        <v>5</v>
      </c>
      <c r="BK1326" s="4">
        <v>3774</v>
      </c>
      <c r="BL1326" s="4">
        <v>3958</v>
      </c>
      <c r="BM1326" s="4">
        <v>4139</v>
      </c>
      <c r="BN1326" s="4">
        <v>4323</v>
      </c>
      <c r="BR1326">
        <v>135827</v>
      </c>
      <c r="BT1326">
        <v>4</v>
      </c>
      <c r="BU1326">
        <v>13</v>
      </c>
      <c r="BV1326">
        <v>0</v>
      </c>
      <c r="BX1326">
        <v>5.5</v>
      </c>
      <c r="BZ1326">
        <v>5.25</v>
      </c>
      <c r="CK1326" t="s">
        <v>560</v>
      </c>
      <c r="CL1326" t="s">
        <v>457</v>
      </c>
      <c r="CM1326">
        <v>1911</v>
      </c>
    </row>
    <row r="1327" spans="1:91" x14ac:dyDescent="0.3">
      <c r="A1327" t="s">
        <v>2146</v>
      </c>
      <c r="B1327">
        <v>49855</v>
      </c>
      <c r="D1327">
        <v>12</v>
      </c>
      <c r="I1327">
        <v>141841</v>
      </c>
      <c r="U1327">
        <v>10</v>
      </c>
      <c r="Y1327">
        <v>10</v>
      </c>
      <c r="AA1327">
        <v>17</v>
      </c>
      <c r="AC1327" s="3">
        <v>31.75</v>
      </c>
      <c r="AE1327" s="3">
        <v>15.75</v>
      </c>
      <c r="AI1327">
        <v>31.5</v>
      </c>
      <c r="AK1327" s="3"/>
      <c r="AX1327" t="s">
        <v>823</v>
      </c>
      <c r="BB1327" t="s">
        <v>823</v>
      </c>
      <c r="BG1327">
        <v>8.5</v>
      </c>
      <c r="BH1327">
        <v>4</v>
      </c>
      <c r="BI1327">
        <v>9.5</v>
      </c>
      <c r="BJ1327">
        <v>4</v>
      </c>
      <c r="BK1327" s="4">
        <v>3774</v>
      </c>
      <c r="BL1327" s="4">
        <v>3958</v>
      </c>
      <c r="BM1327" s="4">
        <v>4139</v>
      </c>
      <c r="BN1327" s="4">
        <v>4323</v>
      </c>
      <c r="BR1327" s="2">
        <v>1922420</v>
      </c>
      <c r="BS1327" t="s">
        <v>2147</v>
      </c>
      <c r="BT1327">
        <v>2</v>
      </c>
      <c r="BU1327">
        <v>2</v>
      </c>
      <c r="BV1327">
        <v>9</v>
      </c>
      <c r="BX1327">
        <v>31.75</v>
      </c>
      <c r="BZ1327">
        <v>10.87</v>
      </c>
      <c r="CK1327" t="s">
        <v>360</v>
      </c>
      <c r="CM1327">
        <v>1911</v>
      </c>
    </row>
    <row r="1328" spans="1:91" x14ac:dyDescent="0.3">
      <c r="A1328" t="s">
        <v>2146</v>
      </c>
      <c r="B1328">
        <v>49856</v>
      </c>
      <c r="C1328" t="s">
        <v>977</v>
      </c>
      <c r="D1328">
        <v>12</v>
      </c>
      <c r="I1328">
        <v>24000</v>
      </c>
      <c r="U1328">
        <v>10</v>
      </c>
      <c r="Y1328">
        <v>10</v>
      </c>
      <c r="AA1328">
        <v>10.25</v>
      </c>
      <c r="AC1328" s="3">
        <v>10.37</v>
      </c>
      <c r="AE1328" s="3">
        <v>10</v>
      </c>
      <c r="AI1328">
        <v>10</v>
      </c>
      <c r="AJ1328" t="s">
        <v>379</v>
      </c>
      <c r="AK1328" s="3"/>
      <c r="AV1328" t="s">
        <v>370</v>
      </c>
      <c r="AX1328" t="s">
        <v>370</v>
      </c>
      <c r="AZ1328" t="s">
        <v>370</v>
      </c>
      <c r="BB1328" t="s">
        <v>370</v>
      </c>
      <c r="BO1328" t="s">
        <v>367</v>
      </c>
      <c r="BR1328" s="2">
        <v>1922420</v>
      </c>
      <c r="BS1328" t="s">
        <v>2147</v>
      </c>
      <c r="BT1328">
        <v>4</v>
      </c>
      <c r="BU1328">
        <v>10</v>
      </c>
      <c r="BV1328">
        <v>0</v>
      </c>
      <c r="BX1328">
        <v>10.5</v>
      </c>
      <c r="BZ1328">
        <v>9.75</v>
      </c>
      <c r="CM1328">
        <v>1911</v>
      </c>
    </row>
    <row r="1329" spans="1:91" x14ac:dyDescent="0.3">
      <c r="A1329" t="s">
        <v>2146</v>
      </c>
      <c r="B1329">
        <v>49857</v>
      </c>
      <c r="C1329" t="s">
        <v>1071</v>
      </c>
      <c r="D1329">
        <v>12</v>
      </c>
      <c r="I1329" s="2">
        <v>1008890</v>
      </c>
      <c r="J1329" t="s">
        <v>800</v>
      </c>
      <c r="V1329" t="s">
        <v>350</v>
      </c>
      <c r="Y1329">
        <v>100</v>
      </c>
      <c r="AA1329">
        <v>99</v>
      </c>
      <c r="AC1329" s="3">
        <v>99.75</v>
      </c>
      <c r="AE1329" s="3">
        <v>97</v>
      </c>
      <c r="AI1329">
        <v>97</v>
      </c>
      <c r="AJ1329" t="s">
        <v>379</v>
      </c>
      <c r="AK1329" s="3"/>
      <c r="AV1329" t="s">
        <v>370</v>
      </c>
      <c r="AX1329" t="s">
        <v>370</v>
      </c>
      <c r="AZ1329" t="s">
        <v>370</v>
      </c>
      <c r="BB1329" t="s">
        <v>370</v>
      </c>
      <c r="BO1329" t="s">
        <v>367</v>
      </c>
      <c r="BR1329" s="2">
        <v>1922420</v>
      </c>
      <c r="BS1329" t="s">
        <v>2147</v>
      </c>
      <c r="BT1329">
        <v>4</v>
      </c>
      <c r="BU1329">
        <v>2</v>
      </c>
      <c r="BV1329">
        <v>6</v>
      </c>
      <c r="BX1329">
        <v>100.75</v>
      </c>
      <c r="BZ1329">
        <v>96</v>
      </c>
      <c r="CM1329">
        <v>1911</v>
      </c>
    </row>
    <row r="1330" spans="1:91" x14ac:dyDescent="0.3">
      <c r="A1330" t="s">
        <v>2148</v>
      </c>
      <c r="B1330">
        <v>49881</v>
      </c>
      <c r="D1330">
        <v>12</v>
      </c>
      <c r="I1330">
        <v>800000</v>
      </c>
      <c r="U1330">
        <v>1</v>
      </c>
      <c r="Y1330">
        <v>1</v>
      </c>
      <c r="AA1330">
        <v>2</v>
      </c>
      <c r="AC1330" s="3">
        <v>2</v>
      </c>
      <c r="AE1330" s="3">
        <v>2</v>
      </c>
      <c r="AI1330">
        <v>2</v>
      </c>
      <c r="AK1330" s="3"/>
      <c r="AV1330" t="s">
        <v>823</v>
      </c>
      <c r="AZ1330" t="s">
        <v>823</v>
      </c>
      <c r="BG1330">
        <v>8</v>
      </c>
      <c r="BH1330">
        <v>10</v>
      </c>
      <c r="BI1330">
        <v>8</v>
      </c>
      <c r="BJ1330">
        <v>10</v>
      </c>
      <c r="BK1330" s="4">
        <v>3774</v>
      </c>
      <c r="BL1330" s="4">
        <v>3988</v>
      </c>
      <c r="BM1330" s="4">
        <v>4139</v>
      </c>
      <c r="BN1330" s="4">
        <v>4353</v>
      </c>
      <c r="BR1330">
        <v>586272</v>
      </c>
      <c r="BS1330" t="s">
        <v>2149</v>
      </c>
      <c r="BT1330">
        <v>4</v>
      </c>
      <c r="BU1330">
        <v>10</v>
      </c>
      <c r="BV1330">
        <v>0</v>
      </c>
      <c r="BX1330">
        <v>2.31</v>
      </c>
      <c r="BZ1330">
        <v>1.75</v>
      </c>
      <c r="CK1330" t="s">
        <v>360</v>
      </c>
      <c r="CL1330" t="s">
        <v>457</v>
      </c>
      <c r="CM1330">
        <v>1911</v>
      </c>
    </row>
    <row r="1331" spans="1:91" x14ac:dyDescent="0.3">
      <c r="A1331" t="s">
        <v>2148</v>
      </c>
      <c r="B1331">
        <v>49882</v>
      </c>
      <c r="C1331" t="s">
        <v>860</v>
      </c>
      <c r="D1331">
        <v>12</v>
      </c>
      <c r="I1331">
        <v>162938</v>
      </c>
      <c r="J1331" t="s">
        <v>800</v>
      </c>
      <c r="V1331" t="s">
        <v>350</v>
      </c>
      <c r="Y1331">
        <v>100</v>
      </c>
      <c r="AA1331">
        <v>95</v>
      </c>
      <c r="AC1331" s="3">
        <v>95.5</v>
      </c>
      <c r="AE1331" s="3">
        <v>95</v>
      </c>
      <c r="AI1331">
        <v>95</v>
      </c>
      <c r="AK1331" s="3"/>
      <c r="AV1331" t="s">
        <v>366</v>
      </c>
      <c r="AX1331" t="s">
        <v>366</v>
      </c>
      <c r="AZ1331" t="s">
        <v>366</v>
      </c>
      <c r="BB1331" t="s">
        <v>366</v>
      </c>
      <c r="BO1331" t="s">
        <v>367</v>
      </c>
      <c r="BR1331">
        <v>586272</v>
      </c>
      <c r="BS1331" t="s">
        <v>2149</v>
      </c>
      <c r="BT1331">
        <v>4</v>
      </c>
      <c r="BU1331">
        <v>4</v>
      </c>
      <c r="BV1331">
        <v>6</v>
      </c>
      <c r="BX1331">
        <v>97.75</v>
      </c>
      <c r="BZ1331">
        <v>95</v>
      </c>
      <c r="CM1331">
        <v>1911</v>
      </c>
    </row>
    <row r="1332" spans="1:91" x14ac:dyDescent="0.3">
      <c r="A1332" t="s">
        <v>2150</v>
      </c>
      <c r="B1332">
        <v>40160</v>
      </c>
      <c r="D1332">
        <v>12</v>
      </c>
      <c r="I1332">
        <v>75000</v>
      </c>
      <c r="U1332">
        <v>1</v>
      </c>
      <c r="Y1332">
        <v>1</v>
      </c>
      <c r="AA1332">
        <v>1.93</v>
      </c>
      <c r="AC1332" s="3">
        <v>1.93</v>
      </c>
      <c r="AE1332" s="3">
        <v>1.93</v>
      </c>
      <c r="AI1332">
        <v>1.93</v>
      </c>
      <c r="AK1332" s="3"/>
      <c r="AX1332" t="s">
        <v>823</v>
      </c>
      <c r="BB1332" t="s">
        <v>823</v>
      </c>
      <c r="BG1332">
        <v>12</v>
      </c>
      <c r="BH1332">
        <v>8</v>
      </c>
      <c r="BI1332">
        <v>12</v>
      </c>
      <c r="BJ1332">
        <v>8</v>
      </c>
      <c r="BK1332" s="4">
        <v>3774</v>
      </c>
      <c r="BL1332" s="4">
        <v>3927</v>
      </c>
      <c r="BM1332" s="4">
        <v>4139</v>
      </c>
      <c r="BN1332" s="4">
        <v>4292</v>
      </c>
      <c r="BR1332">
        <v>27060</v>
      </c>
      <c r="BT1332">
        <v>5</v>
      </c>
      <c r="BU1332">
        <v>3</v>
      </c>
      <c r="BV1332">
        <v>3</v>
      </c>
      <c r="BX1332">
        <v>2.12</v>
      </c>
      <c r="BZ1332">
        <v>1.87</v>
      </c>
      <c r="CK1332" t="s">
        <v>360</v>
      </c>
      <c r="CM1332">
        <v>1911</v>
      </c>
    </row>
    <row r="1333" spans="1:91" x14ac:dyDescent="0.3">
      <c r="A1333" t="s">
        <v>2151</v>
      </c>
      <c r="B1333">
        <v>40234</v>
      </c>
      <c r="D1333">
        <v>12</v>
      </c>
      <c r="I1333">
        <v>47835</v>
      </c>
      <c r="U1333">
        <v>10</v>
      </c>
      <c r="Y1333">
        <v>10</v>
      </c>
      <c r="AA1333">
        <v>8.75</v>
      </c>
      <c r="AC1333" s="3">
        <v>8.75</v>
      </c>
      <c r="AE1333" s="3">
        <v>8.75</v>
      </c>
      <c r="AI1333">
        <v>8.75</v>
      </c>
      <c r="AK1333" s="3"/>
      <c r="AV1333" t="s">
        <v>385</v>
      </c>
      <c r="AX1333" t="s">
        <v>385</v>
      </c>
      <c r="AZ1333" t="s">
        <v>815</v>
      </c>
      <c r="BB1333" t="s">
        <v>810</v>
      </c>
      <c r="BI1333">
        <v>5</v>
      </c>
      <c r="BL1333" t="s">
        <v>811</v>
      </c>
      <c r="BM1333" s="4">
        <v>579</v>
      </c>
      <c r="BS1333" t="s">
        <v>385</v>
      </c>
      <c r="BW1333" t="s">
        <v>802</v>
      </c>
      <c r="BX1333">
        <v>8.8699999999999992</v>
      </c>
      <c r="BZ1333">
        <v>5</v>
      </c>
      <c r="CM1333">
        <v>1911</v>
      </c>
    </row>
    <row r="1334" spans="1:91" x14ac:dyDescent="0.3">
      <c r="A1334" t="s">
        <v>2152</v>
      </c>
      <c r="B1334">
        <v>40235</v>
      </c>
      <c r="C1334" t="s">
        <v>2102</v>
      </c>
      <c r="D1334">
        <v>12</v>
      </c>
      <c r="I1334">
        <v>42000</v>
      </c>
      <c r="U1334">
        <v>10</v>
      </c>
      <c r="Y1334">
        <v>10</v>
      </c>
      <c r="AA1334">
        <v>9.8699999999999992</v>
      </c>
      <c r="AC1334" s="3">
        <v>9.8699999999999992</v>
      </c>
      <c r="AE1334" s="3">
        <v>9.6199999999999992</v>
      </c>
      <c r="AI1334">
        <v>9.6199999999999992</v>
      </c>
      <c r="AK1334" s="3"/>
      <c r="AV1334" t="s">
        <v>815</v>
      </c>
      <c r="AX1334" t="s">
        <v>815</v>
      </c>
      <c r="AZ1334" t="s">
        <v>815</v>
      </c>
      <c r="BB1334" t="s">
        <v>2153</v>
      </c>
      <c r="BG1334">
        <v>7</v>
      </c>
      <c r="BH1334">
        <v>2.5</v>
      </c>
      <c r="BI1334">
        <v>7.5</v>
      </c>
      <c r="BK1334" s="4">
        <v>3805</v>
      </c>
      <c r="BL1334" s="4">
        <v>3988</v>
      </c>
      <c r="BM1334" s="4">
        <v>4170</v>
      </c>
      <c r="BR1334">
        <v>92415</v>
      </c>
      <c r="BT1334">
        <v>7</v>
      </c>
      <c r="BU1334">
        <v>16</v>
      </c>
      <c r="BV1334">
        <v>0</v>
      </c>
      <c r="BX1334">
        <v>10</v>
      </c>
      <c r="BZ1334">
        <v>9</v>
      </c>
      <c r="CM1334">
        <v>1911</v>
      </c>
    </row>
    <row r="1335" spans="1:91" x14ac:dyDescent="0.3">
      <c r="A1335" t="s">
        <v>2154</v>
      </c>
      <c r="B1335">
        <v>40343</v>
      </c>
      <c r="D1335">
        <v>12</v>
      </c>
      <c r="I1335">
        <v>250000</v>
      </c>
      <c r="U1335">
        <v>1</v>
      </c>
      <c r="Y1335">
        <v>1</v>
      </c>
      <c r="AA1335">
        <v>3.75</v>
      </c>
      <c r="AC1335" s="3">
        <v>3.93</v>
      </c>
      <c r="AE1335" s="3">
        <v>3.5</v>
      </c>
      <c r="AI1335">
        <v>3.68</v>
      </c>
      <c r="AK1335" s="3"/>
      <c r="AV1335" t="s">
        <v>823</v>
      </c>
      <c r="AZ1335" t="s">
        <v>823</v>
      </c>
      <c r="BG1335">
        <v>10</v>
      </c>
      <c r="BH1335">
        <v>40</v>
      </c>
      <c r="BI1335">
        <v>10</v>
      </c>
      <c r="BJ1335">
        <v>30</v>
      </c>
      <c r="BK1335" s="4">
        <v>3654</v>
      </c>
      <c r="BL1335" s="4">
        <v>3835</v>
      </c>
      <c r="BM1335" s="4">
        <v>4019</v>
      </c>
      <c r="BN1335" s="4">
        <v>4200</v>
      </c>
      <c r="BR1335">
        <v>88832</v>
      </c>
      <c r="BT1335">
        <v>5</v>
      </c>
      <c r="BU1335">
        <v>8</v>
      </c>
      <c r="BV1335">
        <v>6</v>
      </c>
      <c r="BX1335">
        <v>4.37</v>
      </c>
      <c r="BZ1335">
        <v>3.12</v>
      </c>
      <c r="CK1335" t="s">
        <v>360</v>
      </c>
      <c r="CM1335">
        <v>1911</v>
      </c>
    </row>
    <row r="1336" spans="1:91" x14ac:dyDescent="0.3">
      <c r="A1336" t="s">
        <v>2155</v>
      </c>
      <c r="B1336">
        <v>40318</v>
      </c>
      <c r="D1336">
        <v>12</v>
      </c>
      <c r="I1336" s="2">
        <v>1100000</v>
      </c>
      <c r="U1336">
        <v>1</v>
      </c>
      <c r="Y1336">
        <v>1</v>
      </c>
      <c r="AA1336">
        <v>0.87</v>
      </c>
      <c r="AC1336" s="3">
        <v>0.87</v>
      </c>
      <c r="AE1336" s="3">
        <v>0.81</v>
      </c>
      <c r="AI1336">
        <v>0.84</v>
      </c>
      <c r="AK1336" s="3"/>
      <c r="AV1336" t="s">
        <v>385</v>
      </c>
      <c r="AX1336" t="s">
        <v>385</v>
      </c>
      <c r="AZ1336" t="s">
        <v>385</v>
      </c>
      <c r="BJ1336">
        <v>3</v>
      </c>
      <c r="BL1336" t="s">
        <v>811</v>
      </c>
      <c r="BM1336" t="s">
        <v>811</v>
      </c>
      <c r="BN1336" s="4">
        <v>4231</v>
      </c>
      <c r="BR1336">
        <v>1735</v>
      </c>
      <c r="BT1336">
        <v>3</v>
      </c>
      <c r="BU1336">
        <v>11</v>
      </c>
      <c r="BV1336">
        <v>0</v>
      </c>
      <c r="BX1336">
        <v>1.03</v>
      </c>
      <c r="BZ1336">
        <v>0.75</v>
      </c>
      <c r="CM1336">
        <v>1911</v>
      </c>
    </row>
    <row r="1337" spans="1:91" x14ac:dyDescent="0.3">
      <c r="A1337" t="s">
        <v>2156</v>
      </c>
      <c r="B1337">
        <v>40319</v>
      </c>
      <c r="D1337">
        <v>12</v>
      </c>
      <c r="I1337">
        <v>400000</v>
      </c>
      <c r="U1337">
        <v>1</v>
      </c>
      <c r="Y1337">
        <v>1</v>
      </c>
      <c r="AA1337">
        <v>0.21</v>
      </c>
      <c r="AC1337" s="3">
        <v>0.34</v>
      </c>
      <c r="AE1337" s="3">
        <v>0.21</v>
      </c>
      <c r="AI1337">
        <v>0.31</v>
      </c>
      <c r="AK1337" s="3"/>
      <c r="AV1337" t="s">
        <v>385</v>
      </c>
      <c r="AX1337" t="s">
        <v>385</v>
      </c>
      <c r="AZ1337" t="s">
        <v>385</v>
      </c>
      <c r="BB1337" t="s">
        <v>385</v>
      </c>
      <c r="BS1337" t="s">
        <v>385</v>
      </c>
      <c r="BW1337" t="s">
        <v>802</v>
      </c>
      <c r="BX1337">
        <v>0.62</v>
      </c>
      <c r="BZ1337">
        <v>0.18</v>
      </c>
      <c r="CM1337">
        <v>1911</v>
      </c>
    </row>
    <row r="1338" spans="1:91" x14ac:dyDescent="0.3">
      <c r="A1338" t="s">
        <v>2157</v>
      </c>
      <c r="B1338">
        <v>40301</v>
      </c>
      <c r="D1338">
        <v>12</v>
      </c>
      <c r="I1338" s="2">
        <v>1500000</v>
      </c>
      <c r="V1338" t="s">
        <v>1910</v>
      </c>
      <c r="Z1338" t="s">
        <v>1910</v>
      </c>
      <c r="AA1338">
        <v>0.71</v>
      </c>
      <c r="AB1338" t="s">
        <v>379</v>
      </c>
      <c r="AC1338" s="3">
        <v>0.84</v>
      </c>
      <c r="AE1338" s="3">
        <v>0.71</v>
      </c>
      <c r="AI1338">
        <v>0.84</v>
      </c>
      <c r="AK1338" s="3"/>
      <c r="AV1338" t="s">
        <v>815</v>
      </c>
      <c r="AX1338" t="s">
        <v>815</v>
      </c>
      <c r="AZ1338" t="s">
        <v>815</v>
      </c>
      <c r="BB1338" t="s">
        <v>815</v>
      </c>
      <c r="BG1338">
        <v>20</v>
      </c>
      <c r="BH1338">
        <v>30</v>
      </c>
      <c r="BI1338">
        <v>80</v>
      </c>
      <c r="BJ1338">
        <v>100</v>
      </c>
      <c r="BK1338" t="s">
        <v>1224</v>
      </c>
      <c r="BL1338" t="s">
        <v>1225</v>
      </c>
      <c r="BM1338" t="s">
        <v>913</v>
      </c>
      <c r="BN1338" t="s">
        <v>1226</v>
      </c>
      <c r="BR1338">
        <v>11650</v>
      </c>
      <c r="BT1338">
        <v>11</v>
      </c>
      <c r="BU1338">
        <v>17</v>
      </c>
      <c r="BV1338">
        <v>9</v>
      </c>
      <c r="BX1338">
        <v>1.34</v>
      </c>
      <c r="BZ1338">
        <v>0.68</v>
      </c>
      <c r="CK1338" t="s">
        <v>360</v>
      </c>
      <c r="CM1338">
        <v>1911</v>
      </c>
    </row>
    <row r="1339" spans="1:91" x14ac:dyDescent="0.3">
      <c r="A1339" t="s">
        <v>2158</v>
      </c>
      <c r="B1339">
        <v>40541</v>
      </c>
      <c r="D1339">
        <v>12</v>
      </c>
      <c r="I1339">
        <v>10000</v>
      </c>
      <c r="U1339">
        <v>20</v>
      </c>
      <c r="Y1339">
        <v>20</v>
      </c>
      <c r="AA1339">
        <v>47</v>
      </c>
      <c r="AC1339" s="3">
        <v>48</v>
      </c>
      <c r="AE1339" s="3">
        <v>47</v>
      </c>
      <c r="AI1339">
        <v>47.5</v>
      </c>
      <c r="AK1339" s="3"/>
      <c r="AX1339" t="s">
        <v>823</v>
      </c>
      <c r="BB1339" t="s">
        <v>823</v>
      </c>
      <c r="BG1339">
        <v>15</v>
      </c>
      <c r="BH1339">
        <v>10</v>
      </c>
      <c r="BI1339">
        <v>15</v>
      </c>
      <c r="BJ1339">
        <v>10</v>
      </c>
      <c r="BK1339" s="4">
        <v>3835</v>
      </c>
      <c r="BL1339" s="4">
        <v>4019</v>
      </c>
      <c r="BM1339" s="4">
        <v>4200</v>
      </c>
      <c r="BN1339" s="4">
        <v>4536</v>
      </c>
      <c r="BR1339">
        <v>53219</v>
      </c>
      <c r="BT1339">
        <v>5</v>
      </c>
      <c r="BU1339">
        <v>9</v>
      </c>
      <c r="BV1339">
        <v>6</v>
      </c>
      <c r="BX1339">
        <v>49.5</v>
      </c>
      <c r="BZ1339">
        <v>42.5</v>
      </c>
      <c r="CK1339" t="s">
        <v>360</v>
      </c>
      <c r="CM1339">
        <v>1911</v>
      </c>
    </row>
    <row r="1340" spans="1:91" x14ac:dyDescent="0.3">
      <c r="A1340" t="s">
        <v>2159</v>
      </c>
      <c r="B1340">
        <v>40542</v>
      </c>
      <c r="D1340">
        <v>12</v>
      </c>
      <c r="I1340">
        <v>14500</v>
      </c>
      <c r="U1340">
        <v>10</v>
      </c>
      <c r="Y1340">
        <v>10</v>
      </c>
      <c r="AA1340">
        <v>12.75</v>
      </c>
      <c r="AC1340" s="3">
        <v>12.87</v>
      </c>
      <c r="AE1340" s="3">
        <v>12.75</v>
      </c>
      <c r="AI1340">
        <v>12.87</v>
      </c>
      <c r="AK1340" s="3"/>
      <c r="AV1340" t="s">
        <v>815</v>
      </c>
      <c r="AX1340" t="s">
        <v>815</v>
      </c>
      <c r="AZ1340" t="s">
        <v>815</v>
      </c>
      <c r="BB1340" t="s">
        <v>815</v>
      </c>
      <c r="BG1340">
        <v>6</v>
      </c>
      <c r="BH1340">
        <v>6</v>
      </c>
      <c r="BI1340">
        <v>6</v>
      </c>
      <c r="BJ1340">
        <v>8</v>
      </c>
      <c r="BK1340" s="4">
        <v>3075</v>
      </c>
      <c r="BL1340" s="4">
        <v>3440</v>
      </c>
      <c r="BM1340" s="4">
        <v>3805</v>
      </c>
      <c r="BN1340" s="4">
        <v>4170</v>
      </c>
      <c r="BR1340">
        <v>27605</v>
      </c>
      <c r="BS1340" t="s">
        <v>2160</v>
      </c>
      <c r="BT1340">
        <v>6</v>
      </c>
      <c r="BU1340">
        <v>4</v>
      </c>
      <c r="BV1340">
        <v>3</v>
      </c>
      <c r="BX1340">
        <v>12.12</v>
      </c>
      <c r="BZ1340">
        <v>10.5</v>
      </c>
      <c r="CK1340" t="s">
        <v>360</v>
      </c>
      <c r="CM1340">
        <v>1911</v>
      </c>
    </row>
    <row r="1341" spans="1:91" x14ac:dyDescent="0.3">
      <c r="A1341" t="s">
        <v>2159</v>
      </c>
      <c r="B1341">
        <v>40544</v>
      </c>
      <c r="C1341" t="s">
        <v>2161</v>
      </c>
      <c r="D1341">
        <v>12</v>
      </c>
      <c r="I1341">
        <v>14500</v>
      </c>
      <c r="U1341">
        <v>10</v>
      </c>
      <c r="Y1341">
        <v>10</v>
      </c>
      <c r="AA1341">
        <v>11.12</v>
      </c>
      <c r="AC1341" s="3">
        <v>11.5</v>
      </c>
      <c r="AE1341" s="3">
        <v>11.12</v>
      </c>
      <c r="AI1341">
        <v>11.25</v>
      </c>
      <c r="AK1341" s="3"/>
      <c r="BG1341">
        <v>6</v>
      </c>
      <c r="BH1341">
        <v>6</v>
      </c>
      <c r="BI1341">
        <v>6</v>
      </c>
      <c r="BJ1341">
        <v>6</v>
      </c>
      <c r="BK1341" s="4">
        <v>3623</v>
      </c>
      <c r="BL1341" s="4">
        <v>3805</v>
      </c>
      <c r="BM1341" s="4">
        <v>3988</v>
      </c>
      <c r="BN1341" s="4">
        <v>4170</v>
      </c>
      <c r="BR1341">
        <v>27605</v>
      </c>
      <c r="BS1341" t="s">
        <v>2160</v>
      </c>
      <c r="BT1341">
        <v>5</v>
      </c>
      <c r="BU1341">
        <v>6</v>
      </c>
      <c r="BV1341">
        <v>9</v>
      </c>
      <c r="BX1341">
        <v>11.37</v>
      </c>
      <c r="BZ1341">
        <v>10.62</v>
      </c>
      <c r="CM1341">
        <v>1911</v>
      </c>
    </row>
    <row r="1342" spans="1:91" x14ac:dyDescent="0.3">
      <c r="A1342" t="s">
        <v>2162</v>
      </c>
      <c r="B1342">
        <v>40651</v>
      </c>
      <c r="D1342">
        <v>12</v>
      </c>
      <c r="I1342">
        <v>13349</v>
      </c>
      <c r="U1342">
        <v>5</v>
      </c>
      <c r="Y1342">
        <v>5</v>
      </c>
      <c r="AA1342">
        <v>6.87</v>
      </c>
      <c r="AC1342" s="3">
        <v>6.87</v>
      </c>
      <c r="AE1342" s="3">
        <v>6.75</v>
      </c>
      <c r="AI1342">
        <v>6.75</v>
      </c>
      <c r="AK1342" s="3"/>
      <c r="AV1342" t="s">
        <v>815</v>
      </c>
      <c r="AX1342" t="s">
        <v>815</v>
      </c>
      <c r="AZ1342" t="s">
        <v>815</v>
      </c>
      <c r="BB1342" t="s">
        <v>815</v>
      </c>
      <c r="BG1342">
        <v>16</v>
      </c>
      <c r="BH1342">
        <v>8</v>
      </c>
      <c r="BI1342">
        <v>5</v>
      </c>
      <c r="BJ1342">
        <v>5</v>
      </c>
      <c r="BK1342" t="s">
        <v>1224</v>
      </c>
      <c r="BL1342" s="4">
        <v>3470</v>
      </c>
      <c r="BM1342" s="4">
        <v>3835</v>
      </c>
      <c r="BN1342" s="4">
        <v>4200</v>
      </c>
      <c r="BR1342">
        <v>11278</v>
      </c>
      <c r="BT1342">
        <v>3</v>
      </c>
      <c r="BU1342">
        <v>14</v>
      </c>
      <c r="BV1342">
        <v>0</v>
      </c>
      <c r="BX1342">
        <v>6.87</v>
      </c>
      <c r="BZ1342">
        <v>5.75</v>
      </c>
      <c r="CK1342" t="s">
        <v>360</v>
      </c>
      <c r="CM1342">
        <v>1911</v>
      </c>
    </row>
    <row r="1343" spans="1:91" x14ac:dyDescent="0.3">
      <c r="A1343" t="s">
        <v>2163</v>
      </c>
      <c r="B1343">
        <v>40901</v>
      </c>
      <c r="D1343">
        <v>12</v>
      </c>
      <c r="I1343">
        <v>73000</v>
      </c>
      <c r="U1343">
        <v>1</v>
      </c>
      <c r="Y1343">
        <v>1</v>
      </c>
      <c r="AA1343">
        <v>0.93</v>
      </c>
      <c r="AC1343" s="3">
        <v>1</v>
      </c>
      <c r="AE1343" s="3">
        <v>0.93</v>
      </c>
      <c r="AI1343">
        <v>1</v>
      </c>
      <c r="AK1343" s="3"/>
      <c r="AV1343" t="s">
        <v>2164</v>
      </c>
      <c r="BG1343">
        <v>5</v>
      </c>
      <c r="BS1343" t="s">
        <v>385</v>
      </c>
      <c r="BT1343">
        <v>5</v>
      </c>
      <c r="BU1343">
        <v>0</v>
      </c>
      <c r="BV1343">
        <v>0</v>
      </c>
      <c r="BX1343">
        <v>1.25</v>
      </c>
      <c r="BZ1343">
        <v>0.81</v>
      </c>
      <c r="CM1343">
        <v>1911</v>
      </c>
    </row>
    <row r="1344" spans="1:91" x14ac:dyDescent="0.3">
      <c r="A1344" t="s">
        <v>2165</v>
      </c>
      <c r="B1344">
        <v>40967</v>
      </c>
      <c r="D1344">
        <v>12</v>
      </c>
      <c r="I1344">
        <v>10500</v>
      </c>
      <c r="U1344">
        <v>10</v>
      </c>
      <c r="Y1344">
        <v>10</v>
      </c>
      <c r="AA1344">
        <v>24.25</v>
      </c>
      <c r="AC1344" s="3">
        <v>24.25</v>
      </c>
      <c r="AE1344" s="3">
        <v>22.75</v>
      </c>
      <c r="AI1344">
        <v>22.75</v>
      </c>
      <c r="AK1344" s="3"/>
      <c r="AX1344" t="s">
        <v>823</v>
      </c>
      <c r="BB1344" t="s">
        <v>823</v>
      </c>
      <c r="BG1344">
        <v>20</v>
      </c>
      <c r="BH1344">
        <v>5</v>
      </c>
      <c r="BI1344">
        <v>25</v>
      </c>
      <c r="BJ1344">
        <v>10</v>
      </c>
      <c r="BK1344" s="4">
        <v>3774</v>
      </c>
      <c r="BL1344" s="4">
        <v>3958</v>
      </c>
      <c r="BM1344" s="4">
        <v>4139</v>
      </c>
      <c r="BN1344" s="4">
        <v>4323</v>
      </c>
      <c r="BR1344">
        <v>13847</v>
      </c>
      <c r="BS1344" t="s">
        <v>2166</v>
      </c>
      <c r="BT1344">
        <v>7</v>
      </c>
      <c r="BU1344">
        <v>13</v>
      </c>
      <c r="BV1344">
        <v>9</v>
      </c>
      <c r="BX1344">
        <v>25</v>
      </c>
      <c r="BZ1344">
        <v>17.75</v>
      </c>
      <c r="CK1344" t="s">
        <v>360</v>
      </c>
      <c r="CM1344">
        <v>1911</v>
      </c>
    </row>
    <row r="1345" spans="1:91" x14ac:dyDescent="0.3">
      <c r="A1345" t="s">
        <v>2165</v>
      </c>
      <c r="B1345">
        <v>40968</v>
      </c>
      <c r="C1345" t="s">
        <v>2102</v>
      </c>
      <c r="D1345">
        <v>12</v>
      </c>
      <c r="I1345">
        <v>10500</v>
      </c>
      <c r="U1345">
        <v>10</v>
      </c>
      <c r="Y1345">
        <v>10</v>
      </c>
      <c r="AA1345">
        <v>9.3699999999999992</v>
      </c>
      <c r="AC1345" s="3">
        <v>9.75</v>
      </c>
      <c r="AE1345" s="3">
        <v>9.3699999999999992</v>
      </c>
      <c r="AI1345">
        <v>9.75</v>
      </c>
      <c r="AK1345" s="3"/>
      <c r="AX1345" t="s">
        <v>823</v>
      </c>
      <c r="BB1345" t="s">
        <v>823</v>
      </c>
      <c r="BG1345">
        <v>5</v>
      </c>
      <c r="BH1345">
        <v>5</v>
      </c>
      <c r="BI1345">
        <v>5</v>
      </c>
      <c r="BJ1345">
        <v>5</v>
      </c>
      <c r="BK1345" s="4">
        <v>3774</v>
      </c>
      <c r="BL1345" s="4">
        <v>3958</v>
      </c>
      <c r="BM1345" s="4">
        <v>4139</v>
      </c>
      <c r="BN1345" s="4">
        <v>4323</v>
      </c>
      <c r="BR1345">
        <v>13847</v>
      </c>
      <c r="BS1345" t="s">
        <v>2166</v>
      </c>
      <c r="BT1345">
        <v>5</v>
      </c>
      <c r="BU1345">
        <v>2</v>
      </c>
      <c r="BV1345">
        <v>6</v>
      </c>
      <c r="BX1345">
        <v>9.75</v>
      </c>
      <c r="BZ1345">
        <v>8.75</v>
      </c>
      <c r="CM1345">
        <v>1911</v>
      </c>
    </row>
    <row r="1346" spans="1:91" x14ac:dyDescent="0.3">
      <c r="A1346" t="s">
        <v>2167</v>
      </c>
      <c r="B1346">
        <v>41032</v>
      </c>
      <c r="D1346">
        <v>12</v>
      </c>
      <c r="I1346">
        <v>100000</v>
      </c>
      <c r="U1346">
        <v>1</v>
      </c>
      <c r="Y1346">
        <v>1</v>
      </c>
      <c r="AA1346">
        <v>0.5</v>
      </c>
      <c r="AC1346" s="3">
        <v>0.5</v>
      </c>
      <c r="AE1346" s="3">
        <v>0.5</v>
      </c>
      <c r="AI1346">
        <v>0.5</v>
      </c>
      <c r="AK1346" s="3"/>
      <c r="AV1346" t="s">
        <v>385</v>
      </c>
      <c r="AX1346" t="s">
        <v>385</v>
      </c>
      <c r="AZ1346" t="s">
        <v>385</v>
      </c>
      <c r="BB1346" t="s">
        <v>385</v>
      </c>
      <c r="BS1346" t="s">
        <v>385</v>
      </c>
      <c r="BW1346" t="s">
        <v>802</v>
      </c>
      <c r="BX1346">
        <v>0.81</v>
      </c>
      <c r="BZ1346">
        <v>0.25</v>
      </c>
      <c r="CM1346">
        <v>1911</v>
      </c>
    </row>
    <row r="1347" spans="1:91" x14ac:dyDescent="0.3">
      <c r="A1347" t="s">
        <v>2168</v>
      </c>
      <c r="B1347">
        <v>41321</v>
      </c>
      <c r="D1347">
        <v>12</v>
      </c>
      <c r="I1347">
        <v>22900</v>
      </c>
      <c r="U1347">
        <v>5</v>
      </c>
      <c r="Y1347">
        <v>5</v>
      </c>
      <c r="AA1347">
        <v>14.33</v>
      </c>
      <c r="AC1347" s="3">
        <v>14.5</v>
      </c>
      <c r="AE1347" s="3">
        <v>14.37</v>
      </c>
      <c r="AI1347">
        <v>14.37</v>
      </c>
      <c r="AK1347" s="3"/>
      <c r="AV1347" t="s">
        <v>823</v>
      </c>
      <c r="AZ1347" t="s">
        <v>823</v>
      </c>
      <c r="BG1347">
        <v>5</v>
      </c>
      <c r="BH1347">
        <v>31</v>
      </c>
      <c r="BI1347">
        <v>5</v>
      </c>
      <c r="BJ1347">
        <v>39</v>
      </c>
      <c r="BK1347" s="4">
        <v>3623</v>
      </c>
      <c r="BL1347" s="4">
        <v>3774</v>
      </c>
      <c r="BM1347" s="4">
        <v>3988</v>
      </c>
      <c r="BN1347" s="4">
        <v>4139</v>
      </c>
      <c r="BR1347">
        <v>33287</v>
      </c>
      <c r="BS1347" t="s">
        <v>2129</v>
      </c>
      <c r="BT1347">
        <v>7</v>
      </c>
      <c r="BU1347">
        <v>13</v>
      </c>
      <c r="BV1347">
        <v>0</v>
      </c>
      <c r="BX1347">
        <v>14.62</v>
      </c>
      <c r="BZ1347">
        <v>13</v>
      </c>
      <c r="CK1347" t="s">
        <v>360</v>
      </c>
      <c r="CM1347">
        <v>1911</v>
      </c>
    </row>
    <row r="1348" spans="1:91" x14ac:dyDescent="0.3">
      <c r="A1348" t="s">
        <v>2169</v>
      </c>
      <c r="B1348">
        <v>41644</v>
      </c>
      <c r="D1348">
        <v>12</v>
      </c>
      <c r="I1348">
        <v>12165</v>
      </c>
      <c r="U1348">
        <v>5</v>
      </c>
      <c r="Y1348">
        <v>5</v>
      </c>
      <c r="AA1348">
        <v>6.5</v>
      </c>
      <c r="AC1348" s="3">
        <v>6.75</v>
      </c>
      <c r="AE1348" s="3">
        <v>6.62</v>
      </c>
      <c r="AI1348">
        <v>6.75</v>
      </c>
      <c r="AK1348" s="3"/>
      <c r="AZ1348" t="s">
        <v>815</v>
      </c>
      <c r="BB1348" t="s">
        <v>815</v>
      </c>
      <c r="BG1348">
        <v>4</v>
      </c>
      <c r="BH1348">
        <v>8</v>
      </c>
      <c r="BI1348">
        <v>10</v>
      </c>
      <c r="BJ1348">
        <v>10</v>
      </c>
      <c r="BK1348" s="4">
        <v>2709</v>
      </c>
      <c r="BL1348" s="4">
        <v>3044</v>
      </c>
      <c r="BM1348" s="4">
        <v>3774</v>
      </c>
      <c r="BN1348" s="4">
        <v>4139</v>
      </c>
      <c r="BR1348">
        <v>3822</v>
      </c>
      <c r="BT1348">
        <v>7</v>
      </c>
      <c r="BU1348">
        <v>8</v>
      </c>
      <c r="BV1348">
        <v>3</v>
      </c>
      <c r="BX1348">
        <v>7</v>
      </c>
      <c r="BZ1348">
        <v>5.75</v>
      </c>
      <c r="CK1348" t="s">
        <v>360</v>
      </c>
      <c r="CL1348" t="s">
        <v>457</v>
      </c>
      <c r="CM1348">
        <v>1911</v>
      </c>
    </row>
    <row r="1349" spans="1:91" x14ac:dyDescent="0.3">
      <c r="A1349" t="s">
        <v>2170</v>
      </c>
      <c r="B1349">
        <v>41867</v>
      </c>
      <c r="D1349">
        <v>12</v>
      </c>
      <c r="I1349">
        <v>66700</v>
      </c>
      <c r="U1349">
        <v>1</v>
      </c>
      <c r="Y1349">
        <v>1</v>
      </c>
      <c r="AA1349">
        <v>10.5</v>
      </c>
      <c r="AC1349" s="3">
        <v>12</v>
      </c>
      <c r="AE1349" s="3">
        <v>10.5</v>
      </c>
      <c r="AI1349">
        <v>11.5</v>
      </c>
      <c r="AK1349" s="3"/>
      <c r="AV1349" t="s">
        <v>815</v>
      </c>
      <c r="AX1349" t="s">
        <v>815</v>
      </c>
      <c r="AZ1349" t="s">
        <v>815</v>
      </c>
      <c r="BG1349">
        <v>55</v>
      </c>
      <c r="BH1349">
        <v>150</v>
      </c>
      <c r="BI1349">
        <v>150</v>
      </c>
      <c r="BJ1349">
        <v>150</v>
      </c>
      <c r="BK1349" t="s">
        <v>1260</v>
      </c>
      <c r="BL1349" t="s">
        <v>1261</v>
      </c>
      <c r="BM1349" t="s">
        <v>1262</v>
      </c>
      <c r="BR1349">
        <v>22086</v>
      </c>
      <c r="BT1349">
        <v>18</v>
      </c>
      <c r="BU1349">
        <v>0</v>
      </c>
      <c r="BV1349">
        <v>9</v>
      </c>
      <c r="BX1349">
        <v>16.62</v>
      </c>
      <c r="BZ1349">
        <v>9.6199999999999992</v>
      </c>
      <c r="CM1349">
        <v>1911</v>
      </c>
    </row>
    <row r="1350" spans="1:91" x14ac:dyDescent="0.3">
      <c r="A1350" t="s">
        <v>2171</v>
      </c>
      <c r="B1350">
        <v>41947</v>
      </c>
      <c r="D1350">
        <v>12</v>
      </c>
      <c r="I1350">
        <v>7650</v>
      </c>
      <c r="U1350">
        <v>10</v>
      </c>
      <c r="Y1350">
        <v>10</v>
      </c>
      <c r="AA1350">
        <v>15.75</v>
      </c>
      <c r="AB1350" t="s">
        <v>379</v>
      </c>
      <c r="AC1350" s="3">
        <v>15.75</v>
      </c>
      <c r="AE1350" s="3">
        <v>15.5</v>
      </c>
      <c r="AI1350">
        <v>15.5</v>
      </c>
      <c r="AK1350" s="3"/>
      <c r="AX1350" t="s">
        <v>823</v>
      </c>
      <c r="BB1350" t="s">
        <v>823</v>
      </c>
      <c r="BG1350">
        <v>15</v>
      </c>
      <c r="BH1350">
        <v>4</v>
      </c>
      <c r="BI1350">
        <v>20</v>
      </c>
      <c r="BJ1350">
        <v>8</v>
      </c>
      <c r="BK1350" s="4">
        <v>3805</v>
      </c>
      <c r="BL1350" s="4">
        <v>3988</v>
      </c>
      <c r="BM1350" s="4">
        <v>4170</v>
      </c>
      <c r="BN1350" s="4">
        <v>4353</v>
      </c>
      <c r="BR1350">
        <v>8421</v>
      </c>
      <c r="BT1350">
        <v>9</v>
      </c>
      <c r="BU1350">
        <v>0</v>
      </c>
      <c r="BV1350">
        <v>6</v>
      </c>
      <c r="BX1350">
        <v>16.25</v>
      </c>
      <c r="BZ1350">
        <v>18</v>
      </c>
      <c r="CK1350" t="s">
        <v>360</v>
      </c>
      <c r="CM1350">
        <v>1911</v>
      </c>
    </row>
    <row r="1351" spans="1:91" x14ac:dyDescent="0.3">
      <c r="A1351" t="s">
        <v>2172</v>
      </c>
      <c r="B1351">
        <v>42146</v>
      </c>
      <c r="D1351">
        <v>12</v>
      </c>
      <c r="I1351">
        <v>100000</v>
      </c>
      <c r="U1351">
        <v>1</v>
      </c>
      <c r="Z1351" t="s">
        <v>1758</v>
      </c>
      <c r="AA1351">
        <v>0.75</v>
      </c>
      <c r="AC1351" s="3">
        <v>0.75</v>
      </c>
      <c r="AE1351" s="3">
        <v>0.37</v>
      </c>
      <c r="AI1351">
        <v>0.75</v>
      </c>
      <c r="AK1351" s="3"/>
      <c r="AV1351" t="s">
        <v>385</v>
      </c>
      <c r="AX1351" t="s">
        <v>823</v>
      </c>
      <c r="AZ1351" t="s">
        <v>815</v>
      </c>
      <c r="BB1351" t="s">
        <v>1658</v>
      </c>
      <c r="BH1351">
        <v>10</v>
      </c>
      <c r="BI1351">
        <v>25</v>
      </c>
      <c r="BJ1351">
        <v>5</v>
      </c>
      <c r="BL1351" s="4">
        <v>3805</v>
      </c>
      <c r="BM1351" s="4">
        <v>3988</v>
      </c>
      <c r="BN1351" s="4">
        <v>4170</v>
      </c>
      <c r="BR1351">
        <v>2766</v>
      </c>
      <c r="BT1351">
        <v>17</v>
      </c>
      <c r="BU1351">
        <v>2</v>
      </c>
      <c r="BV1351">
        <v>9</v>
      </c>
      <c r="BX1351">
        <v>1.1200000000000001</v>
      </c>
      <c r="BZ1351">
        <v>0.37</v>
      </c>
      <c r="CM1351">
        <v>1911</v>
      </c>
    </row>
    <row r="1352" spans="1:91" x14ac:dyDescent="0.3">
      <c r="A1352" t="s">
        <v>2173</v>
      </c>
      <c r="B1352">
        <v>42249</v>
      </c>
      <c r="D1352">
        <v>12</v>
      </c>
      <c r="I1352">
        <v>600000</v>
      </c>
      <c r="V1352" t="s">
        <v>1910</v>
      </c>
      <c r="Z1352" t="s">
        <v>1910</v>
      </c>
      <c r="AA1352">
        <v>0.4</v>
      </c>
      <c r="AC1352" s="3">
        <v>0.43</v>
      </c>
      <c r="AE1352" s="3">
        <v>0.4</v>
      </c>
      <c r="AI1352">
        <v>0.46</v>
      </c>
      <c r="AK1352" s="3"/>
      <c r="AV1352" t="s">
        <v>385</v>
      </c>
      <c r="AX1352" t="s">
        <v>385</v>
      </c>
      <c r="AZ1352" t="s">
        <v>385</v>
      </c>
      <c r="BB1352" t="s">
        <v>385</v>
      </c>
      <c r="BS1352" t="s">
        <v>2174</v>
      </c>
      <c r="BW1352" t="s">
        <v>802</v>
      </c>
      <c r="BX1352">
        <v>1.1599999999999999</v>
      </c>
      <c r="BZ1352">
        <v>0.37</v>
      </c>
      <c r="CM1352">
        <v>1911</v>
      </c>
    </row>
    <row r="1353" spans="1:91" x14ac:dyDescent="0.3">
      <c r="A1353" t="s">
        <v>2175</v>
      </c>
      <c r="B1353">
        <v>42263</v>
      </c>
      <c r="D1353">
        <v>12</v>
      </c>
      <c r="I1353">
        <v>176000</v>
      </c>
      <c r="U1353">
        <v>1</v>
      </c>
      <c r="Y1353">
        <v>1</v>
      </c>
      <c r="AA1353">
        <v>7.25</v>
      </c>
      <c r="AC1353" s="3">
        <v>7.25</v>
      </c>
      <c r="AE1353" s="3">
        <v>7</v>
      </c>
      <c r="AI1353">
        <v>7</v>
      </c>
      <c r="AK1353" s="3"/>
      <c r="AX1353" t="s">
        <v>853</v>
      </c>
      <c r="BB1353" t="s">
        <v>853</v>
      </c>
      <c r="BG1353">
        <v>40</v>
      </c>
      <c r="BH1353">
        <v>25</v>
      </c>
      <c r="BI1353">
        <v>45</v>
      </c>
      <c r="BJ1353">
        <v>25</v>
      </c>
      <c r="BK1353" s="4">
        <v>3744</v>
      </c>
      <c r="BL1353" s="4">
        <v>3927</v>
      </c>
      <c r="BM1353" s="4">
        <v>4109</v>
      </c>
      <c r="BN1353" s="4">
        <v>4292</v>
      </c>
      <c r="BR1353">
        <v>118110</v>
      </c>
      <c r="BS1353" t="s">
        <v>2176</v>
      </c>
      <c r="BT1353">
        <v>5</v>
      </c>
      <c r="BU1353">
        <v>0</v>
      </c>
      <c r="BV1353">
        <v>0</v>
      </c>
      <c r="BX1353">
        <v>9.1199999999999992</v>
      </c>
      <c r="BZ1353">
        <v>6.87</v>
      </c>
      <c r="CK1353" t="s">
        <v>360</v>
      </c>
      <c r="CM1353">
        <v>1911</v>
      </c>
    </row>
    <row r="1354" spans="1:91" x14ac:dyDescent="0.3">
      <c r="A1354" t="s">
        <v>2177</v>
      </c>
      <c r="B1354">
        <v>42262</v>
      </c>
      <c r="D1354">
        <v>12</v>
      </c>
      <c r="I1354">
        <v>88000</v>
      </c>
      <c r="U1354">
        <v>1</v>
      </c>
      <c r="Y1354">
        <v>1</v>
      </c>
      <c r="AA1354">
        <v>1.56</v>
      </c>
      <c r="AC1354" s="3">
        <v>1.56</v>
      </c>
      <c r="AE1354" s="3">
        <v>1.56</v>
      </c>
      <c r="AI1354">
        <v>1.56</v>
      </c>
      <c r="AJ1354" t="s">
        <v>379</v>
      </c>
      <c r="AK1354" s="3"/>
      <c r="AV1354" t="s">
        <v>370</v>
      </c>
      <c r="AX1354" t="s">
        <v>370</v>
      </c>
      <c r="AZ1354" t="s">
        <v>370</v>
      </c>
      <c r="BB1354" t="s">
        <v>370</v>
      </c>
      <c r="BO1354" t="s">
        <v>367</v>
      </c>
      <c r="BR1354">
        <v>118110</v>
      </c>
      <c r="BS1354" t="s">
        <v>2176</v>
      </c>
      <c r="BT1354">
        <v>4</v>
      </c>
      <c r="BU1354">
        <v>9</v>
      </c>
      <c r="BV1354">
        <v>6</v>
      </c>
      <c r="BX1354">
        <v>1.62</v>
      </c>
      <c r="BZ1354">
        <v>1.43</v>
      </c>
      <c r="CM1354">
        <v>1911</v>
      </c>
    </row>
    <row r="1355" spans="1:91" x14ac:dyDescent="0.3">
      <c r="A1355" t="s">
        <v>2178</v>
      </c>
      <c r="B1355">
        <v>42288</v>
      </c>
      <c r="D1355">
        <v>12</v>
      </c>
      <c r="I1355">
        <v>72010</v>
      </c>
      <c r="U1355">
        <v>1</v>
      </c>
      <c r="Y1355">
        <v>1</v>
      </c>
      <c r="AA1355">
        <v>2.12</v>
      </c>
      <c r="AB1355" t="s">
        <v>379</v>
      </c>
      <c r="AC1355" s="3">
        <v>2.12</v>
      </c>
      <c r="AE1355" s="3">
        <v>2.09</v>
      </c>
      <c r="AI1355">
        <v>2.12</v>
      </c>
      <c r="AK1355" s="3"/>
      <c r="AV1355" t="s">
        <v>853</v>
      </c>
      <c r="AZ1355" t="s">
        <v>853</v>
      </c>
      <c r="BG1355">
        <v>5</v>
      </c>
      <c r="BH1355">
        <v>15</v>
      </c>
      <c r="BI1355">
        <v>5</v>
      </c>
      <c r="BJ1355">
        <v>30</v>
      </c>
      <c r="BK1355" s="4">
        <v>3593</v>
      </c>
      <c r="BL1355" s="4">
        <v>3805</v>
      </c>
      <c r="BM1355" s="4">
        <v>3958</v>
      </c>
      <c r="BN1355" s="4">
        <v>4170</v>
      </c>
      <c r="BR1355">
        <v>31496</v>
      </c>
      <c r="BS1355" t="s">
        <v>2179</v>
      </c>
      <c r="BT1355">
        <v>8</v>
      </c>
      <c r="BU1355">
        <v>4</v>
      </c>
      <c r="BV1355">
        <v>6</v>
      </c>
      <c r="BX1355">
        <v>2.25</v>
      </c>
      <c r="BZ1355">
        <v>1.65</v>
      </c>
      <c r="CK1355" t="s">
        <v>360</v>
      </c>
      <c r="CM1355">
        <v>1911</v>
      </c>
    </row>
    <row r="1356" spans="1:91" x14ac:dyDescent="0.3">
      <c r="A1356" t="s">
        <v>2180</v>
      </c>
      <c r="B1356">
        <v>42286</v>
      </c>
      <c r="D1356">
        <v>12</v>
      </c>
      <c r="I1356">
        <v>81007</v>
      </c>
      <c r="U1356">
        <v>1</v>
      </c>
      <c r="Y1356">
        <v>1</v>
      </c>
      <c r="AA1356">
        <v>1.25</v>
      </c>
      <c r="AB1356" t="s">
        <v>379</v>
      </c>
      <c r="AC1356" s="3">
        <v>1.25</v>
      </c>
      <c r="AE1356" s="3">
        <v>1.25</v>
      </c>
      <c r="AI1356">
        <v>1.25</v>
      </c>
      <c r="AK1356" s="3"/>
      <c r="BG1356">
        <v>7</v>
      </c>
      <c r="BH1356">
        <v>7</v>
      </c>
      <c r="BI1356">
        <v>7</v>
      </c>
      <c r="BJ1356">
        <v>7</v>
      </c>
      <c r="BK1356" s="4">
        <v>3774</v>
      </c>
      <c r="BL1356" s="4">
        <v>3958</v>
      </c>
      <c r="BM1356" s="4">
        <v>4139</v>
      </c>
      <c r="BN1356" s="4">
        <v>4323</v>
      </c>
      <c r="BR1356">
        <v>31496</v>
      </c>
      <c r="BS1356" t="s">
        <v>2179</v>
      </c>
      <c r="BT1356">
        <v>5</v>
      </c>
      <c r="BU1356">
        <v>12</v>
      </c>
      <c r="BV1356">
        <v>0</v>
      </c>
      <c r="BX1356">
        <v>1.37</v>
      </c>
      <c r="BZ1356">
        <v>1.21</v>
      </c>
      <c r="CM1356">
        <v>1911</v>
      </c>
    </row>
    <row r="1357" spans="1:91" x14ac:dyDescent="0.3">
      <c r="A1357" t="s">
        <v>2181</v>
      </c>
      <c r="B1357">
        <v>42339</v>
      </c>
      <c r="D1357">
        <v>12</v>
      </c>
      <c r="I1357" s="2">
        <v>1750000</v>
      </c>
      <c r="V1357" t="s">
        <v>1910</v>
      </c>
      <c r="Z1357" t="s">
        <v>1910</v>
      </c>
      <c r="AA1357">
        <v>0.15</v>
      </c>
      <c r="AC1357" s="3">
        <v>0.15</v>
      </c>
      <c r="AE1357" s="3">
        <v>0.15</v>
      </c>
      <c r="AI1357">
        <v>0.15</v>
      </c>
      <c r="AK1357" s="3"/>
      <c r="AV1357" t="s">
        <v>385</v>
      </c>
      <c r="AX1357" t="s">
        <v>385</v>
      </c>
      <c r="AZ1357" t="s">
        <v>385</v>
      </c>
      <c r="BB1357" t="s">
        <v>385</v>
      </c>
      <c r="BR1357">
        <v>814</v>
      </c>
      <c r="BW1357" t="s">
        <v>802</v>
      </c>
      <c r="BX1357">
        <v>0.25</v>
      </c>
      <c r="BZ1357">
        <v>0.15</v>
      </c>
      <c r="CM1357">
        <v>1911</v>
      </c>
    </row>
    <row r="1358" spans="1:91" x14ac:dyDescent="0.3">
      <c r="A1358" t="s">
        <v>2182</v>
      </c>
      <c r="B1358">
        <v>42391</v>
      </c>
      <c r="D1358">
        <v>12</v>
      </c>
      <c r="I1358">
        <v>10600</v>
      </c>
      <c r="U1358">
        <v>5</v>
      </c>
      <c r="Y1358">
        <v>5</v>
      </c>
      <c r="AA1358">
        <v>12.5</v>
      </c>
      <c r="AB1358" t="s">
        <v>379</v>
      </c>
      <c r="AC1358" s="3">
        <v>12.5</v>
      </c>
      <c r="AE1358" s="3">
        <v>12.25</v>
      </c>
      <c r="AI1358">
        <v>12.25</v>
      </c>
      <c r="AK1358" s="3"/>
      <c r="AX1358" t="s">
        <v>853</v>
      </c>
      <c r="BB1358" t="s">
        <v>853</v>
      </c>
      <c r="BG1358">
        <v>20</v>
      </c>
      <c r="BH1358">
        <v>10</v>
      </c>
      <c r="BI1358">
        <v>20</v>
      </c>
      <c r="BJ1358">
        <v>20</v>
      </c>
      <c r="BK1358" s="4">
        <v>3774</v>
      </c>
      <c r="BL1358" s="4">
        <v>3958</v>
      </c>
      <c r="BM1358" s="4">
        <v>4139</v>
      </c>
      <c r="BN1358" s="4">
        <v>4323</v>
      </c>
      <c r="BS1358" t="s">
        <v>385</v>
      </c>
      <c r="BT1358">
        <v>8</v>
      </c>
      <c r="BU1358">
        <v>3</v>
      </c>
      <c r="BV1358">
        <v>3</v>
      </c>
      <c r="BX1358">
        <v>13.5</v>
      </c>
      <c r="BZ1358">
        <v>10.43</v>
      </c>
      <c r="CK1358" t="s">
        <v>360</v>
      </c>
      <c r="CM1358">
        <v>1911</v>
      </c>
    </row>
    <row r="1359" spans="1:91" x14ac:dyDescent="0.3">
      <c r="A1359" t="s">
        <v>2182</v>
      </c>
      <c r="B1359">
        <v>42392</v>
      </c>
      <c r="C1359" t="s">
        <v>2183</v>
      </c>
      <c r="D1359">
        <v>12</v>
      </c>
      <c r="I1359">
        <v>10600</v>
      </c>
      <c r="U1359">
        <v>5</v>
      </c>
      <c r="Y1359">
        <v>5</v>
      </c>
      <c r="AA1359">
        <v>6.5</v>
      </c>
      <c r="AB1359" t="s">
        <v>379</v>
      </c>
      <c r="AC1359" s="3">
        <v>6.75</v>
      </c>
      <c r="AE1359" s="3">
        <v>6.5</v>
      </c>
      <c r="AI1359">
        <v>6.75</v>
      </c>
      <c r="AK1359" s="3"/>
      <c r="AV1359" t="s">
        <v>366</v>
      </c>
      <c r="AX1359" t="s">
        <v>366</v>
      </c>
      <c r="AZ1359" t="s">
        <v>366</v>
      </c>
      <c r="BB1359" t="s">
        <v>366</v>
      </c>
      <c r="BO1359" t="s">
        <v>367</v>
      </c>
      <c r="BR1359">
        <v>20485</v>
      </c>
      <c r="BS1359" t="s">
        <v>2184</v>
      </c>
      <c r="BT1359">
        <v>5</v>
      </c>
      <c r="BU1359">
        <v>3</v>
      </c>
      <c r="BV1359">
        <v>9</v>
      </c>
      <c r="BX1359">
        <v>6.75</v>
      </c>
      <c r="BZ1359">
        <v>6.25</v>
      </c>
      <c r="CM1359">
        <v>1911</v>
      </c>
    </row>
    <row r="1360" spans="1:91" x14ac:dyDescent="0.3">
      <c r="A1360" t="s">
        <v>2185</v>
      </c>
      <c r="B1360">
        <v>42712</v>
      </c>
      <c r="D1360">
        <v>12</v>
      </c>
      <c r="I1360">
        <v>60000</v>
      </c>
      <c r="U1360">
        <v>10</v>
      </c>
      <c r="Y1360">
        <v>10</v>
      </c>
      <c r="AA1360">
        <v>15.75</v>
      </c>
      <c r="AC1360" s="3">
        <v>15.75</v>
      </c>
      <c r="AE1360" s="3">
        <v>15.37</v>
      </c>
      <c r="AI1360">
        <v>15.5</v>
      </c>
      <c r="AK1360" s="3"/>
      <c r="AV1360" t="s">
        <v>853</v>
      </c>
      <c r="BB1360" t="s">
        <v>815</v>
      </c>
      <c r="BG1360">
        <v>10</v>
      </c>
      <c r="BH1360">
        <v>10</v>
      </c>
      <c r="BI1360">
        <v>7</v>
      </c>
      <c r="BJ1360">
        <v>3</v>
      </c>
      <c r="BK1360" t="s">
        <v>2186</v>
      </c>
      <c r="BL1360" t="s">
        <v>2187</v>
      </c>
      <c r="BM1360" s="4">
        <v>214</v>
      </c>
      <c r="BN1360" s="4">
        <v>4170</v>
      </c>
      <c r="BR1360">
        <v>149582</v>
      </c>
      <c r="BS1360" t="s">
        <v>2188</v>
      </c>
      <c r="BT1360">
        <v>1</v>
      </c>
      <c r="BU1360">
        <v>18</v>
      </c>
      <c r="BV1360">
        <v>9</v>
      </c>
      <c r="BX1360">
        <v>16</v>
      </c>
      <c r="BZ1360">
        <v>10.56</v>
      </c>
      <c r="CK1360" t="s">
        <v>1606</v>
      </c>
      <c r="CM1360">
        <v>1911</v>
      </c>
    </row>
    <row r="1361" spans="1:91" x14ac:dyDescent="0.3">
      <c r="A1361" t="s">
        <v>2189</v>
      </c>
      <c r="B1361">
        <v>42713</v>
      </c>
      <c r="C1361" t="s">
        <v>817</v>
      </c>
      <c r="D1361">
        <v>12</v>
      </c>
      <c r="I1361">
        <v>100000</v>
      </c>
      <c r="U1361">
        <v>10</v>
      </c>
      <c r="Y1361">
        <v>10</v>
      </c>
      <c r="AA1361">
        <v>10</v>
      </c>
      <c r="AC1361" s="3">
        <v>10.25</v>
      </c>
      <c r="AE1361" s="3">
        <v>9.75</v>
      </c>
      <c r="AI1361">
        <v>9.75</v>
      </c>
      <c r="AK1361" s="3"/>
      <c r="AX1361" t="s">
        <v>853</v>
      </c>
      <c r="BB1361" t="s">
        <v>853</v>
      </c>
      <c r="BG1361">
        <v>5</v>
      </c>
      <c r="BH1361">
        <v>5</v>
      </c>
      <c r="BI1361">
        <v>5</v>
      </c>
      <c r="BJ1361">
        <v>5</v>
      </c>
      <c r="BK1361" s="4">
        <v>3623</v>
      </c>
      <c r="BL1361" s="4">
        <v>3805</v>
      </c>
      <c r="BM1361" s="4">
        <v>3988</v>
      </c>
      <c r="BN1361" s="4">
        <v>4170</v>
      </c>
      <c r="BR1361">
        <v>149582</v>
      </c>
      <c r="BS1361" t="s">
        <v>2188</v>
      </c>
      <c r="BT1361">
        <v>5</v>
      </c>
      <c r="BU1361">
        <v>2</v>
      </c>
      <c r="BV1361">
        <v>6</v>
      </c>
      <c r="BX1361">
        <v>10.25</v>
      </c>
      <c r="BZ1361">
        <v>9.25</v>
      </c>
      <c r="CM1361">
        <v>1911</v>
      </c>
    </row>
    <row r="1362" spans="1:91" x14ac:dyDescent="0.3">
      <c r="A1362" t="s">
        <v>2189</v>
      </c>
      <c r="B1362">
        <v>42714</v>
      </c>
      <c r="C1362" t="s">
        <v>2190</v>
      </c>
      <c r="D1362">
        <v>12</v>
      </c>
      <c r="I1362">
        <v>40000</v>
      </c>
      <c r="U1362">
        <v>10</v>
      </c>
      <c r="Y1362">
        <v>10</v>
      </c>
      <c r="AA1362">
        <v>11.75</v>
      </c>
      <c r="AC1362" s="3">
        <v>11.75</v>
      </c>
      <c r="AE1362" s="3">
        <v>11.25</v>
      </c>
      <c r="AI1362">
        <v>11.37</v>
      </c>
      <c r="AK1362" s="3"/>
      <c r="AV1362" t="s">
        <v>815</v>
      </c>
      <c r="AX1362" t="s">
        <v>815</v>
      </c>
      <c r="AZ1362" t="s">
        <v>815</v>
      </c>
      <c r="BB1362" t="s">
        <v>853</v>
      </c>
      <c r="BG1362">
        <v>10.5</v>
      </c>
      <c r="BH1362">
        <v>21</v>
      </c>
      <c r="BI1362">
        <v>21</v>
      </c>
      <c r="BJ1362">
        <v>7</v>
      </c>
      <c r="BK1362" s="4">
        <v>3409</v>
      </c>
      <c r="BL1362" s="4">
        <v>3774</v>
      </c>
      <c r="BM1362" s="4">
        <v>4170</v>
      </c>
      <c r="BN1362" s="4">
        <v>4170</v>
      </c>
      <c r="BR1362">
        <v>149582</v>
      </c>
      <c r="BS1362" t="s">
        <v>2188</v>
      </c>
      <c r="BT1362">
        <v>6</v>
      </c>
      <c r="BU1362">
        <v>3</v>
      </c>
      <c r="BV1362">
        <v>0</v>
      </c>
      <c r="BX1362">
        <v>13.75</v>
      </c>
      <c r="BZ1362">
        <v>10.75</v>
      </c>
      <c r="CM1362">
        <v>1911</v>
      </c>
    </row>
    <row r="1363" spans="1:91" x14ac:dyDescent="0.3">
      <c r="A1363" t="s">
        <v>2189</v>
      </c>
      <c r="B1363">
        <v>42715</v>
      </c>
      <c r="C1363" t="s">
        <v>2191</v>
      </c>
      <c r="D1363">
        <v>12</v>
      </c>
      <c r="I1363">
        <v>550000</v>
      </c>
      <c r="J1363" t="s">
        <v>800</v>
      </c>
      <c r="V1363" t="s">
        <v>350</v>
      </c>
      <c r="Y1363">
        <v>100</v>
      </c>
      <c r="AA1363">
        <v>99</v>
      </c>
      <c r="AC1363" s="3">
        <v>100</v>
      </c>
      <c r="AE1363" s="3">
        <v>99</v>
      </c>
      <c r="AI1363">
        <v>100</v>
      </c>
      <c r="AK1363" s="3"/>
      <c r="BG1363">
        <v>4.5</v>
      </c>
      <c r="BH1363">
        <v>4.5</v>
      </c>
      <c r="BI1363">
        <v>4.5</v>
      </c>
      <c r="BJ1363">
        <v>4.5</v>
      </c>
      <c r="BK1363" s="4">
        <v>3774</v>
      </c>
      <c r="BL1363" s="4">
        <v>3958</v>
      </c>
      <c r="BM1363" s="4">
        <v>4139</v>
      </c>
      <c r="BN1363" s="4">
        <v>4323</v>
      </c>
      <c r="BR1363">
        <v>149582</v>
      </c>
      <c r="BS1363" t="s">
        <v>2188</v>
      </c>
      <c r="BT1363">
        <v>4</v>
      </c>
      <c r="BU1363">
        <v>11</v>
      </c>
      <c r="BV1363">
        <v>0</v>
      </c>
      <c r="BX1363">
        <v>103</v>
      </c>
      <c r="BZ1363">
        <v>98.5</v>
      </c>
      <c r="CM1363">
        <v>1911</v>
      </c>
    </row>
    <row r="1364" spans="1:91" x14ac:dyDescent="0.3">
      <c r="A1364" t="s">
        <v>2192</v>
      </c>
      <c r="B1364">
        <v>43053</v>
      </c>
      <c r="D1364">
        <v>12</v>
      </c>
      <c r="I1364">
        <v>6771</v>
      </c>
      <c r="U1364">
        <v>20</v>
      </c>
      <c r="Y1364">
        <v>20</v>
      </c>
      <c r="AA1364">
        <v>13</v>
      </c>
      <c r="AC1364" s="3">
        <v>13</v>
      </c>
      <c r="AE1364" s="3">
        <v>13</v>
      </c>
      <c r="AI1364">
        <v>13</v>
      </c>
      <c r="AK1364" s="3"/>
      <c r="AV1364" t="s">
        <v>802</v>
      </c>
      <c r="AX1364" t="s">
        <v>815</v>
      </c>
      <c r="AZ1364" t="s">
        <v>815</v>
      </c>
      <c r="BB1364" t="s">
        <v>815</v>
      </c>
      <c r="BH1364">
        <v>2.5</v>
      </c>
      <c r="BI1364">
        <v>3.5</v>
      </c>
      <c r="BJ1364">
        <v>3.5</v>
      </c>
      <c r="BK1364" s="4">
        <v>3044</v>
      </c>
      <c r="BL1364" s="4">
        <v>3409</v>
      </c>
      <c r="BM1364" s="4">
        <v>3774</v>
      </c>
      <c r="BN1364" s="4">
        <v>4139</v>
      </c>
      <c r="BR1364">
        <v>6983</v>
      </c>
      <c r="BT1364">
        <v>5</v>
      </c>
      <c r="BU1364">
        <v>7</v>
      </c>
      <c r="BV1364">
        <v>9</v>
      </c>
      <c r="BX1364">
        <v>13.31</v>
      </c>
      <c r="BZ1364">
        <v>9.93</v>
      </c>
      <c r="CK1364" t="s">
        <v>360</v>
      </c>
      <c r="CL1364" t="s">
        <v>457</v>
      </c>
      <c r="CM1364">
        <v>1911</v>
      </c>
    </row>
    <row r="1365" spans="1:91" x14ac:dyDescent="0.3">
      <c r="A1365" t="s">
        <v>2193</v>
      </c>
      <c r="B1365">
        <v>43054</v>
      </c>
      <c r="D1365">
        <v>12</v>
      </c>
      <c r="I1365">
        <v>6000</v>
      </c>
      <c r="U1365">
        <v>10</v>
      </c>
      <c r="Y1365">
        <v>10</v>
      </c>
      <c r="AA1365">
        <v>4.87</v>
      </c>
      <c r="AC1365" s="3">
        <v>5</v>
      </c>
      <c r="AE1365" s="3">
        <v>4.71</v>
      </c>
      <c r="AI1365">
        <v>4.75</v>
      </c>
      <c r="AK1365" s="3"/>
      <c r="AU1365" t="s">
        <v>2194</v>
      </c>
      <c r="AV1365" s="5">
        <v>40578</v>
      </c>
      <c r="AX1365" t="s">
        <v>815</v>
      </c>
      <c r="AZ1365" t="s">
        <v>815</v>
      </c>
      <c r="BB1365" t="s">
        <v>815</v>
      </c>
      <c r="BC1365">
        <v>50</v>
      </c>
      <c r="BH1365">
        <v>3</v>
      </c>
      <c r="BI1365">
        <v>4</v>
      </c>
      <c r="BJ1365">
        <v>2.5</v>
      </c>
      <c r="BK1365" t="s">
        <v>2195</v>
      </c>
      <c r="BL1365" s="4">
        <v>3440</v>
      </c>
      <c r="BM1365" s="4">
        <v>3805</v>
      </c>
      <c r="BN1365" s="4">
        <v>4170</v>
      </c>
      <c r="BR1365">
        <v>2755</v>
      </c>
      <c r="BS1365" t="s">
        <v>2196</v>
      </c>
      <c r="BT1365">
        <v>5</v>
      </c>
      <c r="BU1365">
        <v>5</v>
      </c>
      <c r="BV1365">
        <v>3</v>
      </c>
      <c r="BX1365">
        <v>5.25</v>
      </c>
      <c r="BZ1365">
        <v>4.12</v>
      </c>
      <c r="CK1365" t="s">
        <v>360</v>
      </c>
      <c r="CM1365">
        <v>1911</v>
      </c>
    </row>
    <row r="1366" spans="1:91" x14ac:dyDescent="0.3">
      <c r="A1366" t="s">
        <v>2193</v>
      </c>
      <c r="B1366">
        <v>43055</v>
      </c>
      <c r="C1366" t="s">
        <v>817</v>
      </c>
      <c r="D1366">
        <v>12</v>
      </c>
      <c r="I1366">
        <v>6000</v>
      </c>
      <c r="U1366">
        <v>10</v>
      </c>
      <c r="Y1366">
        <v>10</v>
      </c>
      <c r="AA1366">
        <v>8.3699999999999992</v>
      </c>
      <c r="AC1366" s="3">
        <v>8.3699999999999992</v>
      </c>
      <c r="AE1366" s="3">
        <v>8</v>
      </c>
      <c r="AI1366">
        <v>8.1199999999999992</v>
      </c>
      <c r="AK1366" s="3"/>
      <c r="BG1366">
        <v>5</v>
      </c>
      <c r="BH1366">
        <v>5</v>
      </c>
      <c r="BI1366">
        <v>5</v>
      </c>
      <c r="BJ1366">
        <v>5</v>
      </c>
      <c r="BK1366" s="4">
        <v>3623</v>
      </c>
      <c r="BL1366" s="4">
        <v>3805</v>
      </c>
      <c r="BM1366" s="4">
        <v>3988</v>
      </c>
      <c r="BN1366" s="4">
        <v>4170</v>
      </c>
      <c r="BR1366">
        <v>2755</v>
      </c>
      <c r="BS1366" t="s">
        <v>2196</v>
      </c>
      <c r="BT1366">
        <v>6</v>
      </c>
      <c r="BU1366">
        <v>1</v>
      </c>
      <c r="BV1366">
        <v>3</v>
      </c>
      <c r="BX1366">
        <v>8.3699999999999992</v>
      </c>
      <c r="BZ1366">
        <v>8</v>
      </c>
      <c r="CM1366">
        <v>1911</v>
      </c>
    </row>
    <row r="1367" spans="1:91" x14ac:dyDescent="0.3">
      <c r="A1367" t="s">
        <v>2197</v>
      </c>
      <c r="B1367">
        <v>43162</v>
      </c>
      <c r="D1367">
        <v>12</v>
      </c>
      <c r="I1367">
        <v>170000</v>
      </c>
      <c r="U1367">
        <v>1</v>
      </c>
      <c r="Y1367">
        <v>1</v>
      </c>
      <c r="AA1367">
        <v>1.1200000000000001</v>
      </c>
      <c r="AC1367" s="3">
        <v>1.1200000000000001</v>
      </c>
      <c r="AE1367" s="3">
        <v>1.03</v>
      </c>
      <c r="AI1367">
        <v>1.06</v>
      </c>
      <c r="AK1367" s="3"/>
      <c r="AV1367" t="s">
        <v>385</v>
      </c>
      <c r="AX1367" t="s">
        <v>815</v>
      </c>
      <c r="AZ1367" t="s">
        <v>2198</v>
      </c>
      <c r="BB1367" t="s">
        <v>853</v>
      </c>
      <c r="BH1367">
        <v>4</v>
      </c>
      <c r="BJ1367">
        <v>4</v>
      </c>
      <c r="BK1367" t="s">
        <v>811</v>
      </c>
      <c r="BL1367" s="4">
        <v>4109</v>
      </c>
      <c r="BM1367" t="s">
        <v>811</v>
      </c>
      <c r="BN1367" s="4">
        <v>4262</v>
      </c>
      <c r="BR1367">
        <v>477</v>
      </c>
      <c r="BW1367" t="s">
        <v>385</v>
      </c>
      <c r="BX1367">
        <v>1.21</v>
      </c>
      <c r="BZ1367">
        <v>0.9</v>
      </c>
      <c r="CM1367">
        <v>1911</v>
      </c>
    </row>
    <row r="1368" spans="1:91" x14ac:dyDescent="0.3">
      <c r="A1368" t="s">
        <v>2199</v>
      </c>
      <c r="B1368">
        <v>43193</v>
      </c>
      <c r="D1368">
        <v>12</v>
      </c>
      <c r="I1368">
        <v>126132</v>
      </c>
      <c r="U1368">
        <v>1</v>
      </c>
      <c r="Y1368">
        <v>1</v>
      </c>
      <c r="AA1368">
        <v>2.5</v>
      </c>
      <c r="AC1368" s="3">
        <v>2.62</v>
      </c>
      <c r="AE1368" s="3">
        <v>2.5</v>
      </c>
      <c r="AI1368">
        <v>2.62</v>
      </c>
      <c r="AK1368" s="3"/>
      <c r="AX1368" t="s">
        <v>853</v>
      </c>
      <c r="BB1368" t="s">
        <v>853</v>
      </c>
      <c r="BG1368">
        <v>10</v>
      </c>
      <c r="BH1368">
        <v>15</v>
      </c>
      <c r="BI1368">
        <v>10</v>
      </c>
      <c r="BJ1368">
        <v>15</v>
      </c>
      <c r="BK1368" s="4">
        <v>3744</v>
      </c>
      <c r="BL1368" s="4">
        <v>3927</v>
      </c>
      <c r="BM1368" s="4">
        <v>4109</v>
      </c>
      <c r="BN1368" s="4">
        <v>4292</v>
      </c>
      <c r="BR1368">
        <v>31315</v>
      </c>
      <c r="BS1368" t="s">
        <v>2200</v>
      </c>
      <c r="BT1368">
        <v>5</v>
      </c>
      <c r="BU1368">
        <v>14</v>
      </c>
      <c r="BV1368">
        <v>3</v>
      </c>
      <c r="BX1368">
        <v>2.62</v>
      </c>
      <c r="BZ1368">
        <v>2</v>
      </c>
      <c r="CK1368" t="s">
        <v>360</v>
      </c>
      <c r="CM1368">
        <v>1911</v>
      </c>
    </row>
    <row r="1369" spans="1:91" x14ac:dyDescent="0.3">
      <c r="A1369" t="s">
        <v>2201</v>
      </c>
      <c r="B1369">
        <v>43194</v>
      </c>
      <c r="C1369" t="s">
        <v>844</v>
      </c>
      <c r="D1369">
        <v>12</v>
      </c>
      <c r="I1369">
        <v>12613</v>
      </c>
      <c r="U1369">
        <v>5</v>
      </c>
      <c r="Y1369">
        <v>5</v>
      </c>
      <c r="AA1369">
        <v>6</v>
      </c>
      <c r="AC1369" s="3">
        <v>6.25</v>
      </c>
      <c r="AE1369" s="3">
        <v>6</v>
      </c>
      <c r="AI1369">
        <v>6.25</v>
      </c>
      <c r="AK1369" s="3"/>
      <c r="AV1369" t="s">
        <v>536</v>
      </c>
      <c r="AX1369" t="s">
        <v>536</v>
      </c>
      <c r="AZ1369" t="s">
        <v>536</v>
      </c>
      <c r="BB1369" t="s">
        <v>536</v>
      </c>
      <c r="BO1369" t="s">
        <v>367</v>
      </c>
      <c r="BR1369">
        <v>31315</v>
      </c>
      <c r="BS1369" t="s">
        <v>2200</v>
      </c>
      <c r="BT1369">
        <v>4</v>
      </c>
      <c r="BU1369">
        <v>16</v>
      </c>
      <c r="BV1369">
        <v>0</v>
      </c>
      <c r="BX1369">
        <v>6.5</v>
      </c>
      <c r="BZ1369">
        <v>5.5</v>
      </c>
      <c r="CM1369">
        <v>1911</v>
      </c>
    </row>
    <row r="1370" spans="1:91" x14ac:dyDescent="0.3">
      <c r="A1370" t="s">
        <v>2202</v>
      </c>
      <c r="B1370">
        <v>43238</v>
      </c>
      <c r="D1370">
        <v>12</v>
      </c>
      <c r="I1370">
        <v>210000</v>
      </c>
      <c r="U1370">
        <v>1</v>
      </c>
      <c r="Y1370">
        <v>1</v>
      </c>
      <c r="AA1370">
        <v>3.75</v>
      </c>
      <c r="AC1370" s="3">
        <v>3.81</v>
      </c>
      <c r="AE1370" s="3">
        <v>3.62</v>
      </c>
      <c r="AI1370">
        <v>3.68</v>
      </c>
      <c r="AK1370" s="3"/>
      <c r="AX1370" t="s">
        <v>853</v>
      </c>
      <c r="BB1370" t="s">
        <v>853</v>
      </c>
      <c r="BG1370">
        <v>40</v>
      </c>
      <c r="BH1370">
        <v>15</v>
      </c>
      <c r="BI1370">
        <v>45</v>
      </c>
      <c r="BJ1370">
        <v>12.5</v>
      </c>
      <c r="BK1370" s="4">
        <v>3835</v>
      </c>
      <c r="BL1370" s="4">
        <v>4019</v>
      </c>
      <c r="BM1370" s="4">
        <v>4170</v>
      </c>
      <c r="BN1370" s="4">
        <v>4384</v>
      </c>
      <c r="BR1370">
        <v>65425</v>
      </c>
      <c r="BS1370" t="s">
        <v>2203</v>
      </c>
      <c r="BT1370">
        <v>7</v>
      </c>
      <c r="BU1370">
        <v>15</v>
      </c>
      <c r="BV1370">
        <v>9</v>
      </c>
      <c r="BX1370">
        <v>5.31</v>
      </c>
      <c r="BZ1370">
        <v>3.37</v>
      </c>
      <c r="CK1370" t="s">
        <v>360</v>
      </c>
      <c r="CM1370">
        <v>1911</v>
      </c>
    </row>
    <row r="1371" spans="1:91" x14ac:dyDescent="0.3">
      <c r="A1371" t="s">
        <v>2204</v>
      </c>
      <c r="B1371">
        <v>43239</v>
      </c>
      <c r="C1371" t="s">
        <v>2183</v>
      </c>
      <c r="D1371">
        <v>12</v>
      </c>
      <c r="I1371">
        <v>7500</v>
      </c>
      <c r="U1371">
        <v>10</v>
      </c>
      <c r="Y1371">
        <v>10</v>
      </c>
      <c r="AA1371">
        <v>14.75</v>
      </c>
      <c r="AC1371" s="3">
        <v>14.75</v>
      </c>
      <c r="AE1371" s="3">
        <v>14.5</v>
      </c>
      <c r="AI1371">
        <v>14.5</v>
      </c>
      <c r="AK1371" s="3"/>
      <c r="AV1371" t="s">
        <v>370</v>
      </c>
      <c r="AX1371" t="s">
        <v>370</v>
      </c>
      <c r="AZ1371" t="s">
        <v>370</v>
      </c>
      <c r="BB1371" t="s">
        <v>370</v>
      </c>
      <c r="BO1371" t="s">
        <v>367</v>
      </c>
      <c r="BR1371">
        <v>65425</v>
      </c>
      <c r="BS1371" t="s">
        <v>2203</v>
      </c>
      <c r="BT1371">
        <v>4</v>
      </c>
      <c r="BU1371">
        <v>16</v>
      </c>
      <c r="BV1371">
        <v>6</v>
      </c>
      <c r="BX1371">
        <v>14.75</v>
      </c>
      <c r="BZ1371">
        <v>14.25</v>
      </c>
      <c r="CM1371">
        <v>1911</v>
      </c>
    </row>
    <row r="1372" spans="1:91" x14ac:dyDescent="0.3">
      <c r="A1372" t="s">
        <v>2205</v>
      </c>
      <c r="B1372">
        <v>43240</v>
      </c>
      <c r="D1372">
        <v>12</v>
      </c>
      <c r="I1372">
        <v>22000</v>
      </c>
      <c r="U1372">
        <v>10</v>
      </c>
      <c r="Y1372">
        <v>10</v>
      </c>
      <c r="AA1372">
        <v>17.62</v>
      </c>
      <c r="AB1372" t="s">
        <v>379</v>
      </c>
      <c r="AC1372" s="3">
        <v>17.62</v>
      </c>
      <c r="AE1372" s="3">
        <v>17.25</v>
      </c>
      <c r="AI1372">
        <v>17.25</v>
      </c>
      <c r="AK1372" s="3"/>
      <c r="AX1372" t="s">
        <v>853</v>
      </c>
      <c r="BB1372" t="s">
        <v>853</v>
      </c>
      <c r="BG1372">
        <v>10</v>
      </c>
      <c r="BH1372">
        <v>10</v>
      </c>
      <c r="BI1372">
        <v>10</v>
      </c>
      <c r="BJ1372">
        <v>10</v>
      </c>
      <c r="BK1372" s="4">
        <v>3774</v>
      </c>
      <c r="BL1372" s="4">
        <v>3958</v>
      </c>
      <c r="BM1372" s="4">
        <v>4139</v>
      </c>
      <c r="BN1372" s="4">
        <v>4323</v>
      </c>
      <c r="BR1372">
        <v>51935</v>
      </c>
      <c r="BT1372">
        <v>5</v>
      </c>
      <c r="BU1372">
        <v>16</v>
      </c>
      <c r="BV1372">
        <v>0</v>
      </c>
      <c r="BX1372">
        <v>18.75</v>
      </c>
      <c r="BZ1372">
        <v>17</v>
      </c>
      <c r="CK1372" t="s">
        <v>360</v>
      </c>
      <c r="CL1372" t="s">
        <v>457</v>
      </c>
      <c r="CM1372">
        <v>1911</v>
      </c>
    </row>
    <row r="1373" spans="1:91" x14ac:dyDescent="0.3">
      <c r="A1373" t="s">
        <v>2206</v>
      </c>
      <c r="B1373">
        <v>43311</v>
      </c>
      <c r="D1373">
        <v>12</v>
      </c>
      <c r="I1373">
        <v>40000</v>
      </c>
      <c r="U1373">
        <v>10</v>
      </c>
      <c r="Y1373">
        <v>10</v>
      </c>
      <c r="AA1373">
        <v>13.25</v>
      </c>
      <c r="AC1373" s="3">
        <v>13.37</v>
      </c>
      <c r="AE1373" s="3">
        <v>11.87</v>
      </c>
      <c r="AI1373">
        <v>12.25</v>
      </c>
      <c r="AK1373" s="3"/>
      <c r="AV1373" t="s">
        <v>385</v>
      </c>
      <c r="AX1373" t="s">
        <v>385</v>
      </c>
      <c r="AZ1373" t="s">
        <v>385</v>
      </c>
      <c r="BB1373" t="s">
        <v>815</v>
      </c>
      <c r="BJ1373">
        <v>7.5</v>
      </c>
      <c r="BK1373" t="s">
        <v>811</v>
      </c>
      <c r="BL1373" t="s">
        <v>811</v>
      </c>
      <c r="BM1373" t="s">
        <v>811</v>
      </c>
      <c r="BN1373" s="4">
        <v>4353</v>
      </c>
      <c r="BS1373" t="s">
        <v>385</v>
      </c>
      <c r="BT1373">
        <v>6</v>
      </c>
      <c r="BU1373">
        <v>2</v>
      </c>
      <c r="BV1373">
        <v>6</v>
      </c>
      <c r="BY1373" t="s">
        <v>385</v>
      </c>
      <c r="CA1373" t="s">
        <v>385</v>
      </c>
      <c r="CM1373">
        <v>1911</v>
      </c>
    </row>
    <row r="1374" spans="1:91" x14ac:dyDescent="0.3">
      <c r="A1374" t="s">
        <v>2206</v>
      </c>
      <c r="B1374">
        <v>43310</v>
      </c>
      <c r="C1374" t="s">
        <v>2207</v>
      </c>
      <c r="D1374">
        <v>12</v>
      </c>
      <c r="I1374">
        <v>40000</v>
      </c>
      <c r="U1374">
        <v>10</v>
      </c>
      <c r="Y1374">
        <v>10</v>
      </c>
      <c r="AA1374">
        <v>11.5</v>
      </c>
      <c r="AC1374" s="3">
        <v>12</v>
      </c>
      <c r="AE1374" s="3">
        <v>11</v>
      </c>
      <c r="AI1374">
        <v>11.25</v>
      </c>
      <c r="AK1374" s="3"/>
      <c r="AV1374" t="s">
        <v>385</v>
      </c>
      <c r="AX1374" t="s">
        <v>385</v>
      </c>
      <c r="BI1374">
        <v>7.5</v>
      </c>
      <c r="BJ1374">
        <v>7.5</v>
      </c>
      <c r="BK1374" t="s">
        <v>811</v>
      </c>
      <c r="BL1374" t="s">
        <v>811</v>
      </c>
      <c r="BM1374" s="4">
        <v>4200</v>
      </c>
      <c r="BN1374" s="4">
        <v>4384</v>
      </c>
      <c r="BR1374">
        <v>59371</v>
      </c>
      <c r="BS1374" t="s">
        <v>385</v>
      </c>
      <c r="BT1374">
        <v>6</v>
      </c>
      <c r="BU1374">
        <v>13</v>
      </c>
      <c r="BV1374">
        <v>3</v>
      </c>
      <c r="BX1374">
        <v>12.25</v>
      </c>
      <c r="BZ1374">
        <v>10.119999999999999</v>
      </c>
      <c r="CM1374">
        <v>1911</v>
      </c>
    </row>
    <row r="1375" spans="1:91" x14ac:dyDescent="0.3">
      <c r="A1375" t="s">
        <v>2208</v>
      </c>
      <c r="B1375">
        <v>43380</v>
      </c>
      <c r="D1375">
        <v>12</v>
      </c>
      <c r="I1375">
        <v>60000</v>
      </c>
      <c r="U1375">
        <v>1</v>
      </c>
      <c r="Y1375">
        <v>1</v>
      </c>
      <c r="AA1375">
        <v>2</v>
      </c>
      <c r="AC1375" s="3">
        <v>2</v>
      </c>
      <c r="AE1375" s="3">
        <v>2</v>
      </c>
      <c r="AI1375">
        <v>2</v>
      </c>
      <c r="AK1375" s="3"/>
      <c r="AV1375" t="s">
        <v>815</v>
      </c>
      <c r="AX1375" t="s">
        <v>815</v>
      </c>
      <c r="AZ1375" t="s">
        <v>815</v>
      </c>
      <c r="BB1375" t="s">
        <v>815</v>
      </c>
      <c r="BG1375">
        <v>6.66</v>
      </c>
      <c r="BH1375">
        <v>5</v>
      </c>
      <c r="BI1375">
        <v>10</v>
      </c>
      <c r="BJ1375">
        <v>12.5</v>
      </c>
      <c r="BK1375" s="4">
        <v>3105</v>
      </c>
      <c r="BL1375" s="4">
        <v>3470</v>
      </c>
      <c r="BM1375" s="4">
        <v>3835</v>
      </c>
      <c r="BN1375" s="4">
        <v>4200</v>
      </c>
      <c r="BR1375">
        <v>8818</v>
      </c>
      <c r="BS1375" t="s">
        <v>2209</v>
      </c>
      <c r="BT1375">
        <v>6</v>
      </c>
      <c r="BU1375">
        <v>5</v>
      </c>
      <c r="BV1375">
        <v>0</v>
      </c>
      <c r="BX1375">
        <v>2</v>
      </c>
      <c r="BZ1375">
        <v>1.75</v>
      </c>
      <c r="CK1375" t="s">
        <v>360</v>
      </c>
      <c r="CM1375">
        <v>1911</v>
      </c>
    </row>
    <row r="1376" spans="1:91" x14ac:dyDescent="0.3">
      <c r="A1376" t="s">
        <v>2208</v>
      </c>
      <c r="B1376">
        <v>43381</v>
      </c>
      <c r="C1376" t="s">
        <v>844</v>
      </c>
      <c r="D1376">
        <v>12</v>
      </c>
      <c r="I1376">
        <v>100000</v>
      </c>
      <c r="U1376">
        <v>1</v>
      </c>
      <c r="Y1376">
        <v>1</v>
      </c>
      <c r="AA1376">
        <v>1.06</v>
      </c>
      <c r="AB1376" t="s">
        <v>379</v>
      </c>
      <c r="AC1376" s="3">
        <v>1.06</v>
      </c>
      <c r="AE1376" s="3">
        <v>1.06</v>
      </c>
      <c r="AI1376">
        <v>1.06</v>
      </c>
      <c r="AK1376" s="3"/>
      <c r="AV1376" t="s">
        <v>366</v>
      </c>
      <c r="AX1376" t="s">
        <v>366</v>
      </c>
      <c r="AZ1376" t="s">
        <v>366</v>
      </c>
      <c r="BB1376" t="s">
        <v>366</v>
      </c>
      <c r="BO1376" t="s">
        <v>367</v>
      </c>
      <c r="BR1376">
        <v>8818</v>
      </c>
      <c r="BS1376" t="s">
        <v>2209</v>
      </c>
      <c r="BT1376">
        <v>5</v>
      </c>
      <c r="BU1376">
        <v>13</v>
      </c>
      <c r="BV1376">
        <v>0</v>
      </c>
      <c r="BX1376">
        <v>1.06</v>
      </c>
      <c r="BZ1376">
        <v>1.06</v>
      </c>
      <c r="CM1376">
        <v>1911</v>
      </c>
    </row>
    <row r="1377" spans="1:91" x14ac:dyDescent="0.3">
      <c r="A1377" t="s">
        <v>2210</v>
      </c>
      <c r="B1377">
        <v>43423</v>
      </c>
      <c r="D1377">
        <v>12</v>
      </c>
      <c r="I1377">
        <v>129000</v>
      </c>
      <c r="U1377">
        <v>1</v>
      </c>
      <c r="Y1377">
        <v>1</v>
      </c>
      <c r="AA1377">
        <v>0.93</v>
      </c>
      <c r="AC1377" s="3">
        <v>0.93</v>
      </c>
      <c r="AE1377" s="3">
        <v>0.71</v>
      </c>
      <c r="AI1377">
        <v>0.81</v>
      </c>
      <c r="AK1377" s="3"/>
      <c r="AV1377" t="s">
        <v>853</v>
      </c>
      <c r="AZ1377" t="s">
        <v>853</v>
      </c>
      <c r="BB1377" t="s">
        <v>802</v>
      </c>
      <c r="BG1377">
        <v>6</v>
      </c>
      <c r="BH1377">
        <v>6</v>
      </c>
      <c r="BI1377">
        <v>5</v>
      </c>
      <c r="BK1377" s="4">
        <v>3562</v>
      </c>
      <c r="BL1377" s="4">
        <v>3774</v>
      </c>
      <c r="BM1377" s="4">
        <v>3958</v>
      </c>
      <c r="BN1377" s="4">
        <v>4139</v>
      </c>
      <c r="BR1377">
        <v>1074</v>
      </c>
      <c r="BW1377" t="s">
        <v>385</v>
      </c>
      <c r="BX1377">
        <v>1.25</v>
      </c>
      <c r="BZ1377">
        <v>0.71</v>
      </c>
      <c r="CM1377">
        <v>1911</v>
      </c>
    </row>
    <row r="1378" spans="1:91" x14ac:dyDescent="0.3">
      <c r="A1378" t="s">
        <v>2211</v>
      </c>
      <c r="B1378">
        <v>43448</v>
      </c>
      <c r="D1378">
        <v>12</v>
      </c>
      <c r="I1378">
        <v>19724</v>
      </c>
      <c r="U1378">
        <v>5</v>
      </c>
      <c r="Y1378">
        <v>5</v>
      </c>
      <c r="AA1378">
        <v>8.75</v>
      </c>
      <c r="AC1378" s="3">
        <v>8.75</v>
      </c>
      <c r="AE1378" s="3">
        <v>8.75</v>
      </c>
      <c r="AI1378">
        <v>8.75</v>
      </c>
      <c r="AK1378" s="3"/>
      <c r="AV1378" t="s">
        <v>815</v>
      </c>
      <c r="AX1378" t="s">
        <v>815</v>
      </c>
      <c r="AZ1378" t="s">
        <v>815</v>
      </c>
      <c r="BB1378" t="s">
        <v>815</v>
      </c>
      <c r="BG1378">
        <v>10</v>
      </c>
      <c r="BH1378">
        <v>10</v>
      </c>
      <c r="BI1378">
        <v>10</v>
      </c>
      <c r="BJ1378">
        <v>10</v>
      </c>
      <c r="BK1378" s="4">
        <v>3044</v>
      </c>
      <c r="BL1378" s="4">
        <v>3409</v>
      </c>
      <c r="BM1378" s="4">
        <v>3774</v>
      </c>
      <c r="BN1378" s="4">
        <v>4139</v>
      </c>
      <c r="BR1378">
        <v>23602</v>
      </c>
      <c r="BT1378">
        <v>5</v>
      </c>
      <c r="BU1378">
        <v>14</v>
      </c>
      <c r="BV1378">
        <v>3</v>
      </c>
      <c r="BX1378">
        <v>8.81</v>
      </c>
      <c r="BZ1378">
        <v>7.75</v>
      </c>
      <c r="CK1378" t="s">
        <v>360</v>
      </c>
      <c r="CM1378">
        <v>1911</v>
      </c>
    </row>
    <row r="1379" spans="1:91" x14ac:dyDescent="0.3">
      <c r="A1379" t="s">
        <v>2212</v>
      </c>
      <c r="B1379">
        <v>43474</v>
      </c>
      <c r="D1379">
        <v>12</v>
      </c>
      <c r="I1379">
        <v>299135</v>
      </c>
      <c r="U1379">
        <v>1</v>
      </c>
      <c r="Y1379">
        <v>1</v>
      </c>
      <c r="AA1379">
        <v>3.37</v>
      </c>
      <c r="AC1379" s="3">
        <v>3.4</v>
      </c>
      <c r="AE1379" s="3">
        <v>3.12</v>
      </c>
      <c r="AI1379">
        <v>3.25</v>
      </c>
      <c r="AK1379" s="3"/>
      <c r="AX1379" t="s">
        <v>853</v>
      </c>
      <c r="BB1379" t="s">
        <v>853</v>
      </c>
      <c r="BG1379">
        <v>20</v>
      </c>
      <c r="BH1379">
        <v>10</v>
      </c>
      <c r="BI1379">
        <v>30</v>
      </c>
      <c r="BJ1379">
        <v>12</v>
      </c>
      <c r="BK1379" s="4">
        <v>3744</v>
      </c>
      <c r="BL1379" s="4">
        <v>3958</v>
      </c>
      <c r="BM1379" s="4">
        <v>4109</v>
      </c>
      <c r="BN1379" s="4">
        <v>4323</v>
      </c>
      <c r="BR1379">
        <v>64263</v>
      </c>
      <c r="BS1379" t="s">
        <v>2213</v>
      </c>
      <c r="BT1379">
        <v>6</v>
      </c>
      <c r="BU1379">
        <v>9</v>
      </c>
      <c r="BV1379">
        <v>3</v>
      </c>
      <c r="BX1379">
        <v>3.81</v>
      </c>
      <c r="BZ1379">
        <v>2.96</v>
      </c>
      <c r="CK1379" t="s">
        <v>360</v>
      </c>
      <c r="CM1379">
        <v>1911</v>
      </c>
    </row>
    <row r="1380" spans="1:91" x14ac:dyDescent="0.3">
      <c r="A1380" t="s">
        <v>2214</v>
      </c>
      <c r="B1380">
        <v>43476</v>
      </c>
      <c r="C1380" t="s">
        <v>2215</v>
      </c>
      <c r="D1380">
        <v>12</v>
      </c>
      <c r="I1380">
        <v>72000</v>
      </c>
      <c r="U1380">
        <v>1</v>
      </c>
      <c r="Y1380">
        <v>1</v>
      </c>
      <c r="AA1380">
        <v>1.06</v>
      </c>
      <c r="AC1380" s="3">
        <v>1.06</v>
      </c>
      <c r="AE1380" s="3">
        <v>1.06</v>
      </c>
      <c r="AI1380">
        <v>1.06</v>
      </c>
      <c r="AK1380" s="3"/>
      <c r="AV1380" t="s">
        <v>421</v>
      </c>
      <c r="AX1380" t="s">
        <v>421</v>
      </c>
      <c r="AZ1380" t="s">
        <v>421</v>
      </c>
      <c r="BB1380" t="s">
        <v>421</v>
      </c>
      <c r="BO1380" t="s">
        <v>367</v>
      </c>
      <c r="BR1380">
        <v>64263</v>
      </c>
      <c r="BS1380" t="s">
        <v>2213</v>
      </c>
      <c r="BT1380">
        <v>5</v>
      </c>
      <c r="BU1380">
        <v>0</v>
      </c>
      <c r="BV1380">
        <v>0</v>
      </c>
      <c r="BX1380">
        <v>1.1200000000000001</v>
      </c>
      <c r="BZ1380">
        <v>1</v>
      </c>
      <c r="CM1380">
        <v>1911</v>
      </c>
    </row>
    <row r="1381" spans="1:91" x14ac:dyDescent="0.3">
      <c r="A1381" t="s">
        <v>2216</v>
      </c>
      <c r="B1381">
        <v>43657</v>
      </c>
      <c r="D1381">
        <v>12</v>
      </c>
      <c r="I1381">
        <v>211500</v>
      </c>
      <c r="U1381">
        <v>1</v>
      </c>
      <c r="Y1381">
        <v>1</v>
      </c>
      <c r="AA1381">
        <v>2.06</v>
      </c>
      <c r="AC1381" s="3">
        <v>2.1800000000000002</v>
      </c>
      <c r="AE1381" s="3">
        <v>2</v>
      </c>
      <c r="AI1381">
        <v>2.06</v>
      </c>
      <c r="AJ1381" t="s">
        <v>379</v>
      </c>
      <c r="AK1381" s="3"/>
      <c r="AX1381" t="s">
        <v>853</v>
      </c>
      <c r="BB1381" t="s">
        <v>853</v>
      </c>
      <c r="BG1381">
        <v>15</v>
      </c>
      <c r="BH1381">
        <v>7.5</v>
      </c>
      <c r="BI1381">
        <v>17.5</v>
      </c>
      <c r="BJ1381">
        <v>10</v>
      </c>
      <c r="BK1381" s="4">
        <v>3835</v>
      </c>
      <c r="BL1381" s="4">
        <v>3988</v>
      </c>
      <c r="BM1381" s="4">
        <v>4200</v>
      </c>
      <c r="BN1381" s="4">
        <v>4353</v>
      </c>
      <c r="BR1381">
        <v>43104</v>
      </c>
      <c r="BS1381" t="s">
        <v>2217</v>
      </c>
      <c r="BT1381">
        <v>6</v>
      </c>
      <c r="BU1381">
        <v>17</v>
      </c>
      <c r="BV1381">
        <v>6</v>
      </c>
      <c r="BX1381">
        <v>2.1800000000000002</v>
      </c>
      <c r="BZ1381">
        <v>1.62</v>
      </c>
      <c r="CK1381" t="s">
        <v>360</v>
      </c>
      <c r="CM1381">
        <v>1911</v>
      </c>
    </row>
    <row r="1382" spans="1:91" x14ac:dyDescent="0.3">
      <c r="A1382" t="s">
        <v>2216</v>
      </c>
      <c r="B1382">
        <v>43658</v>
      </c>
      <c r="C1382" t="s">
        <v>817</v>
      </c>
      <c r="D1382">
        <v>12</v>
      </c>
      <c r="I1382">
        <v>21900</v>
      </c>
      <c r="U1382">
        <v>10</v>
      </c>
      <c r="Y1382">
        <v>10</v>
      </c>
      <c r="AA1382">
        <v>9.6199999999999992</v>
      </c>
      <c r="AC1382" s="3">
        <v>9.6199999999999992</v>
      </c>
      <c r="AE1382" s="3">
        <v>9.3699999999999992</v>
      </c>
      <c r="AI1382">
        <v>9.5</v>
      </c>
      <c r="AK1382" s="3"/>
      <c r="BG1382">
        <v>20</v>
      </c>
      <c r="BH1382">
        <v>15</v>
      </c>
      <c r="BI1382">
        <v>25</v>
      </c>
      <c r="BJ1382">
        <v>15</v>
      </c>
      <c r="BK1382" s="4">
        <v>3713</v>
      </c>
      <c r="BL1382" s="4">
        <v>3897</v>
      </c>
      <c r="BM1382" s="4">
        <v>4078</v>
      </c>
      <c r="BN1382" s="4">
        <v>4262</v>
      </c>
      <c r="BR1382">
        <v>43104</v>
      </c>
      <c r="BS1382" t="s">
        <v>2217</v>
      </c>
      <c r="BT1382">
        <v>5</v>
      </c>
      <c r="BU1382">
        <v>5</v>
      </c>
      <c r="BV1382">
        <v>3</v>
      </c>
      <c r="BX1382">
        <v>10.06</v>
      </c>
      <c r="BZ1382">
        <v>9.25</v>
      </c>
      <c r="CM1382">
        <v>1911</v>
      </c>
    </row>
    <row r="1383" spans="1:91" x14ac:dyDescent="0.3">
      <c r="A1383" t="s">
        <v>2218</v>
      </c>
      <c r="B1383">
        <v>44045</v>
      </c>
      <c r="D1383">
        <v>12</v>
      </c>
      <c r="I1383">
        <v>141938</v>
      </c>
      <c r="U1383">
        <v>1</v>
      </c>
      <c r="Y1383">
        <v>1</v>
      </c>
      <c r="AA1383">
        <v>3</v>
      </c>
      <c r="AC1383" s="3">
        <v>3.06</v>
      </c>
      <c r="AE1383" s="3">
        <v>3</v>
      </c>
      <c r="AI1383">
        <v>3</v>
      </c>
      <c r="AK1383" s="3"/>
      <c r="AX1383" t="s">
        <v>853</v>
      </c>
      <c r="BB1383" t="s">
        <v>853</v>
      </c>
      <c r="BJ1383">
        <v>3</v>
      </c>
      <c r="BK1383" t="s">
        <v>811</v>
      </c>
      <c r="BL1383" t="s">
        <v>811</v>
      </c>
      <c r="BM1383" t="s">
        <v>811</v>
      </c>
      <c r="BN1383" s="4">
        <v>4200</v>
      </c>
      <c r="BR1383">
        <v>17850</v>
      </c>
      <c r="BT1383">
        <v>6</v>
      </c>
      <c r="BU1383">
        <v>13</v>
      </c>
      <c r="BV1383">
        <v>3</v>
      </c>
      <c r="BX1383">
        <v>3.87</v>
      </c>
      <c r="BZ1383">
        <v>2.84</v>
      </c>
      <c r="CM1383">
        <v>1911</v>
      </c>
    </row>
    <row r="1384" spans="1:91" x14ac:dyDescent="0.3">
      <c r="A1384" t="s">
        <v>2219</v>
      </c>
      <c r="B1384">
        <v>44260</v>
      </c>
      <c r="D1384">
        <v>12</v>
      </c>
      <c r="I1384" s="2">
        <v>1013210</v>
      </c>
      <c r="U1384">
        <v>1</v>
      </c>
      <c r="Y1384">
        <v>1</v>
      </c>
      <c r="AA1384">
        <v>1.1200000000000001</v>
      </c>
      <c r="AC1384" s="3">
        <v>1.18</v>
      </c>
      <c r="AE1384" s="3">
        <v>1.06</v>
      </c>
      <c r="AI1384">
        <v>1.1200000000000001</v>
      </c>
      <c r="AK1384" s="3"/>
      <c r="AV1384" t="s">
        <v>385</v>
      </c>
      <c r="AX1384" t="s">
        <v>385</v>
      </c>
      <c r="AZ1384" t="s">
        <v>385</v>
      </c>
      <c r="BB1384" t="s">
        <v>815</v>
      </c>
      <c r="BJ1384">
        <v>3</v>
      </c>
      <c r="BK1384" t="s">
        <v>811</v>
      </c>
      <c r="BL1384" t="s">
        <v>811</v>
      </c>
      <c r="BM1384" t="s">
        <v>811</v>
      </c>
      <c r="BN1384" s="4">
        <v>4200</v>
      </c>
      <c r="BS1384" t="s">
        <v>385</v>
      </c>
      <c r="BT1384">
        <v>2</v>
      </c>
      <c r="BU1384">
        <v>13</v>
      </c>
      <c r="BV1384">
        <v>3</v>
      </c>
      <c r="BX1384">
        <v>1.31</v>
      </c>
      <c r="BZ1384">
        <v>1.06</v>
      </c>
      <c r="CM1384">
        <v>1911</v>
      </c>
    </row>
    <row r="1385" spans="1:91" x14ac:dyDescent="0.3">
      <c r="A1385" t="s">
        <v>2220</v>
      </c>
      <c r="B1385">
        <v>44590</v>
      </c>
      <c r="D1385">
        <v>12</v>
      </c>
      <c r="I1385">
        <v>307143</v>
      </c>
      <c r="U1385">
        <v>1</v>
      </c>
      <c r="Y1385">
        <v>1</v>
      </c>
      <c r="AA1385">
        <v>3.37</v>
      </c>
      <c r="AC1385" s="3">
        <v>3.93</v>
      </c>
      <c r="AE1385" s="3">
        <v>3.37</v>
      </c>
      <c r="AI1385">
        <v>3.93</v>
      </c>
      <c r="AK1385" s="3"/>
      <c r="AV1385" t="s">
        <v>815</v>
      </c>
      <c r="AX1385" t="s">
        <v>1901</v>
      </c>
      <c r="AZ1385" t="s">
        <v>853</v>
      </c>
      <c r="BB1385" t="s">
        <v>853</v>
      </c>
      <c r="BG1385">
        <v>50</v>
      </c>
      <c r="BH1385">
        <v>7.5</v>
      </c>
      <c r="BI1385">
        <v>7.5</v>
      </c>
      <c r="BJ1385">
        <v>7.5</v>
      </c>
      <c r="BK1385" t="s">
        <v>1226</v>
      </c>
      <c r="BL1385" s="4">
        <v>4200</v>
      </c>
      <c r="BM1385" s="4">
        <v>4292</v>
      </c>
      <c r="BN1385" s="4">
        <v>4384</v>
      </c>
      <c r="BR1385">
        <v>25743</v>
      </c>
      <c r="BT1385">
        <v>12</v>
      </c>
      <c r="BU1385">
        <v>14</v>
      </c>
      <c r="BV1385">
        <v>0</v>
      </c>
      <c r="BX1385">
        <v>6.12</v>
      </c>
      <c r="BZ1385">
        <v>3.28</v>
      </c>
      <c r="CM1385">
        <v>1911</v>
      </c>
    </row>
    <row r="1386" spans="1:91" x14ac:dyDescent="0.3">
      <c r="A1386" t="s">
        <v>2221</v>
      </c>
      <c r="B1386">
        <v>44818</v>
      </c>
      <c r="D1386">
        <v>12</v>
      </c>
      <c r="I1386">
        <v>367960</v>
      </c>
      <c r="U1386">
        <v>1</v>
      </c>
      <c r="Y1386">
        <v>1</v>
      </c>
      <c r="AA1386">
        <v>1.18</v>
      </c>
      <c r="AC1386" s="3">
        <v>1.21</v>
      </c>
      <c r="AE1386" s="3">
        <v>1.1499999999999999</v>
      </c>
      <c r="AI1386">
        <v>1.18</v>
      </c>
      <c r="AK1386" s="3"/>
      <c r="AV1386" t="s">
        <v>815</v>
      </c>
      <c r="AX1386" t="s">
        <v>815</v>
      </c>
      <c r="AZ1386" t="s">
        <v>853</v>
      </c>
      <c r="BG1386">
        <v>4</v>
      </c>
      <c r="BH1386">
        <v>7</v>
      </c>
      <c r="BI1386">
        <v>5</v>
      </c>
      <c r="BJ1386">
        <v>10</v>
      </c>
      <c r="BK1386" t="s">
        <v>1225</v>
      </c>
      <c r="BL1386" t="s">
        <v>913</v>
      </c>
      <c r="BM1386" s="4">
        <v>4019</v>
      </c>
      <c r="BN1386" s="4">
        <v>4139</v>
      </c>
      <c r="BR1386">
        <v>13356</v>
      </c>
      <c r="BS1386" t="s">
        <v>2222</v>
      </c>
      <c r="BT1386">
        <v>6</v>
      </c>
      <c r="BU1386">
        <v>6</v>
      </c>
      <c r="BV1386">
        <v>3</v>
      </c>
      <c r="BX1386">
        <v>1.31</v>
      </c>
      <c r="BZ1386">
        <v>1</v>
      </c>
      <c r="CK1386" t="s">
        <v>360</v>
      </c>
      <c r="CM1386">
        <v>1911</v>
      </c>
    </row>
    <row r="1387" spans="1:91" x14ac:dyDescent="0.3">
      <c r="A1387" t="s">
        <v>2221</v>
      </c>
      <c r="B1387">
        <v>44819</v>
      </c>
      <c r="C1387" t="s">
        <v>817</v>
      </c>
      <c r="D1387">
        <v>12</v>
      </c>
      <c r="I1387">
        <v>120000</v>
      </c>
      <c r="U1387">
        <v>1</v>
      </c>
      <c r="Y1387">
        <v>1</v>
      </c>
      <c r="AA1387">
        <v>0.93</v>
      </c>
      <c r="AC1387" s="3">
        <v>0.93</v>
      </c>
      <c r="AE1387" s="3">
        <v>0.93</v>
      </c>
      <c r="AI1387">
        <v>0.93</v>
      </c>
      <c r="AK1387" s="3"/>
      <c r="AV1387" t="s">
        <v>536</v>
      </c>
      <c r="AX1387" t="s">
        <v>536</v>
      </c>
      <c r="AZ1387" t="s">
        <v>536</v>
      </c>
      <c r="BB1387" t="s">
        <v>536</v>
      </c>
      <c r="BO1387" t="s">
        <v>367</v>
      </c>
      <c r="BR1387">
        <v>13356</v>
      </c>
      <c r="BS1387" t="s">
        <v>2222</v>
      </c>
      <c r="BT1387">
        <v>5</v>
      </c>
      <c r="BU1387">
        <v>6</v>
      </c>
      <c r="BV1387">
        <v>9</v>
      </c>
      <c r="BX1387">
        <v>0.96</v>
      </c>
      <c r="BZ1387">
        <v>0.87</v>
      </c>
      <c r="CM1387">
        <v>1911</v>
      </c>
    </row>
    <row r="1388" spans="1:91" x14ac:dyDescent="0.3">
      <c r="A1388" t="s">
        <v>2223</v>
      </c>
      <c r="B1388">
        <v>44867</v>
      </c>
      <c r="D1388">
        <v>12</v>
      </c>
      <c r="I1388">
        <v>30000</v>
      </c>
      <c r="U1388">
        <v>1</v>
      </c>
      <c r="Y1388">
        <v>1</v>
      </c>
      <c r="AA1388">
        <v>6.93</v>
      </c>
      <c r="AC1388" s="3">
        <v>8.43</v>
      </c>
      <c r="AE1388" s="3">
        <v>6.93</v>
      </c>
      <c r="AI1388">
        <v>8</v>
      </c>
      <c r="AK1388" s="3"/>
      <c r="AV1388" t="s">
        <v>815</v>
      </c>
      <c r="AX1388" t="s">
        <v>815</v>
      </c>
      <c r="AZ1388" t="s">
        <v>815</v>
      </c>
      <c r="BG1388">
        <v>5</v>
      </c>
      <c r="BH1388">
        <v>100</v>
      </c>
      <c r="BI1388">
        <v>55</v>
      </c>
      <c r="BK1388" t="s">
        <v>2224</v>
      </c>
      <c r="BL1388" t="s">
        <v>2225</v>
      </c>
      <c r="BM1388" t="s">
        <v>2226</v>
      </c>
      <c r="BR1388">
        <v>23581</v>
      </c>
      <c r="BT1388">
        <v>6</v>
      </c>
      <c r="BU1388">
        <v>17</v>
      </c>
      <c r="BV1388">
        <v>6</v>
      </c>
      <c r="BX1388">
        <v>15</v>
      </c>
      <c r="BZ1388">
        <v>6.5</v>
      </c>
      <c r="CM1388">
        <v>1911</v>
      </c>
    </row>
    <row r="1389" spans="1:91" x14ac:dyDescent="0.3">
      <c r="A1389" t="s">
        <v>2227</v>
      </c>
      <c r="B1389">
        <v>45028</v>
      </c>
      <c r="D1389">
        <v>12</v>
      </c>
      <c r="I1389">
        <v>200000</v>
      </c>
      <c r="U1389">
        <v>1</v>
      </c>
      <c r="Y1389">
        <v>1</v>
      </c>
      <c r="AA1389">
        <v>1.25</v>
      </c>
      <c r="AC1389" s="3">
        <v>1.18</v>
      </c>
      <c r="AE1389" s="3">
        <v>1.25</v>
      </c>
      <c r="AI1389">
        <v>1.31</v>
      </c>
      <c r="AJ1389" t="s">
        <v>379</v>
      </c>
      <c r="AK1389" s="3"/>
      <c r="AV1389" t="s">
        <v>385</v>
      </c>
      <c r="AX1389" t="s">
        <v>385</v>
      </c>
      <c r="AZ1389" t="s">
        <v>385</v>
      </c>
      <c r="BB1389" t="s">
        <v>385</v>
      </c>
      <c r="BR1389">
        <v>3925</v>
      </c>
      <c r="BW1389" t="s">
        <v>802</v>
      </c>
      <c r="BX1389">
        <v>1.37</v>
      </c>
      <c r="BZ1389">
        <v>1.1200000000000001</v>
      </c>
      <c r="CM1389">
        <v>1911</v>
      </c>
    </row>
    <row r="1390" spans="1:91" x14ac:dyDescent="0.3">
      <c r="A1390" t="s">
        <v>2228</v>
      </c>
      <c r="B1390">
        <v>45034</v>
      </c>
      <c r="D1390">
        <v>12</v>
      </c>
      <c r="I1390">
        <v>52930</v>
      </c>
      <c r="U1390">
        <v>1</v>
      </c>
      <c r="Y1390">
        <v>1</v>
      </c>
      <c r="AA1390">
        <v>1.31</v>
      </c>
      <c r="AC1390" s="3">
        <v>1.43</v>
      </c>
      <c r="AE1390" s="3">
        <v>1.31</v>
      </c>
      <c r="AI1390">
        <v>1.1200000000000001</v>
      </c>
      <c r="AJ1390" t="s">
        <v>379</v>
      </c>
      <c r="AK1390" s="3"/>
      <c r="AV1390" t="s">
        <v>815</v>
      </c>
      <c r="AX1390" t="s">
        <v>815</v>
      </c>
      <c r="AZ1390" t="s">
        <v>815</v>
      </c>
      <c r="BB1390" t="s">
        <v>853</v>
      </c>
      <c r="BG1390">
        <v>4</v>
      </c>
      <c r="BH1390">
        <v>8</v>
      </c>
      <c r="BI1390">
        <v>10</v>
      </c>
      <c r="BJ1390">
        <v>10</v>
      </c>
      <c r="BK1390" s="4">
        <v>3440</v>
      </c>
      <c r="BL1390" s="4">
        <v>3805</v>
      </c>
      <c r="BM1390" s="4">
        <v>4170</v>
      </c>
      <c r="BN1390" s="4">
        <v>4353</v>
      </c>
      <c r="BR1390">
        <v>2391</v>
      </c>
      <c r="BT1390">
        <v>6</v>
      </c>
      <c r="BU1390">
        <v>19</v>
      </c>
      <c r="BV1390">
        <v>3</v>
      </c>
      <c r="BX1390">
        <v>1.43</v>
      </c>
      <c r="BZ1390">
        <v>1.06</v>
      </c>
      <c r="CK1390" t="s">
        <v>360</v>
      </c>
      <c r="CM1390">
        <v>1911</v>
      </c>
    </row>
    <row r="1391" spans="1:91" x14ac:dyDescent="0.3">
      <c r="A1391" t="s">
        <v>2229</v>
      </c>
      <c r="B1391">
        <v>45036</v>
      </c>
      <c r="D1391">
        <v>12</v>
      </c>
      <c r="I1391">
        <v>20000</v>
      </c>
      <c r="U1391">
        <v>5</v>
      </c>
      <c r="Y1391">
        <v>5</v>
      </c>
      <c r="AA1391">
        <v>7.12</v>
      </c>
      <c r="AC1391" s="3">
        <v>7.25</v>
      </c>
      <c r="AE1391" s="3">
        <v>7.12</v>
      </c>
      <c r="AI1391">
        <v>7</v>
      </c>
      <c r="AK1391" s="3"/>
      <c r="AX1391" t="s">
        <v>853</v>
      </c>
      <c r="BB1391" t="s">
        <v>853</v>
      </c>
      <c r="BG1391">
        <v>15</v>
      </c>
      <c r="BH1391">
        <v>5</v>
      </c>
      <c r="BI1391">
        <v>15</v>
      </c>
      <c r="BJ1391">
        <v>5</v>
      </c>
      <c r="BK1391" s="4">
        <v>3805</v>
      </c>
      <c r="BL1391" s="4">
        <v>3988</v>
      </c>
      <c r="BM1391" s="4">
        <v>4170</v>
      </c>
      <c r="BN1391" s="4">
        <v>4353</v>
      </c>
      <c r="BR1391">
        <v>23624</v>
      </c>
      <c r="BT1391">
        <v>7</v>
      </c>
      <c r="BU1391">
        <v>2</v>
      </c>
      <c r="BV1391">
        <v>9</v>
      </c>
      <c r="BX1391">
        <v>7.5</v>
      </c>
      <c r="BZ1391">
        <v>6.75</v>
      </c>
      <c r="CK1391" t="s">
        <v>360</v>
      </c>
      <c r="CM1391">
        <v>1911</v>
      </c>
    </row>
    <row r="1392" spans="1:91" x14ac:dyDescent="0.3">
      <c r="A1392" t="s">
        <v>2230</v>
      </c>
      <c r="B1392">
        <v>45059</v>
      </c>
      <c r="D1392">
        <v>12</v>
      </c>
      <c r="I1392">
        <v>25000</v>
      </c>
      <c r="U1392">
        <v>10</v>
      </c>
      <c r="Y1392">
        <v>10</v>
      </c>
      <c r="AA1392">
        <v>15.25</v>
      </c>
      <c r="AC1392" s="3">
        <v>15.25</v>
      </c>
      <c r="AE1392" s="3">
        <v>14.75</v>
      </c>
      <c r="AI1392">
        <v>14.75</v>
      </c>
      <c r="AK1392" s="3"/>
      <c r="AX1392" t="s">
        <v>853</v>
      </c>
      <c r="BB1392" t="s">
        <v>853</v>
      </c>
      <c r="BG1392">
        <v>14</v>
      </c>
      <c r="BH1392">
        <v>6</v>
      </c>
      <c r="BI1392">
        <v>14</v>
      </c>
      <c r="BJ1392">
        <v>8</v>
      </c>
      <c r="BK1392" s="4">
        <v>3805</v>
      </c>
      <c r="BL1392" s="4">
        <v>3988</v>
      </c>
      <c r="BM1392" s="4">
        <v>4170</v>
      </c>
      <c r="BN1392" s="4">
        <v>4353</v>
      </c>
      <c r="BR1392">
        <v>78244</v>
      </c>
      <c r="BS1392" t="s">
        <v>2231</v>
      </c>
      <c r="BT1392">
        <v>7</v>
      </c>
      <c r="BU1392">
        <v>9</v>
      </c>
      <c r="BV1392">
        <v>3</v>
      </c>
      <c r="BX1392">
        <v>16</v>
      </c>
      <c r="BZ1392">
        <v>13.87</v>
      </c>
      <c r="CK1392" t="s">
        <v>360</v>
      </c>
      <c r="CM1392">
        <v>1911</v>
      </c>
    </row>
    <row r="1393" spans="1:91" x14ac:dyDescent="0.3">
      <c r="A1393" t="s">
        <v>2230</v>
      </c>
      <c r="B1393">
        <v>45061</v>
      </c>
      <c r="C1393" t="s">
        <v>844</v>
      </c>
      <c r="D1393">
        <v>12</v>
      </c>
      <c r="I1393">
        <v>10000</v>
      </c>
      <c r="U1393">
        <v>10</v>
      </c>
      <c r="Y1393">
        <v>10</v>
      </c>
      <c r="AA1393">
        <v>12.37</v>
      </c>
      <c r="AC1393" s="3">
        <v>12.37</v>
      </c>
      <c r="AE1393" s="3">
        <v>12</v>
      </c>
      <c r="AI1393">
        <v>12</v>
      </c>
      <c r="AK1393" s="3"/>
      <c r="BG1393">
        <v>6</v>
      </c>
      <c r="BH1393">
        <v>6</v>
      </c>
      <c r="BI1393">
        <v>6</v>
      </c>
      <c r="BJ1393">
        <v>6</v>
      </c>
      <c r="BK1393" s="4">
        <v>3805</v>
      </c>
      <c r="BL1393" s="4">
        <v>3988</v>
      </c>
      <c r="BM1393" s="4">
        <v>4170</v>
      </c>
      <c r="BN1393" s="4">
        <v>4353</v>
      </c>
      <c r="BR1393">
        <v>78244</v>
      </c>
      <c r="BS1393" t="s">
        <v>2231</v>
      </c>
      <c r="BT1393">
        <v>5</v>
      </c>
      <c r="BU1393">
        <v>0</v>
      </c>
      <c r="BV1393">
        <v>0</v>
      </c>
      <c r="BX1393">
        <v>12.68</v>
      </c>
      <c r="BZ1393">
        <v>11.87</v>
      </c>
      <c r="CM1393">
        <v>1911</v>
      </c>
    </row>
    <row r="1394" spans="1:91" x14ac:dyDescent="0.3">
      <c r="A1394" t="s">
        <v>2232</v>
      </c>
      <c r="B1394">
        <v>45078</v>
      </c>
      <c r="D1394">
        <v>12</v>
      </c>
      <c r="I1394">
        <v>100000</v>
      </c>
      <c r="U1394">
        <v>1</v>
      </c>
      <c r="Y1394">
        <v>1</v>
      </c>
      <c r="AA1394">
        <v>2.5</v>
      </c>
      <c r="AC1394" s="3">
        <v>2.5</v>
      </c>
      <c r="AE1394" s="3">
        <v>2.37</v>
      </c>
      <c r="AI1394">
        <v>2.37</v>
      </c>
      <c r="AJ1394" t="s">
        <v>379</v>
      </c>
      <c r="AK1394" s="3"/>
      <c r="AX1394" t="s">
        <v>853</v>
      </c>
      <c r="BB1394" t="s">
        <v>853</v>
      </c>
      <c r="BG1394">
        <v>5</v>
      </c>
      <c r="BH1394">
        <v>20</v>
      </c>
      <c r="BI1394">
        <v>10</v>
      </c>
      <c r="BJ1394">
        <v>20</v>
      </c>
      <c r="BK1394" s="4">
        <v>3654</v>
      </c>
      <c r="BL1394" s="4">
        <v>40360</v>
      </c>
      <c r="BM1394" s="4">
        <v>4019</v>
      </c>
      <c r="BN1394" s="4">
        <v>4200</v>
      </c>
      <c r="BR1394">
        <v>22820</v>
      </c>
      <c r="BT1394">
        <v>6</v>
      </c>
      <c r="BU1394">
        <v>6</v>
      </c>
      <c r="BV1394">
        <v>3</v>
      </c>
      <c r="BX1394">
        <v>2.68</v>
      </c>
      <c r="BZ1394">
        <v>2.12</v>
      </c>
      <c r="CK1394" t="s">
        <v>360</v>
      </c>
      <c r="CL1394" t="s">
        <v>457</v>
      </c>
      <c r="CM1394">
        <v>1911</v>
      </c>
    </row>
    <row r="1395" spans="1:91" x14ac:dyDescent="0.3">
      <c r="A1395" t="s">
        <v>2233</v>
      </c>
      <c r="B1395">
        <v>45083</v>
      </c>
      <c r="D1395">
        <v>12</v>
      </c>
      <c r="I1395">
        <v>142955</v>
      </c>
      <c r="U1395">
        <v>1</v>
      </c>
      <c r="Y1395">
        <v>1</v>
      </c>
      <c r="AA1395">
        <v>2</v>
      </c>
      <c r="AC1395" s="3">
        <v>2.25</v>
      </c>
      <c r="AE1395" s="3">
        <v>2</v>
      </c>
      <c r="AI1395">
        <v>2.25</v>
      </c>
      <c r="AK1395" s="3"/>
      <c r="AV1395" t="s">
        <v>385</v>
      </c>
      <c r="AX1395" t="s">
        <v>385</v>
      </c>
      <c r="AZ1395" t="s">
        <v>385</v>
      </c>
      <c r="BB1395" t="s">
        <v>385</v>
      </c>
      <c r="BS1395" t="s">
        <v>385</v>
      </c>
      <c r="BW1395" t="s">
        <v>802</v>
      </c>
      <c r="BX1395">
        <v>2.4300000000000002</v>
      </c>
      <c r="BZ1395">
        <v>1.81</v>
      </c>
      <c r="CM1395">
        <v>1911</v>
      </c>
    </row>
    <row r="1396" spans="1:91" x14ac:dyDescent="0.3">
      <c r="A1396" t="s">
        <v>2234</v>
      </c>
      <c r="B1396">
        <v>45113</v>
      </c>
      <c r="D1396">
        <v>12</v>
      </c>
      <c r="I1396">
        <v>110000</v>
      </c>
      <c r="U1396">
        <v>1</v>
      </c>
      <c r="Y1396">
        <v>1</v>
      </c>
      <c r="AA1396">
        <v>0.68</v>
      </c>
      <c r="AC1396" s="3">
        <v>0.68</v>
      </c>
      <c r="AE1396" s="3">
        <v>0.68</v>
      </c>
      <c r="AI1396">
        <v>0.68</v>
      </c>
      <c r="AK1396" s="3"/>
      <c r="AV1396" t="s">
        <v>385</v>
      </c>
      <c r="AX1396" t="s">
        <v>385</v>
      </c>
      <c r="AZ1396" t="s">
        <v>385</v>
      </c>
      <c r="BB1396" t="s">
        <v>385</v>
      </c>
      <c r="BS1396" t="s">
        <v>385</v>
      </c>
      <c r="BW1396" t="s">
        <v>802</v>
      </c>
      <c r="BX1396">
        <v>0.81</v>
      </c>
      <c r="BZ1396">
        <v>0.56000000000000005</v>
      </c>
      <c r="CM1396">
        <v>1911</v>
      </c>
    </row>
    <row r="1397" spans="1:91" x14ac:dyDescent="0.3">
      <c r="A1397" t="s">
        <v>2235</v>
      </c>
      <c r="B1397">
        <v>45154</v>
      </c>
      <c r="D1397">
        <v>12</v>
      </c>
      <c r="I1397">
        <v>225000</v>
      </c>
      <c r="U1397">
        <v>1</v>
      </c>
      <c r="Y1397">
        <v>1</v>
      </c>
      <c r="AA1397">
        <v>0.5</v>
      </c>
      <c r="AC1397" s="3">
        <v>0.53</v>
      </c>
      <c r="AE1397" s="3">
        <v>0.5</v>
      </c>
      <c r="AI1397">
        <v>0.5</v>
      </c>
      <c r="AK1397" s="3"/>
      <c r="AV1397" t="s">
        <v>815</v>
      </c>
      <c r="AX1397" t="s">
        <v>1901</v>
      </c>
      <c r="AZ1397" t="s">
        <v>815</v>
      </c>
      <c r="BB1397" t="s">
        <v>815</v>
      </c>
      <c r="BG1397">
        <v>5</v>
      </c>
      <c r="BH1397">
        <v>2.5</v>
      </c>
      <c r="BI1397">
        <v>4</v>
      </c>
      <c r="BJ1397">
        <v>2.5</v>
      </c>
      <c r="BK1397" s="4">
        <v>2709</v>
      </c>
      <c r="BL1397" s="4">
        <v>3685</v>
      </c>
      <c r="BM1397" s="4">
        <v>3835</v>
      </c>
      <c r="BN1397" s="4">
        <v>4200</v>
      </c>
      <c r="BR1397">
        <v>1799</v>
      </c>
      <c r="BT1397">
        <v>5</v>
      </c>
      <c r="BU1397">
        <v>0</v>
      </c>
      <c r="BV1397">
        <v>0</v>
      </c>
      <c r="BX1397">
        <v>1.03</v>
      </c>
      <c r="BZ1397">
        <v>0.43</v>
      </c>
      <c r="CK1397" t="s">
        <v>360</v>
      </c>
      <c r="CM1397">
        <v>1911</v>
      </c>
    </row>
    <row r="1398" spans="1:91" x14ac:dyDescent="0.3">
      <c r="A1398" t="s">
        <v>2236</v>
      </c>
      <c r="B1398">
        <v>45164</v>
      </c>
      <c r="D1398">
        <v>12</v>
      </c>
      <c r="I1398">
        <v>100000</v>
      </c>
      <c r="U1398">
        <v>1</v>
      </c>
      <c r="Y1398">
        <v>1</v>
      </c>
      <c r="AA1398">
        <v>0.62</v>
      </c>
      <c r="AC1398" s="3">
        <v>0.62</v>
      </c>
      <c r="AE1398" s="3">
        <v>0.62</v>
      </c>
      <c r="AI1398">
        <v>0.62</v>
      </c>
      <c r="AK1398" s="3"/>
      <c r="AV1398" t="s">
        <v>2237</v>
      </c>
      <c r="BG1398">
        <v>5</v>
      </c>
      <c r="BS1398" t="s">
        <v>385</v>
      </c>
      <c r="BT1398">
        <v>8</v>
      </c>
      <c r="BU1398">
        <v>0</v>
      </c>
      <c r="BV1398">
        <v>9</v>
      </c>
      <c r="BX1398">
        <v>0.87</v>
      </c>
      <c r="BZ1398">
        <v>0.5</v>
      </c>
      <c r="CM1398">
        <v>1911</v>
      </c>
    </row>
    <row r="1399" spans="1:91" x14ac:dyDescent="0.3">
      <c r="A1399" t="s">
        <v>2238</v>
      </c>
      <c r="B1399">
        <v>45205</v>
      </c>
      <c r="D1399">
        <v>12</v>
      </c>
      <c r="I1399">
        <v>180000</v>
      </c>
      <c r="U1399">
        <v>1</v>
      </c>
      <c r="Y1399">
        <v>1</v>
      </c>
      <c r="AA1399">
        <v>5.75</v>
      </c>
      <c r="AC1399" s="3">
        <v>6.75</v>
      </c>
      <c r="AE1399" s="3">
        <v>5.75</v>
      </c>
      <c r="AI1399">
        <v>6.5</v>
      </c>
      <c r="AK1399" s="3"/>
      <c r="AV1399" t="s">
        <v>2239</v>
      </c>
      <c r="AX1399" t="s">
        <v>815</v>
      </c>
      <c r="AZ1399" t="s">
        <v>1658</v>
      </c>
      <c r="BB1399" t="s">
        <v>815</v>
      </c>
      <c r="BG1399">
        <v>30</v>
      </c>
      <c r="BH1399">
        <v>45</v>
      </c>
      <c r="BI1399">
        <v>30</v>
      </c>
      <c r="BJ1399">
        <v>27.5</v>
      </c>
      <c r="BK1399" s="4">
        <v>3774</v>
      </c>
      <c r="BL1399" s="4">
        <v>3958</v>
      </c>
      <c r="BM1399" s="4">
        <v>4139</v>
      </c>
      <c r="BN1399" s="4">
        <v>4323</v>
      </c>
      <c r="BR1399">
        <v>42077</v>
      </c>
      <c r="BT1399">
        <v>8</v>
      </c>
      <c r="BU1399">
        <v>16</v>
      </c>
      <c r="BV1399">
        <v>9</v>
      </c>
      <c r="BX1399">
        <v>9.1199999999999992</v>
      </c>
      <c r="BZ1399">
        <v>5</v>
      </c>
      <c r="CK1399" t="s">
        <v>360</v>
      </c>
      <c r="CM1399">
        <v>1911</v>
      </c>
    </row>
    <row r="1400" spans="1:91" x14ac:dyDescent="0.3">
      <c r="A1400" t="s">
        <v>2240</v>
      </c>
      <c r="B1400">
        <v>45226</v>
      </c>
      <c r="D1400">
        <v>12</v>
      </c>
      <c r="I1400" s="2">
        <v>1000000</v>
      </c>
      <c r="V1400" t="s">
        <v>1910</v>
      </c>
      <c r="Z1400" t="s">
        <v>1910</v>
      </c>
      <c r="AA1400">
        <v>0.37</v>
      </c>
      <c r="AB1400" t="s">
        <v>379</v>
      </c>
      <c r="AC1400" s="3">
        <v>0.4</v>
      </c>
      <c r="AE1400" s="3">
        <v>0.37</v>
      </c>
      <c r="AI1400">
        <v>0.4</v>
      </c>
      <c r="AK1400" s="3"/>
      <c r="AV1400" t="s">
        <v>385</v>
      </c>
      <c r="AX1400" t="s">
        <v>815</v>
      </c>
      <c r="AZ1400" t="s">
        <v>815</v>
      </c>
      <c r="BB1400" t="s">
        <v>815</v>
      </c>
      <c r="BH1400">
        <v>7</v>
      </c>
      <c r="BI1400">
        <v>25</v>
      </c>
      <c r="BJ1400">
        <v>50</v>
      </c>
      <c r="BK1400" t="s">
        <v>811</v>
      </c>
      <c r="BL1400" t="s">
        <v>1225</v>
      </c>
      <c r="BM1400" t="s">
        <v>913</v>
      </c>
      <c r="BN1400" t="s">
        <v>1226</v>
      </c>
      <c r="BS1400" t="s">
        <v>385</v>
      </c>
      <c r="BT1400">
        <v>12</v>
      </c>
      <c r="BU1400">
        <v>6</v>
      </c>
      <c r="BV1400">
        <v>3</v>
      </c>
      <c r="BX1400">
        <v>0.81</v>
      </c>
      <c r="BZ1400">
        <v>0.37</v>
      </c>
      <c r="CM1400">
        <v>1911</v>
      </c>
    </row>
    <row r="1401" spans="1:91" x14ac:dyDescent="0.3">
      <c r="A1401" t="s">
        <v>2241</v>
      </c>
      <c r="B1401">
        <v>45263</v>
      </c>
      <c r="D1401">
        <v>12</v>
      </c>
      <c r="I1401">
        <v>274930</v>
      </c>
      <c r="U1401">
        <v>1</v>
      </c>
      <c r="Y1401">
        <v>1</v>
      </c>
      <c r="AA1401">
        <v>3.25</v>
      </c>
      <c r="AB1401" t="s">
        <v>379</v>
      </c>
      <c r="AC1401" s="3">
        <v>3.5</v>
      </c>
      <c r="AE1401" s="3">
        <v>3.25</v>
      </c>
      <c r="AI1401">
        <v>3.5</v>
      </c>
      <c r="AK1401" s="3"/>
      <c r="BB1401" t="s">
        <v>823</v>
      </c>
      <c r="BG1401">
        <v>35</v>
      </c>
      <c r="BH1401">
        <v>25</v>
      </c>
      <c r="BI1401">
        <v>35</v>
      </c>
      <c r="BJ1401">
        <v>20</v>
      </c>
      <c r="BK1401" s="4">
        <v>3805</v>
      </c>
      <c r="BL1401" s="4">
        <v>3927</v>
      </c>
      <c r="BM1401" s="4">
        <v>4170</v>
      </c>
      <c r="BN1401" s="4">
        <v>4292</v>
      </c>
      <c r="BS1401" t="s">
        <v>385</v>
      </c>
      <c r="BT1401">
        <v>7</v>
      </c>
      <c r="BU1401">
        <v>17</v>
      </c>
      <c r="BV1401">
        <v>0</v>
      </c>
      <c r="BY1401" t="s">
        <v>385</v>
      </c>
      <c r="CA1401" t="s">
        <v>385</v>
      </c>
      <c r="CM1401">
        <v>1911</v>
      </c>
    </row>
    <row r="1402" spans="1:91" x14ac:dyDescent="0.3">
      <c r="A1402" t="s">
        <v>2242</v>
      </c>
      <c r="B1402">
        <v>45324</v>
      </c>
      <c r="D1402">
        <v>12</v>
      </c>
      <c r="I1402">
        <v>150000</v>
      </c>
      <c r="U1402">
        <v>1</v>
      </c>
      <c r="Y1402">
        <v>1</v>
      </c>
      <c r="AA1402">
        <v>0.75</v>
      </c>
      <c r="AC1402" s="3">
        <v>0.75</v>
      </c>
      <c r="AE1402" s="3">
        <v>0.59</v>
      </c>
      <c r="AI1402">
        <v>0.75</v>
      </c>
      <c r="AK1402" s="3"/>
      <c r="AV1402" t="s">
        <v>815</v>
      </c>
      <c r="AX1402" t="s">
        <v>815</v>
      </c>
      <c r="AZ1402" t="s">
        <v>815</v>
      </c>
      <c r="BB1402" t="s">
        <v>815</v>
      </c>
      <c r="BH1402">
        <v>5</v>
      </c>
      <c r="BI1402">
        <v>5</v>
      </c>
      <c r="BJ1402">
        <v>5</v>
      </c>
      <c r="BK1402" s="4">
        <v>3228</v>
      </c>
      <c r="BL1402" s="4">
        <v>3593</v>
      </c>
      <c r="BM1402" s="4">
        <v>4323</v>
      </c>
      <c r="BR1402">
        <v>2840</v>
      </c>
      <c r="BT1402">
        <v>6</v>
      </c>
      <c r="BU1402">
        <v>13</v>
      </c>
      <c r="BV1402">
        <v>3</v>
      </c>
      <c r="BX1402">
        <v>0.93</v>
      </c>
      <c r="BZ1402">
        <v>0.59</v>
      </c>
      <c r="CK1402" t="s">
        <v>360</v>
      </c>
      <c r="CL1402" t="s">
        <v>457</v>
      </c>
      <c r="CM1402">
        <v>1911</v>
      </c>
    </row>
    <row r="1403" spans="1:91" x14ac:dyDescent="0.3">
      <c r="A1403" t="s">
        <v>2243</v>
      </c>
      <c r="B1403">
        <v>45366</v>
      </c>
      <c r="D1403">
        <v>12</v>
      </c>
      <c r="I1403">
        <v>8207</v>
      </c>
      <c r="U1403">
        <v>8</v>
      </c>
      <c r="Y1403">
        <v>8</v>
      </c>
      <c r="AA1403">
        <v>11.25</v>
      </c>
      <c r="AC1403" s="3">
        <v>11.5</v>
      </c>
      <c r="AE1403" s="3">
        <v>10.87</v>
      </c>
      <c r="AI1403">
        <v>11.5</v>
      </c>
      <c r="AK1403" s="3"/>
      <c r="AX1403" t="s">
        <v>823</v>
      </c>
      <c r="BB1403" t="s">
        <v>823</v>
      </c>
      <c r="BG1403">
        <v>17.5</v>
      </c>
      <c r="BH1403">
        <v>7.5</v>
      </c>
      <c r="BI1403">
        <v>15</v>
      </c>
      <c r="BJ1403">
        <v>7.5</v>
      </c>
      <c r="BK1403" s="4">
        <v>3774</v>
      </c>
      <c r="BL1403" s="4">
        <v>3958</v>
      </c>
      <c r="BM1403" s="4">
        <v>4139</v>
      </c>
      <c r="BN1403" s="4">
        <v>4323</v>
      </c>
      <c r="BR1403">
        <v>12243</v>
      </c>
      <c r="BS1403" t="s">
        <v>2244</v>
      </c>
      <c r="BT1403">
        <v>7</v>
      </c>
      <c r="BU1403">
        <v>19</v>
      </c>
      <c r="BV1403">
        <v>3</v>
      </c>
      <c r="BX1403">
        <v>13</v>
      </c>
      <c r="BZ1403">
        <v>10.87</v>
      </c>
      <c r="CK1403" t="s">
        <v>360</v>
      </c>
      <c r="CM1403">
        <v>1911</v>
      </c>
    </row>
    <row r="1404" spans="1:91" x14ac:dyDescent="0.3">
      <c r="A1404" t="s">
        <v>2245</v>
      </c>
      <c r="B1404">
        <v>45490</v>
      </c>
      <c r="D1404">
        <v>12</v>
      </c>
      <c r="I1404" s="2">
        <v>1000000</v>
      </c>
      <c r="V1404" t="s">
        <v>1910</v>
      </c>
      <c r="Z1404" t="s">
        <v>1910</v>
      </c>
      <c r="AA1404">
        <v>1.65</v>
      </c>
      <c r="AC1404" s="3">
        <v>1.78</v>
      </c>
      <c r="AE1404" s="3">
        <v>1.59</v>
      </c>
      <c r="AI1404">
        <v>1.75</v>
      </c>
      <c r="AJ1404" t="s">
        <v>379</v>
      </c>
      <c r="AK1404" s="3"/>
      <c r="AV1404" t="s">
        <v>815</v>
      </c>
      <c r="AX1404" t="s">
        <v>1658</v>
      </c>
      <c r="AZ1404" t="s">
        <v>1658</v>
      </c>
      <c r="BB1404" t="s">
        <v>1658</v>
      </c>
      <c r="BG1404">
        <v>237.5</v>
      </c>
      <c r="BH1404">
        <v>43.75</v>
      </c>
      <c r="BI1404">
        <v>43.75</v>
      </c>
      <c r="BJ1404">
        <v>43.75</v>
      </c>
      <c r="BK1404" t="s">
        <v>1226</v>
      </c>
      <c r="BL1404" s="4">
        <v>4200</v>
      </c>
      <c r="BM1404" s="4">
        <v>4292</v>
      </c>
      <c r="BN1404" s="4">
        <v>4384</v>
      </c>
      <c r="BR1404">
        <v>64255</v>
      </c>
      <c r="BT1404">
        <v>13</v>
      </c>
      <c r="BU1404">
        <v>11</v>
      </c>
      <c r="BV1404">
        <v>6</v>
      </c>
      <c r="BX1404">
        <v>2.75</v>
      </c>
      <c r="BZ1404">
        <v>1.56</v>
      </c>
      <c r="CM1404">
        <v>1911</v>
      </c>
    </row>
    <row r="1405" spans="1:91" x14ac:dyDescent="0.3">
      <c r="A1405" t="s">
        <v>2246</v>
      </c>
      <c r="B1405">
        <v>45628</v>
      </c>
      <c r="D1405">
        <v>12</v>
      </c>
      <c r="I1405">
        <v>100000</v>
      </c>
      <c r="U1405">
        <v>1</v>
      </c>
      <c r="Y1405">
        <v>1</v>
      </c>
      <c r="AA1405">
        <v>0.62</v>
      </c>
      <c r="AC1405" s="3">
        <v>0.62</v>
      </c>
      <c r="AE1405" s="3">
        <v>0.62</v>
      </c>
      <c r="AI1405">
        <v>0.62</v>
      </c>
      <c r="AK1405" s="3"/>
      <c r="AV1405" t="s">
        <v>2237</v>
      </c>
      <c r="BG1405">
        <v>5</v>
      </c>
      <c r="BS1405" t="s">
        <v>385</v>
      </c>
      <c r="BT1405">
        <v>8</v>
      </c>
      <c r="BU1405">
        <v>0</v>
      </c>
      <c r="BV1405">
        <v>0</v>
      </c>
      <c r="BX1405">
        <v>0.68</v>
      </c>
      <c r="BZ1405">
        <v>0.56000000000000005</v>
      </c>
      <c r="CM1405">
        <v>1911</v>
      </c>
    </row>
    <row r="1406" spans="1:91" x14ac:dyDescent="0.3">
      <c r="A1406" t="s">
        <v>2247</v>
      </c>
      <c r="B1406">
        <v>45711</v>
      </c>
      <c r="D1406">
        <v>12</v>
      </c>
      <c r="I1406" s="2">
        <v>1500000</v>
      </c>
      <c r="V1406" t="s">
        <v>1910</v>
      </c>
      <c r="Z1406" t="s">
        <v>1910</v>
      </c>
      <c r="AA1406">
        <v>0.43</v>
      </c>
      <c r="AC1406" s="3">
        <v>0.53</v>
      </c>
      <c r="AE1406" s="3">
        <v>0.43</v>
      </c>
      <c r="AI1406">
        <v>0.53</v>
      </c>
      <c r="AK1406" s="3"/>
      <c r="AV1406" t="s">
        <v>815</v>
      </c>
      <c r="AX1406" t="s">
        <v>815</v>
      </c>
      <c r="AZ1406" t="s">
        <v>815</v>
      </c>
      <c r="BB1406" t="s">
        <v>815</v>
      </c>
      <c r="BG1406">
        <v>12.5</v>
      </c>
      <c r="BH1406">
        <v>10</v>
      </c>
      <c r="BI1406">
        <v>15</v>
      </c>
      <c r="BJ1406">
        <v>12.5</v>
      </c>
      <c r="BK1406" s="4">
        <v>3805</v>
      </c>
      <c r="BL1406" s="4">
        <v>3927</v>
      </c>
      <c r="BM1406" s="4">
        <v>4109</v>
      </c>
      <c r="BN1406" s="4">
        <v>4292</v>
      </c>
      <c r="BR1406">
        <v>11449</v>
      </c>
      <c r="BT1406">
        <v>5</v>
      </c>
      <c r="BU1406">
        <v>3</v>
      </c>
      <c r="BV1406">
        <v>9</v>
      </c>
      <c r="BX1406">
        <v>0.81</v>
      </c>
      <c r="BZ1406">
        <v>0.43</v>
      </c>
      <c r="CM1406">
        <v>1911</v>
      </c>
    </row>
    <row r="1407" spans="1:91" x14ac:dyDescent="0.3">
      <c r="A1407" t="s">
        <v>2248</v>
      </c>
      <c r="B1407">
        <v>45838</v>
      </c>
      <c r="D1407">
        <v>12</v>
      </c>
      <c r="I1407">
        <v>10000</v>
      </c>
      <c r="U1407">
        <v>10</v>
      </c>
      <c r="Y1407">
        <v>10</v>
      </c>
      <c r="AA1407">
        <v>19.5</v>
      </c>
      <c r="AC1407" s="3">
        <v>19.75</v>
      </c>
      <c r="AE1407" s="3">
        <v>19</v>
      </c>
      <c r="AI1407">
        <v>19</v>
      </c>
      <c r="AK1407" s="3"/>
      <c r="AV1407" t="s">
        <v>815</v>
      </c>
      <c r="AX1407" t="s">
        <v>815</v>
      </c>
      <c r="AZ1407" t="s">
        <v>815</v>
      </c>
      <c r="BB1407" t="s">
        <v>823</v>
      </c>
      <c r="BG1407">
        <v>7</v>
      </c>
      <c r="BH1407">
        <v>10</v>
      </c>
      <c r="BI1407">
        <v>12</v>
      </c>
      <c r="BJ1407">
        <v>10</v>
      </c>
      <c r="BK1407" s="4">
        <v>3470</v>
      </c>
      <c r="BL1407" s="4">
        <v>3835</v>
      </c>
      <c r="BM1407" s="4">
        <v>4200</v>
      </c>
      <c r="BN1407" s="4">
        <v>4353</v>
      </c>
      <c r="BR1407">
        <v>43682</v>
      </c>
      <c r="BS1407" t="s">
        <v>2249</v>
      </c>
      <c r="BT1407">
        <v>6</v>
      </c>
      <c r="BU1407">
        <v>6</v>
      </c>
      <c r="BV1407">
        <v>3</v>
      </c>
      <c r="BX1407">
        <v>21.37</v>
      </c>
      <c r="BZ1407">
        <v>13.87</v>
      </c>
      <c r="CK1407" t="s">
        <v>360</v>
      </c>
      <c r="CM1407">
        <v>1911</v>
      </c>
    </row>
    <row r="1408" spans="1:91" x14ac:dyDescent="0.3">
      <c r="A1408" t="s">
        <v>2248</v>
      </c>
      <c r="B1408">
        <v>45839</v>
      </c>
      <c r="C1408" t="s">
        <v>943</v>
      </c>
      <c r="D1408">
        <v>12</v>
      </c>
      <c r="I1408">
        <v>10000</v>
      </c>
      <c r="U1408">
        <v>10</v>
      </c>
      <c r="Y1408">
        <v>10</v>
      </c>
      <c r="AA1408">
        <v>11.25</v>
      </c>
      <c r="AC1408" s="3">
        <v>11.25</v>
      </c>
      <c r="AE1408" s="3">
        <v>11.25</v>
      </c>
      <c r="AI1408">
        <v>11.25</v>
      </c>
      <c r="AJ1408" t="s">
        <v>379</v>
      </c>
      <c r="AK1408" s="3"/>
      <c r="BG1408">
        <v>6</v>
      </c>
      <c r="BH1408">
        <v>6</v>
      </c>
      <c r="BI1408">
        <v>6</v>
      </c>
      <c r="BJ1408">
        <v>6</v>
      </c>
      <c r="BK1408" s="4">
        <v>3835</v>
      </c>
      <c r="BL1408" s="4">
        <v>4019</v>
      </c>
      <c r="BM1408" s="4">
        <v>4200</v>
      </c>
      <c r="BN1408" s="4">
        <v>4384</v>
      </c>
      <c r="BR1408">
        <v>43682</v>
      </c>
      <c r="BS1408" t="s">
        <v>2249</v>
      </c>
      <c r="BT1408">
        <v>5</v>
      </c>
      <c r="BU1408">
        <v>6</v>
      </c>
      <c r="BV1408">
        <v>9</v>
      </c>
      <c r="BX1408">
        <v>11.25</v>
      </c>
      <c r="BZ1408">
        <v>10.75</v>
      </c>
      <c r="CM1408">
        <v>1911</v>
      </c>
    </row>
    <row r="1409" spans="1:91" x14ac:dyDescent="0.3">
      <c r="A1409" t="s">
        <v>2250</v>
      </c>
      <c r="B1409">
        <v>45877</v>
      </c>
      <c r="D1409">
        <v>12</v>
      </c>
      <c r="I1409">
        <v>95000</v>
      </c>
      <c r="U1409">
        <v>1</v>
      </c>
      <c r="Y1409">
        <v>1</v>
      </c>
      <c r="AA1409">
        <v>0.37</v>
      </c>
      <c r="AC1409" s="3">
        <v>0.37</v>
      </c>
      <c r="AE1409" s="3">
        <v>0.37</v>
      </c>
      <c r="AI1409">
        <v>0.37</v>
      </c>
      <c r="AK1409" s="3"/>
      <c r="AV1409" t="s">
        <v>385</v>
      </c>
      <c r="AX1409" t="s">
        <v>385</v>
      </c>
      <c r="AZ1409" t="s">
        <v>815</v>
      </c>
      <c r="BB1409" t="s">
        <v>815</v>
      </c>
      <c r="BI1409">
        <v>10</v>
      </c>
      <c r="BJ1409">
        <v>2.5</v>
      </c>
      <c r="BK1409" t="s">
        <v>811</v>
      </c>
      <c r="BL1409" t="s">
        <v>811</v>
      </c>
      <c r="BM1409" s="4">
        <v>3774</v>
      </c>
      <c r="BN1409" s="4">
        <v>4139</v>
      </c>
      <c r="BR1409">
        <v>1247</v>
      </c>
      <c r="BT1409">
        <v>6</v>
      </c>
      <c r="BU1409">
        <v>13</v>
      </c>
      <c r="BV1409">
        <v>3</v>
      </c>
      <c r="BX1409">
        <v>1.25</v>
      </c>
      <c r="BZ1409">
        <v>0.25</v>
      </c>
      <c r="CK1409" t="s">
        <v>360</v>
      </c>
      <c r="CM1409">
        <v>1911</v>
      </c>
    </row>
    <row r="1410" spans="1:91" x14ac:dyDescent="0.3">
      <c r="A1410" t="s">
        <v>2251</v>
      </c>
      <c r="B1410">
        <v>45908</v>
      </c>
      <c r="D1410">
        <v>12</v>
      </c>
      <c r="I1410">
        <v>95970</v>
      </c>
      <c r="U1410">
        <v>1</v>
      </c>
      <c r="Y1410">
        <v>1</v>
      </c>
      <c r="AA1410">
        <v>1.37</v>
      </c>
      <c r="AC1410" s="3">
        <v>1.37</v>
      </c>
      <c r="AE1410" s="3">
        <v>1.31</v>
      </c>
      <c r="AI1410">
        <v>1.31</v>
      </c>
      <c r="AK1410" s="3"/>
      <c r="AV1410" t="s">
        <v>815</v>
      </c>
      <c r="AX1410" t="s">
        <v>823</v>
      </c>
      <c r="BB1410" t="s">
        <v>823</v>
      </c>
      <c r="BG1410">
        <v>5</v>
      </c>
      <c r="BH1410">
        <v>6</v>
      </c>
      <c r="BI1410">
        <v>10</v>
      </c>
      <c r="BJ1410">
        <v>10</v>
      </c>
      <c r="BK1410" s="4">
        <v>3835</v>
      </c>
      <c r="BL1410" s="4">
        <v>4019</v>
      </c>
      <c r="BM1410" s="4">
        <v>4200</v>
      </c>
      <c r="BN1410" s="4">
        <v>4384</v>
      </c>
      <c r="BR1410">
        <v>11160</v>
      </c>
      <c r="BT1410">
        <v>7</v>
      </c>
      <c r="BU1410">
        <v>12</v>
      </c>
      <c r="BV1410">
        <v>3</v>
      </c>
      <c r="BX1410">
        <v>1.37</v>
      </c>
      <c r="BZ1410">
        <v>1.0900000000000001</v>
      </c>
      <c r="CK1410" t="s">
        <v>360</v>
      </c>
      <c r="CM1410">
        <v>1911</v>
      </c>
    </row>
    <row r="1411" spans="1:91" x14ac:dyDescent="0.3">
      <c r="A1411" t="s">
        <v>2252</v>
      </c>
      <c r="B1411">
        <v>45910</v>
      </c>
      <c r="D1411">
        <v>12</v>
      </c>
      <c r="I1411">
        <v>100000</v>
      </c>
      <c r="V1411" t="s">
        <v>1758</v>
      </c>
      <c r="Z1411" t="s">
        <v>1758</v>
      </c>
      <c r="AA1411">
        <v>0.93</v>
      </c>
      <c r="AC1411" s="3">
        <v>0.93</v>
      </c>
      <c r="AE1411" s="3">
        <v>0.87</v>
      </c>
      <c r="AI1411">
        <v>0.87</v>
      </c>
      <c r="AK1411" s="3"/>
      <c r="AV1411" t="s">
        <v>815</v>
      </c>
      <c r="AX1411" t="s">
        <v>815</v>
      </c>
      <c r="AZ1411" t="s">
        <v>815</v>
      </c>
      <c r="BB1411" t="s">
        <v>815</v>
      </c>
      <c r="BG1411">
        <v>10</v>
      </c>
      <c r="BH1411">
        <v>10</v>
      </c>
      <c r="BI1411">
        <v>15</v>
      </c>
      <c r="BJ1411">
        <v>15</v>
      </c>
      <c r="BK1411" s="4">
        <v>3075</v>
      </c>
      <c r="BL1411" s="4">
        <v>3440</v>
      </c>
      <c r="BM1411" s="4">
        <v>3805</v>
      </c>
      <c r="BN1411" s="4">
        <v>4170</v>
      </c>
      <c r="BR1411">
        <v>16578</v>
      </c>
      <c r="BT1411">
        <v>8</v>
      </c>
      <c r="BU1411">
        <v>11</v>
      </c>
      <c r="BV1411">
        <v>6</v>
      </c>
      <c r="BX1411">
        <v>1</v>
      </c>
      <c r="BZ1411">
        <v>0.87</v>
      </c>
      <c r="CK1411" t="s">
        <v>360</v>
      </c>
      <c r="CM1411">
        <v>1911</v>
      </c>
    </row>
    <row r="1412" spans="1:91" x14ac:dyDescent="0.3">
      <c r="A1412" t="s">
        <v>2253</v>
      </c>
      <c r="B1412">
        <v>45917</v>
      </c>
      <c r="D1412">
        <v>12</v>
      </c>
      <c r="I1412">
        <v>185000</v>
      </c>
      <c r="U1412">
        <v>1</v>
      </c>
      <c r="Y1412">
        <v>1</v>
      </c>
      <c r="AA1412">
        <v>10.75</v>
      </c>
      <c r="AC1412" s="3">
        <v>11.87</v>
      </c>
      <c r="AE1412" s="3">
        <v>10.75</v>
      </c>
      <c r="AI1412">
        <v>10.87</v>
      </c>
      <c r="AK1412" s="3"/>
      <c r="AV1412" t="s">
        <v>385</v>
      </c>
      <c r="AX1412" t="s">
        <v>1658</v>
      </c>
      <c r="AZ1412" t="s">
        <v>815</v>
      </c>
      <c r="BB1412" t="s">
        <v>1658</v>
      </c>
      <c r="BH1412">
        <v>10</v>
      </c>
      <c r="BI1412">
        <v>10</v>
      </c>
      <c r="BJ1412">
        <v>15</v>
      </c>
      <c r="BK1412" t="s">
        <v>811</v>
      </c>
      <c r="BL1412" s="4">
        <v>3654</v>
      </c>
      <c r="BM1412" s="4">
        <v>4384</v>
      </c>
      <c r="BN1412" s="4">
        <v>4384</v>
      </c>
      <c r="BR1412">
        <v>4889</v>
      </c>
      <c r="BS1412" t="s">
        <v>2254</v>
      </c>
      <c r="BW1412" t="s">
        <v>385</v>
      </c>
      <c r="BX1412">
        <v>11.87</v>
      </c>
      <c r="BZ1412">
        <v>6.68</v>
      </c>
      <c r="CK1412" t="s">
        <v>360</v>
      </c>
      <c r="CM1412">
        <v>1911</v>
      </c>
    </row>
    <row r="1413" spans="1:91" x14ac:dyDescent="0.3">
      <c r="A1413" t="s">
        <v>2253</v>
      </c>
      <c r="B1413">
        <v>45916</v>
      </c>
      <c r="C1413" t="s">
        <v>2255</v>
      </c>
      <c r="D1413">
        <v>12</v>
      </c>
      <c r="I1413">
        <v>115000</v>
      </c>
      <c r="U1413">
        <v>1</v>
      </c>
      <c r="Y1413">
        <v>1</v>
      </c>
      <c r="AA1413">
        <v>10.37</v>
      </c>
      <c r="AC1413" s="3">
        <v>11.5</v>
      </c>
      <c r="AE1413" s="3">
        <v>10.37</v>
      </c>
      <c r="AI1413">
        <v>10.62</v>
      </c>
      <c r="AK1413" s="3"/>
      <c r="AV1413" t="s">
        <v>815</v>
      </c>
      <c r="AX1413" t="s">
        <v>815</v>
      </c>
      <c r="AZ1413" t="s">
        <v>815</v>
      </c>
      <c r="BB1413" t="s">
        <v>1658</v>
      </c>
      <c r="BG1413">
        <v>7.5</v>
      </c>
      <c r="BH1413">
        <v>10</v>
      </c>
      <c r="BI1413">
        <v>10</v>
      </c>
      <c r="BJ1413">
        <v>15</v>
      </c>
      <c r="BK1413" s="4">
        <v>3440</v>
      </c>
      <c r="BL1413" s="4">
        <v>3654</v>
      </c>
      <c r="BM1413" s="4">
        <v>4384</v>
      </c>
      <c r="BN1413" s="4">
        <v>4384</v>
      </c>
      <c r="BR1413">
        <v>4889</v>
      </c>
      <c r="BS1413" t="s">
        <v>2254</v>
      </c>
      <c r="BW1413" t="s">
        <v>385</v>
      </c>
      <c r="BX1413">
        <v>11.5</v>
      </c>
      <c r="BZ1413">
        <v>6.68</v>
      </c>
      <c r="CM1413">
        <v>1911</v>
      </c>
    </row>
    <row r="1414" spans="1:91" x14ac:dyDescent="0.3">
      <c r="A1414" t="s">
        <v>2253</v>
      </c>
      <c r="B1414">
        <v>45918</v>
      </c>
      <c r="C1414" t="s">
        <v>2256</v>
      </c>
      <c r="D1414">
        <v>12</v>
      </c>
      <c r="I1414">
        <v>500000</v>
      </c>
      <c r="J1414" t="s">
        <v>800</v>
      </c>
      <c r="U1414">
        <v>1</v>
      </c>
      <c r="Y1414">
        <v>100</v>
      </c>
      <c r="AA1414">
        <v>118</v>
      </c>
      <c r="AC1414" s="3">
        <v>119</v>
      </c>
      <c r="AE1414" s="3">
        <v>115.5</v>
      </c>
      <c r="AI1414">
        <v>115.5</v>
      </c>
      <c r="AJ1414" t="s">
        <v>379</v>
      </c>
      <c r="AK1414" s="3"/>
      <c r="AV1414" t="s">
        <v>370</v>
      </c>
      <c r="AX1414" t="s">
        <v>370</v>
      </c>
      <c r="AZ1414" t="s">
        <v>370</v>
      </c>
      <c r="BB1414" t="s">
        <v>370</v>
      </c>
      <c r="BO1414" t="s">
        <v>367</v>
      </c>
      <c r="BR1414">
        <v>4889</v>
      </c>
      <c r="BS1414" t="s">
        <v>2254</v>
      </c>
      <c r="BT1414">
        <v>5</v>
      </c>
      <c r="BU1414">
        <v>4</v>
      </c>
      <c r="BV1414">
        <v>0</v>
      </c>
      <c r="BX1414">
        <v>123</v>
      </c>
      <c r="BZ1414">
        <v>104.12</v>
      </c>
      <c r="CM1414">
        <v>1911</v>
      </c>
    </row>
    <row r="1415" spans="1:91" x14ac:dyDescent="0.3">
      <c r="A1415" t="s">
        <v>2257</v>
      </c>
      <c r="B1415">
        <v>45920</v>
      </c>
      <c r="D1415">
        <v>12</v>
      </c>
      <c r="I1415">
        <v>262400</v>
      </c>
      <c r="U1415">
        <v>1</v>
      </c>
      <c r="Y1415">
        <v>1</v>
      </c>
      <c r="AA1415">
        <v>1.43</v>
      </c>
      <c r="AC1415" s="3">
        <v>1.78</v>
      </c>
      <c r="AE1415" s="3">
        <v>1.43</v>
      </c>
      <c r="AI1415">
        <v>1.68</v>
      </c>
      <c r="AK1415" s="3"/>
      <c r="AV1415" t="s">
        <v>385</v>
      </c>
      <c r="AX1415" t="s">
        <v>385</v>
      </c>
      <c r="AZ1415" t="s">
        <v>385</v>
      </c>
      <c r="BB1415" t="s">
        <v>815</v>
      </c>
      <c r="BJ1415">
        <v>6</v>
      </c>
      <c r="BK1415" t="s">
        <v>811</v>
      </c>
      <c r="BL1415" t="s">
        <v>811</v>
      </c>
      <c r="BM1415" t="s">
        <v>811</v>
      </c>
      <c r="BN1415" s="4">
        <v>4170</v>
      </c>
      <c r="BR1415">
        <v>4106</v>
      </c>
      <c r="BT1415">
        <v>3</v>
      </c>
      <c r="BU1415">
        <v>11</v>
      </c>
      <c r="BV1415">
        <v>0</v>
      </c>
      <c r="BY1415" t="s">
        <v>385</v>
      </c>
      <c r="CA1415" t="s">
        <v>385</v>
      </c>
      <c r="CM1415">
        <v>1911</v>
      </c>
    </row>
    <row r="1416" spans="1:91" x14ac:dyDescent="0.3">
      <c r="A1416" t="s">
        <v>2258</v>
      </c>
      <c r="B1416">
        <v>46186</v>
      </c>
      <c r="D1416">
        <v>12</v>
      </c>
      <c r="I1416">
        <v>100000</v>
      </c>
      <c r="U1416">
        <v>1</v>
      </c>
      <c r="Y1416">
        <v>1</v>
      </c>
      <c r="AA1416">
        <v>1</v>
      </c>
      <c r="AC1416" s="3">
        <v>1</v>
      </c>
      <c r="AE1416" s="3">
        <v>0.75</v>
      </c>
      <c r="AI1416">
        <v>0.87</v>
      </c>
      <c r="AK1416" s="3"/>
      <c r="AV1416" t="s">
        <v>2237</v>
      </c>
      <c r="BG1416">
        <v>5</v>
      </c>
      <c r="BS1416" t="s">
        <v>385</v>
      </c>
      <c r="BT1416">
        <v>5</v>
      </c>
      <c r="BU1416">
        <v>14</v>
      </c>
      <c r="BV1416">
        <v>3</v>
      </c>
      <c r="BX1416">
        <v>1.06</v>
      </c>
      <c r="BZ1416">
        <v>0.75</v>
      </c>
      <c r="CM1416">
        <v>1911</v>
      </c>
    </row>
    <row r="1417" spans="1:91" x14ac:dyDescent="0.3">
      <c r="A1417" t="s">
        <v>2259</v>
      </c>
      <c r="B1417">
        <v>46500</v>
      </c>
      <c r="D1417">
        <v>12</v>
      </c>
      <c r="I1417">
        <v>100000</v>
      </c>
      <c r="U1417">
        <v>1</v>
      </c>
      <c r="Y1417">
        <v>1</v>
      </c>
      <c r="AA1417">
        <v>1.31</v>
      </c>
      <c r="AC1417" s="3">
        <v>1.31</v>
      </c>
      <c r="AE1417" s="3">
        <v>1.31</v>
      </c>
      <c r="AI1417">
        <v>1.31</v>
      </c>
      <c r="AK1417" s="3"/>
      <c r="AX1417" t="s">
        <v>823</v>
      </c>
      <c r="BB1417" t="s">
        <v>823</v>
      </c>
      <c r="BG1417">
        <v>10</v>
      </c>
      <c r="BH1417">
        <v>10</v>
      </c>
      <c r="BI1417">
        <v>10</v>
      </c>
      <c r="BJ1417">
        <v>10</v>
      </c>
      <c r="BK1417" s="4">
        <v>3835</v>
      </c>
      <c r="BL1417" s="4">
        <v>3988</v>
      </c>
      <c r="BM1417" s="4">
        <v>4200</v>
      </c>
      <c r="BN1417" s="4">
        <v>4353</v>
      </c>
      <c r="BR1417">
        <v>8438</v>
      </c>
      <c r="BT1417">
        <v>7</v>
      </c>
      <c r="BU1417">
        <v>12</v>
      </c>
      <c r="BV1417">
        <v>6</v>
      </c>
      <c r="BX1417">
        <v>1.34</v>
      </c>
      <c r="BZ1417">
        <v>1.75</v>
      </c>
      <c r="CK1417" t="s">
        <v>360</v>
      </c>
      <c r="CM1417">
        <v>1911</v>
      </c>
    </row>
    <row r="1418" spans="1:91" x14ac:dyDescent="0.3">
      <c r="A1418" t="s">
        <v>2260</v>
      </c>
      <c r="B1418">
        <v>46805</v>
      </c>
      <c r="D1418">
        <v>12</v>
      </c>
      <c r="I1418">
        <v>135000</v>
      </c>
      <c r="U1418">
        <v>1</v>
      </c>
      <c r="Y1418">
        <v>1</v>
      </c>
      <c r="AA1418">
        <v>3.12</v>
      </c>
      <c r="AC1418" s="3">
        <v>3.12</v>
      </c>
      <c r="AE1418" s="3">
        <v>3.06</v>
      </c>
      <c r="AI1418">
        <v>3.06</v>
      </c>
      <c r="AK1418" s="3"/>
      <c r="AV1418" t="s">
        <v>815</v>
      </c>
      <c r="AX1418" t="s">
        <v>823</v>
      </c>
      <c r="BB1418" t="s">
        <v>823</v>
      </c>
      <c r="BG1418">
        <v>10</v>
      </c>
      <c r="BH1418">
        <v>10</v>
      </c>
      <c r="BI1418">
        <v>30</v>
      </c>
      <c r="BJ1418">
        <v>10</v>
      </c>
      <c r="BK1418" s="4">
        <v>3835</v>
      </c>
      <c r="BL1418" s="4">
        <v>3988</v>
      </c>
      <c r="BM1418" s="4">
        <v>4200</v>
      </c>
      <c r="BN1418" s="4">
        <v>4353</v>
      </c>
      <c r="BR1418">
        <v>10838</v>
      </c>
      <c r="BS1418" t="s">
        <v>2261</v>
      </c>
      <c r="BT1418">
        <v>6</v>
      </c>
      <c r="BU1418">
        <v>19</v>
      </c>
      <c r="BV1418">
        <v>6</v>
      </c>
      <c r="BX1418">
        <v>3.28</v>
      </c>
      <c r="BZ1418">
        <v>2.84</v>
      </c>
      <c r="CK1418" t="s">
        <v>360</v>
      </c>
      <c r="CM1418">
        <v>1911</v>
      </c>
    </row>
    <row r="1419" spans="1:91" x14ac:dyDescent="0.3">
      <c r="A1419" t="s">
        <v>2260</v>
      </c>
      <c r="B1419">
        <v>46806</v>
      </c>
      <c r="C1419" t="s">
        <v>817</v>
      </c>
      <c r="D1419">
        <v>12</v>
      </c>
      <c r="I1419">
        <v>270000</v>
      </c>
      <c r="U1419">
        <v>1</v>
      </c>
      <c r="Y1419">
        <v>1</v>
      </c>
      <c r="AA1419">
        <v>0.93</v>
      </c>
      <c r="AB1419" t="s">
        <v>379</v>
      </c>
      <c r="AC1419" s="3">
        <v>0.93</v>
      </c>
      <c r="AE1419" s="3">
        <v>0.9</v>
      </c>
      <c r="AI1419">
        <v>0.93</v>
      </c>
      <c r="AK1419" s="3"/>
      <c r="AV1419" t="s">
        <v>823</v>
      </c>
      <c r="AZ1419" t="s">
        <v>823</v>
      </c>
      <c r="BG1419">
        <v>5</v>
      </c>
      <c r="BH1419">
        <v>5</v>
      </c>
      <c r="BI1419">
        <v>5</v>
      </c>
      <c r="BJ1419">
        <v>5</v>
      </c>
      <c r="BK1419" s="4">
        <v>3593</v>
      </c>
      <c r="BL1419" s="4">
        <v>3774</v>
      </c>
      <c r="BM1419" s="4">
        <v>3958</v>
      </c>
      <c r="BN1419" s="4">
        <v>4139</v>
      </c>
      <c r="BR1419">
        <v>10838</v>
      </c>
      <c r="BS1419" t="s">
        <v>2261</v>
      </c>
      <c r="BT1419">
        <v>5</v>
      </c>
      <c r="BU1419">
        <v>6</v>
      </c>
      <c r="BV1419">
        <v>9</v>
      </c>
      <c r="BX1419">
        <v>0.96</v>
      </c>
      <c r="BZ1419">
        <v>0.9</v>
      </c>
      <c r="CM1419">
        <v>1911</v>
      </c>
    </row>
    <row r="1420" spans="1:91" x14ac:dyDescent="0.3">
      <c r="A1420" t="s">
        <v>2262</v>
      </c>
      <c r="B1420">
        <v>46852</v>
      </c>
      <c r="D1420">
        <v>12</v>
      </c>
      <c r="I1420">
        <v>78954</v>
      </c>
      <c r="U1420">
        <v>1</v>
      </c>
      <c r="Y1420">
        <v>1</v>
      </c>
      <c r="AA1420">
        <v>3.62</v>
      </c>
      <c r="AC1420" s="3">
        <v>3.62</v>
      </c>
      <c r="AE1420" s="3">
        <v>3.62</v>
      </c>
      <c r="AI1420">
        <v>3.62</v>
      </c>
      <c r="AK1420" s="3"/>
      <c r="AV1420" t="s">
        <v>823</v>
      </c>
      <c r="AZ1420" t="s">
        <v>823</v>
      </c>
      <c r="BG1420">
        <v>10</v>
      </c>
      <c r="BH1420">
        <v>40</v>
      </c>
      <c r="BI1420">
        <v>10</v>
      </c>
      <c r="BJ1420">
        <v>40</v>
      </c>
      <c r="BK1420" s="4">
        <v>3713</v>
      </c>
      <c r="BL1420" s="4">
        <v>3927</v>
      </c>
      <c r="BM1420" s="4">
        <v>4078</v>
      </c>
      <c r="BN1420" s="4">
        <v>4292</v>
      </c>
      <c r="BR1420">
        <v>19606</v>
      </c>
      <c r="BT1420">
        <v>6</v>
      </c>
      <c r="BU1420">
        <v>17</v>
      </c>
      <c r="BV1420">
        <v>9</v>
      </c>
      <c r="BX1420">
        <v>4.12</v>
      </c>
      <c r="BZ1420">
        <v>3.43</v>
      </c>
      <c r="CK1420" t="s">
        <v>360</v>
      </c>
      <c r="CM1420">
        <v>1911</v>
      </c>
    </row>
    <row r="1421" spans="1:91" x14ac:dyDescent="0.3">
      <c r="A1421" t="s">
        <v>2263</v>
      </c>
      <c r="B1421">
        <v>47033</v>
      </c>
      <c r="D1421">
        <v>12</v>
      </c>
      <c r="I1421">
        <v>131200</v>
      </c>
      <c r="U1421">
        <v>1</v>
      </c>
      <c r="Y1421">
        <v>1</v>
      </c>
      <c r="AA1421">
        <v>1.5</v>
      </c>
      <c r="AC1421" s="3">
        <v>1.62</v>
      </c>
      <c r="AE1421" s="3">
        <v>1.5</v>
      </c>
      <c r="AI1421">
        <v>1.62</v>
      </c>
      <c r="AK1421" s="3"/>
      <c r="AV1421" t="s">
        <v>385</v>
      </c>
      <c r="AX1421" t="s">
        <v>385</v>
      </c>
      <c r="AZ1421" t="s">
        <v>385</v>
      </c>
      <c r="BB1421" t="s">
        <v>815</v>
      </c>
      <c r="BJ1421">
        <v>3.75</v>
      </c>
      <c r="BK1421" t="s">
        <v>811</v>
      </c>
      <c r="BL1421" t="s">
        <v>811</v>
      </c>
      <c r="BM1421" t="s">
        <v>811</v>
      </c>
      <c r="BN1421" s="4">
        <v>4139</v>
      </c>
      <c r="BS1421" t="s">
        <v>385</v>
      </c>
      <c r="BT1421">
        <v>2</v>
      </c>
      <c r="BU1421">
        <v>6</v>
      </c>
      <c r="BV1421">
        <v>3</v>
      </c>
      <c r="BX1421">
        <v>1.75</v>
      </c>
      <c r="BZ1421">
        <v>1.37</v>
      </c>
      <c r="CM1421">
        <v>1911</v>
      </c>
    </row>
    <row r="1422" spans="1:91" x14ac:dyDescent="0.3">
      <c r="A1422" t="s">
        <v>2264</v>
      </c>
      <c r="B1422">
        <v>47070</v>
      </c>
      <c r="D1422">
        <v>12</v>
      </c>
      <c r="I1422">
        <v>100000</v>
      </c>
      <c r="U1422">
        <v>1</v>
      </c>
      <c r="Y1422">
        <v>1</v>
      </c>
      <c r="AA1422">
        <v>1.06</v>
      </c>
      <c r="AC1422" s="3">
        <v>1.06</v>
      </c>
      <c r="AE1422" s="3">
        <v>1.06</v>
      </c>
      <c r="AI1422">
        <v>1.06</v>
      </c>
      <c r="AK1422" s="3"/>
      <c r="AV1422" t="s">
        <v>2237</v>
      </c>
      <c r="BG1422">
        <v>5</v>
      </c>
      <c r="BH1422">
        <v>5</v>
      </c>
      <c r="BI1422">
        <v>5</v>
      </c>
      <c r="BJ1422">
        <v>5</v>
      </c>
      <c r="BS1422" t="s">
        <v>385</v>
      </c>
      <c r="BT1422">
        <v>4</v>
      </c>
      <c r="BU1422">
        <v>14</v>
      </c>
      <c r="BV1422">
        <v>0</v>
      </c>
      <c r="BX1422">
        <v>1.1200000000000001</v>
      </c>
      <c r="BZ1422">
        <v>1</v>
      </c>
      <c r="CM1422">
        <v>1911</v>
      </c>
    </row>
    <row r="1423" spans="1:91" x14ac:dyDescent="0.3">
      <c r="A1423" t="s">
        <v>2265</v>
      </c>
      <c r="B1423">
        <v>47167</v>
      </c>
      <c r="D1423">
        <v>12</v>
      </c>
      <c r="I1423">
        <v>22000</v>
      </c>
      <c r="U1423">
        <v>10</v>
      </c>
      <c r="Y1423">
        <v>10</v>
      </c>
      <c r="AA1423">
        <v>13.25</v>
      </c>
      <c r="AC1423" s="3">
        <v>13.43</v>
      </c>
      <c r="AE1423" s="3">
        <v>13</v>
      </c>
      <c r="AI1423">
        <v>13</v>
      </c>
      <c r="AK1423" s="3"/>
      <c r="AX1423" t="s">
        <v>823</v>
      </c>
      <c r="BB1423" t="s">
        <v>823</v>
      </c>
      <c r="BG1423">
        <v>10</v>
      </c>
      <c r="BH1423">
        <v>6</v>
      </c>
      <c r="BI1423">
        <v>10</v>
      </c>
      <c r="BJ1423">
        <v>6</v>
      </c>
      <c r="BK1423" s="4">
        <v>3744</v>
      </c>
      <c r="BL1423" s="4">
        <v>3927</v>
      </c>
      <c r="BM1423" s="4">
        <v>4109</v>
      </c>
      <c r="BN1423" s="4">
        <v>4292</v>
      </c>
      <c r="BR1423">
        <v>18841</v>
      </c>
      <c r="BT1423">
        <v>6</v>
      </c>
      <c r="BU1423">
        <v>3</v>
      </c>
      <c r="BV1423">
        <v>0</v>
      </c>
      <c r="BX1423">
        <v>13.62</v>
      </c>
      <c r="BZ1423">
        <v>12.43</v>
      </c>
      <c r="CK1423" t="s">
        <v>360</v>
      </c>
      <c r="CL1423" t="s">
        <v>457</v>
      </c>
      <c r="CM1423">
        <v>1911</v>
      </c>
    </row>
    <row r="1424" spans="1:91" x14ac:dyDescent="0.3">
      <c r="A1424" t="s">
        <v>2266</v>
      </c>
      <c r="B1424">
        <v>47328</v>
      </c>
      <c r="D1424">
        <v>12</v>
      </c>
      <c r="I1424">
        <v>115000</v>
      </c>
      <c r="U1424">
        <v>1</v>
      </c>
      <c r="Y1424">
        <v>1</v>
      </c>
      <c r="AA1424">
        <v>2.12</v>
      </c>
      <c r="AB1424" t="s">
        <v>379</v>
      </c>
      <c r="AC1424" s="3">
        <v>2.12</v>
      </c>
      <c r="AE1424" s="3">
        <v>2.12</v>
      </c>
      <c r="AI1424">
        <v>2.12</v>
      </c>
      <c r="AK1424" s="3"/>
      <c r="AX1424" t="s">
        <v>823</v>
      </c>
      <c r="BB1424" t="s">
        <v>823</v>
      </c>
      <c r="BG1424">
        <v>20</v>
      </c>
      <c r="BH1424">
        <v>5</v>
      </c>
      <c r="BI1424">
        <v>20</v>
      </c>
      <c r="BJ1424">
        <v>5</v>
      </c>
      <c r="BK1424" s="4">
        <v>3774</v>
      </c>
      <c r="BL1424" s="4">
        <v>3927</v>
      </c>
      <c r="BM1424" s="4">
        <v>4139</v>
      </c>
      <c r="BN1424" s="4">
        <v>4292</v>
      </c>
      <c r="BR1424">
        <v>4530</v>
      </c>
      <c r="BT1424">
        <v>5</v>
      </c>
      <c r="BU1424">
        <v>18</v>
      </c>
      <c r="BV1424">
        <v>0</v>
      </c>
      <c r="BX1424">
        <v>2.56</v>
      </c>
      <c r="BZ1424">
        <v>2.12</v>
      </c>
      <c r="CK1424" t="s">
        <v>360</v>
      </c>
      <c r="CM1424">
        <v>1911</v>
      </c>
    </row>
    <row r="1425" spans="1:91" x14ac:dyDescent="0.3">
      <c r="A1425" t="s">
        <v>2267</v>
      </c>
      <c r="B1425">
        <v>47353</v>
      </c>
      <c r="D1425">
        <v>12</v>
      </c>
      <c r="I1425">
        <v>65000</v>
      </c>
      <c r="U1425">
        <v>1</v>
      </c>
      <c r="Y1425">
        <v>1</v>
      </c>
      <c r="AA1425">
        <v>1.87</v>
      </c>
      <c r="AC1425" s="3">
        <v>2.25</v>
      </c>
      <c r="AE1425" s="3">
        <v>1.87</v>
      </c>
      <c r="AI1425">
        <v>2.12</v>
      </c>
      <c r="AK1425" s="3"/>
      <c r="AX1425" t="s">
        <v>823</v>
      </c>
      <c r="BB1425" t="s">
        <v>823</v>
      </c>
      <c r="BG1425">
        <v>20</v>
      </c>
      <c r="BH1425">
        <v>15</v>
      </c>
      <c r="BI1425">
        <v>25</v>
      </c>
      <c r="BJ1425">
        <v>15</v>
      </c>
      <c r="BK1425" s="4">
        <v>3774</v>
      </c>
      <c r="BL1425" s="4">
        <v>3927</v>
      </c>
      <c r="BM1425" s="4">
        <v>4139</v>
      </c>
      <c r="BN1425" s="4">
        <v>4292</v>
      </c>
      <c r="BR1425">
        <v>895</v>
      </c>
      <c r="BT1425">
        <v>9</v>
      </c>
      <c r="BU1425">
        <v>8</v>
      </c>
      <c r="BV1425">
        <v>3</v>
      </c>
      <c r="BX1425">
        <v>0.25</v>
      </c>
      <c r="BZ1425">
        <v>1.59</v>
      </c>
      <c r="CM1425">
        <v>1911</v>
      </c>
    </row>
    <row r="1426" spans="1:91" x14ac:dyDescent="0.3">
      <c r="A1426" t="s">
        <v>2268</v>
      </c>
      <c r="B1426">
        <v>47438</v>
      </c>
      <c r="D1426">
        <v>12</v>
      </c>
      <c r="I1426">
        <v>400000</v>
      </c>
      <c r="V1426" t="s">
        <v>1548</v>
      </c>
      <c r="Z1426" t="s">
        <v>1548</v>
      </c>
      <c r="AA1426">
        <v>0.18</v>
      </c>
      <c r="AC1426" s="3">
        <v>0.18</v>
      </c>
      <c r="AE1426" s="3">
        <v>0.18</v>
      </c>
      <c r="AI1426">
        <v>0.18</v>
      </c>
      <c r="AK1426" s="3"/>
      <c r="AV1426" t="s">
        <v>385</v>
      </c>
      <c r="AX1426" t="s">
        <v>385</v>
      </c>
      <c r="AZ1426" t="s">
        <v>385</v>
      </c>
      <c r="BB1426" t="s">
        <v>385</v>
      </c>
      <c r="BS1426" t="s">
        <v>385</v>
      </c>
      <c r="BW1426" t="s">
        <v>802</v>
      </c>
      <c r="BX1426">
        <v>0.37</v>
      </c>
      <c r="BZ1426">
        <v>0.15</v>
      </c>
      <c r="CM1426">
        <v>1911</v>
      </c>
    </row>
    <row r="1427" spans="1:91" x14ac:dyDescent="0.3">
      <c r="A1427" t="s">
        <v>2269</v>
      </c>
      <c r="B1427">
        <v>47584</v>
      </c>
      <c r="D1427">
        <v>12</v>
      </c>
      <c r="I1427">
        <v>850000</v>
      </c>
      <c r="V1427" t="s">
        <v>1910</v>
      </c>
      <c r="Z1427" t="s">
        <v>1910</v>
      </c>
      <c r="AA1427">
        <v>0.31</v>
      </c>
      <c r="AC1427" s="3">
        <v>0.34</v>
      </c>
      <c r="AE1427" s="3">
        <v>0.56000000000000005</v>
      </c>
      <c r="AI1427">
        <v>0.34</v>
      </c>
      <c r="AK1427" s="3"/>
      <c r="AV1427" t="s">
        <v>823</v>
      </c>
      <c r="AZ1427" t="s">
        <v>823</v>
      </c>
      <c r="BG1427">
        <v>25</v>
      </c>
      <c r="BH1427">
        <v>60</v>
      </c>
      <c r="BI1427">
        <v>25</v>
      </c>
      <c r="BJ1427">
        <v>35</v>
      </c>
      <c r="BK1427" s="4">
        <v>3593</v>
      </c>
      <c r="BL1427" s="4">
        <v>3835</v>
      </c>
      <c r="BM1427" s="4">
        <v>3958</v>
      </c>
      <c r="BN1427" s="4">
        <v>4200</v>
      </c>
      <c r="BR1427">
        <v>11869</v>
      </c>
      <c r="BT1427">
        <v>8</v>
      </c>
      <c r="BU1427">
        <v>14</v>
      </c>
      <c r="BV1427">
        <v>6</v>
      </c>
      <c r="BX1427">
        <v>0.53</v>
      </c>
      <c r="BZ1427">
        <v>0.28000000000000003</v>
      </c>
      <c r="CM1427">
        <v>1911</v>
      </c>
    </row>
    <row r="1428" spans="1:91" x14ac:dyDescent="0.3">
      <c r="A1428" t="s">
        <v>2270</v>
      </c>
      <c r="B1428">
        <v>48239</v>
      </c>
      <c r="D1428">
        <v>12</v>
      </c>
      <c r="I1428">
        <v>115000</v>
      </c>
      <c r="U1428">
        <v>1</v>
      </c>
      <c r="Z1428" t="s">
        <v>1675</v>
      </c>
      <c r="AA1428">
        <v>1.62</v>
      </c>
      <c r="AC1428" s="3">
        <v>1.75</v>
      </c>
      <c r="AE1428" s="3">
        <v>1.62</v>
      </c>
      <c r="AI1428">
        <v>1.75</v>
      </c>
      <c r="AK1428" s="3"/>
      <c r="AV1428" t="s">
        <v>385</v>
      </c>
      <c r="AX1428" t="s">
        <v>385</v>
      </c>
      <c r="AZ1428" t="s">
        <v>385</v>
      </c>
      <c r="BB1428" t="s">
        <v>385</v>
      </c>
      <c r="BR1428">
        <v>20132</v>
      </c>
      <c r="BW1428" t="s">
        <v>802</v>
      </c>
      <c r="BX1428">
        <v>2.12</v>
      </c>
      <c r="BZ1428">
        <v>1.25</v>
      </c>
      <c r="CM1428">
        <v>1911</v>
      </c>
    </row>
    <row r="1429" spans="1:91" x14ac:dyDescent="0.3">
      <c r="A1429" t="s">
        <v>2271</v>
      </c>
      <c r="B1429">
        <v>48573</v>
      </c>
      <c r="D1429">
        <v>12</v>
      </c>
      <c r="I1429">
        <v>175000</v>
      </c>
      <c r="U1429">
        <v>1</v>
      </c>
      <c r="Y1429">
        <v>1</v>
      </c>
      <c r="AA1429">
        <v>0.68</v>
      </c>
      <c r="AC1429" s="3">
        <v>0.81</v>
      </c>
      <c r="AE1429" s="3">
        <v>0.68</v>
      </c>
      <c r="AI1429">
        <v>0.81</v>
      </c>
      <c r="AK1429" s="3"/>
      <c r="AV1429" t="s">
        <v>385</v>
      </c>
      <c r="AX1429" t="s">
        <v>385</v>
      </c>
      <c r="AZ1429" t="s">
        <v>385</v>
      </c>
      <c r="BB1429" t="s">
        <v>385</v>
      </c>
      <c r="BS1429" t="s">
        <v>385</v>
      </c>
      <c r="BW1429" t="s">
        <v>802</v>
      </c>
      <c r="BX1429">
        <v>1</v>
      </c>
      <c r="BZ1429">
        <v>0.62</v>
      </c>
      <c r="CM1429">
        <v>1911</v>
      </c>
    </row>
    <row r="1430" spans="1:91" x14ac:dyDescent="0.3">
      <c r="A1430" t="s">
        <v>2272</v>
      </c>
      <c r="B1430">
        <v>48478</v>
      </c>
      <c r="D1430">
        <v>12</v>
      </c>
      <c r="I1430">
        <v>60000</v>
      </c>
      <c r="U1430">
        <v>1</v>
      </c>
      <c r="Y1430">
        <v>1</v>
      </c>
      <c r="AA1430">
        <v>1.59</v>
      </c>
      <c r="AC1430" s="3">
        <v>1.59</v>
      </c>
      <c r="AE1430" s="3">
        <v>1.59</v>
      </c>
      <c r="AI1430">
        <v>1.59</v>
      </c>
      <c r="AK1430" s="3"/>
      <c r="AV1430" t="s">
        <v>823</v>
      </c>
      <c r="AZ1430" t="s">
        <v>823</v>
      </c>
      <c r="BG1430">
        <v>5</v>
      </c>
      <c r="BH1430">
        <v>20</v>
      </c>
      <c r="BI1430">
        <v>5</v>
      </c>
      <c r="BJ1430">
        <v>20</v>
      </c>
      <c r="BK1430" s="4">
        <v>3774</v>
      </c>
      <c r="BL1430" s="4">
        <v>3958</v>
      </c>
      <c r="BM1430" s="4">
        <v>4139</v>
      </c>
      <c r="BN1430" s="4">
        <v>4323</v>
      </c>
      <c r="BR1430">
        <v>972</v>
      </c>
      <c r="BT1430">
        <v>7</v>
      </c>
      <c r="BU1430">
        <v>17</v>
      </c>
      <c r="BV1430">
        <v>0</v>
      </c>
      <c r="BX1430">
        <v>1.71</v>
      </c>
      <c r="BZ1430">
        <v>1.34</v>
      </c>
      <c r="CK1430" t="s">
        <v>454</v>
      </c>
      <c r="CM1430">
        <v>1911</v>
      </c>
    </row>
    <row r="1431" spans="1:91" x14ac:dyDescent="0.3">
      <c r="A1431" t="s">
        <v>2273</v>
      </c>
      <c r="B1431">
        <v>48597</v>
      </c>
      <c r="D1431">
        <v>12</v>
      </c>
      <c r="I1431">
        <v>300000</v>
      </c>
      <c r="V1431" t="s">
        <v>1910</v>
      </c>
      <c r="Z1431" t="s">
        <v>1910</v>
      </c>
      <c r="AA1431">
        <v>1.93</v>
      </c>
      <c r="AC1431" s="3">
        <v>2.15</v>
      </c>
      <c r="AE1431" s="3">
        <v>1.93</v>
      </c>
      <c r="AI1431">
        <v>2.56</v>
      </c>
      <c r="AK1431" s="3"/>
      <c r="AV1431" t="s">
        <v>815</v>
      </c>
      <c r="AX1431" t="s">
        <v>815</v>
      </c>
      <c r="AZ1431" t="s">
        <v>1658</v>
      </c>
      <c r="BB1431" t="s">
        <v>1658</v>
      </c>
      <c r="BG1431">
        <v>287.5</v>
      </c>
      <c r="BH1431">
        <v>375</v>
      </c>
      <c r="BI1431">
        <v>62.5</v>
      </c>
      <c r="BJ1431">
        <v>62.5</v>
      </c>
      <c r="BK1431" t="s">
        <v>913</v>
      </c>
      <c r="BL1431" t="s">
        <v>1226</v>
      </c>
      <c r="BM1431" s="4">
        <v>4200</v>
      </c>
      <c r="BN1431" s="4">
        <v>4292</v>
      </c>
      <c r="BR1431">
        <v>10875</v>
      </c>
      <c r="BT1431">
        <v>17</v>
      </c>
      <c r="BU1431">
        <v>4</v>
      </c>
      <c r="BV1431">
        <v>9</v>
      </c>
      <c r="BX1431">
        <v>3.31</v>
      </c>
      <c r="BZ1431">
        <v>1.78</v>
      </c>
      <c r="CM1431">
        <v>1911</v>
      </c>
    </row>
    <row r="1432" spans="1:91" x14ac:dyDescent="0.3">
      <c r="A1432" t="s">
        <v>2274</v>
      </c>
      <c r="B1432">
        <v>48758</v>
      </c>
      <c r="D1432">
        <v>12</v>
      </c>
      <c r="I1432">
        <v>65000</v>
      </c>
      <c r="U1432">
        <v>1</v>
      </c>
      <c r="Y1432">
        <v>1</v>
      </c>
      <c r="AA1432">
        <v>1.84</v>
      </c>
      <c r="AB1432" t="s">
        <v>379</v>
      </c>
      <c r="AC1432" s="3">
        <v>2.21</v>
      </c>
      <c r="AE1432" s="3">
        <v>1.84</v>
      </c>
      <c r="AI1432">
        <v>2.21</v>
      </c>
      <c r="AK1432" s="3"/>
      <c r="AV1432" t="s">
        <v>815</v>
      </c>
      <c r="AX1432" t="s">
        <v>815</v>
      </c>
      <c r="AZ1432" t="s">
        <v>1658</v>
      </c>
      <c r="BB1432" t="s">
        <v>1658</v>
      </c>
      <c r="BG1432">
        <v>10</v>
      </c>
      <c r="BH1432">
        <v>10</v>
      </c>
      <c r="BI1432">
        <v>10</v>
      </c>
      <c r="BJ1432">
        <v>10</v>
      </c>
      <c r="BK1432" s="4">
        <v>3988</v>
      </c>
      <c r="BL1432" s="4">
        <v>4109</v>
      </c>
      <c r="BM1432" s="4">
        <v>3866</v>
      </c>
      <c r="BN1432" s="4">
        <v>4353</v>
      </c>
      <c r="BR1432">
        <v>8343</v>
      </c>
      <c r="BT1432">
        <v>13</v>
      </c>
      <c r="BU1432">
        <v>10</v>
      </c>
      <c r="BV1432">
        <v>0</v>
      </c>
      <c r="BX1432">
        <v>4.0599999999999996</v>
      </c>
      <c r="BZ1432">
        <v>1.84</v>
      </c>
      <c r="CM1432">
        <v>1911</v>
      </c>
    </row>
    <row r="1433" spans="1:91" x14ac:dyDescent="0.3">
      <c r="A1433" t="s">
        <v>2275</v>
      </c>
      <c r="B1433">
        <v>48804</v>
      </c>
      <c r="D1433">
        <v>12</v>
      </c>
      <c r="I1433">
        <v>86000</v>
      </c>
      <c r="U1433">
        <v>1</v>
      </c>
      <c r="Y1433">
        <v>1</v>
      </c>
      <c r="AA1433">
        <v>2</v>
      </c>
      <c r="AC1433" s="3">
        <v>2.87</v>
      </c>
      <c r="AE1433" s="3">
        <v>2</v>
      </c>
      <c r="AI1433">
        <v>2.87</v>
      </c>
      <c r="AK1433" s="3"/>
      <c r="AV1433" t="s">
        <v>385</v>
      </c>
      <c r="AX1433" t="s">
        <v>385</v>
      </c>
      <c r="AZ1433" t="s">
        <v>385</v>
      </c>
      <c r="BB1433" t="s">
        <v>815</v>
      </c>
      <c r="BJ1433">
        <v>5</v>
      </c>
      <c r="BK1433" t="s">
        <v>811</v>
      </c>
      <c r="BL1433" t="s">
        <v>811</v>
      </c>
      <c r="BM1433" t="s">
        <v>811</v>
      </c>
      <c r="BN1433" s="4">
        <v>4200</v>
      </c>
      <c r="BR1433">
        <v>1921</v>
      </c>
      <c r="BT1433">
        <v>1</v>
      </c>
      <c r="BU1433">
        <v>14</v>
      </c>
      <c r="BV1433">
        <v>9</v>
      </c>
      <c r="BX1433">
        <v>2.87</v>
      </c>
      <c r="BZ1433">
        <v>1.62</v>
      </c>
      <c r="CM1433">
        <v>1911</v>
      </c>
    </row>
    <row r="1434" spans="1:91" x14ac:dyDescent="0.3">
      <c r="A1434" t="s">
        <v>2276</v>
      </c>
      <c r="B1434">
        <v>48848</v>
      </c>
      <c r="D1434">
        <v>12</v>
      </c>
      <c r="I1434">
        <v>10500</v>
      </c>
      <c r="U1434">
        <v>10</v>
      </c>
      <c r="Y1434">
        <v>10</v>
      </c>
      <c r="AA1434">
        <v>12.75</v>
      </c>
      <c r="AC1434" s="3">
        <v>12.81</v>
      </c>
      <c r="AE1434" s="3">
        <v>12.5</v>
      </c>
      <c r="AI1434">
        <v>12.5</v>
      </c>
      <c r="AK1434" s="3"/>
      <c r="AV1434" t="s">
        <v>815</v>
      </c>
      <c r="AX1434" t="s">
        <v>823</v>
      </c>
      <c r="BB1434" t="s">
        <v>823</v>
      </c>
      <c r="BG1434">
        <v>6</v>
      </c>
      <c r="BH1434">
        <v>6</v>
      </c>
      <c r="BI1434">
        <v>10</v>
      </c>
      <c r="BJ1434">
        <v>6</v>
      </c>
      <c r="BK1434" s="4">
        <v>3835</v>
      </c>
      <c r="BL1434" s="4">
        <v>3988</v>
      </c>
      <c r="BM1434" s="4">
        <v>4200</v>
      </c>
      <c r="BN1434" s="4">
        <v>4353</v>
      </c>
      <c r="BR1434">
        <v>2400</v>
      </c>
      <c r="BS1434" t="s">
        <v>2277</v>
      </c>
      <c r="BT1434">
        <v>6</v>
      </c>
      <c r="BU1434">
        <v>8</v>
      </c>
      <c r="BV1434">
        <v>0</v>
      </c>
      <c r="BX1434">
        <v>13.87</v>
      </c>
      <c r="BZ1434">
        <v>10.119999999999999</v>
      </c>
      <c r="CK1434" t="s">
        <v>360</v>
      </c>
      <c r="CM1434">
        <v>1911</v>
      </c>
    </row>
    <row r="1435" spans="1:91" x14ac:dyDescent="0.3">
      <c r="A1435" t="s">
        <v>2278</v>
      </c>
      <c r="B1435">
        <v>48850</v>
      </c>
      <c r="C1435" t="s">
        <v>2279</v>
      </c>
      <c r="D1435">
        <v>12</v>
      </c>
      <c r="I1435">
        <v>10500</v>
      </c>
      <c r="U1435">
        <v>10</v>
      </c>
      <c r="Y1435">
        <v>10</v>
      </c>
      <c r="AA1435">
        <v>10.62</v>
      </c>
      <c r="AC1435" s="3">
        <v>10.62</v>
      </c>
      <c r="AE1435" s="3">
        <v>10.25</v>
      </c>
      <c r="AI1435">
        <v>10.25</v>
      </c>
      <c r="AK1435" s="3"/>
      <c r="BG1435">
        <v>6.5</v>
      </c>
      <c r="BH1435">
        <v>6.5</v>
      </c>
      <c r="BI1435">
        <v>6.5</v>
      </c>
      <c r="BJ1435">
        <v>6.5</v>
      </c>
      <c r="BK1435" s="4">
        <v>3835</v>
      </c>
      <c r="BL1435" s="4">
        <v>4019</v>
      </c>
      <c r="BM1435" s="4">
        <v>4200</v>
      </c>
      <c r="BN1435" s="4">
        <v>4384</v>
      </c>
      <c r="BR1435">
        <v>2400</v>
      </c>
      <c r="BS1435" t="s">
        <v>2277</v>
      </c>
      <c r="BT1435">
        <v>6</v>
      </c>
      <c r="BU1435">
        <v>6</v>
      </c>
      <c r="BV1435">
        <v>9</v>
      </c>
      <c r="BX1435">
        <v>10.75</v>
      </c>
      <c r="BZ1435">
        <v>9.75</v>
      </c>
      <c r="CM1435">
        <v>1911</v>
      </c>
    </row>
    <row r="1436" spans="1:91" x14ac:dyDescent="0.3">
      <c r="A1436" t="s">
        <v>2280</v>
      </c>
      <c r="B1436">
        <v>49155</v>
      </c>
      <c r="D1436">
        <v>12</v>
      </c>
      <c r="I1436">
        <v>2050</v>
      </c>
      <c r="U1436">
        <v>10</v>
      </c>
      <c r="Y1436">
        <v>10</v>
      </c>
      <c r="AA1436">
        <v>27.5</v>
      </c>
      <c r="AC1436" s="3">
        <v>27.5</v>
      </c>
      <c r="AE1436" s="3">
        <v>27.5</v>
      </c>
      <c r="AI1436">
        <v>27.5</v>
      </c>
      <c r="AK1436" s="3"/>
      <c r="AX1436" t="s">
        <v>823</v>
      </c>
      <c r="BB1436" t="s">
        <v>823</v>
      </c>
      <c r="BG1436">
        <v>30</v>
      </c>
      <c r="BH1436">
        <v>10</v>
      </c>
      <c r="BI1436">
        <v>30</v>
      </c>
      <c r="BJ1436">
        <v>10</v>
      </c>
      <c r="BK1436" s="4">
        <v>3744</v>
      </c>
      <c r="BL1436" s="4">
        <v>3866</v>
      </c>
      <c r="BM1436" s="4">
        <v>4109</v>
      </c>
      <c r="BN1436" s="4">
        <v>4231</v>
      </c>
      <c r="BR1436">
        <v>22443</v>
      </c>
      <c r="BS1436" t="s">
        <v>2281</v>
      </c>
      <c r="BT1436">
        <v>7</v>
      </c>
      <c r="BU1436">
        <v>5</v>
      </c>
      <c r="BV1436">
        <v>6</v>
      </c>
      <c r="BX1436">
        <v>27.5</v>
      </c>
      <c r="BZ1436">
        <v>27.5</v>
      </c>
      <c r="CK1436" t="s">
        <v>360</v>
      </c>
      <c r="CM1436">
        <v>1911</v>
      </c>
    </row>
    <row r="1437" spans="1:91" x14ac:dyDescent="0.3">
      <c r="A1437" t="s">
        <v>2280</v>
      </c>
      <c r="B1437">
        <v>49156</v>
      </c>
      <c r="C1437" t="s">
        <v>549</v>
      </c>
      <c r="D1437">
        <v>12</v>
      </c>
      <c r="I1437">
        <v>6500</v>
      </c>
      <c r="U1437">
        <v>10</v>
      </c>
      <c r="Y1437">
        <v>6</v>
      </c>
      <c r="AA1437">
        <v>16.12</v>
      </c>
      <c r="AC1437" s="3">
        <v>16.25</v>
      </c>
      <c r="AE1437" s="3">
        <v>16</v>
      </c>
      <c r="AI1437">
        <v>16</v>
      </c>
      <c r="AK1437" s="3"/>
      <c r="AX1437" t="s">
        <v>823</v>
      </c>
      <c r="BB1437" t="s">
        <v>823</v>
      </c>
      <c r="BG1437">
        <v>30</v>
      </c>
      <c r="BH1437">
        <v>10</v>
      </c>
      <c r="BI1437">
        <v>30</v>
      </c>
      <c r="BJ1437">
        <v>10</v>
      </c>
      <c r="BK1437" s="4">
        <v>3744</v>
      </c>
      <c r="BL1437" s="4">
        <v>3866</v>
      </c>
      <c r="BM1437" s="4">
        <v>4109</v>
      </c>
      <c r="BN1437" s="4">
        <v>4231</v>
      </c>
      <c r="BR1437">
        <v>22443</v>
      </c>
      <c r="BS1437" t="s">
        <v>2281</v>
      </c>
      <c r="BT1437">
        <v>7</v>
      </c>
      <c r="BU1437">
        <v>10</v>
      </c>
      <c r="BV1437">
        <v>0</v>
      </c>
      <c r="BX1437">
        <v>17.5</v>
      </c>
      <c r="BZ1437">
        <v>15.5</v>
      </c>
      <c r="CM1437">
        <v>1911</v>
      </c>
    </row>
    <row r="1438" spans="1:91" x14ac:dyDescent="0.3">
      <c r="A1438" t="s">
        <v>2282</v>
      </c>
      <c r="B1438">
        <v>49281</v>
      </c>
      <c r="D1438">
        <v>12</v>
      </c>
      <c r="I1438" s="2">
        <v>1925000</v>
      </c>
      <c r="V1438" t="s">
        <v>1910</v>
      </c>
      <c r="Z1438" t="s">
        <v>1910</v>
      </c>
      <c r="AA1438">
        <v>0.25</v>
      </c>
      <c r="AC1438" s="3">
        <v>0.25</v>
      </c>
      <c r="AE1438" s="3">
        <v>0.21</v>
      </c>
      <c r="AI1438">
        <v>0.25</v>
      </c>
      <c r="AK1438" s="3"/>
      <c r="AZ1438" t="s">
        <v>823</v>
      </c>
      <c r="BG1438">
        <v>15</v>
      </c>
      <c r="BH1438">
        <v>20</v>
      </c>
      <c r="BI1438">
        <v>15</v>
      </c>
      <c r="BJ1438">
        <v>20</v>
      </c>
      <c r="BK1438" s="4">
        <v>3685</v>
      </c>
      <c r="BL1438" s="4">
        <v>3866</v>
      </c>
      <c r="BM1438" s="4">
        <v>4050</v>
      </c>
      <c r="BN1438" s="4">
        <v>4231</v>
      </c>
      <c r="BR1438">
        <v>2838</v>
      </c>
      <c r="BT1438">
        <v>7</v>
      </c>
      <c r="BU1438">
        <v>0</v>
      </c>
      <c r="BV1438">
        <v>0</v>
      </c>
      <c r="BX1438">
        <v>0.46</v>
      </c>
      <c r="BZ1438">
        <v>0.21</v>
      </c>
      <c r="CM1438">
        <v>1911</v>
      </c>
    </row>
    <row r="1439" spans="1:91" x14ac:dyDescent="0.3">
      <c r="A1439" t="s">
        <v>2283</v>
      </c>
      <c r="B1439">
        <v>49331</v>
      </c>
      <c r="D1439">
        <v>12</v>
      </c>
      <c r="I1439" s="2">
        <v>1000000</v>
      </c>
      <c r="V1439" t="s">
        <v>1910</v>
      </c>
      <c r="Z1439" t="s">
        <v>1910</v>
      </c>
      <c r="AA1439">
        <v>0.4</v>
      </c>
      <c r="AC1439" s="3">
        <v>0.4</v>
      </c>
      <c r="AE1439" s="3">
        <v>0.37</v>
      </c>
      <c r="AI1439">
        <v>0.4</v>
      </c>
      <c r="AJ1439" t="s">
        <v>379</v>
      </c>
      <c r="AK1439" s="3"/>
      <c r="AV1439" t="s">
        <v>815</v>
      </c>
      <c r="AX1439" t="s">
        <v>815</v>
      </c>
      <c r="AZ1439" t="s">
        <v>815</v>
      </c>
      <c r="BG1439">
        <v>15</v>
      </c>
      <c r="BH1439">
        <v>33.33</v>
      </c>
      <c r="BI1439">
        <v>37.5</v>
      </c>
      <c r="BJ1439">
        <v>37.5</v>
      </c>
      <c r="BK1439" t="s">
        <v>1260</v>
      </c>
      <c r="BL1439" t="s">
        <v>1261</v>
      </c>
      <c r="BM1439" t="s">
        <v>1262</v>
      </c>
      <c r="BR1439">
        <v>9407</v>
      </c>
      <c r="BT1439">
        <v>9</v>
      </c>
      <c r="BU1439">
        <v>4</v>
      </c>
      <c r="BV1439">
        <v>6</v>
      </c>
      <c r="BX1439">
        <v>0.68</v>
      </c>
      <c r="BZ1439">
        <v>0.37</v>
      </c>
      <c r="CM1439">
        <v>1911</v>
      </c>
    </row>
    <row r="1440" spans="1:91" x14ac:dyDescent="0.3">
      <c r="A1440" t="s">
        <v>2284</v>
      </c>
      <c r="B1440">
        <v>49357</v>
      </c>
      <c r="D1440">
        <v>12</v>
      </c>
      <c r="I1440" s="2">
        <v>1000000</v>
      </c>
      <c r="V1440" t="s">
        <v>1910</v>
      </c>
      <c r="Z1440" t="s">
        <v>1910</v>
      </c>
      <c r="AA1440">
        <v>0.46</v>
      </c>
      <c r="AC1440" s="3">
        <v>0.56000000000000005</v>
      </c>
      <c r="AE1440" s="3">
        <v>0.46</v>
      </c>
      <c r="AI1440">
        <v>0.5</v>
      </c>
      <c r="AK1440" s="3"/>
      <c r="AX1440" t="s">
        <v>823</v>
      </c>
      <c r="BB1440" t="s">
        <v>823</v>
      </c>
      <c r="BG1440">
        <v>50</v>
      </c>
      <c r="BH1440">
        <v>50</v>
      </c>
      <c r="BI1440">
        <v>60</v>
      </c>
      <c r="BJ1440">
        <v>40</v>
      </c>
      <c r="BK1440" s="4">
        <v>3744</v>
      </c>
      <c r="BL1440" s="4">
        <v>3927</v>
      </c>
      <c r="BM1440" s="4">
        <v>4109</v>
      </c>
      <c r="BN1440" s="4">
        <v>4292</v>
      </c>
      <c r="BR1440">
        <v>9807</v>
      </c>
      <c r="BT1440">
        <v>10</v>
      </c>
      <c r="BU1440">
        <v>0</v>
      </c>
      <c r="BV1440">
        <v>0</v>
      </c>
      <c r="BX1440">
        <v>0.75</v>
      </c>
      <c r="BZ1440">
        <v>0.46</v>
      </c>
      <c r="CM1440">
        <v>1911</v>
      </c>
    </row>
    <row r="1441" spans="1:91" x14ac:dyDescent="0.3">
      <c r="A1441" t="s">
        <v>2285</v>
      </c>
      <c r="B1441">
        <v>49468</v>
      </c>
      <c r="D1441">
        <v>12</v>
      </c>
      <c r="I1441">
        <v>96006</v>
      </c>
      <c r="U1441">
        <v>1</v>
      </c>
      <c r="Y1441">
        <v>1</v>
      </c>
      <c r="AA1441">
        <v>3</v>
      </c>
      <c r="AC1441" s="3">
        <v>3.5</v>
      </c>
      <c r="AE1441" s="3">
        <v>2.87</v>
      </c>
      <c r="AI1441">
        <v>3.43</v>
      </c>
      <c r="AK1441" s="3"/>
      <c r="AV1441" t="s">
        <v>385</v>
      </c>
      <c r="AX1441" t="s">
        <v>385</v>
      </c>
      <c r="AZ1441" t="s">
        <v>385</v>
      </c>
      <c r="BB1441" t="s">
        <v>385</v>
      </c>
      <c r="BS1441" t="s">
        <v>385</v>
      </c>
      <c r="BW1441" t="s">
        <v>802</v>
      </c>
      <c r="BX1441">
        <v>4.5</v>
      </c>
      <c r="BZ1441">
        <v>2.25</v>
      </c>
      <c r="CK1441" t="s">
        <v>360</v>
      </c>
      <c r="CM1441">
        <v>1911</v>
      </c>
    </row>
    <row r="1442" spans="1:91" x14ac:dyDescent="0.3">
      <c r="A1442" t="s">
        <v>2286</v>
      </c>
      <c r="B1442">
        <v>49473</v>
      </c>
      <c r="D1442">
        <v>12</v>
      </c>
      <c r="I1442">
        <v>75000</v>
      </c>
      <c r="U1442">
        <v>1</v>
      </c>
      <c r="Y1442">
        <v>1</v>
      </c>
      <c r="AA1442">
        <v>0.87</v>
      </c>
      <c r="AC1442" s="3">
        <v>0.87</v>
      </c>
      <c r="AE1442" s="3">
        <v>0.81</v>
      </c>
      <c r="AI1442">
        <v>0.87</v>
      </c>
      <c r="AK1442" s="3"/>
      <c r="AV1442" t="s">
        <v>385</v>
      </c>
      <c r="AX1442" t="s">
        <v>385</v>
      </c>
      <c r="AZ1442" t="s">
        <v>385</v>
      </c>
      <c r="BB1442" t="s">
        <v>385</v>
      </c>
      <c r="BS1442" t="s">
        <v>385</v>
      </c>
      <c r="BW1442" t="s">
        <v>802</v>
      </c>
      <c r="BX1442">
        <v>1.25</v>
      </c>
      <c r="BZ1442">
        <v>0.81</v>
      </c>
      <c r="CK1442" t="s">
        <v>360</v>
      </c>
      <c r="CM1442">
        <v>1911</v>
      </c>
    </row>
    <row r="1443" spans="1:91" x14ac:dyDescent="0.3">
      <c r="A1443" t="s">
        <v>2287</v>
      </c>
      <c r="B1443">
        <v>49539</v>
      </c>
      <c r="D1443">
        <v>12</v>
      </c>
      <c r="I1443">
        <v>135000</v>
      </c>
      <c r="U1443">
        <v>1</v>
      </c>
      <c r="Y1443">
        <v>1</v>
      </c>
      <c r="AA1443">
        <v>0.62</v>
      </c>
      <c r="AC1443" s="3">
        <v>0.68</v>
      </c>
      <c r="AE1443" s="3">
        <v>0.62</v>
      </c>
      <c r="AI1443">
        <v>0.68</v>
      </c>
      <c r="AK1443" s="3"/>
      <c r="AV1443" t="s">
        <v>385</v>
      </c>
      <c r="AX1443" t="s">
        <v>385</v>
      </c>
      <c r="AZ1443" t="s">
        <v>385</v>
      </c>
      <c r="BB1443" t="s">
        <v>385</v>
      </c>
      <c r="BS1443" t="s">
        <v>385</v>
      </c>
      <c r="BW1443" t="s">
        <v>802</v>
      </c>
      <c r="BX1443">
        <v>0.75</v>
      </c>
      <c r="BZ1443">
        <v>0.37</v>
      </c>
      <c r="CK1443" t="s">
        <v>360</v>
      </c>
      <c r="CM1443">
        <v>1911</v>
      </c>
    </row>
    <row r="1444" spans="1:91" x14ac:dyDescent="0.3">
      <c r="A1444" t="s">
        <v>2288</v>
      </c>
      <c r="B1444">
        <v>49953</v>
      </c>
      <c r="D1444">
        <v>12</v>
      </c>
      <c r="I1444">
        <v>190000</v>
      </c>
      <c r="U1444">
        <v>1</v>
      </c>
      <c r="Y1444">
        <v>1</v>
      </c>
      <c r="AA1444">
        <v>4.5599999999999996</v>
      </c>
      <c r="AC1444" s="3">
        <v>5.46</v>
      </c>
      <c r="AE1444" s="3">
        <v>4.5599999999999996</v>
      </c>
      <c r="AI1444">
        <v>5.25</v>
      </c>
      <c r="AJ1444" t="s">
        <v>379</v>
      </c>
      <c r="AK1444" s="3"/>
      <c r="AV1444" t="s">
        <v>815</v>
      </c>
      <c r="AX1444" t="s">
        <v>815</v>
      </c>
      <c r="AZ1444" t="s">
        <v>815</v>
      </c>
      <c r="BB1444" t="s">
        <v>815</v>
      </c>
      <c r="BG1444">
        <v>5</v>
      </c>
      <c r="BH1444">
        <v>5</v>
      </c>
      <c r="BI1444">
        <v>10</v>
      </c>
      <c r="BJ1444">
        <v>20</v>
      </c>
      <c r="BK1444" s="4">
        <v>3289</v>
      </c>
      <c r="BL1444" s="4">
        <v>3654</v>
      </c>
      <c r="BM1444" s="4">
        <v>4019</v>
      </c>
      <c r="BN1444" s="4">
        <v>4384</v>
      </c>
      <c r="BR1444">
        <v>14985</v>
      </c>
      <c r="BT1444">
        <v>3</v>
      </c>
      <c r="BU1444">
        <v>16</v>
      </c>
      <c r="BV1444">
        <v>3</v>
      </c>
      <c r="BX1444">
        <v>6.12</v>
      </c>
      <c r="BZ1444">
        <v>4.03</v>
      </c>
      <c r="CK1444" t="s">
        <v>360</v>
      </c>
      <c r="CM1444">
        <v>1911</v>
      </c>
    </row>
    <row r="1445" spans="1:91" x14ac:dyDescent="0.3">
      <c r="A1445" t="s">
        <v>2289</v>
      </c>
      <c r="B1445">
        <v>49980</v>
      </c>
      <c r="D1445">
        <v>12</v>
      </c>
      <c r="I1445">
        <v>850000</v>
      </c>
      <c r="V1445" t="s">
        <v>1910</v>
      </c>
      <c r="Z1445" t="s">
        <v>1910</v>
      </c>
      <c r="AA1445">
        <v>0.31</v>
      </c>
      <c r="AC1445" s="3">
        <v>0.34</v>
      </c>
      <c r="AE1445" s="3">
        <v>0.31</v>
      </c>
      <c r="AI1445">
        <v>0.34</v>
      </c>
      <c r="AK1445" s="3"/>
      <c r="AV1445" t="s">
        <v>815</v>
      </c>
      <c r="AX1445" t="s">
        <v>815</v>
      </c>
      <c r="AZ1445" t="s">
        <v>815</v>
      </c>
      <c r="BG1445">
        <v>10</v>
      </c>
      <c r="BH1445">
        <v>20</v>
      </c>
      <c r="BI1445">
        <v>20.309999999999999</v>
      </c>
      <c r="BJ1445">
        <v>20.309999999999999</v>
      </c>
      <c r="BK1445" s="4">
        <v>3532</v>
      </c>
      <c r="BL1445" s="4">
        <v>3897</v>
      </c>
      <c r="BM1445" t="s">
        <v>1262</v>
      </c>
      <c r="BR1445">
        <v>3232</v>
      </c>
      <c r="BT1445">
        <v>5</v>
      </c>
      <c r="BU1445">
        <v>18</v>
      </c>
      <c r="BV1445">
        <v>0</v>
      </c>
      <c r="BX1445">
        <v>0.56000000000000005</v>
      </c>
      <c r="BZ1445">
        <v>0.28000000000000003</v>
      </c>
      <c r="CM1445">
        <v>1911</v>
      </c>
    </row>
    <row r="1446" spans="1:91" x14ac:dyDescent="0.3">
      <c r="A1446" t="s">
        <v>2290</v>
      </c>
      <c r="B1446">
        <v>50015</v>
      </c>
      <c r="D1446">
        <v>12</v>
      </c>
      <c r="I1446">
        <v>781984</v>
      </c>
      <c r="V1446" t="s">
        <v>1910</v>
      </c>
      <c r="Z1446" t="s">
        <v>1910</v>
      </c>
      <c r="AA1446">
        <v>0.09</v>
      </c>
      <c r="AC1446" s="3">
        <v>0.09</v>
      </c>
      <c r="AE1446" s="3">
        <v>0.09</v>
      </c>
      <c r="AI1446">
        <v>0.09</v>
      </c>
      <c r="AK1446" s="3"/>
      <c r="AV1446" t="s">
        <v>385</v>
      </c>
      <c r="AX1446" t="s">
        <v>385</v>
      </c>
      <c r="AZ1446" t="s">
        <v>385</v>
      </c>
      <c r="BB1446" t="s">
        <v>385</v>
      </c>
      <c r="BS1446" t="s">
        <v>385</v>
      </c>
      <c r="BW1446" t="s">
        <v>802</v>
      </c>
      <c r="BX1446">
        <v>0.12</v>
      </c>
      <c r="BZ1446">
        <v>0.09</v>
      </c>
      <c r="CK1446" t="s">
        <v>360</v>
      </c>
      <c r="CM1446">
        <v>1911</v>
      </c>
    </row>
    <row r="1447" spans="1:91" x14ac:dyDescent="0.3">
      <c r="A1447" t="s">
        <v>2291</v>
      </c>
      <c r="B1447">
        <v>50024</v>
      </c>
      <c r="D1447">
        <v>12</v>
      </c>
      <c r="I1447">
        <v>506000</v>
      </c>
      <c r="V1447" t="s">
        <v>1910</v>
      </c>
      <c r="Z1447" t="s">
        <v>1910</v>
      </c>
      <c r="AA1447">
        <v>1.18</v>
      </c>
      <c r="AC1447" s="3">
        <v>1.28</v>
      </c>
      <c r="AE1447" s="3">
        <v>1.18</v>
      </c>
      <c r="AI1447">
        <v>1.21</v>
      </c>
      <c r="AK1447" s="3"/>
      <c r="AX1447" t="s">
        <v>823</v>
      </c>
      <c r="BB1447" t="s">
        <v>823</v>
      </c>
      <c r="BG1447">
        <v>366.66</v>
      </c>
      <c r="BH1447">
        <v>150</v>
      </c>
      <c r="BI1447">
        <v>200</v>
      </c>
      <c r="BJ1447">
        <v>100</v>
      </c>
      <c r="BK1447" s="4">
        <v>3835</v>
      </c>
      <c r="BL1447" s="4">
        <v>4019</v>
      </c>
      <c r="BM1447" s="4">
        <v>4200</v>
      </c>
      <c r="BN1447" s="4">
        <v>4384</v>
      </c>
      <c r="BR1447">
        <v>22340</v>
      </c>
      <c r="BT1447">
        <v>12</v>
      </c>
      <c r="BU1447">
        <v>6</v>
      </c>
      <c r="BV1447">
        <v>0</v>
      </c>
      <c r="BX1447">
        <v>2.12</v>
      </c>
      <c r="BZ1447">
        <v>1.1200000000000001</v>
      </c>
      <c r="CM1447">
        <v>1911</v>
      </c>
    </row>
    <row r="1448" spans="1:91" x14ac:dyDescent="0.3">
      <c r="A1448" t="s">
        <v>2292</v>
      </c>
      <c r="B1448">
        <v>50656</v>
      </c>
      <c r="D1448">
        <v>12</v>
      </c>
      <c r="I1448">
        <v>90000</v>
      </c>
      <c r="U1448">
        <v>1</v>
      </c>
      <c r="Y1448">
        <v>1</v>
      </c>
      <c r="AA1448">
        <v>2.34</v>
      </c>
      <c r="AC1448" s="3">
        <v>3.37</v>
      </c>
      <c r="AE1448" s="3">
        <v>2.31</v>
      </c>
      <c r="AI1448">
        <v>2.37</v>
      </c>
      <c r="AK1448" s="3"/>
      <c r="AX1448" t="s">
        <v>823</v>
      </c>
      <c r="BB1448" t="s">
        <v>823</v>
      </c>
      <c r="BG1448">
        <v>6</v>
      </c>
      <c r="BH1448">
        <v>10</v>
      </c>
      <c r="BI1448">
        <v>10</v>
      </c>
      <c r="BJ1448">
        <v>20</v>
      </c>
      <c r="BK1448" s="4">
        <v>3593</v>
      </c>
      <c r="BL1448" s="4">
        <v>3774</v>
      </c>
      <c r="BM1448" s="4">
        <v>3958</v>
      </c>
      <c r="BN1448" s="4">
        <v>4139</v>
      </c>
      <c r="BR1448">
        <v>6990</v>
      </c>
      <c r="BT1448">
        <v>6</v>
      </c>
      <c r="BU1448">
        <v>6</v>
      </c>
      <c r="BV1448">
        <v>0</v>
      </c>
      <c r="BX1448">
        <v>2.75</v>
      </c>
      <c r="BZ1448">
        <v>2</v>
      </c>
      <c r="CK1448" t="s">
        <v>360</v>
      </c>
      <c r="CM1448">
        <v>1911</v>
      </c>
    </row>
    <row r="1449" spans="1:91" x14ac:dyDescent="0.3">
      <c r="A1449" t="s">
        <v>2293</v>
      </c>
      <c r="B1449">
        <v>40244</v>
      </c>
      <c r="D1449">
        <v>12</v>
      </c>
      <c r="I1449" s="2">
        <v>275440000</v>
      </c>
      <c r="J1449" t="s">
        <v>773</v>
      </c>
      <c r="U1449">
        <v>100</v>
      </c>
      <c r="V1449" t="s">
        <v>773</v>
      </c>
      <c r="Y1449">
        <v>100</v>
      </c>
      <c r="Z1449" t="s">
        <v>773</v>
      </c>
      <c r="AA1449">
        <v>143</v>
      </c>
      <c r="AC1449" s="3">
        <v>144</v>
      </c>
      <c r="AE1449" s="3">
        <v>142</v>
      </c>
      <c r="AI1449">
        <v>142</v>
      </c>
      <c r="AJ1449" t="s">
        <v>379</v>
      </c>
      <c r="AK1449" s="3"/>
      <c r="BG1449">
        <v>8</v>
      </c>
      <c r="BH1449">
        <v>8</v>
      </c>
      <c r="BI1449">
        <v>8</v>
      </c>
      <c r="BJ1449">
        <v>8</v>
      </c>
      <c r="BK1449" s="4">
        <v>4019</v>
      </c>
      <c r="BL1449" s="4">
        <v>4109</v>
      </c>
      <c r="BM1449" s="4">
        <v>4200</v>
      </c>
      <c r="BN1449" s="4">
        <v>4292</v>
      </c>
      <c r="BS1449" t="s">
        <v>385</v>
      </c>
      <c r="BT1449">
        <v>5</v>
      </c>
      <c r="BU1449">
        <v>12</v>
      </c>
      <c r="BV1449">
        <v>9</v>
      </c>
      <c r="BX1449">
        <v>157.75</v>
      </c>
      <c r="BZ1449">
        <v>136</v>
      </c>
      <c r="CK1449" t="s">
        <v>2294</v>
      </c>
      <c r="CM1449">
        <v>1911</v>
      </c>
    </row>
    <row r="1450" spans="1:91" x14ac:dyDescent="0.3">
      <c r="A1450" t="s">
        <v>2293</v>
      </c>
      <c r="B1450">
        <v>40246</v>
      </c>
      <c r="C1450" t="s">
        <v>2295</v>
      </c>
      <c r="D1450">
        <v>12</v>
      </c>
      <c r="I1450" s="2">
        <v>53000000</v>
      </c>
      <c r="J1450" t="s">
        <v>773</v>
      </c>
      <c r="U1450">
        <v>1000</v>
      </c>
      <c r="V1450" t="s">
        <v>773</v>
      </c>
      <c r="Y1450">
        <v>205.5</v>
      </c>
      <c r="AA1450">
        <v>95.5</v>
      </c>
      <c r="AC1450" s="3">
        <v>96</v>
      </c>
      <c r="AE1450" s="3">
        <v>95.5</v>
      </c>
      <c r="AI1450">
        <v>96</v>
      </c>
      <c r="AK1450" s="3"/>
      <c r="AV1450" t="s">
        <v>370</v>
      </c>
      <c r="AX1450" t="s">
        <v>370</v>
      </c>
      <c r="AZ1450" t="s">
        <v>370</v>
      </c>
      <c r="BB1450" t="s">
        <v>370</v>
      </c>
      <c r="BO1450" t="s">
        <v>367</v>
      </c>
      <c r="BS1450" t="s">
        <v>385</v>
      </c>
      <c r="BT1450">
        <v>4</v>
      </c>
      <c r="BU1450">
        <v>5</v>
      </c>
      <c r="BV1450">
        <v>0</v>
      </c>
      <c r="BX1450">
        <v>97.5</v>
      </c>
      <c r="BZ1450">
        <v>94</v>
      </c>
      <c r="CM1450">
        <v>1911</v>
      </c>
    </row>
    <row r="1451" spans="1:91" x14ac:dyDescent="0.3">
      <c r="A1451" t="s">
        <v>2293</v>
      </c>
      <c r="B1451">
        <v>40245</v>
      </c>
      <c r="C1451" t="s">
        <v>2296</v>
      </c>
      <c r="D1451">
        <v>12</v>
      </c>
      <c r="I1451" s="2">
        <v>22724000</v>
      </c>
      <c r="J1451" t="s">
        <v>773</v>
      </c>
      <c r="U1451">
        <v>1000</v>
      </c>
      <c r="V1451" t="s">
        <v>773</v>
      </c>
      <c r="Y1451">
        <v>205.5</v>
      </c>
      <c r="AA1451">
        <v>114.5</v>
      </c>
      <c r="AC1451" s="3">
        <v>114.5</v>
      </c>
      <c r="AE1451" s="3">
        <v>113</v>
      </c>
      <c r="AI1451">
        <v>113</v>
      </c>
      <c r="AK1451" s="3"/>
      <c r="AV1451" t="s">
        <v>506</v>
      </c>
      <c r="AX1451" t="s">
        <v>506</v>
      </c>
      <c r="AZ1451" t="s">
        <v>506</v>
      </c>
      <c r="BB1451" t="s">
        <v>506</v>
      </c>
      <c r="BO1451" t="s">
        <v>367</v>
      </c>
      <c r="BS1451" t="s">
        <v>385</v>
      </c>
      <c r="BT1451">
        <v>3</v>
      </c>
      <c r="BU1451">
        <v>6</v>
      </c>
      <c r="BV1451">
        <v>6</v>
      </c>
      <c r="BX1451">
        <v>116.25</v>
      </c>
      <c r="BZ1451">
        <v>107</v>
      </c>
      <c r="CM1451">
        <v>1911</v>
      </c>
    </row>
    <row r="1452" spans="1:91" x14ac:dyDescent="0.3">
      <c r="A1452" t="s">
        <v>2297</v>
      </c>
      <c r="B1452">
        <v>40281</v>
      </c>
      <c r="D1452">
        <v>12</v>
      </c>
      <c r="I1452">
        <v>518920</v>
      </c>
      <c r="J1452" t="s">
        <v>800</v>
      </c>
      <c r="V1452" t="s">
        <v>350</v>
      </c>
      <c r="Y1452">
        <v>100</v>
      </c>
      <c r="AA1452">
        <v>67</v>
      </c>
      <c r="AC1452" s="3">
        <v>67.5</v>
      </c>
      <c r="AE1452" s="3">
        <v>66.5</v>
      </c>
      <c r="AI1452">
        <v>67.5</v>
      </c>
      <c r="AK1452" s="3"/>
      <c r="AV1452" t="s">
        <v>815</v>
      </c>
      <c r="AX1452" t="s">
        <v>815</v>
      </c>
      <c r="AZ1452" t="s">
        <v>815</v>
      </c>
      <c r="BB1452" t="s">
        <v>815</v>
      </c>
      <c r="BG1452">
        <v>3.5</v>
      </c>
      <c r="BH1452">
        <v>3.16</v>
      </c>
      <c r="BI1452">
        <v>3.62</v>
      </c>
      <c r="BJ1452">
        <v>3.75</v>
      </c>
      <c r="BK1452" t="s">
        <v>1224</v>
      </c>
      <c r="BL1452" t="s">
        <v>1225</v>
      </c>
      <c r="BM1452" t="s">
        <v>913</v>
      </c>
      <c r="BN1452" t="s">
        <v>1226</v>
      </c>
      <c r="BR1452">
        <v>984359</v>
      </c>
      <c r="BS1452" t="s">
        <v>2298</v>
      </c>
      <c r="BT1452">
        <v>5</v>
      </c>
      <c r="BU1452">
        <v>11</v>
      </c>
      <c r="BV1452">
        <v>0</v>
      </c>
      <c r="BX1452">
        <v>72</v>
      </c>
      <c r="BZ1452">
        <v>66.5</v>
      </c>
      <c r="CK1452" t="s">
        <v>2299</v>
      </c>
      <c r="CM1452">
        <v>1911</v>
      </c>
    </row>
    <row r="1453" spans="1:91" x14ac:dyDescent="0.3">
      <c r="A1453" t="s">
        <v>2297</v>
      </c>
      <c r="B1453">
        <v>40283</v>
      </c>
      <c r="C1453" t="s">
        <v>2300</v>
      </c>
      <c r="D1453">
        <v>12</v>
      </c>
      <c r="I1453" s="2">
        <v>3240540</v>
      </c>
      <c r="J1453" t="s">
        <v>800</v>
      </c>
      <c r="V1453" t="s">
        <v>350</v>
      </c>
      <c r="Y1453">
        <v>100</v>
      </c>
      <c r="AA1453">
        <v>111</v>
      </c>
      <c r="AC1453" s="3">
        <v>111.75</v>
      </c>
      <c r="AE1453" s="3">
        <v>110.75</v>
      </c>
      <c r="AI1453">
        <v>111.5</v>
      </c>
      <c r="AK1453" s="3"/>
      <c r="AV1453" t="s">
        <v>815</v>
      </c>
      <c r="AX1453" t="s">
        <v>815</v>
      </c>
      <c r="AZ1453" t="s">
        <v>815</v>
      </c>
      <c r="BB1453" t="s">
        <v>815</v>
      </c>
      <c r="BG1453">
        <v>6</v>
      </c>
      <c r="BH1453">
        <v>6</v>
      </c>
      <c r="BI1453">
        <v>6</v>
      </c>
      <c r="BJ1453">
        <v>6</v>
      </c>
      <c r="BK1453" t="s">
        <v>1224</v>
      </c>
      <c r="BL1453" t="s">
        <v>1225</v>
      </c>
      <c r="BM1453" t="s">
        <v>913</v>
      </c>
      <c r="BN1453" t="s">
        <v>1226</v>
      </c>
      <c r="BR1453">
        <v>984359</v>
      </c>
      <c r="BS1453" t="s">
        <v>2298</v>
      </c>
      <c r="BT1453">
        <v>5</v>
      </c>
      <c r="BU1453">
        <v>7</v>
      </c>
      <c r="BV1453">
        <v>6</v>
      </c>
      <c r="BX1453">
        <v>117.62</v>
      </c>
      <c r="BZ1453">
        <v>110</v>
      </c>
      <c r="CM1453">
        <v>1911</v>
      </c>
    </row>
    <row r="1454" spans="1:91" x14ac:dyDescent="0.3">
      <c r="A1454" t="s">
        <v>2297</v>
      </c>
      <c r="B1454">
        <v>40284</v>
      </c>
      <c r="C1454" t="s">
        <v>2301</v>
      </c>
      <c r="D1454">
        <v>12</v>
      </c>
      <c r="I1454" s="2">
        <v>3240540</v>
      </c>
      <c r="J1454" t="s">
        <v>800</v>
      </c>
      <c r="V1454" t="s">
        <v>350</v>
      </c>
      <c r="Y1454">
        <v>100</v>
      </c>
      <c r="AA1454">
        <v>26</v>
      </c>
      <c r="AC1454" s="3">
        <v>26.31</v>
      </c>
      <c r="AE1454" s="3">
        <v>25.87</v>
      </c>
      <c r="AI1454">
        <v>26.25</v>
      </c>
      <c r="AK1454" s="3"/>
      <c r="AV1454" t="s">
        <v>815</v>
      </c>
      <c r="AX1454" t="s">
        <v>815</v>
      </c>
      <c r="AZ1454" t="s">
        <v>815</v>
      </c>
      <c r="BB1454" t="s">
        <v>815</v>
      </c>
      <c r="BG1454">
        <v>1</v>
      </c>
      <c r="BH1454">
        <v>0.4</v>
      </c>
      <c r="BI1454">
        <v>1.25</v>
      </c>
      <c r="BJ1454">
        <v>1.5</v>
      </c>
      <c r="BK1454" t="s">
        <v>1224</v>
      </c>
      <c r="BL1454" t="s">
        <v>1225</v>
      </c>
      <c r="BM1454" t="s">
        <v>913</v>
      </c>
      <c r="BN1454" t="s">
        <v>1226</v>
      </c>
      <c r="BR1454">
        <v>984359</v>
      </c>
      <c r="BS1454" t="s">
        <v>2298</v>
      </c>
      <c r="BT1454">
        <v>5</v>
      </c>
      <c r="BU1454">
        <v>14</v>
      </c>
      <c r="BV1454">
        <v>3</v>
      </c>
      <c r="BX1454">
        <v>28.87</v>
      </c>
      <c r="BZ1454">
        <v>24.62</v>
      </c>
      <c r="CM1454">
        <v>1911</v>
      </c>
    </row>
    <row r="1455" spans="1:91" x14ac:dyDescent="0.3">
      <c r="A1455" t="s">
        <v>2302</v>
      </c>
      <c r="B1455">
        <v>42369</v>
      </c>
      <c r="D1455">
        <v>12</v>
      </c>
      <c r="I1455">
        <v>66000</v>
      </c>
      <c r="U1455">
        <v>5</v>
      </c>
      <c r="Y1455">
        <v>5</v>
      </c>
      <c r="AA1455">
        <v>7.12</v>
      </c>
      <c r="AC1455" s="3">
        <v>7.12</v>
      </c>
      <c r="AE1455" s="3">
        <v>7.12</v>
      </c>
      <c r="AI1455">
        <v>7.12</v>
      </c>
      <c r="AK1455" s="3"/>
      <c r="AV1455" t="s">
        <v>385</v>
      </c>
      <c r="AZ1455" t="s">
        <v>823</v>
      </c>
      <c r="BH1455">
        <v>10</v>
      </c>
      <c r="BI1455">
        <v>6</v>
      </c>
      <c r="BJ1455">
        <v>8</v>
      </c>
      <c r="BL1455" s="4">
        <v>3835</v>
      </c>
      <c r="BM1455" s="4">
        <v>4019</v>
      </c>
      <c r="BN1455" s="4">
        <v>4200</v>
      </c>
      <c r="BR1455">
        <v>145987</v>
      </c>
      <c r="BT1455">
        <v>4</v>
      </c>
      <c r="BU1455">
        <v>18</v>
      </c>
      <c r="BV1455">
        <v>3</v>
      </c>
      <c r="BX1455">
        <v>7.25</v>
      </c>
      <c r="BZ1455">
        <v>6.71</v>
      </c>
      <c r="CK1455" t="s">
        <v>360</v>
      </c>
      <c r="CM1455">
        <v>1911</v>
      </c>
    </row>
    <row r="1456" spans="1:91" x14ac:dyDescent="0.3">
      <c r="A1456" t="s">
        <v>2303</v>
      </c>
      <c r="B1456">
        <v>42667</v>
      </c>
      <c r="D1456">
        <v>12</v>
      </c>
      <c r="I1456" s="2">
        <v>2462310</v>
      </c>
      <c r="J1456" t="s">
        <v>800</v>
      </c>
      <c r="V1456" t="s">
        <v>350</v>
      </c>
      <c r="Y1456">
        <v>100</v>
      </c>
      <c r="AA1456">
        <v>87.5</v>
      </c>
      <c r="AC1456" s="3">
        <v>87.5</v>
      </c>
      <c r="AE1456" s="3">
        <v>86.25</v>
      </c>
      <c r="AI1456">
        <v>87</v>
      </c>
      <c r="AJ1456" t="s">
        <v>379</v>
      </c>
      <c r="AK1456" s="3"/>
      <c r="AV1456" t="s">
        <v>2304</v>
      </c>
      <c r="AX1456" t="s">
        <v>2304</v>
      </c>
      <c r="AZ1456" t="s">
        <v>2304</v>
      </c>
      <c r="BB1456" t="s">
        <v>2304</v>
      </c>
      <c r="BO1456" t="s">
        <v>352</v>
      </c>
      <c r="BS1456" t="s">
        <v>385</v>
      </c>
      <c r="BT1456">
        <v>4</v>
      </c>
      <c r="BU1456">
        <v>12</v>
      </c>
      <c r="BV1456">
        <v>0</v>
      </c>
      <c r="BX1456">
        <v>89.75</v>
      </c>
      <c r="BZ1456">
        <v>84</v>
      </c>
      <c r="CK1456" t="s">
        <v>2294</v>
      </c>
      <c r="CM1456">
        <v>1911</v>
      </c>
    </row>
    <row r="1457" spans="1:91" x14ac:dyDescent="0.3">
      <c r="A1457" t="s">
        <v>2305</v>
      </c>
      <c r="B1457">
        <v>42987</v>
      </c>
      <c r="D1457">
        <v>12</v>
      </c>
      <c r="I1457">
        <v>16000</v>
      </c>
      <c r="U1457">
        <v>10</v>
      </c>
      <c r="Y1457">
        <v>10</v>
      </c>
      <c r="AA1457">
        <v>10.37</v>
      </c>
      <c r="AC1457" s="3">
        <v>10.37</v>
      </c>
      <c r="AE1457" s="3">
        <v>10.06</v>
      </c>
      <c r="AI1457">
        <v>10.06</v>
      </c>
      <c r="AK1457" s="3"/>
      <c r="BG1457">
        <v>6</v>
      </c>
      <c r="BH1457">
        <v>6</v>
      </c>
      <c r="BI1457">
        <v>6</v>
      </c>
      <c r="BJ1457">
        <v>6</v>
      </c>
      <c r="BK1457" s="4">
        <v>3744</v>
      </c>
      <c r="BL1457" s="4">
        <v>3927</v>
      </c>
      <c r="BM1457" s="4">
        <v>4139</v>
      </c>
      <c r="BN1457" s="4">
        <v>4292</v>
      </c>
      <c r="BR1457">
        <v>131294</v>
      </c>
      <c r="BS1457" t="s">
        <v>2306</v>
      </c>
      <c r="BT1457">
        <v>5</v>
      </c>
      <c r="BU1457">
        <v>19</v>
      </c>
      <c r="BV1457">
        <v>3</v>
      </c>
      <c r="BX1457">
        <v>10.75</v>
      </c>
      <c r="BZ1457">
        <v>9</v>
      </c>
      <c r="CK1457" t="s">
        <v>360</v>
      </c>
      <c r="CM1457">
        <v>1911</v>
      </c>
    </row>
    <row r="1458" spans="1:91" x14ac:dyDescent="0.3">
      <c r="A1458" t="s">
        <v>2305</v>
      </c>
      <c r="B1458">
        <v>42988</v>
      </c>
      <c r="C1458" t="s">
        <v>2307</v>
      </c>
      <c r="D1458">
        <v>12</v>
      </c>
      <c r="I1458">
        <v>6000</v>
      </c>
      <c r="U1458">
        <v>10</v>
      </c>
      <c r="Y1458">
        <v>10</v>
      </c>
      <c r="AA1458">
        <v>17.5</v>
      </c>
      <c r="AC1458" s="3">
        <v>17.5</v>
      </c>
      <c r="AE1458" s="3">
        <v>17.5</v>
      </c>
      <c r="AI1458">
        <v>17.5</v>
      </c>
      <c r="AK1458" s="3"/>
      <c r="AV1458" t="s">
        <v>536</v>
      </c>
      <c r="AX1458" t="s">
        <v>536</v>
      </c>
      <c r="AZ1458" t="s">
        <v>536</v>
      </c>
      <c r="BB1458" t="s">
        <v>536</v>
      </c>
      <c r="BO1458" t="s">
        <v>367</v>
      </c>
      <c r="BR1458">
        <v>131294</v>
      </c>
      <c r="BS1458" t="s">
        <v>2306</v>
      </c>
      <c r="BT1458">
        <v>5</v>
      </c>
      <c r="BU1458">
        <v>14</v>
      </c>
      <c r="BV1458">
        <v>3</v>
      </c>
      <c r="BX1458">
        <v>18</v>
      </c>
      <c r="BZ1458">
        <v>16.87</v>
      </c>
      <c r="CM1458">
        <v>1911</v>
      </c>
    </row>
    <row r="1459" spans="1:91" x14ac:dyDescent="0.3">
      <c r="A1459" t="s">
        <v>2308</v>
      </c>
      <c r="B1459">
        <v>43199</v>
      </c>
      <c r="D1459">
        <v>12</v>
      </c>
      <c r="I1459">
        <v>12931</v>
      </c>
      <c r="U1459">
        <v>5</v>
      </c>
      <c r="Y1459">
        <v>5</v>
      </c>
      <c r="AA1459">
        <v>3.5</v>
      </c>
      <c r="AC1459" s="3">
        <v>3.5</v>
      </c>
      <c r="AE1459" s="3">
        <v>3.25</v>
      </c>
      <c r="AI1459">
        <v>3.25</v>
      </c>
      <c r="AK1459" s="3"/>
      <c r="AX1459" t="s">
        <v>823</v>
      </c>
      <c r="BB1459" t="s">
        <v>823</v>
      </c>
      <c r="BG1459">
        <v>4</v>
      </c>
      <c r="BH1459">
        <v>4</v>
      </c>
      <c r="BI1459">
        <v>4</v>
      </c>
      <c r="BJ1459">
        <v>4</v>
      </c>
      <c r="BK1459" s="4">
        <v>3744</v>
      </c>
      <c r="BL1459" s="4">
        <v>3927</v>
      </c>
      <c r="BM1459" s="4">
        <v>4109</v>
      </c>
      <c r="BN1459" s="4">
        <v>4292</v>
      </c>
      <c r="BR1459">
        <v>60862</v>
      </c>
      <c r="BT1459">
        <v>5</v>
      </c>
      <c r="BU1459">
        <v>14</v>
      </c>
      <c r="BV1459">
        <v>3</v>
      </c>
      <c r="BX1459">
        <v>3.87</v>
      </c>
      <c r="BZ1459">
        <v>3.5</v>
      </c>
      <c r="CK1459" t="s">
        <v>360</v>
      </c>
      <c r="CM1459">
        <v>1911</v>
      </c>
    </row>
    <row r="1460" spans="1:91" x14ac:dyDescent="0.3">
      <c r="A1460" t="s">
        <v>2309</v>
      </c>
      <c r="B1460">
        <v>43200</v>
      </c>
      <c r="D1460">
        <v>12</v>
      </c>
      <c r="I1460">
        <v>121420</v>
      </c>
      <c r="U1460">
        <v>10</v>
      </c>
      <c r="Y1460">
        <v>10</v>
      </c>
      <c r="AA1460">
        <v>8</v>
      </c>
      <c r="AC1460" s="3">
        <v>8.1199999999999992</v>
      </c>
      <c r="AE1460" s="3">
        <v>7.75</v>
      </c>
      <c r="AI1460">
        <v>7.75</v>
      </c>
      <c r="AK1460" s="3"/>
      <c r="BG1460">
        <v>4.25</v>
      </c>
      <c r="BH1460">
        <v>4.25</v>
      </c>
      <c r="BI1460">
        <v>4.5</v>
      </c>
      <c r="BJ1460">
        <v>5</v>
      </c>
      <c r="BK1460" t="s">
        <v>1224</v>
      </c>
      <c r="BL1460" t="s">
        <v>1225</v>
      </c>
      <c r="BM1460" t="s">
        <v>913</v>
      </c>
      <c r="BN1460" t="s">
        <v>1226</v>
      </c>
      <c r="BR1460">
        <v>512223</v>
      </c>
      <c r="BT1460">
        <v>6</v>
      </c>
      <c r="BU1460">
        <v>9</v>
      </c>
      <c r="BV1460">
        <v>0</v>
      </c>
      <c r="BX1460">
        <v>8.43</v>
      </c>
      <c r="BZ1460">
        <v>7.37</v>
      </c>
      <c r="CK1460" t="s">
        <v>360</v>
      </c>
      <c r="CM1460">
        <v>1911</v>
      </c>
    </row>
    <row r="1461" spans="1:91" x14ac:dyDescent="0.3">
      <c r="A1461" t="s">
        <v>2310</v>
      </c>
      <c r="B1461">
        <v>43444</v>
      </c>
      <c r="D1461">
        <v>12</v>
      </c>
      <c r="I1461">
        <v>199500</v>
      </c>
      <c r="J1461" t="s">
        <v>800</v>
      </c>
      <c r="U1461">
        <v>25</v>
      </c>
      <c r="Y1461">
        <v>100</v>
      </c>
      <c r="Z1461" t="s">
        <v>615</v>
      </c>
      <c r="AA1461">
        <v>100</v>
      </c>
      <c r="AC1461" s="3">
        <v>100</v>
      </c>
      <c r="AE1461" s="3">
        <v>99.5</v>
      </c>
      <c r="AI1461">
        <v>100</v>
      </c>
      <c r="AK1461" s="3"/>
      <c r="BG1461">
        <v>4</v>
      </c>
      <c r="BH1461">
        <v>4</v>
      </c>
      <c r="BI1461">
        <v>4</v>
      </c>
      <c r="BJ1461">
        <v>4</v>
      </c>
      <c r="BK1461" s="4">
        <v>3774</v>
      </c>
      <c r="BL1461" s="4">
        <v>3958</v>
      </c>
      <c r="BM1461" s="4">
        <v>4139</v>
      </c>
      <c r="BN1461" s="4">
        <v>4323</v>
      </c>
      <c r="BS1461" t="s">
        <v>385</v>
      </c>
      <c r="BT1461">
        <v>4</v>
      </c>
      <c r="BU1461">
        <v>0</v>
      </c>
      <c r="BV1461">
        <v>6</v>
      </c>
      <c r="BX1461">
        <v>102.5</v>
      </c>
      <c r="BZ1461">
        <v>99.5</v>
      </c>
      <c r="CK1461" t="s">
        <v>360</v>
      </c>
      <c r="CM1461">
        <v>1911</v>
      </c>
    </row>
    <row r="1462" spans="1:91" x14ac:dyDescent="0.3">
      <c r="A1462" t="s">
        <v>2311</v>
      </c>
      <c r="B1462">
        <v>43450</v>
      </c>
      <c r="D1462">
        <v>12</v>
      </c>
      <c r="I1462">
        <v>300000</v>
      </c>
      <c r="U1462">
        <v>10</v>
      </c>
      <c r="Y1462">
        <v>10</v>
      </c>
      <c r="AA1462">
        <v>13.37</v>
      </c>
      <c r="AC1462" s="3">
        <v>13.56</v>
      </c>
      <c r="AE1462" s="3">
        <v>13.18</v>
      </c>
      <c r="AI1462">
        <v>13.5</v>
      </c>
      <c r="AK1462" s="3"/>
      <c r="BB1462" t="s">
        <v>2312</v>
      </c>
      <c r="BG1462">
        <v>7</v>
      </c>
      <c r="BH1462">
        <v>7</v>
      </c>
      <c r="BI1462">
        <v>7</v>
      </c>
      <c r="BK1462" t="s">
        <v>1225</v>
      </c>
      <c r="BL1462" t="s">
        <v>913</v>
      </c>
      <c r="BM1462" t="s">
        <v>1226</v>
      </c>
      <c r="BO1462" t="s">
        <v>352</v>
      </c>
      <c r="BR1462" s="2">
        <v>1613360</v>
      </c>
      <c r="BS1462" t="s">
        <v>2313</v>
      </c>
      <c r="BT1462">
        <v>5</v>
      </c>
      <c r="BU1462">
        <v>3</v>
      </c>
      <c r="BV1462">
        <v>9</v>
      </c>
      <c r="BX1462">
        <v>14</v>
      </c>
      <c r="BZ1462">
        <v>12.87</v>
      </c>
      <c r="CK1462" t="s">
        <v>558</v>
      </c>
      <c r="CM1462">
        <v>1911</v>
      </c>
    </row>
    <row r="1463" spans="1:91" x14ac:dyDescent="0.3">
      <c r="A1463" t="s">
        <v>2311</v>
      </c>
      <c r="B1463">
        <v>43455</v>
      </c>
      <c r="C1463" t="s">
        <v>860</v>
      </c>
      <c r="D1463">
        <v>12</v>
      </c>
      <c r="I1463">
        <v>752400</v>
      </c>
      <c r="J1463" t="s">
        <v>800</v>
      </c>
      <c r="V1463" t="s">
        <v>350</v>
      </c>
      <c r="Y1463">
        <v>100</v>
      </c>
      <c r="AA1463">
        <v>101.5</v>
      </c>
      <c r="AC1463" s="3">
        <v>102.37</v>
      </c>
      <c r="AE1463" s="3">
        <v>100.5</v>
      </c>
      <c r="AI1463">
        <v>101.5</v>
      </c>
      <c r="AK1463" s="3"/>
      <c r="AV1463" t="s">
        <v>506</v>
      </c>
      <c r="AX1463" t="s">
        <v>506</v>
      </c>
      <c r="AZ1463" t="s">
        <v>506</v>
      </c>
      <c r="BB1463" t="s">
        <v>506</v>
      </c>
      <c r="BO1463" t="s">
        <v>367</v>
      </c>
      <c r="BR1463" s="2">
        <v>1613360</v>
      </c>
      <c r="BS1463" t="s">
        <v>2313</v>
      </c>
      <c r="BT1463">
        <v>4</v>
      </c>
      <c r="BU1463">
        <v>1</v>
      </c>
      <c r="BV1463">
        <v>3</v>
      </c>
      <c r="BX1463">
        <v>102.5</v>
      </c>
      <c r="BZ1463">
        <v>99.5</v>
      </c>
      <c r="CM1463">
        <v>1911</v>
      </c>
    </row>
    <row r="1464" spans="1:91" x14ac:dyDescent="0.3">
      <c r="A1464" t="s">
        <v>2314</v>
      </c>
      <c r="B1464">
        <v>43478</v>
      </c>
      <c r="D1464">
        <v>12</v>
      </c>
      <c r="I1464" s="2">
        <v>4000000</v>
      </c>
      <c r="J1464" t="s">
        <v>800</v>
      </c>
      <c r="V1464" t="s">
        <v>350</v>
      </c>
      <c r="Y1464">
        <v>100</v>
      </c>
      <c r="AA1464">
        <v>138.5</v>
      </c>
      <c r="AC1464" s="3">
        <v>140.5</v>
      </c>
      <c r="AE1464" s="3">
        <v>138</v>
      </c>
      <c r="AI1464">
        <v>139.5</v>
      </c>
      <c r="AK1464" s="3"/>
      <c r="BB1464" t="s">
        <v>2315</v>
      </c>
      <c r="BG1464">
        <v>7</v>
      </c>
      <c r="BH1464">
        <v>7</v>
      </c>
      <c r="BI1464">
        <v>7</v>
      </c>
      <c r="BK1464" t="s">
        <v>1224</v>
      </c>
      <c r="BL1464" t="s">
        <v>1225</v>
      </c>
      <c r="BM1464" t="s">
        <v>913</v>
      </c>
      <c r="BO1464" t="s">
        <v>352</v>
      </c>
      <c r="BR1464" s="2">
        <v>2501110</v>
      </c>
      <c r="BS1464" t="s">
        <v>2316</v>
      </c>
      <c r="BT1464">
        <v>5</v>
      </c>
      <c r="BU1464">
        <v>0</v>
      </c>
      <c r="BV1464">
        <v>3</v>
      </c>
      <c r="BX1464">
        <v>141.5</v>
      </c>
      <c r="BZ1464">
        <v>134</v>
      </c>
      <c r="CK1464" t="s">
        <v>558</v>
      </c>
      <c r="CM1464">
        <v>1911</v>
      </c>
    </row>
    <row r="1465" spans="1:91" x14ac:dyDescent="0.3">
      <c r="A1465" t="s">
        <v>2314</v>
      </c>
      <c r="B1465">
        <v>43484</v>
      </c>
      <c r="C1465" t="s">
        <v>2317</v>
      </c>
      <c r="D1465">
        <v>12</v>
      </c>
      <c r="I1465" s="2">
        <v>2000000</v>
      </c>
      <c r="J1465" t="s">
        <v>800</v>
      </c>
      <c r="V1465" t="s">
        <v>350</v>
      </c>
      <c r="Y1465">
        <v>100</v>
      </c>
      <c r="AA1465">
        <v>84.5</v>
      </c>
      <c r="AC1465" s="3">
        <v>85.25</v>
      </c>
      <c r="AE1465" s="3">
        <v>83.5</v>
      </c>
      <c r="AI1465">
        <v>84.25</v>
      </c>
      <c r="AK1465" s="3"/>
      <c r="AV1465" t="s">
        <v>2318</v>
      </c>
      <c r="AX1465" t="s">
        <v>2318</v>
      </c>
      <c r="AZ1465" t="s">
        <v>2318</v>
      </c>
      <c r="BB1465" t="s">
        <v>2318</v>
      </c>
      <c r="BO1465" t="s">
        <v>352</v>
      </c>
      <c r="BR1465" s="2">
        <v>2501110</v>
      </c>
      <c r="BS1465" t="s">
        <v>2316</v>
      </c>
      <c r="BT1465">
        <v>4</v>
      </c>
      <c r="BU1465">
        <v>3</v>
      </c>
      <c r="BV1465">
        <v>0</v>
      </c>
      <c r="BX1465">
        <v>86.5</v>
      </c>
      <c r="BZ1465">
        <v>83.25</v>
      </c>
      <c r="CM1465">
        <v>1911</v>
      </c>
    </row>
    <row r="1466" spans="1:91" x14ac:dyDescent="0.3">
      <c r="A1466" t="s">
        <v>2314</v>
      </c>
      <c r="B1466">
        <v>43483</v>
      </c>
      <c r="C1466" t="s">
        <v>860</v>
      </c>
      <c r="D1466">
        <v>12</v>
      </c>
      <c r="I1466" s="2">
        <v>1896710</v>
      </c>
      <c r="J1466" t="s">
        <v>800</v>
      </c>
      <c r="V1466" t="s">
        <v>350</v>
      </c>
      <c r="Y1466">
        <v>100</v>
      </c>
      <c r="AA1466">
        <v>101.5</v>
      </c>
      <c r="AC1466" s="3">
        <v>102</v>
      </c>
      <c r="AE1466" s="3">
        <v>100.75</v>
      </c>
      <c r="AI1466">
        <v>102</v>
      </c>
      <c r="AK1466" s="3"/>
      <c r="AV1466" t="s">
        <v>366</v>
      </c>
      <c r="AX1466" t="s">
        <v>366</v>
      </c>
      <c r="AZ1466" t="s">
        <v>366</v>
      </c>
      <c r="BB1466" t="s">
        <v>366</v>
      </c>
      <c r="BO1466" t="s">
        <v>367</v>
      </c>
      <c r="BR1466" s="2">
        <v>2501110</v>
      </c>
      <c r="BS1466" t="s">
        <v>2316</v>
      </c>
      <c r="BT1466">
        <v>3</v>
      </c>
      <c r="BU1466">
        <v>18</v>
      </c>
      <c r="BV1466">
        <v>6</v>
      </c>
      <c r="BX1466">
        <v>104.25</v>
      </c>
      <c r="BZ1466">
        <v>99.5</v>
      </c>
      <c r="CM1466">
        <v>1911</v>
      </c>
    </row>
    <row r="1467" spans="1:91" x14ac:dyDescent="0.3">
      <c r="A1467" t="s">
        <v>2319</v>
      </c>
      <c r="B1467">
        <v>44233</v>
      </c>
      <c r="D1467">
        <v>12</v>
      </c>
      <c r="I1467">
        <v>150000</v>
      </c>
      <c r="U1467">
        <v>10</v>
      </c>
      <c r="Y1467">
        <v>10</v>
      </c>
      <c r="AA1467">
        <v>32.75</v>
      </c>
      <c r="AC1467" s="3">
        <v>32.93</v>
      </c>
      <c r="AE1467" s="3">
        <v>32.75</v>
      </c>
      <c r="AI1467">
        <v>32.75</v>
      </c>
      <c r="AK1467" s="3"/>
      <c r="BG1467">
        <v>20</v>
      </c>
      <c r="BH1467">
        <v>18</v>
      </c>
      <c r="BI1467">
        <v>18</v>
      </c>
      <c r="BJ1467">
        <v>18</v>
      </c>
      <c r="BK1467" t="s">
        <v>1224</v>
      </c>
      <c r="BL1467" t="s">
        <v>1225</v>
      </c>
      <c r="BM1467" t="s">
        <v>913</v>
      </c>
      <c r="BN1467" t="s">
        <v>1226</v>
      </c>
      <c r="BR1467" s="2">
        <v>2346620</v>
      </c>
      <c r="BT1467">
        <v>5</v>
      </c>
      <c r="BU1467">
        <v>10</v>
      </c>
      <c r="BV1467">
        <v>0</v>
      </c>
      <c r="BX1467">
        <v>33</v>
      </c>
      <c r="BZ1467">
        <v>30.5</v>
      </c>
      <c r="CK1467" t="s">
        <v>558</v>
      </c>
      <c r="CM1467">
        <v>1911</v>
      </c>
    </row>
    <row r="1468" spans="1:91" x14ac:dyDescent="0.3">
      <c r="A1468" t="s">
        <v>2320</v>
      </c>
      <c r="B1468">
        <v>44920</v>
      </c>
      <c r="D1468">
        <v>12</v>
      </c>
      <c r="I1468">
        <v>17000</v>
      </c>
      <c r="U1468">
        <v>25</v>
      </c>
      <c r="Y1468">
        <v>25</v>
      </c>
      <c r="AA1468">
        <v>57</v>
      </c>
      <c r="AC1468" s="3">
        <v>57</v>
      </c>
      <c r="AE1468" s="3">
        <v>57</v>
      </c>
      <c r="AI1468">
        <v>57</v>
      </c>
      <c r="AK1468" s="3"/>
      <c r="AX1468" t="s">
        <v>823</v>
      </c>
      <c r="BB1468" t="s">
        <v>823</v>
      </c>
      <c r="BG1468">
        <v>21</v>
      </c>
      <c r="BH1468">
        <v>5</v>
      </c>
      <c r="BI1468">
        <v>21</v>
      </c>
      <c r="BJ1468">
        <v>5</v>
      </c>
      <c r="BK1468" s="4">
        <v>3774</v>
      </c>
      <c r="BL1468" s="4">
        <v>3958</v>
      </c>
      <c r="BM1468" s="4">
        <v>4139</v>
      </c>
      <c r="BN1468" s="4">
        <v>4323</v>
      </c>
      <c r="BR1468">
        <v>242397</v>
      </c>
      <c r="BT1468">
        <v>5</v>
      </c>
      <c r="BU1468">
        <v>14</v>
      </c>
      <c r="BV1468">
        <v>0</v>
      </c>
      <c r="BX1468">
        <v>61</v>
      </c>
      <c r="BZ1468">
        <v>54</v>
      </c>
      <c r="CK1468" t="s">
        <v>360</v>
      </c>
      <c r="CM1468">
        <v>1911</v>
      </c>
    </row>
    <row r="1469" spans="1:91" x14ac:dyDescent="0.3">
      <c r="A1469" t="s">
        <v>2321</v>
      </c>
      <c r="B1469">
        <v>46048</v>
      </c>
      <c r="D1469">
        <v>12</v>
      </c>
      <c r="I1469">
        <v>466675</v>
      </c>
      <c r="U1469">
        <v>1</v>
      </c>
      <c r="Y1469">
        <v>1</v>
      </c>
      <c r="AA1469">
        <v>2.71</v>
      </c>
      <c r="AC1469" s="3">
        <v>3.31</v>
      </c>
      <c r="AE1469" s="3">
        <v>2.56</v>
      </c>
      <c r="AI1469">
        <v>3.25</v>
      </c>
      <c r="AK1469" s="3"/>
      <c r="AV1469" t="s">
        <v>385</v>
      </c>
      <c r="AX1469" t="s">
        <v>385</v>
      </c>
      <c r="AZ1469" t="s">
        <v>385</v>
      </c>
      <c r="BB1469" t="s">
        <v>823</v>
      </c>
      <c r="BJ1469">
        <v>5</v>
      </c>
      <c r="BL1469" t="s">
        <v>811</v>
      </c>
      <c r="BM1469" t="s">
        <v>811</v>
      </c>
      <c r="BN1469" s="4">
        <v>4262</v>
      </c>
      <c r="BS1469" t="s">
        <v>385</v>
      </c>
      <c r="BT1469">
        <v>1</v>
      </c>
      <c r="BU1469">
        <v>10</v>
      </c>
      <c r="BV1469">
        <v>9</v>
      </c>
      <c r="BX1469">
        <v>3.62</v>
      </c>
      <c r="BZ1469">
        <v>0.68</v>
      </c>
      <c r="CK1469" t="s">
        <v>360</v>
      </c>
      <c r="CM1469">
        <v>1911</v>
      </c>
    </row>
    <row r="1470" spans="1:91" x14ac:dyDescent="0.3">
      <c r="A1470" t="s">
        <v>2322</v>
      </c>
      <c r="B1470">
        <v>46531</v>
      </c>
      <c r="D1470">
        <v>12</v>
      </c>
      <c r="I1470">
        <v>72680</v>
      </c>
      <c r="U1470">
        <v>1</v>
      </c>
      <c r="Y1470">
        <v>1</v>
      </c>
      <c r="AA1470">
        <v>1</v>
      </c>
      <c r="AC1470" s="3">
        <v>1</v>
      </c>
      <c r="AE1470" s="3">
        <v>1</v>
      </c>
      <c r="AI1470">
        <v>1</v>
      </c>
      <c r="AK1470" s="3"/>
      <c r="AV1470" t="s">
        <v>823</v>
      </c>
      <c r="AZ1470" t="s">
        <v>823</v>
      </c>
      <c r="BG1470">
        <v>6</v>
      </c>
      <c r="BH1470">
        <v>6</v>
      </c>
      <c r="BI1470">
        <v>6</v>
      </c>
      <c r="BJ1470">
        <v>6</v>
      </c>
      <c r="BK1470" s="4">
        <v>3774</v>
      </c>
      <c r="BL1470" s="4">
        <v>3958</v>
      </c>
      <c r="BM1470" s="4">
        <v>4139</v>
      </c>
      <c r="BN1470" s="4">
        <v>4323</v>
      </c>
      <c r="BR1470">
        <v>89881</v>
      </c>
      <c r="BS1470" t="s">
        <v>2323</v>
      </c>
      <c r="BT1470">
        <v>6</v>
      </c>
      <c r="BU1470">
        <v>0</v>
      </c>
      <c r="BV1470">
        <v>0</v>
      </c>
      <c r="BX1470">
        <v>1.03</v>
      </c>
      <c r="BZ1470">
        <v>0.87</v>
      </c>
      <c r="CM1470">
        <v>1911</v>
      </c>
    </row>
    <row r="1471" spans="1:91" x14ac:dyDescent="0.3">
      <c r="A1471" t="s">
        <v>2322</v>
      </c>
      <c r="B1471">
        <v>46532</v>
      </c>
      <c r="C1471" t="s">
        <v>1786</v>
      </c>
      <c r="D1471">
        <v>12</v>
      </c>
      <c r="I1471">
        <v>86492</v>
      </c>
      <c r="U1471">
        <v>1</v>
      </c>
      <c r="Y1471">
        <v>1</v>
      </c>
      <c r="AA1471">
        <v>0.87</v>
      </c>
      <c r="AC1471" s="3">
        <v>0.87</v>
      </c>
      <c r="AE1471" s="3">
        <v>0.87</v>
      </c>
      <c r="AI1471">
        <v>0.87</v>
      </c>
      <c r="AK1471" s="3"/>
      <c r="BG1471">
        <v>5</v>
      </c>
      <c r="BH1471">
        <v>5</v>
      </c>
      <c r="BI1471">
        <v>5</v>
      </c>
      <c r="BJ1471">
        <v>5</v>
      </c>
      <c r="BK1471" s="4">
        <v>3774</v>
      </c>
      <c r="BL1471" s="4">
        <v>3958</v>
      </c>
      <c r="BM1471" s="4">
        <v>4139</v>
      </c>
      <c r="BN1471" s="4">
        <v>4323</v>
      </c>
      <c r="BR1471">
        <v>89881</v>
      </c>
      <c r="BS1471" t="s">
        <v>2323</v>
      </c>
      <c r="BT1471">
        <v>5</v>
      </c>
      <c r="BU1471">
        <v>14</v>
      </c>
      <c r="BV1471">
        <v>3</v>
      </c>
      <c r="BX1471">
        <v>0.87</v>
      </c>
      <c r="BZ1471">
        <v>0.81</v>
      </c>
      <c r="CM1471">
        <v>1911</v>
      </c>
    </row>
    <row r="1472" spans="1:91" x14ac:dyDescent="0.3">
      <c r="A1472" t="s">
        <v>2324</v>
      </c>
      <c r="B1472">
        <v>46758</v>
      </c>
      <c r="D1472">
        <v>12</v>
      </c>
      <c r="I1472" s="2">
        <v>2000000</v>
      </c>
      <c r="J1472" t="s">
        <v>800</v>
      </c>
      <c r="V1472" t="s">
        <v>350</v>
      </c>
      <c r="Y1472">
        <v>100</v>
      </c>
      <c r="AA1472">
        <v>100</v>
      </c>
      <c r="AC1472" s="3">
        <v>101</v>
      </c>
      <c r="AE1472" s="3">
        <v>99</v>
      </c>
      <c r="AI1472">
        <v>99</v>
      </c>
      <c r="AJ1472" t="s">
        <v>379</v>
      </c>
      <c r="AK1472" s="3"/>
      <c r="AV1472" t="s">
        <v>370</v>
      </c>
      <c r="AX1472" t="s">
        <v>370</v>
      </c>
      <c r="AZ1472" t="s">
        <v>370</v>
      </c>
      <c r="BB1472" t="s">
        <v>370</v>
      </c>
      <c r="BO1472" t="s">
        <v>367</v>
      </c>
      <c r="BR1472" s="2">
        <v>4007260</v>
      </c>
      <c r="BS1472" t="s">
        <v>2325</v>
      </c>
      <c r="BT1472">
        <v>3</v>
      </c>
      <c r="BU1472">
        <v>10</v>
      </c>
      <c r="BV1472">
        <v>9</v>
      </c>
      <c r="BX1472">
        <v>100.5</v>
      </c>
      <c r="BZ1472">
        <v>98</v>
      </c>
      <c r="CK1472" t="s">
        <v>2326</v>
      </c>
      <c r="CM1472">
        <v>1911</v>
      </c>
    </row>
    <row r="1473" spans="1:91" x14ac:dyDescent="0.3">
      <c r="A1473" t="s">
        <v>2324</v>
      </c>
      <c r="B1473">
        <v>46760</v>
      </c>
      <c r="C1473" t="s">
        <v>1071</v>
      </c>
      <c r="D1473">
        <v>12</v>
      </c>
      <c r="I1473" s="2">
        <v>1983590</v>
      </c>
      <c r="J1473" t="s">
        <v>800</v>
      </c>
      <c r="V1473" t="s">
        <v>350</v>
      </c>
      <c r="Y1473">
        <v>100</v>
      </c>
      <c r="AA1473">
        <v>100</v>
      </c>
      <c r="AC1473" s="3">
        <v>101</v>
      </c>
      <c r="AE1473" s="3">
        <v>99</v>
      </c>
      <c r="AI1473">
        <v>99</v>
      </c>
      <c r="AJ1473" t="s">
        <v>379</v>
      </c>
      <c r="AK1473" s="3"/>
      <c r="AV1473" t="s">
        <v>370</v>
      </c>
      <c r="AX1473" t="s">
        <v>370</v>
      </c>
      <c r="AZ1473" t="s">
        <v>370</v>
      </c>
      <c r="BB1473" t="s">
        <v>370</v>
      </c>
      <c r="BO1473" t="s">
        <v>367</v>
      </c>
      <c r="BR1473" s="2">
        <v>4007260</v>
      </c>
      <c r="BS1473" t="s">
        <v>2325</v>
      </c>
      <c r="BT1473">
        <v>4</v>
      </c>
      <c r="BU1473">
        <v>0</v>
      </c>
      <c r="BV1473">
        <v>9</v>
      </c>
      <c r="BX1473">
        <v>100.87</v>
      </c>
      <c r="BZ1473">
        <v>98</v>
      </c>
      <c r="CM1473">
        <v>1911</v>
      </c>
    </row>
    <row r="1474" spans="1:91" x14ac:dyDescent="0.3">
      <c r="A1474" t="s">
        <v>2324</v>
      </c>
      <c r="B1474">
        <v>46762</v>
      </c>
      <c r="C1474" t="s">
        <v>2327</v>
      </c>
      <c r="D1474">
        <v>12</v>
      </c>
      <c r="I1474" s="2">
        <v>2225000</v>
      </c>
      <c r="J1474" t="s">
        <v>800</v>
      </c>
      <c r="V1474" t="s">
        <v>350</v>
      </c>
      <c r="Y1474">
        <v>100</v>
      </c>
      <c r="AA1474">
        <v>104.5</v>
      </c>
      <c r="AC1474" s="3">
        <v>106</v>
      </c>
      <c r="AE1474" s="3">
        <v>103.5</v>
      </c>
      <c r="AI1474">
        <v>106</v>
      </c>
      <c r="AK1474" s="3"/>
      <c r="BG1474">
        <v>6</v>
      </c>
      <c r="BH1474">
        <v>6</v>
      </c>
      <c r="BI1474">
        <v>6</v>
      </c>
      <c r="BJ1474">
        <v>6</v>
      </c>
      <c r="BK1474" s="4">
        <v>3685</v>
      </c>
      <c r="BL1474" s="4">
        <v>3866</v>
      </c>
      <c r="BM1474" s="4">
        <v>4050</v>
      </c>
      <c r="BN1474" s="4">
        <v>4231</v>
      </c>
      <c r="BR1474" s="2">
        <v>4007260</v>
      </c>
      <c r="BS1474" t="s">
        <v>2325</v>
      </c>
      <c r="BT1474">
        <v>5</v>
      </c>
      <c r="BU1474">
        <v>15</v>
      </c>
      <c r="BV1474">
        <v>6</v>
      </c>
      <c r="BX1474">
        <v>107.75</v>
      </c>
      <c r="BZ1474">
        <v>102.5</v>
      </c>
      <c r="CM1474">
        <v>1911</v>
      </c>
    </row>
    <row r="1475" spans="1:91" x14ac:dyDescent="0.3">
      <c r="A1475" t="s">
        <v>2324</v>
      </c>
      <c r="B1475">
        <v>46761</v>
      </c>
      <c r="C1475" t="s">
        <v>2328</v>
      </c>
      <c r="D1475">
        <v>12</v>
      </c>
      <c r="I1475" s="2">
        <v>3725000</v>
      </c>
      <c r="J1475" t="s">
        <v>800</v>
      </c>
      <c r="V1475" t="s">
        <v>350</v>
      </c>
      <c r="Y1475">
        <v>100</v>
      </c>
      <c r="AA1475">
        <v>123</v>
      </c>
      <c r="AC1475" s="3">
        <v>135.5</v>
      </c>
      <c r="AE1475" s="3">
        <v>120.5</v>
      </c>
      <c r="AI1475">
        <v>131</v>
      </c>
      <c r="AK1475" s="3"/>
      <c r="BG1475">
        <v>6</v>
      </c>
      <c r="BH1475">
        <v>6</v>
      </c>
      <c r="BI1475">
        <v>6</v>
      </c>
      <c r="BJ1475">
        <v>6</v>
      </c>
      <c r="BK1475" s="4">
        <v>3685</v>
      </c>
      <c r="BL1475" s="4">
        <v>3866</v>
      </c>
      <c r="BM1475" s="4">
        <v>4050</v>
      </c>
      <c r="BN1475" s="4">
        <v>4231</v>
      </c>
      <c r="BR1475" s="2">
        <v>4007260</v>
      </c>
      <c r="BS1475" t="s">
        <v>2325</v>
      </c>
      <c r="BT1475">
        <v>4</v>
      </c>
      <c r="BU1475">
        <v>13</v>
      </c>
      <c r="BV1475">
        <v>0</v>
      </c>
      <c r="BX1475">
        <v>145.87</v>
      </c>
      <c r="BZ1475">
        <v>112</v>
      </c>
      <c r="CM1475">
        <v>1911</v>
      </c>
    </row>
    <row r="1476" spans="1:91" x14ac:dyDescent="0.3">
      <c r="A1476" t="s">
        <v>2324</v>
      </c>
      <c r="B1476">
        <v>46750</v>
      </c>
      <c r="C1476" t="s">
        <v>2025</v>
      </c>
      <c r="D1476">
        <v>12</v>
      </c>
      <c r="I1476">
        <v>15000</v>
      </c>
      <c r="U1476">
        <v>10</v>
      </c>
      <c r="Y1476">
        <v>10</v>
      </c>
      <c r="AA1476">
        <v>10.119999999999999</v>
      </c>
      <c r="AC1476" s="3">
        <v>10.119999999999999</v>
      </c>
      <c r="AE1476" s="3">
        <v>10.119999999999999</v>
      </c>
      <c r="AI1476">
        <v>10.119999999999999</v>
      </c>
      <c r="AK1476" s="3"/>
      <c r="AV1476" t="s">
        <v>506</v>
      </c>
      <c r="AX1476" t="s">
        <v>506</v>
      </c>
      <c r="AZ1476" t="s">
        <v>506</v>
      </c>
      <c r="BB1476" t="s">
        <v>506</v>
      </c>
      <c r="BO1476" t="s">
        <v>367</v>
      </c>
      <c r="BR1476" s="2">
        <v>4007260</v>
      </c>
      <c r="BS1476" t="s">
        <v>2325</v>
      </c>
      <c r="BT1476">
        <v>5</v>
      </c>
      <c r="BU1476">
        <v>18</v>
      </c>
      <c r="BV1476">
        <v>6</v>
      </c>
      <c r="BX1476">
        <v>10.62</v>
      </c>
      <c r="BZ1476">
        <v>10</v>
      </c>
      <c r="CM1476">
        <v>1911</v>
      </c>
    </row>
    <row r="1477" spans="1:91" x14ac:dyDescent="0.3">
      <c r="A1477" t="s">
        <v>2324</v>
      </c>
      <c r="B1477">
        <v>46752</v>
      </c>
      <c r="C1477" t="s">
        <v>2329</v>
      </c>
      <c r="D1477">
        <v>12</v>
      </c>
      <c r="I1477">
        <v>15000</v>
      </c>
      <c r="U1477">
        <v>10</v>
      </c>
      <c r="Y1477">
        <v>10</v>
      </c>
      <c r="AA1477">
        <v>10</v>
      </c>
      <c r="AC1477" s="3">
        <v>10.119999999999999</v>
      </c>
      <c r="AE1477" s="3">
        <v>10</v>
      </c>
      <c r="AI1477">
        <v>10.119999999999999</v>
      </c>
      <c r="AK1477" s="3"/>
      <c r="AV1477" t="s">
        <v>506</v>
      </c>
      <c r="AX1477" t="s">
        <v>506</v>
      </c>
      <c r="AZ1477" t="s">
        <v>506</v>
      </c>
      <c r="BB1477" t="s">
        <v>506</v>
      </c>
      <c r="BO1477" t="s">
        <v>367</v>
      </c>
      <c r="BR1477" s="2">
        <v>4007260</v>
      </c>
      <c r="BS1477" t="s">
        <v>2325</v>
      </c>
      <c r="BT1477">
        <v>5</v>
      </c>
      <c r="BU1477">
        <v>18</v>
      </c>
      <c r="BV1477">
        <v>6</v>
      </c>
      <c r="BX1477">
        <v>11</v>
      </c>
      <c r="BZ1477">
        <v>9.81</v>
      </c>
      <c r="CM1477">
        <v>1911</v>
      </c>
    </row>
    <row r="1478" spans="1:91" x14ac:dyDescent="0.3">
      <c r="A1478" t="s">
        <v>2324</v>
      </c>
      <c r="B1478">
        <v>46756</v>
      </c>
      <c r="C1478" t="s">
        <v>2330</v>
      </c>
      <c r="D1478">
        <v>12</v>
      </c>
      <c r="I1478">
        <v>250000</v>
      </c>
      <c r="U1478">
        <v>5</v>
      </c>
      <c r="Y1478">
        <v>5</v>
      </c>
      <c r="AA1478">
        <v>5.37</v>
      </c>
      <c r="AC1478" s="3">
        <v>5.87</v>
      </c>
      <c r="AE1478" s="3">
        <v>5.25</v>
      </c>
      <c r="AI1478">
        <v>5.87</v>
      </c>
      <c r="AK1478" s="3"/>
      <c r="AV1478" t="s">
        <v>506</v>
      </c>
      <c r="AX1478" t="s">
        <v>506</v>
      </c>
      <c r="AZ1478" t="s">
        <v>506</v>
      </c>
      <c r="BB1478" t="s">
        <v>506</v>
      </c>
      <c r="BO1478" t="s">
        <v>367</v>
      </c>
      <c r="BR1478" s="2">
        <v>4007260</v>
      </c>
      <c r="BS1478" t="s">
        <v>2325</v>
      </c>
      <c r="BT1478">
        <v>4</v>
      </c>
      <c r="BU1478">
        <v>5</v>
      </c>
      <c r="BV1478">
        <v>0</v>
      </c>
      <c r="BX1478">
        <v>8.6199999999999992</v>
      </c>
      <c r="BZ1478">
        <v>5.25</v>
      </c>
      <c r="CM1478">
        <v>1911</v>
      </c>
    </row>
    <row r="1479" spans="1:91" x14ac:dyDescent="0.3">
      <c r="A1479" t="s">
        <v>2331</v>
      </c>
      <c r="B1479">
        <v>46934</v>
      </c>
      <c r="D1479">
        <v>12</v>
      </c>
      <c r="I1479" s="2">
        <v>5500000</v>
      </c>
      <c r="J1479" t="s">
        <v>800</v>
      </c>
      <c r="V1479" t="s">
        <v>385</v>
      </c>
      <c r="Z1479" t="s">
        <v>385</v>
      </c>
      <c r="AA1479">
        <v>101</v>
      </c>
      <c r="AC1479" s="3">
        <v>101.5</v>
      </c>
      <c r="AE1479" s="3">
        <v>100.75</v>
      </c>
      <c r="AI1479">
        <v>101.5</v>
      </c>
      <c r="AK1479" s="3"/>
      <c r="AV1479" t="s">
        <v>366</v>
      </c>
      <c r="AX1479" t="s">
        <v>366</v>
      </c>
      <c r="AZ1479" t="s">
        <v>366</v>
      </c>
      <c r="BB1479" t="s">
        <v>366</v>
      </c>
      <c r="BO1479" t="s">
        <v>367</v>
      </c>
      <c r="BS1479" t="s">
        <v>385</v>
      </c>
      <c r="BT1479">
        <v>4</v>
      </c>
      <c r="BU1479">
        <v>8</v>
      </c>
      <c r="BV1479">
        <v>9</v>
      </c>
      <c r="BX1479">
        <v>103.75</v>
      </c>
      <c r="BZ1479">
        <v>98.75</v>
      </c>
      <c r="CM1479">
        <v>1911</v>
      </c>
    </row>
    <row r="1480" spans="1:91" x14ac:dyDescent="0.3">
      <c r="A1480" t="s">
        <v>2332</v>
      </c>
      <c r="B1480">
        <v>47291</v>
      </c>
      <c r="D1480">
        <v>12</v>
      </c>
      <c r="I1480">
        <v>179313</v>
      </c>
      <c r="U1480">
        <v>1</v>
      </c>
      <c r="Y1480">
        <v>1</v>
      </c>
      <c r="AA1480">
        <v>1.56</v>
      </c>
      <c r="AC1480" s="3">
        <v>1.4</v>
      </c>
      <c r="AE1480" s="3">
        <v>1.5</v>
      </c>
      <c r="AI1480">
        <v>1.18</v>
      </c>
      <c r="AK1480" s="3"/>
      <c r="AX1480" t="s">
        <v>823</v>
      </c>
      <c r="BB1480" t="s">
        <v>823</v>
      </c>
      <c r="BG1480">
        <v>10</v>
      </c>
      <c r="BH1480">
        <v>6</v>
      </c>
      <c r="BI1480">
        <v>10</v>
      </c>
      <c r="BJ1480">
        <v>6</v>
      </c>
      <c r="BK1480" s="4">
        <v>3774</v>
      </c>
      <c r="BL1480" s="4">
        <v>3958</v>
      </c>
      <c r="BM1480" s="4">
        <v>4139</v>
      </c>
      <c r="BN1480" s="4">
        <v>4323</v>
      </c>
      <c r="BR1480">
        <v>33100</v>
      </c>
      <c r="BS1480" t="s">
        <v>2333</v>
      </c>
      <c r="BT1480">
        <v>5</v>
      </c>
      <c r="BU1480">
        <v>2</v>
      </c>
      <c r="BV1480">
        <v>6</v>
      </c>
      <c r="BX1480">
        <v>1.75</v>
      </c>
      <c r="BZ1480">
        <v>1.5</v>
      </c>
      <c r="CK1480" t="s">
        <v>360</v>
      </c>
      <c r="CM1480">
        <v>1911</v>
      </c>
    </row>
    <row r="1481" spans="1:91" x14ac:dyDescent="0.3">
      <c r="A1481" t="s">
        <v>2332</v>
      </c>
      <c r="B1481">
        <v>47292</v>
      </c>
      <c r="C1481" t="s">
        <v>1754</v>
      </c>
      <c r="D1481">
        <v>12</v>
      </c>
      <c r="I1481">
        <v>50000</v>
      </c>
      <c r="U1481">
        <v>1</v>
      </c>
      <c r="Y1481">
        <v>1</v>
      </c>
      <c r="AA1481">
        <v>1.21</v>
      </c>
      <c r="AC1481" s="3">
        <v>1.21</v>
      </c>
      <c r="AE1481" s="3">
        <v>1.21</v>
      </c>
      <c r="AI1481">
        <v>1.21</v>
      </c>
      <c r="AK1481" s="3"/>
      <c r="AV1481" t="s">
        <v>366</v>
      </c>
      <c r="AX1481" t="s">
        <v>366</v>
      </c>
      <c r="AZ1481" t="s">
        <v>366</v>
      </c>
      <c r="BB1481" t="s">
        <v>366</v>
      </c>
      <c r="BO1481" t="s">
        <v>367</v>
      </c>
      <c r="BR1481">
        <v>33100</v>
      </c>
      <c r="BS1481" t="s">
        <v>2333</v>
      </c>
      <c r="BT1481">
        <v>4</v>
      </c>
      <c r="BU1481">
        <v>18</v>
      </c>
      <c r="BV1481">
        <v>6</v>
      </c>
      <c r="BX1481">
        <v>1.28</v>
      </c>
      <c r="BZ1481">
        <v>1.1200000000000001</v>
      </c>
      <c r="CM1481">
        <v>1911</v>
      </c>
    </row>
    <row r="1482" spans="1:91" x14ac:dyDescent="0.3">
      <c r="A1482" t="s">
        <v>2332</v>
      </c>
      <c r="B1482">
        <v>47293</v>
      </c>
      <c r="C1482" t="s">
        <v>1441</v>
      </c>
      <c r="D1482">
        <v>12</v>
      </c>
      <c r="I1482">
        <v>191905</v>
      </c>
      <c r="J1482" t="s">
        <v>800</v>
      </c>
      <c r="V1482" t="s">
        <v>350</v>
      </c>
      <c r="Y1482">
        <v>100</v>
      </c>
      <c r="AA1482">
        <v>89.5</v>
      </c>
      <c r="AC1482" s="3">
        <v>89.5</v>
      </c>
      <c r="AE1482" s="3">
        <v>88</v>
      </c>
      <c r="AI1482">
        <v>88</v>
      </c>
      <c r="AJ1482" t="s">
        <v>379</v>
      </c>
      <c r="AK1482" s="3"/>
      <c r="AV1482" t="s">
        <v>370</v>
      </c>
      <c r="AX1482" t="s">
        <v>370</v>
      </c>
      <c r="AZ1482" t="s">
        <v>370</v>
      </c>
      <c r="BB1482" t="s">
        <v>370</v>
      </c>
      <c r="BO1482" t="s">
        <v>367</v>
      </c>
      <c r="BR1482">
        <v>33100</v>
      </c>
      <c r="BS1482" t="s">
        <v>2333</v>
      </c>
      <c r="BT1482">
        <v>4</v>
      </c>
      <c r="BU1482">
        <v>11</v>
      </c>
      <c r="BV1482">
        <v>0</v>
      </c>
      <c r="BX1482">
        <v>89.5</v>
      </c>
      <c r="BZ1482">
        <v>87</v>
      </c>
      <c r="CM1482">
        <v>1911</v>
      </c>
    </row>
    <row r="1483" spans="1:91" x14ac:dyDescent="0.3">
      <c r="A1483" t="s">
        <v>2334</v>
      </c>
      <c r="B1483">
        <v>47977</v>
      </c>
      <c r="D1483">
        <v>12</v>
      </c>
      <c r="I1483">
        <v>11839</v>
      </c>
      <c r="U1483">
        <v>8</v>
      </c>
      <c r="Y1483">
        <v>8</v>
      </c>
      <c r="AA1483">
        <v>9</v>
      </c>
      <c r="AC1483" s="3">
        <v>9</v>
      </c>
      <c r="AE1483" s="3">
        <v>9</v>
      </c>
      <c r="AI1483">
        <v>9</v>
      </c>
      <c r="AK1483" s="3"/>
      <c r="AX1483" t="s">
        <v>823</v>
      </c>
      <c r="BB1483" t="s">
        <v>823</v>
      </c>
      <c r="BG1483">
        <v>5</v>
      </c>
      <c r="BH1483">
        <v>5</v>
      </c>
      <c r="BI1483">
        <v>5</v>
      </c>
      <c r="BJ1483">
        <v>5</v>
      </c>
      <c r="BK1483" s="4">
        <v>3774</v>
      </c>
      <c r="BL1483" s="4">
        <v>3927</v>
      </c>
      <c r="BM1483" s="4">
        <v>4139</v>
      </c>
      <c r="BN1483" s="4">
        <v>4292</v>
      </c>
      <c r="BR1483">
        <v>104494</v>
      </c>
      <c r="BT1483">
        <v>4</v>
      </c>
      <c r="BU1483">
        <v>8</v>
      </c>
      <c r="BV1483">
        <v>9</v>
      </c>
      <c r="BX1483">
        <v>9.5</v>
      </c>
      <c r="BZ1483">
        <v>7.5</v>
      </c>
      <c r="CK1483" t="s">
        <v>360</v>
      </c>
      <c r="CM1483">
        <v>1911</v>
      </c>
    </row>
    <row r="1484" spans="1:91" x14ac:dyDescent="0.3">
      <c r="A1484" t="s">
        <v>2335</v>
      </c>
      <c r="B1484">
        <v>49538</v>
      </c>
      <c r="D1484">
        <v>12</v>
      </c>
      <c r="I1484">
        <v>192925</v>
      </c>
      <c r="J1484" t="s">
        <v>800</v>
      </c>
      <c r="V1484" t="s">
        <v>350</v>
      </c>
      <c r="Y1484">
        <v>100</v>
      </c>
      <c r="AA1484">
        <v>100</v>
      </c>
      <c r="AC1484" s="3">
        <v>100</v>
      </c>
      <c r="AE1484" s="3">
        <v>99</v>
      </c>
      <c r="AI1484">
        <v>99</v>
      </c>
      <c r="AJ1484" t="s">
        <v>379</v>
      </c>
      <c r="AK1484" s="3"/>
      <c r="AV1484" t="s">
        <v>370</v>
      </c>
      <c r="AX1484" t="s">
        <v>370</v>
      </c>
      <c r="AZ1484" t="s">
        <v>370</v>
      </c>
      <c r="BB1484" t="s">
        <v>370</v>
      </c>
      <c r="BO1484" t="s">
        <v>367</v>
      </c>
      <c r="BS1484" t="s">
        <v>385</v>
      </c>
      <c r="BT1484">
        <v>4</v>
      </c>
      <c r="BU1484">
        <v>11</v>
      </c>
      <c r="BV1484">
        <v>0</v>
      </c>
      <c r="BX1484">
        <v>102</v>
      </c>
      <c r="BZ1484">
        <v>96.5</v>
      </c>
      <c r="CM1484">
        <v>1911</v>
      </c>
    </row>
    <row r="1485" spans="1:91" x14ac:dyDescent="0.3">
      <c r="A1485" t="s">
        <v>2336</v>
      </c>
      <c r="B1485">
        <v>49948</v>
      </c>
      <c r="D1485">
        <v>12</v>
      </c>
      <c r="I1485">
        <v>190000</v>
      </c>
      <c r="U1485">
        <v>5</v>
      </c>
      <c r="Y1485">
        <v>5</v>
      </c>
      <c r="AA1485">
        <v>7.37</v>
      </c>
      <c r="AC1485" s="3">
        <v>7.5</v>
      </c>
      <c r="AE1485" s="3">
        <v>7.34</v>
      </c>
      <c r="AI1485">
        <v>7.37</v>
      </c>
      <c r="AJ1485" t="s">
        <v>379</v>
      </c>
      <c r="AK1485" s="3"/>
      <c r="AX1485" t="s">
        <v>823</v>
      </c>
      <c r="BB1485" t="s">
        <v>823</v>
      </c>
      <c r="BG1485">
        <v>10</v>
      </c>
      <c r="BH1485">
        <v>6</v>
      </c>
      <c r="BI1485">
        <v>10</v>
      </c>
      <c r="BJ1485">
        <v>6</v>
      </c>
      <c r="BK1485" s="4">
        <v>3835</v>
      </c>
      <c r="BL1485" s="4">
        <v>4019</v>
      </c>
      <c r="BM1485" s="4">
        <v>4200</v>
      </c>
      <c r="BN1485" s="4">
        <v>4384</v>
      </c>
      <c r="BR1485">
        <v>365393</v>
      </c>
      <c r="BS1485" t="s">
        <v>2337</v>
      </c>
      <c r="BT1485">
        <v>5</v>
      </c>
      <c r="BU1485">
        <v>8</v>
      </c>
      <c r="BV1485">
        <v>6</v>
      </c>
      <c r="BX1485">
        <v>7.93</v>
      </c>
      <c r="BZ1485">
        <v>7.25</v>
      </c>
      <c r="CK1485" t="s">
        <v>360</v>
      </c>
      <c r="CM1485">
        <v>1911</v>
      </c>
    </row>
    <row r="1486" spans="1:91" x14ac:dyDescent="0.3">
      <c r="A1486" t="s">
        <v>2338</v>
      </c>
      <c r="B1486">
        <v>49950</v>
      </c>
      <c r="C1486" t="s">
        <v>817</v>
      </c>
      <c r="D1486">
        <v>12</v>
      </c>
      <c r="I1486">
        <v>40000</v>
      </c>
      <c r="U1486">
        <v>5</v>
      </c>
      <c r="Y1486">
        <v>5</v>
      </c>
      <c r="AA1486">
        <v>5.37</v>
      </c>
      <c r="AC1486" s="3">
        <v>5.5</v>
      </c>
      <c r="AE1486" s="3">
        <v>5.37</v>
      </c>
      <c r="AI1486">
        <v>5.5</v>
      </c>
      <c r="AK1486" s="3"/>
      <c r="AV1486" t="s">
        <v>370</v>
      </c>
      <c r="AX1486" t="s">
        <v>370</v>
      </c>
      <c r="AZ1486" t="s">
        <v>370</v>
      </c>
      <c r="BB1486" t="s">
        <v>370</v>
      </c>
      <c r="BO1486" t="s">
        <v>367</v>
      </c>
      <c r="BR1486">
        <v>365393</v>
      </c>
      <c r="BS1486" t="s">
        <v>2337</v>
      </c>
      <c r="BT1486">
        <v>4</v>
      </c>
      <c r="BU1486">
        <v>11</v>
      </c>
      <c r="BV1486">
        <v>0</v>
      </c>
      <c r="BX1486">
        <v>5.68</v>
      </c>
      <c r="BZ1486">
        <v>5.25</v>
      </c>
      <c r="CM1486">
        <v>1911</v>
      </c>
    </row>
    <row r="1487" spans="1:91" x14ac:dyDescent="0.3">
      <c r="A1487" t="s">
        <v>2336</v>
      </c>
      <c r="B1487">
        <v>49951</v>
      </c>
      <c r="C1487" t="s">
        <v>906</v>
      </c>
      <c r="D1487">
        <v>12</v>
      </c>
      <c r="I1487">
        <v>300000</v>
      </c>
      <c r="J1487" t="s">
        <v>800</v>
      </c>
      <c r="V1487" t="s">
        <v>350</v>
      </c>
      <c r="Y1487">
        <v>100</v>
      </c>
      <c r="AA1487">
        <v>104.5</v>
      </c>
      <c r="AC1487" s="3">
        <v>105</v>
      </c>
      <c r="AE1487" s="3">
        <v>103</v>
      </c>
      <c r="AI1487">
        <v>103</v>
      </c>
      <c r="AJ1487" t="s">
        <v>379</v>
      </c>
      <c r="AK1487" s="3"/>
      <c r="AV1487" t="s">
        <v>370</v>
      </c>
      <c r="AX1487" t="s">
        <v>370</v>
      </c>
      <c r="AZ1487" t="s">
        <v>370</v>
      </c>
      <c r="BB1487" t="s">
        <v>370</v>
      </c>
      <c r="BO1487" t="s">
        <v>367</v>
      </c>
      <c r="BR1487">
        <v>365393</v>
      </c>
      <c r="BS1487" t="s">
        <v>2337</v>
      </c>
      <c r="BT1487">
        <v>4</v>
      </c>
      <c r="BU1487">
        <v>7</v>
      </c>
      <c r="BV1487">
        <v>6</v>
      </c>
      <c r="BX1487">
        <v>105.5</v>
      </c>
      <c r="BZ1487">
        <v>101.75</v>
      </c>
      <c r="CM1487">
        <v>1911</v>
      </c>
    </row>
    <row r="1488" spans="1:91" x14ac:dyDescent="0.3">
      <c r="A1488" t="s">
        <v>2339</v>
      </c>
      <c r="B1488">
        <v>50145</v>
      </c>
      <c r="D1488">
        <v>12</v>
      </c>
      <c r="I1488">
        <v>88321</v>
      </c>
      <c r="U1488">
        <v>10</v>
      </c>
      <c r="Y1488">
        <v>10</v>
      </c>
      <c r="AA1488">
        <v>2.81</v>
      </c>
      <c r="AB1488" t="s">
        <v>379</v>
      </c>
      <c r="AC1488" s="3">
        <v>3.93</v>
      </c>
      <c r="AE1488" s="3">
        <v>2.75</v>
      </c>
      <c r="AI1488">
        <v>3.68</v>
      </c>
      <c r="AK1488" s="3"/>
      <c r="AU1488" t="s">
        <v>2340</v>
      </c>
      <c r="AV1488" t="s">
        <v>2341</v>
      </c>
      <c r="AW1488" t="s">
        <v>1717</v>
      </c>
      <c r="AX1488" t="s">
        <v>1719</v>
      </c>
      <c r="AY1488" t="s">
        <v>1622</v>
      </c>
      <c r="AZ1488" s="5">
        <v>40695</v>
      </c>
      <c r="BA1488" t="s">
        <v>1622</v>
      </c>
      <c r="BB1488" s="5">
        <v>40695</v>
      </c>
      <c r="BC1488">
        <v>6</v>
      </c>
      <c r="BD1488">
        <v>12</v>
      </c>
      <c r="BE1488">
        <v>18</v>
      </c>
      <c r="BF1488">
        <v>18</v>
      </c>
      <c r="BK1488" s="4">
        <v>306</v>
      </c>
      <c r="BL1488" s="4">
        <v>3958</v>
      </c>
      <c r="BM1488" s="4">
        <v>4139</v>
      </c>
      <c r="BN1488" s="4">
        <v>4323</v>
      </c>
      <c r="BR1488">
        <v>116662</v>
      </c>
      <c r="BS1488" t="s">
        <v>2342</v>
      </c>
      <c r="BT1488">
        <v>4</v>
      </c>
      <c r="BU1488">
        <v>1</v>
      </c>
      <c r="BV1488">
        <v>6</v>
      </c>
      <c r="BX1488">
        <v>3.81</v>
      </c>
      <c r="BZ1488">
        <v>1.87</v>
      </c>
      <c r="CK1488" t="s">
        <v>594</v>
      </c>
      <c r="CM1488">
        <v>1911</v>
      </c>
    </row>
    <row r="1489" spans="1:91" x14ac:dyDescent="0.3">
      <c r="A1489" t="s">
        <v>2339</v>
      </c>
      <c r="B1489">
        <v>50148</v>
      </c>
      <c r="C1489" t="s">
        <v>2343</v>
      </c>
      <c r="D1489">
        <v>12</v>
      </c>
      <c r="I1489">
        <v>34563</v>
      </c>
      <c r="U1489">
        <v>10</v>
      </c>
      <c r="Y1489">
        <v>10</v>
      </c>
      <c r="AA1489">
        <v>10.25</v>
      </c>
      <c r="AB1489" t="s">
        <v>379</v>
      </c>
      <c r="AC1489" s="3">
        <v>10.87</v>
      </c>
      <c r="AE1489" s="3">
        <v>10</v>
      </c>
      <c r="AI1489">
        <v>10.37</v>
      </c>
      <c r="AK1489" s="3"/>
      <c r="BG1489">
        <v>6</v>
      </c>
      <c r="BH1489">
        <v>6</v>
      </c>
      <c r="BI1489">
        <v>6</v>
      </c>
      <c r="BJ1489">
        <v>6</v>
      </c>
      <c r="BK1489" s="4">
        <v>3774</v>
      </c>
      <c r="BL1489" s="4">
        <v>3958</v>
      </c>
      <c r="BM1489" s="4">
        <v>4139</v>
      </c>
      <c r="BN1489" s="4">
        <v>4323</v>
      </c>
      <c r="BR1489">
        <v>116662</v>
      </c>
      <c r="BS1489" t="s">
        <v>2342</v>
      </c>
      <c r="BT1489">
        <v>5</v>
      </c>
      <c r="BU1489">
        <v>15</v>
      </c>
      <c r="BV1489">
        <v>9</v>
      </c>
      <c r="BX1489">
        <v>10.75</v>
      </c>
      <c r="BZ1489">
        <v>9.75</v>
      </c>
      <c r="CM1489">
        <v>1911</v>
      </c>
    </row>
    <row r="1490" spans="1:91" x14ac:dyDescent="0.3">
      <c r="A1490" t="s">
        <v>2339</v>
      </c>
      <c r="B1490">
        <v>50150</v>
      </c>
      <c r="C1490" t="s">
        <v>2344</v>
      </c>
      <c r="D1490">
        <v>12</v>
      </c>
      <c r="I1490">
        <v>4669</v>
      </c>
      <c r="U1490">
        <v>10</v>
      </c>
      <c r="Y1490">
        <v>10</v>
      </c>
      <c r="AA1490">
        <v>10</v>
      </c>
      <c r="AB1490" t="s">
        <v>379</v>
      </c>
      <c r="AC1490" s="3">
        <v>10</v>
      </c>
      <c r="AE1490" s="3">
        <v>10</v>
      </c>
      <c r="AI1490">
        <v>10</v>
      </c>
      <c r="AK1490" s="3"/>
      <c r="BG1490">
        <v>9</v>
      </c>
      <c r="BH1490">
        <v>15</v>
      </c>
      <c r="BI1490">
        <v>6</v>
      </c>
      <c r="BJ1490">
        <v>6</v>
      </c>
      <c r="BK1490" s="4">
        <v>3774</v>
      </c>
      <c r="BL1490" s="4">
        <v>3958</v>
      </c>
      <c r="BM1490" s="4">
        <v>4139</v>
      </c>
      <c r="BN1490" s="4">
        <v>4323</v>
      </c>
      <c r="BR1490">
        <v>116662</v>
      </c>
      <c r="BS1490" t="s">
        <v>2342</v>
      </c>
      <c r="BT1490">
        <v>6</v>
      </c>
      <c r="BU1490">
        <v>0</v>
      </c>
      <c r="BV1490">
        <v>0</v>
      </c>
      <c r="BX1490">
        <v>10.25</v>
      </c>
      <c r="BZ1490">
        <v>8.75</v>
      </c>
      <c r="CM1490">
        <v>1911</v>
      </c>
    </row>
    <row r="1491" spans="1:91" x14ac:dyDescent="0.3">
      <c r="A1491" t="s">
        <v>2339</v>
      </c>
      <c r="B1491">
        <v>50153</v>
      </c>
      <c r="C1491" t="s">
        <v>2345</v>
      </c>
      <c r="D1491">
        <v>12</v>
      </c>
      <c r="I1491">
        <v>80000</v>
      </c>
      <c r="J1491" t="s">
        <v>800</v>
      </c>
      <c r="U1491">
        <v>100</v>
      </c>
      <c r="Y1491">
        <v>100</v>
      </c>
      <c r="AA1491">
        <v>104</v>
      </c>
      <c r="AC1491" s="3">
        <v>104</v>
      </c>
      <c r="AE1491" s="3">
        <v>104</v>
      </c>
      <c r="AI1491">
        <v>104</v>
      </c>
      <c r="AK1491" s="3"/>
      <c r="AV1491" t="s">
        <v>370</v>
      </c>
      <c r="AX1491" t="s">
        <v>370</v>
      </c>
      <c r="AZ1491" t="s">
        <v>370</v>
      </c>
      <c r="BB1491" t="s">
        <v>370</v>
      </c>
      <c r="BO1491" t="s">
        <v>367</v>
      </c>
      <c r="BR1491">
        <v>116662</v>
      </c>
      <c r="BS1491" t="s">
        <v>2342</v>
      </c>
      <c r="BT1491">
        <v>4</v>
      </c>
      <c r="BU1491">
        <v>18</v>
      </c>
      <c r="BV1491">
        <v>3</v>
      </c>
      <c r="BX1491">
        <v>104</v>
      </c>
      <c r="BZ1491">
        <v>101</v>
      </c>
      <c r="CM1491">
        <v>1911</v>
      </c>
    </row>
    <row r="1492" spans="1:91" x14ac:dyDescent="0.3">
      <c r="A1492" t="s">
        <v>2346</v>
      </c>
      <c r="B1492">
        <v>50429</v>
      </c>
      <c r="D1492">
        <v>12</v>
      </c>
      <c r="I1492">
        <v>207930</v>
      </c>
      <c r="U1492">
        <v>10</v>
      </c>
      <c r="Y1492">
        <v>10</v>
      </c>
      <c r="AA1492">
        <v>13.75</v>
      </c>
      <c r="AC1492" s="3">
        <v>13.75</v>
      </c>
      <c r="AE1492" s="3">
        <v>13.25</v>
      </c>
      <c r="AI1492">
        <v>13.62</v>
      </c>
      <c r="AK1492" s="3"/>
      <c r="BB1492" t="s">
        <v>2347</v>
      </c>
      <c r="BG1492">
        <v>7</v>
      </c>
      <c r="BH1492">
        <v>7</v>
      </c>
      <c r="BI1492">
        <v>7</v>
      </c>
      <c r="BK1492" t="s">
        <v>1260</v>
      </c>
      <c r="BL1492" t="s">
        <v>1261</v>
      </c>
      <c r="BM1492" t="s">
        <v>1262</v>
      </c>
      <c r="BO1492" t="s">
        <v>352</v>
      </c>
      <c r="BR1492" s="2">
        <v>1150370</v>
      </c>
      <c r="BS1492" t="s">
        <v>2348</v>
      </c>
      <c r="BT1492">
        <v>5</v>
      </c>
      <c r="BU1492">
        <v>2</v>
      </c>
      <c r="BV1492">
        <v>9</v>
      </c>
      <c r="BX1492">
        <v>14.12</v>
      </c>
      <c r="BZ1492">
        <v>13.25</v>
      </c>
      <c r="CK1492" t="s">
        <v>360</v>
      </c>
      <c r="CM1492">
        <v>1911</v>
      </c>
    </row>
    <row r="1493" spans="1:91" x14ac:dyDescent="0.3">
      <c r="A1493" t="s">
        <v>2346</v>
      </c>
      <c r="B1493">
        <v>50431</v>
      </c>
      <c r="C1493" t="s">
        <v>1071</v>
      </c>
      <c r="D1493">
        <v>12</v>
      </c>
      <c r="I1493">
        <v>818675</v>
      </c>
      <c r="J1493" t="s">
        <v>800</v>
      </c>
      <c r="V1493" t="s">
        <v>350</v>
      </c>
      <c r="Y1493">
        <v>100</v>
      </c>
      <c r="AA1493">
        <v>102</v>
      </c>
      <c r="AC1493" s="3">
        <v>103</v>
      </c>
      <c r="AE1493" s="3">
        <v>100</v>
      </c>
      <c r="AI1493">
        <v>100</v>
      </c>
      <c r="AJ1493" t="s">
        <v>379</v>
      </c>
      <c r="AK1493" s="3"/>
      <c r="AV1493" t="s">
        <v>421</v>
      </c>
      <c r="AX1493" t="s">
        <v>421</v>
      </c>
      <c r="AZ1493" t="s">
        <v>421</v>
      </c>
      <c r="BB1493" t="s">
        <v>421</v>
      </c>
      <c r="BO1493" t="s">
        <v>367</v>
      </c>
      <c r="BR1493" s="2">
        <v>1150370</v>
      </c>
      <c r="BS1493" t="s">
        <v>2348</v>
      </c>
      <c r="BT1493">
        <v>4</v>
      </c>
      <c r="BU1493">
        <v>0</v>
      </c>
      <c r="BV1493">
        <v>0</v>
      </c>
      <c r="BX1493">
        <v>103</v>
      </c>
      <c r="BZ1493">
        <v>99</v>
      </c>
      <c r="CM1493">
        <v>1911</v>
      </c>
    </row>
    <row r="1494" spans="1:91" x14ac:dyDescent="0.3">
      <c r="A1494" t="s">
        <v>2349</v>
      </c>
      <c r="B1494">
        <v>40313</v>
      </c>
      <c r="D1494">
        <v>12</v>
      </c>
      <c r="I1494">
        <v>640000</v>
      </c>
      <c r="U1494">
        <v>5</v>
      </c>
      <c r="Y1494">
        <v>5</v>
      </c>
      <c r="AA1494">
        <v>5.18</v>
      </c>
      <c r="AC1494" s="3">
        <v>5.25</v>
      </c>
      <c r="AE1494" s="3">
        <v>5</v>
      </c>
      <c r="AI1494">
        <v>5.0599999999999996</v>
      </c>
      <c r="AJ1494" t="s">
        <v>379</v>
      </c>
      <c r="AK1494" s="3"/>
      <c r="AV1494" t="s">
        <v>370</v>
      </c>
      <c r="AX1494" t="s">
        <v>370</v>
      </c>
      <c r="AZ1494" t="s">
        <v>370</v>
      </c>
      <c r="BB1494" t="s">
        <v>370</v>
      </c>
      <c r="BO1494" t="s">
        <v>367</v>
      </c>
      <c r="BR1494">
        <v>380097</v>
      </c>
      <c r="BS1494" t="s">
        <v>2350</v>
      </c>
      <c r="BT1494">
        <v>5</v>
      </c>
      <c r="BU1494">
        <v>8</v>
      </c>
      <c r="BV1494">
        <v>9</v>
      </c>
      <c r="BX1494">
        <v>5.31</v>
      </c>
      <c r="BZ1494">
        <v>4.84</v>
      </c>
      <c r="CK1494" t="s">
        <v>360</v>
      </c>
      <c r="CM1494">
        <v>1911</v>
      </c>
    </row>
    <row r="1495" spans="1:91" x14ac:dyDescent="0.3">
      <c r="A1495" t="s">
        <v>2351</v>
      </c>
      <c r="B1495">
        <v>40307</v>
      </c>
      <c r="C1495" t="s">
        <v>2352</v>
      </c>
      <c r="D1495">
        <v>12</v>
      </c>
      <c r="I1495">
        <v>500000</v>
      </c>
      <c r="U1495">
        <v>5</v>
      </c>
      <c r="Y1495">
        <v>5</v>
      </c>
      <c r="AA1495">
        <v>4.8099999999999996</v>
      </c>
      <c r="AC1495" s="3">
        <v>5</v>
      </c>
      <c r="AE1495" s="3">
        <v>4.8099999999999996</v>
      </c>
      <c r="AI1495">
        <v>4.8099999999999996</v>
      </c>
      <c r="AJ1495" t="s">
        <v>379</v>
      </c>
      <c r="AK1495" s="3"/>
      <c r="AV1495" t="s">
        <v>370</v>
      </c>
      <c r="AX1495" t="s">
        <v>370</v>
      </c>
      <c r="AZ1495" t="s">
        <v>370</v>
      </c>
      <c r="BB1495" t="s">
        <v>370</v>
      </c>
      <c r="BO1495" t="s">
        <v>367</v>
      </c>
      <c r="BR1495">
        <v>380097</v>
      </c>
      <c r="BS1495" t="s">
        <v>2350</v>
      </c>
      <c r="BT1495">
        <v>5</v>
      </c>
      <c r="BU1495">
        <v>14</v>
      </c>
      <c r="BV1495">
        <v>3</v>
      </c>
      <c r="BX1495">
        <v>5.12</v>
      </c>
      <c r="BZ1495">
        <v>4.37</v>
      </c>
      <c r="CM1495">
        <v>1911</v>
      </c>
    </row>
    <row r="1496" spans="1:91" x14ac:dyDescent="0.3">
      <c r="A1496" t="s">
        <v>2351</v>
      </c>
      <c r="B1496">
        <v>40309</v>
      </c>
      <c r="C1496" t="s">
        <v>1071</v>
      </c>
      <c r="D1496">
        <v>12</v>
      </c>
      <c r="I1496" s="2">
        <v>4465670</v>
      </c>
      <c r="J1496" t="s">
        <v>800</v>
      </c>
      <c r="V1496" t="s">
        <v>350</v>
      </c>
      <c r="Y1496">
        <v>100</v>
      </c>
      <c r="AA1496">
        <v>96</v>
      </c>
      <c r="AC1496" s="3">
        <v>96.62</v>
      </c>
      <c r="AE1496" s="3">
        <v>94</v>
      </c>
      <c r="AI1496">
        <v>94</v>
      </c>
      <c r="AJ1496" t="s">
        <v>379</v>
      </c>
      <c r="AK1496" s="3"/>
      <c r="AV1496" t="s">
        <v>370</v>
      </c>
      <c r="AX1496" t="s">
        <v>370</v>
      </c>
      <c r="AZ1496" t="s">
        <v>370</v>
      </c>
      <c r="BB1496" t="s">
        <v>370</v>
      </c>
      <c r="BO1496" t="s">
        <v>367</v>
      </c>
      <c r="BR1496">
        <v>380097</v>
      </c>
      <c r="BS1496" t="s">
        <v>2350</v>
      </c>
      <c r="BT1496">
        <v>4</v>
      </c>
      <c r="BU1496">
        <v>5</v>
      </c>
      <c r="BV1496">
        <v>0</v>
      </c>
      <c r="BX1496">
        <v>97.5</v>
      </c>
      <c r="BZ1496">
        <v>91.62</v>
      </c>
      <c r="CM1496">
        <v>1911</v>
      </c>
    </row>
    <row r="1497" spans="1:91" x14ac:dyDescent="0.3">
      <c r="A1497" t="s">
        <v>2351</v>
      </c>
      <c r="B1497">
        <v>40310</v>
      </c>
      <c r="C1497" t="s">
        <v>906</v>
      </c>
      <c r="D1497">
        <v>12</v>
      </c>
      <c r="I1497" s="2">
        <v>1730250</v>
      </c>
      <c r="J1497" t="s">
        <v>800</v>
      </c>
      <c r="V1497" t="s">
        <v>350</v>
      </c>
      <c r="Y1497">
        <v>100</v>
      </c>
      <c r="AA1497">
        <v>102.5</v>
      </c>
      <c r="AC1497" s="3">
        <v>103</v>
      </c>
      <c r="AE1497" s="3">
        <v>102</v>
      </c>
      <c r="AI1497">
        <v>100.5</v>
      </c>
      <c r="AJ1497" t="s">
        <v>379</v>
      </c>
      <c r="AK1497" s="3"/>
      <c r="AV1497" t="s">
        <v>370</v>
      </c>
      <c r="AX1497" t="s">
        <v>370</v>
      </c>
      <c r="AZ1497" t="s">
        <v>370</v>
      </c>
      <c r="BB1497" t="s">
        <v>370</v>
      </c>
      <c r="BO1497" t="s">
        <v>367</v>
      </c>
      <c r="BR1497">
        <v>380097</v>
      </c>
      <c r="BS1497" t="s">
        <v>2350</v>
      </c>
      <c r="BT1497">
        <v>4</v>
      </c>
      <c r="BU1497">
        <v>9</v>
      </c>
      <c r="BV1497">
        <v>6</v>
      </c>
      <c r="BX1497">
        <v>103.25</v>
      </c>
      <c r="BZ1497">
        <v>98</v>
      </c>
      <c r="CM1497">
        <v>1911</v>
      </c>
    </row>
    <row r="1498" spans="1:91" x14ac:dyDescent="0.3">
      <c r="A1498" t="s">
        <v>2351</v>
      </c>
      <c r="B1498">
        <v>40314</v>
      </c>
      <c r="C1498" t="s">
        <v>1263</v>
      </c>
      <c r="D1498">
        <v>12</v>
      </c>
      <c r="I1498" s="2">
        <v>1500000</v>
      </c>
      <c r="J1498" t="s">
        <v>800</v>
      </c>
      <c r="V1498" t="s">
        <v>350</v>
      </c>
      <c r="Y1498">
        <v>100</v>
      </c>
      <c r="AA1498">
        <v>99.5</v>
      </c>
      <c r="AB1498" t="s">
        <v>379</v>
      </c>
      <c r="AC1498" s="3">
        <v>100.75</v>
      </c>
      <c r="AE1498" s="3">
        <v>99</v>
      </c>
      <c r="AI1498">
        <v>100</v>
      </c>
      <c r="AK1498" s="3"/>
      <c r="AV1498" t="s">
        <v>2135</v>
      </c>
      <c r="AX1498" t="s">
        <v>2135</v>
      </c>
      <c r="AZ1498" t="s">
        <v>2135</v>
      </c>
      <c r="BB1498" t="s">
        <v>2135</v>
      </c>
      <c r="BO1498" t="s">
        <v>367</v>
      </c>
      <c r="BR1498">
        <v>380097</v>
      </c>
      <c r="BS1498" t="s">
        <v>2350</v>
      </c>
      <c r="BT1498">
        <v>5</v>
      </c>
      <c r="BU1498">
        <v>0</v>
      </c>
      <c r="BV1498">
        <v>0</v>
      </c>
      <c r="BX1498">
        <v>104.75</v>
      </c>
      <c r="BZ1498">
        <v>96.87</v>
      </c>
      <c r="CM1498">
        <v>1911</v>
      </c>
    </row>
    <row r="1499" spans="1:91" x14ac:dyDescent="0.3">
      <c r="A1499" t="s">
        <v>2353</v>
      </c>
      <c r="B1499">
        <v>40678</v>
      </c>
      <c r="D1499">
        <v>12</v>
      </c>
      <c r="I1499">
        <v>321932</v>
      </c>
      <c r="J1499" t="s">
        <v>800</v>
      </c>
      <c r="V1499" t="s">
        <v>350</v>
      </c>
      <c r="Y1499">
        <v>100</v>
      </c>
      <c r="AA1499">
        <v>105.5</v>
      </c>
      <c r="AC1499" s="3">
        <v>105.5</v>
      </c>
      <c r="AE1499" s="3">
        <v>105.5</v>
      </c>
      <c r="AI1499">
        <v>105.5</v>
      </c>
      <c r="AK1499" s="3"/>
      <c r="AV1499" t="s">
        <v>370</v>
      </c>
      <c r="AX1499" t="s">
        <v>370</v>
      </c>
      <c r="AZ1499" t="s">
        <v>370</v>
      </c>
      <c r="BB1499" t="s">
        <v>370</v>
      </c>
      <c r="BO1499" t="s">
        <v>367</v>
      </c>
      <c r="BR1499">
        <v>132486</v>
      </c>
      <c r="BS1499" t="s">
        <v>2354</v>
      </c>
      <c r="BT1499">
        <v>4</v>
      </c>
      <c r="BU1499">
        <v>17</v>
      </c>
      <c r="BV1499">
        <v>0</v>
      </c>
      <c r="BX1499">
        <v>106.5</v>
      </c>
      <c r="BZ1499">
        <v>102</v>
      </c>
      <c r="CK1499" t="s">
        <v>1281</v>
      </c>
      <c r="CM1499">
        <v>1911</v>
      </c>
    </row>
    <row r="1500" spans="1:91" x14ac:dyDescent="0.3">
      <c r="A1500" t="s">
        <v>2355</v>
      </c>
      <c r="B1500">
        <v>40871</v>
      </c>
      <c r="D1500">
        <v>12</v>
      </c>
      <c r="I1500">
        <v>75000</v>
      </c>
      <c r="U1500">
        <v>1</v>
      </c>
      <c r="Y1500">
        <v>1</v>
      </c>
      <c r="AA1500">
        <v>0.37</v>
      </c>
      <c r="AC1500" s="3">
        <v>0.37</v>
      </c>
      <c r="AE1500" s="3">
        <v>0.56000000000000005</v>
      </c>
      <c r="AI1500">
        <v>0.56000000000000005</v>
      </c>
      <c r="AJ1500" t="s">
        <v>379</v>
      </c>
      <c r="AK1500" s="3"/>
      <c r="BG1500">
        <v>5</v>
      </c>
      <c r="BH1500">
        <v>5</v>
      </c>
      <c r="BI1500">
        <v>5</v>
      </c>
      <c r="BJ1500">
        <v>5</v>
      </c>
      <c r="BK1500" s="4">
        <v>3654</v>
      </c>
      <c r="BL1500" s="4">
        <v>3835</v>
      </c>
      <c r="BM1500" s="4">
        <v>4019</v>
      </c>
      <c r="BN1500" s="4">
        <v>4200</v>
      </c>
      <c r="BR1500">
        <v>6696</v>
      </c>
      <c r="BS1500" t="s">
        <v>2356</v>
      </c>
      <c r="BT1500">
        <v>8</v>
      </c>
      <c r="BU1500">
        <v>17</v>
      </c>
      <c r="BV1500">
        <v>9</v>
      </c>
      <c r="BX1500">
        <v>0.68</v>
      </c>
      <c r="BZ1500">
        <v>0.56000000000000005</v>
      </c>
      <c r="CK1500" t="s">
        <v>360</v>
      </c>
      <c r="CM1500">
        <v>1911</v>
      </c>
    </row>
    <row r="1501" spans="1:91" x14ac:dyDescent="0.3">
      <c r="A1501" t="s">
        <v>2355</v>
      </c>
      <c r="B1501">
        <v>40870</v>
      </c>
      <c r="C1501" t="s">
        <v>906</v>
      </c>
      <c r="D1501">
        <v>12</v>
      </c>
      <c r="I1501">
        <v>134243</v>
      </c>
      <c r="J1501" t="s">
        <v>800</v>
      </c>
      <c r="V1501" t="s">
        <v>350</v>
      </c>
      <c r="Y1501">
        <v>100</v>
      </c>
      <c r="AA1501">
        <v>82.5</v>
      </c>
      <c r="AC1501" s="3">
        <v>82.5</v>
      </c>
      <c r="AE1501" s="3">
        <v>82.5</v>
      </c>
      <c r="AI1501">
        <v>82.5</v>
      </c>
      <c r="AK1501" s="3"/>
      <c r="AV1501" t="s">
        <v>536</v>
      </c>
      <c r="AX1501" t="s">
        <v>536</v>
      </c>
      <c r="AZ1501" t="s">
        <v>536</v>
      </c>
      <c r="BB1501" t="s">
        <v>536</v>
      </c>
      <c r="BO1501" t="s">
        <v>367</v>
      </c>
      <c r="BR1501">
        <v>6696</v>
      </c>
      <c r="BS1501" t="s">
        <v>2356</v>
      </c>
      <c r="BT1501">
        <v>5</v>
      </c>
      <c r="BU1501">
        <v>10</v>
      </c>
      <c r="BV1501">
        <v>0</v>
      </c>
      <c r="BX1501">
        <v>83</v>
      </c>
      <c r="BZ1501">
        <v>79</v>
      </c>
      <c r="CM1501">
        <v>1911</v>
      </c>
    </row>
    <row r="1502" spans="1:91" x14ac:dyDescent="0.3">
      <c r="A1502" t="s">
        <v>2357</v>
      </c>
      <c r="B1502">
        <v>41215</v>
      </c>
      <c r="D1502">
        <v>12</v>
      </c>
      <c r="I1502">
        <v>60000</v>
      </c>
      <c r="U1502">
        <v>10</v>
      </c>
      <c r="Y1502">
        <v>10</v>
      </c>
      <c r="AA1502">
        <v>11</v>
      </c>
      <c r="AC1502" s="3">
        <v>11.12</v>
      </c>
      <c r="AE1502" s="3">
        <v>11</v>
      </c>
      <c r="AI1502">
        <v>11.12</v>
      </c>
      <c r="AK1502" s="3"/>
      <c r="AV1502" t="s">
        <v>506</v>
      </c>
      <c r="AX1502" t="s">
        <v>506</v>
      </c>
      <c r="AZ1502" t="s">
        <v>506</v>
      </c>
      <c r="BB1502" t="s">
        <v>506</v>
      </c>
      <c r="BO1502" t="s">
        <v>367</v>
      </c>
      <c r="BR1502">
        <v>27060</v>
      </c>
      <c r="BT1502">
        <v>5</v>
      </c>
      <c r="BU1502">
        <v>7</v>
      </c>
      <c r="BV1502">
        <v>9</v>
      </c>
      <c r="BX1502">
        <v>11.75</v>
      </c>
      <c r="BZ1502">
        <v>10.75</v>
      </c>
      <c r="CM1502">
        <v>1911</v>
      </c>
    </row>
    <row r="1503" spans="1:91" x14ac:dyDescent="0.3">
      <c r="A1503" t="s">
        <v>2358</v>
      </c>
      <c r="B1503">
        <v>41435</v>
      </c>
      <c r="D1503">
        <v>12</v>
      </c>
      <c r="I1503">
        <v>75000</v>
      </c>
      <c r="U1503">
        <v>5</v>
      </c>
      <c r="Y1503">
        <v>5</v>
      </c>
      <c r="AA1503">
        <v>7.87</v>
      </c>
      <c r="AC1503" s="3">
        <v>8.6199999999999992</v>
      </c>
      <c r="AE1503" s="3">
        <v>7.87</v>
      </c>
      <c r="AI1503">
        <v>8.6199999999999992</v>
      </c>
      <c r="AK1503" s="3"/>
      <c r="AX1503" t="s">
        <v>823</v>
      </c>
      <c r="BB1503" t="s">
        <v>823</v>
      </c>
      <c r="BG1503">
        <v>9</v>
      </c>
      <c r="BH1503">
        <v>8</v>
      </c>
      <c r="BI1503">
        <v>8</v>
      </c>
      <c r="BJ1503">
        <v>8</v>
      </c>
      <c r="BK1503" s="4">
        <v>3774</v>
      </c>
      <c r="BL1503" s="4">
        <v>3958</v>
      </c>
      <c r="BM1503" s="4">
        <v>4139</v>
      </c>
      <c r="BN1503" s="4">
        <v>4323</v>
      </c>
      <c r="BR1503">
        <v>45506</v>
      </c>
      <c r="BS1503" t="s">
        <v>2359</v>
      </c>
      <c r="BT1503">
        <v>4</v>
      </c>
      <c r="BU1503">
        <v>12</v>
      </c>
      <c r="BV1503">
        <v>9</v>
      </c>
      <c r="BX1503">
        <v>8.6199999999999992</v>
      </c>
      <c r="BZ1503">
        <v>6.25</v>
      </c>
      <c r="CK1503" t="s">
        <v>360</v>
      </c>
      <c r="CM1503">
        <v>1911</v>
      </c>
    </row>
    <row r="1504" spans="1:91" x14ac:dyDescent="0.3">
      <c r="A1504" t="s">
        <v>2358</v>
      </c>
      <c r="B1504">
        <v>41437</v>
      </c>
      <c r="C1504" t="s">
        <v>2102</v>
      </c>
      <c r="D1504">
        <v>12</v>
      </c>
      <c r="I1504">
        <v>75000</v>
      </c>
      <c r="U1504">
        <v>5</v>
      </c>
      <c r="Y1504">
        <v>5</v>
      </c>
      <c r="AA1504">
        <v>5.0599999999999996</v>
      </c>
      <c r="AC1504" s="3">
        <v>5.0599999999999996</v>
      </c>
      <c r="AE1504" s="3">
        <v>4.93</v>
      </c>
      <c r="AI1504">
        <v>5.0599999999999996</v>
      </c>
      <c r="AK1504" s="3"/>
      <c r="BG1504">
        <v>5</v>
      </c>
      <c r="BH1504">
        <v>5</v>
      </c>
      <c r="BI1504">
        <v>5</v>
      </c>
      <c r="BJ1504">
        <v>5</v>
      </c>
      <c r="BK1504" s="4">
        <v>3774</v>
      </c>
      <c r="BL1504" s="4">
        <v>3958</v>
      </c>
      <c r="BM1504" s="4">
        <v>4139</v>
      </c>
      <c r="BN1504" s="4">
        <v>4323</v>
      </c>
      <c r="BR1504">
        <v>45506</v>
      </c>
      <c r="BS1504" t="s">
        <v>2359</v>
      </c>
      <c r="BT1504">
        <v>4</v>
      </c>
      <c r="BU1504">
        <v>18</v>
      </c>
      <c r="BV1504">
        <v>9</v>
      </c>
      <c r="BX1504">
        <v>5.25</v>
      </c>
      <c r="BZ1504">
        <v>4.87</v>
      </c>
      <c r="CM1504">
        <v>1911</v>
      </c>
    </row>
    <row r="1505" spans="1:91" x14ac:dyDescent="0.3">
      <c r="A1505" t="s">
        <v>2358</v>
      </c>
      <c r="B1505">
        <v>41436</v>
      </c>
      <c r="C1505" t="s">
        <v>1248</v>
      </c>
      <c r="D1505">
        <v>12</v>
      </c>
      <c r="I1505">
        <v>450000</v>
      </c>
      <c r="J1505" t="s">
        <v>800</v>
      </c>
      <c r="V1505" t="s">
        <v>350</v>
      </c>
      <c r="Y1505">
        <v>100</v>
      </c>
      <c r="AA1505">
        <v>104.5</v>
      </c>
      <c r="AC1505" s="3">
        <v>104.5</v>
      </c>
      <c r="AE1505" s="3">
        <v>102.5</v>
      </c>
      <c r="AI1505">
        <v>102.5</v>
      </c>
      <c r="AJ1505" t="s">
        <v>379</v>
      </c>
      <c r="AK1505" s="3"/>
      <c r="AV1505" t="s">
        <v>370</v>
      </c>
      <c r="AX1505" t="s">
        <v>370</v>
      </c>
      <c r="AZ1505" t="s">
        <v>370</v>
      </c>
      <c r="BB1505" t="s">
        <v>370</v>
      </c>
      <c r="BO1505" t="s">
        <v>367</v>
      </c>
      <c r="BR1505">
        <v>45506</v>
      </c>
      <c r="BS1505" t="s">
        <v>2359</v>
      </c>
      <c r="BT1505">
        <v>4</v>
      </c>
      <c r="BU1505">
        <v>7</v>
      </c>
      <c r="BV1505">
        <v>9</v>
      </c>
      <c r="BX1505">
        <v>104.75</v>
      </c>
      <c r="BZ1505">
        <v>98.5</v>
      </c>
      <c r="CM1505">
        <v>1911</v>
      </c>
    </row>
    <row r="1506" spans="1:91" x14ac:dyDescent="0.3">
      <c r="A1506" t="s">
        <v>2360</v>
      </c>
      <c r="B1506">
        <v>41154</v>
      </c>
      <c r="D1506">
        <v>12</v>
      </c>
      <c r="I1506">
        <v>50000</v>
      </c>
      <c r="U1506">
        <v>10</v>
      </c>
      <c r="Y1506">
        <v>10</v>
      </c>
      <c r="AA1506">
        <v>6.12</v>
      </c>
      <c r="AC1506" s="3">
        <v>6.12</v>
      </c>
      <c r="AE1506" s="3">
        <v>5.87</v>
      </c>
      <c r="AI1506">
        <v>5.87</v>
      </c>
      <c r="AK1506" s="3"/>
      <c r="AX1506" t="s">
        <v>823</v>
      </c>
      <c r="BB1506" t="s">
        <v>823</v>
      </c>
      <c r="BG1506">
        <v>6</v>
      </c>
      <c r="BH1506">
        <v>4</v>
      </c>
      <c r="BI1506">
        <v>4</v>
      </c>
      <c r="BJ1506">
        <v>4</v>
      </c>
      <c r="BK1506" s="4">
        <v>3685</v>
      </c>
      <c r="BL1506" s="4">
        <v>3866</v>
      </c>
      <c r="BM1506" s="4">
        <v>4050</v>
      </c>
      <c r="BN1506" s="4">
        <v>4231</v>
      </c>
      <c r="BR1506">
        <v>208130</v>
      </c>
      <c r="BT1506">
        <v>6</v>
      </c>
      <c r="BU1506">
        <v>16</v>
      </c>
      <c r="BV1506">
        <v>3</v>
      </c>
      <c r="BX1506">
        <v>8.18</v>
      </c>
      <c r="BZ1506">
        <v>4.75</v>
      </c>
      <c r="CK1506" t="s">
        <v>872</v>
      </c>
      <c r="CM1506">
        <v>1911</v>
      </c>
    </row>
    <row r="1507" spans="1:91" x14ac:dyDescent="0.3">
      <c r="A1507" t="s">
        <v>2361</v>
      </c>
      <c r="B1507">
        <v>41441</v>
      </c>
      <c r="D1507">
        <v>12</v>
      </c>
      <c r="I1507">
        <v>800000</v>
      </c>
      <c r="J1507" t="s">
        <v>800</v>
      </c>
      <c r="V1507" t="s">
        <v>350</v>
      </c>
      <c r="Y1507">
        <v>100</v>
      </c>
      <c r="AA1507">
        <v>144</v>
      </c>
      <c r="AC1507" s="3">
        <v>144</v>
      </c>
      <c r="AE1507" s="3">
        <v>134.5</v>
      </c>
      <c r="AI1507">
        <v>139.5</v>
      </c>
      <c r="AK1507" s="3"/>
      <c r="AV1507" t="s">
        <v>823</v>
      </c>
      <c r="AZ1507" t="s">
        <v>823</v>
      </c>
      <c r="BG1507">
        <v>8</v>
      </c>
      <c r="BH1507">
        <v>8</v>
      </c>
      <c r="BI1507">
        <v>8</v>
      </c>
      <c r="BJ1507">
        <v>8</v>
      </c>
      <c r="BK1507" s="4">
        <v>3744</v>
      </c>
      <c r="BL1507" s="4">
        <v>3927</v>
      </c>
      <c r="BM1507" s="4">
        <v>4109</v>
      </c>
      <c r="BN1507" s="4">
        <v>4292</v>
      </c>
      <c r="BR1507">
        <v>343590</v>
      </c>
      <c r="BS1507" t="s">
        <v>2362</v>
      </c>
      <c r="BT1507">
        <v>5</v>
      </c>
      <c r="BU1507">
        <v>15</v>
      </c>
      <c r="BV1507">
        <v>0</v>
      </c>
      <c r="BX1507">
        <v>153</v>
      </c>
      <c r="BZ1507">
        <v>134.5</v>
      </c>
      <c r="CK1507" t="s">
        <v>360</v>
      </c>
      <c r="CM1507">
        <v>1911</v>
      </c>
    </row>
    <row r="1508" spans="1:91" x14ac:dyDescent="0.3">
      <c r="A1508" t="s">
        <v>2361</v>
      </c>
      <c r="B1508">
        <v>41440</v>
      </c>
      <c r="C1508" t="s">
        <v>2363</v>
      </c>
      <c r="D1508">
        <v>12</v>
      </c>
      <c r="I1508">
        <v>800000</v>
      </c>
      <c r="J1508" t="s">
        <v>800</v>
      </c>
      <c r="V1508" t="s">
        <v>350</v>
      </c>
      <c r="Y1508">
        <v>100</v>
      </c>
      <c r="AA1508">
        <v>125</v>
      </c>
      <c r="AC1508" s="3">
        <v>125</v>
      </c>
      <c r="AE1508" s="3">
        <v>119</v>
      </c>
      <c r="AI1508">
        <v>119</v>
      </c>
      <c r="AK1508" s="3"/>
      <c r="BG1508">
        <v>6</v>
      </c>
      <c r="BH1508">
        <v>6</v>
      </c>
      <c r="BI1508">
        <v>6</v>
      </c>
      <c r="BJ1508">
        <v>6</v>
      </c>
      <c r="BK1508" s="4">
        <v>3654</v>
      </c>
      <c r="BL1508" s="4">
        <v>3835</v>
      </c>
      <c r="BM1508" s="4">
        <v>4019</v>
      </c>
      <c r="BN1508" s="4">
        <v>4200</v>
      </c>
      <c r="BR1508">
        <v>343590</v>
      </c>
      <c r="BS1508" t="s">
        <v>2362</v>
      </c>
      <c r="BT1508">
        <v>5</v>
      </c>
      <c r="BU1508">
        <v>0</v>
      </c>
      <c r="BV1508">
        <v>9</v>
      </c>
      <c r="BX1508">
        <v>131.75</v>
      </c>
      <c r="BZ1508">
        <v>119</v>
      </c>
      <c r="CM1508">
        <v>1911</v>
      </c>
    </row>
    <row r="1509" spans="1:91" x14ac:dyDescent="0.3">
      <c r="A1509" t="s">
        <v>2361</v>
      </c>
      <c r="B1509">
        <v>41445</v>
      </c>
      <c r="C1509" t="s">
        <v>817</v>
      </c>
      <c r="D1509">
        <v>12</v>
      </c>
      <c r="I1509">
        <v>800000</v>
      </c>
      <c r="J1509" t="s">
        <v>800</v>
      </c>
      <c r="V1509" t="s">
        <v>350</v>
      </c>
      <c r="Y1509">
        <v>100</v>
      </c>
      <c r="AA1509">
        <v>111</v>
      </c>
      <c r="AC1509" s="3">
        <v>111</v>
      </c>
      <c r="AE1509" s="3">
        <v>109.25</v>
      </c>
      <c r="AI1509">
        <v>110.5</v>
      </c>
      <c r="AK1509" s="3"/>
      <c r="AV1509" t="s">
        <v>370</v>
      </c>
      <c r="AX1509" t="s">
        <v>370</v>
      </c>
      <c r="AZ1509" t="s">
        <v>370</v>
      </c>
      <c r="BB1509" t="s">
        <v>370</v>
      </c>
      <c r="BO1509" t="s">
        <v>367</v>
      </c>
      <c r="BR1509">
        <v>343590</v>
      </c>
      <c r="BS1509" t="s">
        <v>2362</v>
      </c>
      <c r="BT1509">
        <v>4</v>
      </c>
      <c r="BU1509">
        <v>12</v>
      </c>
      <c r="BV1509">
        <v>6</v>
      </c>
      <c r="BX1509">
        <v>114</v>
      </c>
      <c r="BZ1509">
        <v>106.25</v>
      </c>
      <c r="CM1509">
        <v>1911</v>
      </c>
    </row>
    <row r="1510" spans="1:91" x14ac:dyDescent="0.3">
      <c r="A1510" t="s">
        <v>2361</v>
      </c>
      <c r="B1510">
        <v>41442</v>
      </c>
      <c r="C1510" t="s">
        <v>2364</v>
      </c>
      <c r="D1510">
        <v>12</v>
      </c>
      <c r="I1510">
        <v>226000</v>
      </c>
      <c r="J1510" t="s">
        <v>800</v>
      </c>
      <c r="U1510">
        <v>40</v>
      </c>
      <c r="Y1510">
        <v>100</v>
      </c>
      <c r="Z1510" t="s">
        <v>615</v>
      </c>
      <c r="AA1510">
        <v>100.5</v>
      </c>
      <c r="AC1510" s="3">
        <v>102.5</v>
      </c>
      <c r="AE1510" s="3">
        <v>99.5</v>
      </c>
      <c r="AI1510">
        <v>101.5</v>
      </c>
      <c r="AK1510" s="3"/>
      <c r="AV1510" t="s">
        <v>536</v>
      </c>
      <c r="AX1510" t="s">
        <v>536</v>
      </c>
      <c r="AZ1510" t="s">
        <v>536</v>
      </c>
      <c r="BB1510" t="s">
        <v>536</v>
      </c>
      <c r="BO1510" t="s">
        <v>367</v>
      </c>
      <c r="BR1510">
        <v>343590</v>
      </c>
      <c r="BS1510" t="s">
        <v>2362</v>
      </c>
      <c r="BT1510">
        <v>4</v>
      </c>
      <c r="BU1510">
        <v>9</v>
      </c>
      <c r="BV1510">
        <v>0</v>
      </c>
      <c r="BX1510">
        <v>104.37</v>
      </c>
      <c r="BZ1510">
        <v>99.5</v>
      </c>
      <c r="CM1510">
        <v>1911</v>
      </c>
    </row>
    <row r="1511" spans="1:91" x14ac:dyDescent="0.3">
      <c r="A1511" t="s">
        <v>2361</v>
      </c>
      <c r="B1511">
        <v>41444</v>
      </c>
      <c r="C1511" t="s">
        <v>2365</v>
      </c>
      <c r="D1511">
        <v>12</v>
      </c>
      <c r="I1511">
        <v>108600</v>
      </c>
      <c r="J1511" t="s">
        <v>800</v>
      </c>
      <c r="U1511">
        <v>100</v>
      </c>
      <c r="Y1511">
        <v>100</v>
      </c>
      <c r="AA1511">
        <v>105</v>
      </c>
      <c r="AC1511" s="3">
        <v>105</v>
      </c>
      <c r="AE1511" s="3">
        <v>105</v>
      </c>
      <c r="AI1511">
        <v>105</v>
      </c>
      <c r="AK1511" s="3"/>
      <c r="AV1511" t="s">
        <v>370</v>
      </c>
      <c r="AX1511" t="s">
        <v>370</v>
      </c>
      <c r="AZ1511" t="s">
        <v>370</v>
      </c>
      <c r="BB1511" t="s">
        <v>370</v>
      </c>
      <c r="BO1511" t="s">
        <v>367</v>
      </c>
      <c r="BR1511">
        <v>343590</v>
      </c>
      <c r="BS1511" t="s">
        <v>2362</v>
      </c>
      <c r="BT1511">
        <v>4</v>
      </c>
      <c r="BU1511">
        <v>7</v>
      </c>
      <c r="BV1511">
        <v>9</v>
      </c>
      <c r="BX1511">
        <v>105.75</v>
      </c>
      <c r="BZ1511">
        <v>102.5</v>
      </c>
      <c r="CM1511">
        <v>1911</v>
      </c>
    </row>
    <row r="1512" spans="1:91" x14ac:dyDescent="0.3">
      <c r="A1512" t="s">
        <v>2361</v>
      </c>
      <c r="B1512">
        <v>41446</v>
      </c>
      <c r="C1512" t="s">
        <v>2366</v>
      </c>
      <c r="D1512">
        <v>12</v>
      </c>
      <c r="I1512" s="2">
        <v>1330000</v>
      </c>
      <c r="J1512" t="s">
        <v>800</v>
      </c>
      <c r="V1512" t="s">
        <v>350</v>
      </c>
      <c r="Y1512">
        <v>100</v>
      </c>
      <c r="AA1512">
        <v>103</v>
      </c>
      <c r="AC1512" s="3">
        <v>103.12</v>
      </c>
      <c r="AE1512" s="3">
        <v>102</v>
      </c>
      <c r="AI1512">
        <v>102.5</v>
      </c>
      <c r="AK1512" s="3"/>
      <c r="AV1512" t="s">
        <v>373</v>
      </c>
      <c r="AX1512" t="s">
        <v>373</v>
      </c>
      <c r="AZ1512" t="s">
        <v>373</v>
      </c>
      <c r="BB1512" t="s">
        <v>373</v>
      </c>
      <c r="BO1512" t="s">
        <v>367</v>
      </c>
      <c r="BR1512">
        <v>343590</v>
      </c>
      <c r="BS1512" t="s">
        <v>2362</v>
      </c>
      <c r="BT1512">
        <v>4</v>
      </c>
      <c r="BU1512">
        <v>3</v>
      </c>
      <c r="BV1512">
        <v>9</v>
      </c>
      <c r="BX1512">
        <v>106.75</v>
      </c>
      <c r="BZ1512">
        <v>100.75</v>
      </c>
      <c r="CM1512">
        <v>1911</v>
      </c>
    </row>
    <row r="1513" spans="1:91" x14ac:dyDescent="0.3">
      <c r="A1513" t="s">
        <v>2367</v>
      </c>
      <c r="B1513">
        <v>41612</v>
      </c>
      <c r="D1513">
        <v>12</v>
      </c>
      <c r="I1513">
        <v>133301</v>
      </c>
      <c r="U1513">
        <v>10</v>
      </c>
      <c r="Y1513">
        <v>10</v>
      </c>
      <c r="AA1513">
        <v>1</v>
      </c>
      <c r="AC1513" s="3">
        <v>1.25</v>
      </c>
      <c r="AE1513" s="3"/>
      <c r="AF1513" t="s">
        <v>385</v>
      </c>
      <c r="AJ1513" t="s">
        <v>385</v>
      </c>
      <c r="AK1513" s="3"/>
      <c r="AX1513" t="s">
        <v>969</v>
      </c>
      <c r="BB1513" t="s">
        <v>810</v>
      </c>
      <c r="BG1513">
        <v>6</v>
      </c>
      <c r="BI1513">
        <v>3</v>
      </c>
      <c r="BK1513" s="4">
        <v>2009</v>
      </c>
      <c r="BL1513" t="s">
        <v>811</v>
      </c>
      <c r="BM1513" s="4">
        <v>2374</v>
      </c>
      <c r="BR1513">
        <v>677163</v>
      </c>
      <c r="BS1513" t="s">
        <v>2368</v>
      </c>
      <c r="BW1513" t="s">
        <v>802</v>
      </c>
      <c r="BX1513">
        <v>2.37</v>
      </c>
      <c r="BZ1513">
        <v>0.87</v>
      </c>
      <c r="CK1513" t="s">
        <v>360</v>
      </c>
      <c r="CM1513">
        <v>1911</v>
      </c>
    </row>
    <row r="1514" spans="1:91" x14ac:dyDescent="0.3">
      <c r="A1514" t="s">
        <v>2367</v>
      </c>
      <c r="B1514">
        <v>41613</v>
      </c>
      <c r="C1514" t="s">
        <v>1754</v>
      </c>
      <c r="D1514">
        <v>12</v>
      </c>
      <c r="I1514">
        <v>161437</v>
      </c>
      <c r="U1514">
        <v>10</v>
      </c>
      <c r="Y1514">
        <v>10</v>
      </c>
      <c r="AA1514">
        <v>4.12</v>
      </c>
      <c r="AC1514" s="3">
        <v>4.12</v>
      </c>
      <c r="AE1514" s="3"/>
      <c r="AF1514" t="s">
        <v>385</v>
      </c>
      <c r="AJ1514" t="s">
        <v>385</v>
      </c>
      <c r="AK1514" s="3"/>
      <c r="AX1514" t="s">
        <v>815</v>
      </c>
      <c r="AZ1514" t="s">
        <v>815</v>
      </c>
      <c r="BB1514" t="s">
        <v>2369</v>
      </c>
      <c r="BG1514">
        <v>3</v>
      </c>
      <c r="BH1514">
        <v>1.5</v>
      </c>
      <c r="BI1514">
        <v>1.5</v>
      </c>
      <c r="BK1514" s="4">
        <v>3320</v>
      </c>
      <c r="BL1514" s="4">
        <v>3835</v>
      </c>
      <c r="BM1514" s="4">
        <v>4200</v>
      </c>
      <c r="BR1514">
        <v>677163</v>
      </c>
      <c r="BS1514" t="s">
        <v>2368</v>
      </c>
      <c r="BW1514" t="s">
        <v>385</v>
      </c>
      <c r="BX1514">
        <v>5.25</v>
      </c>
      <c r="BZ1514">
        <v>3.31</v>
      </c>
      <c r="CM1514">
        <v>1911</v>
      </c>
    </row>
    <row r="1515" spans="1:91" x14ac:dyDescent="0.3">
      <c r="A1515" t="s">
        <v>2367</v>
      </c>
      <c r="B1515">
        <v>41614</v>
      </c>
      <c r="C1515" t="s">
        <v>2370</v>
      </c>
      <c r="D1515">
        <v>12</v>
      </c>
      <c r="I1515" s="2">
        <v>1464240</v>
      </c>
      <c r="J1515" t="s">
        <v>800</v>
      </c>
      <c r="V1515" t="s">
        <v>350</v>
      </c>
      <c r="Y1515">
        <v>100</v>
      </c>
      <c r="AA1515">
        <v>94.5</v>
      </c>
      <c r="AC1515" s="3">
        <v>95</v>
      </c>
      <c r="AE1515" s="3">
        <v>93</v>
      </c>
      <c r="AI1515">
        <v>94.5</v>
      </c>
      <c r="AK1515" s="3"/>
      <c r="AV1515" t="s">
        <v>536</v>
      </c>
      <c r="AX1515" t="s">
        <v>536</v>
      </c>
      <c r="AZ1515" t="s">
        <v>536</v>
      </c>
      <c r="BB1515" t="s">
        <v>536</v>
      </c>
      <c r="BO1515" t="s">
        <v>367</v>
      </c>
      <c r="BR1515">
        <v>677163</v>
      </c>
      <c r="BS1515" t="s">
        <v>2368</v>
      </c>
      <c r="BT1515">
        <v>5</v>
      </c>
      <c r="BU1515">
        <v>7</v>
      </c>
      <c r="BV1515">
        <v>6</v>
      </c>
      <c r="BX1515">
        <v>97.5</v>
      </c>
      <c r="BZ1515">
        <v>90.5</v>
      </c>
      <c r="CM1515">
        <v>1911</v>
      </c>
    </row>
    <row r="1516" spans="1:91" x14ac:dyDescent="0.3">
      <c r="A1516" t="s">
        <v>2367</v>
      </c>
      <c r="B1516">
        <v>41616</v>
      </c>
      <c r="C1516" t="s">
        <v>2371</v>
      </c>
      <c r="D1516">
        <v>12</v>
      </c>
      <c r="I1516">
        <v>439596</v>
      </c>
      <c r="J1516" t="s">
        <v>800</v>
      </c>
      <c r="V1516" t="s">
        <v>350</v>
      </c>
      <c r="Y1516">
        <v>100</v>
      </c>
      <c r="AA1516">
        <v>80</v>
      </c>
      <c r="AC1516" s="3">
        <v>81</v>
      </c>
      <c r="AE1516" s="3">
        <v>80</v>
      </c>
      <c r="AI1516">
        <v>81</v>
      </c>
      <c r="AK1516" s="3"/>
      <c r="AV1516" t="s">
        <v>366</v>
      </c>
      <c r="AX1516" t="s">
        <v>366</v>
      </c>
      <c r="AZ1516" t="s">
        <v>366</v>
      </c>
      <c r="BB1516" t="s">
        <v>366</v>
      </c>
      <c r="BO1516" t="s">
        <v>367</v>
      </c>
      <c r="BR1516">
        <v>677163</v>
      </c>
      <c r="BS1516" t="s">
        <v>2368</v>
      </c>
      <c r="BT1516">
        <v>5</v>
      </c>
      <c r="BU1516">
        <v>11</v>
      </c>
      <c r="BV1516">
        <v>0</v>
      </c>
      <c r="BX1516">
        <v>82.5</v>
      </c>
      <c r="BZ1516">
        <v>74.5</v>
      </c>
      <c r="CM1516">
        <v>1911</v>
      </c>
    </row>
    <row r="1517" spans="1:91" x14ac:dyDescent="0.3">
      <c r="A1517" t="s">
        <v>2372</v>
      </c>
      <c r="B1517">
        <v>41970</v>
      </c>
      <c r="D1517">
        <v>12</v>
      </c>
      <c r="I1517">
        <v>137610</v>
      </c>
      <c r="U1517">
        <v>5</v>
      </c>
      <c r="Y1517">
        <v>5</v>
      </c>
      <c r="AA1517">
        <v>5.87</v>
      </c>
      <c r="AC1517" s="3">
        <v>5.93</v>
      </c>
      <c r="AE1517" s="3">
        <v>5.12</v>
      </c>
      <c r="AI1517">
        <v>5.5</v>
      </c>
      <c r="AK1517" s="3"/>
      <c r="AX1517" t="s">
        <v>823</v>
      </c>
      <c r="BB1517" t="s">
        <v>823</v>
      </c>
      <c r="BG1517">
        <v>5</v>
      </c>
      <c r="BH1517">
        <v>5</v>
      </c>
      <c r="BI1517">
        <v>7</v>
      </c>
      <c r="BJ1517">
        <v>5</v>
      </c>
      <c r="BK1517" s="4">
        <v>3744</v>
      </c>
      <c r="BL1517" s="4">
        <v>3927</v>
      </c>
      <c r="BM1517" s="4">
        <v>4109</v>
      </c>
      <c r="BN1517" s="4">
        <v>4292</v>
      </c>
      <c r="BR1517">
        <v>61265</v>
      </c>
      <c r="BS1517" t="s">
        <v>2373</v>
      </c>
      <c r="BT1517">
        <v>5</v>
      </c>
      <c r="BU1517">
        <v>9</v>
      </c>
      <c r="BV1517">
        <v>0</v>
      </c>
      <c r="BX1517">
        <v>6.25</v>
      </c>
      <c r="BZ1517">
        <v>4.75</v>
      </c>
      <c r="CK1517" t="s">
        <v>360</v>
      </c>
      <c r="CM1517">
        <v>1911</v>
      </c>
    </row>
    <row r="1518" spans="1:91" x14ac:dyDescent="0.3">
      <c r="A1518" t="s">
        <v>2372</v>
      </c>
      <c r="B1518">
        <v>41972</v>
      </c>
      <c r="C1518" t="s">
        <v>2102</v>
      </c>
      <c r="D1518">
        <v>12</v>
      </c>
      <c r="I1518">
        <v>47295</v>
      </c>
      <c r="U1518">
        <v>5</v>
      </c>
      <c r="Y1518">
        <v>5</v>
      </c>
      <c r="AA1518">
        <v>5.12</v>
      </c>
      <c r="AC1518" s="3">
        <v>5.15</v>
      </c>
      <c r="AE1518" s="3">
        <v>5</v>
      </c>
      <c r="AI1518">
        <v>5</v>
      </c>
      <c r="AJ1518" t="s">
        <v>379</v>
      </c>
      <c r="AK1518" s="3"/>
      <c r="AV1518" t="s">
        <v>370</v>
      </c>
      <c r="AX1518" t="s">
        <v>370</v>
      </c>
      <c r="AZ1518" t="s">
        <v>370</v>
      </c>
      <c r="BB1518" t="s">
        <v>370</v>
      </c>
      <c r="BO1518" t="s">
        <v>367</v>
      </c>
      <c r="BR1518">
        <v>61265</v>
      </c>
      <c r="BS1518" t="s">
        <v>2373</v>
      </c>
      <c r="BT1518">
        <v>5</v>
      </c>
      <c r="BU1518">
        <v>0</v>
      </c>
      <c r="BV1518">
        <v>0</v>
      </c>
      <c r="BX1518">
        <v>5.68</v>
      </c>
      <c r="BZ1518">
        <v>4.87</v>
      </c>
      <c r="CM1518">
        <v>1911</v>
      </c>
    </row>
    <row r="1519" spans="1:91" x14ac:dyDescent="0.3">
      <c r="A1519" t="s">
        <v>2372</v>
      </c>
      <c r="B1519">
        <v>41971</v>
      </c>
      <c r="C1519" t="s">
        <v>2060</v>
      </c>
      <c r="D1519">
        <v>12</v>
      </c>
      <c r="I1519">
        <v>350000</v>
      </c>
      <c r="J1519" t="s">
        <v>800</v>
      </c>
      <c r="V1519" t="s">
        <v>350</v>
      </c>
      <c r="Y1519">
        <v>100</v>
      </c>
      <c r="AA1519">
        <v>103.5</v>
      </c>
      <c r="AC1519" s="3">
        <v>104.25</v>
      </c>
      <c r="AE1519" s="3">
        <v>101.5</v>
      </c>
      <c r="AI1519">
        <v>101.5</v>
      </c>
      <c r="AJ1519" t="s">
        <v>379</v>
      </c>
      <c r="AK1519" s="3"/>
      <c r="AV1519" t="s">
        <v>370</v>
      </c>
      <c r="AX1519" t="s">
        <v>370</v>
      </c>
      <c r="AZ1519" t="s">
        <v>370</v>
      </c>
      <c r="BB1519" t="s">
        <v>370</v>
      </c>
      <c r="BO1519" t="s">
        <v>367</v>
      </c>
      <c r="BR1519">
        <v>61265</v>
      </c>
      <c r="BS1519" t="s">
        <v>2373</v>
      </c>
      <c r="BT1519">
        <v>4</v>
      </c>
      <c r="BU1519">
        <v>8</v>
      </c>
      <c r="BV1519">
        <v>9</v>
      </c>
      <c r="BX1519">
        <v>104.25</v>
      </c>
      <c r="BZ1519">
        <v>97</v>
      </c>
      <c r="CM1519">
        <v>1911</v>
      </c>
    </row>
    <row r="1520" spans="1:91" x14ac:dyDescent="0.3">
      <c r="A1520" t="s">
        <v>2374</v>
      </c>
      <c r="B1520">
        <v>42110</v>
      </c>
      <c r="D1520">
        <v>12</v>
      </c>
      <c r="I1520">
        <v>491222</v>
      </c>
      <c r="U1520">
        <v>1</v>
      </c>
      <c r="Y1520">
        <v>1</v>
      </c>
      <c r="AA1520">
        <v>0.53</v>
      </c>
      <c r="AC1520" s="3">
        <v>0.56000000000000005</v>
      </c>
      <c r="AE1520" s="3">
        <v>0.34</v>
      </c>
      <c r="AI1520">
        <v>0.34</v>
      </c>
      <c r="AK1520" s="3"/>
      <c r="AV1520" t="s">
        <v>823</v>
      </c>
      <c r="AZ1520" t="s">
        <v>969</v>
      </c>
      <c r="BB1520" t="s">
        <v>815</v>
      </c>
      <c r="BG1520">
        <v>5</v>
      </c>
      <c r="BH1520">
        <v>5</v>
      </c>
      <c r="BJ1520">
        <v>2.5</v>
      </c>
      <c r="BK1520" s="4">
        <v>1859</v>
      </c>
      <c r="BL1520" s="4">
        <v>2040</v>
      </c>
      <c r="BM1520" t="s">
        <v>811</v>
      </c>
      <c r="BN1520" s="4">
        <v>4323</v>
      </c>
      <c r="BR1520">
        <v>261944</v>
      </c>
      <c r="BT1520">
        <v>4</v>
      </c>
      <c r="BU1520">
        <v>14</v>
      </c>
      <c r="BV1520">
        <v>6</v>
      </c>
      <c r="BX1520">
        <v>0.71</v>
      </c>
      <c r="BZ1520">
        <v>0.46</v>
      </c>
      <c r="CK1520" t="s">
        <v>360</v>
      </c>
      <c r="CM1520">
        <v>1911</v>
      </c>
    </row>
    <row r="1521" spans="1:91" x14ac:dyDescent="0.3">
      <c r="A1521" t="s">
        <v>2375</v>
      </c>
      <c r="B1521">
        <v>42169</v>
      </c>
      <c r="D1521">
        <v>12</v>
      </c>
      <c r="I1521">
        <v>15000</v>
      </c>
      <c r="U1521">
        <v>10</v>
      </c>
      <c r="Y1521">
        <v>10</v>
      </c>
      <c r="AA1521">
        <v>3.5</v>
      </c>
      <c r="AC1521" s="3">
        <v>3.75</v>
      </c>
      <c r="AE1521" s="3">
        <v>3.5</v>
      </c>
      <c r="AI1521">
        <v>3.5</v>
      </c>
      <c r="AK1521" s="3"/>
      <c r="AV1521" t="s">
        <v>823</v>
      </c>
      <c r="AZ1521" t="s">
        <v>969</v>
      </c>
      <c r="BB1521" t="s">
        <v>815</v>
      </c>
      <c r="BG1521">
        <v>6</v>
      </c>
      <c r="BH1521">
        <v>4</v>
      </c>
      <c r="BJ1521">
        <v>2.5</v>
      </c>
      <c r="BK1521" s="4">
        <v>2770</v>
      </c>
      <c r="BL1521" s="4">
        <v>3044</v>
      </c>
      <c r="BM1521" t="s">
        <v>811</v>
      </c>
      <c r="BN1521" s="4">
        <v>4139</v>
      </c>
      <c r="BR1521">
        <v>7131</v>
      </c>
      <c r="BT1521">
        <v>7</v>
      </c>
      <c r="BU1521">
        <v>2</v>
      </c>
      <c r="BV1521">
        <v>9</v>
      </c>
      <c r="BX1521">
        <v>4</v>
      </c>
      <c r="BZ1521">
        <v>3.25</v>
      </c>
      <c r="CK1521" t="s">
        <v>360</v>
      </c>
      <c r="CM1521">
        <v>1911</v>
      </c>
    </row>
    <row r="1522" spans="1:91" x14ac:dyDescent="0.3">
      <c r="A1522" t="s">
        <v>2376</v>
      </c>
      <c r="B1522">
        <v>42476</v>
      </c>
      <c r="D1522">
        <v>12</v>
      </c>
      <c r="I1522">
        <v>40000</v>
      </c>
      <c r="U1522">
        <v>5</v>
      </c>
      <c r="Y1522">
        <v>5</v>
      </c>
      <c r="AA1522">
        <v>4.87</v>
      </c>
      <c r="AC1522" s="3">
        <v>4.87</v>
      </c>
      <c r="AE1522" s="3">
        <v>4.87</v>
      </c>
      <c r="AI1522">
        <v>4.87</v>
      </c>
      <c r="AK1522" s="3"/>
      <c r="BG1522">
        <v>5</v>
      </c>
      <c r="BH1522">
        <v>5</v>
      </c>
      <c r="BI1522">
        <v>5</v>
      </c>
      <c r="BJ1522">
        <v>5</v>
      </c>
      <c r="BK1522" s="4">
        <v>3562</v>
      </c>
      <c r="BL1522" s="4">
        <v>3744</v>
      </c>
      <c r="BM1522" s="4">
        <v>3927</v>
      </c>
      <c r="BN1522" s="4">
        <v>4109</v>
      </c>
      <c r="BR1522">
        <v>502446</v>
      </c>
      <c r="BS1522" t="s">
        <v>2377</v>
      </c>
      <c r="BT1522">
        <v>5</v>
      </c>
      <c r="BU1522">
        <v>2</v>
      </c>
      <c r="BV1522">
        <v>6</v>
      </c>
      <c r="BX1522">
        <v>5.12</v>
      </c>
      <c r="BZ1522">
        <v>4.5</v>
      </c>
      <c r="CK1522" t="s">
        <v>360</v>
      </c>
      <c r="CM1522">
        <v>1911</v>
      </c>
    </row>
    <row r="1523" spans="1:91" x14ac:dyDescent="0.3">
      <c r="A1523" t="s">
        <v>2378</v>
      </c>
      <c r="B1523">
        <v>42474</v>
      </c>
      <c r="C1523" t="s">
        <v>2379</v>
      </c>
      <c r="D1523">
        <v>12</v>
      </c>
      <c r="I1523">
        <v>300000</v>
      </c>
      <c r="J1523" t="s">
        <v>800</v>
      </c>
      <c r="U1523">
        <v>100</v>
      </c>
      <c r="Y1523">
        <v>100</v>
      </c>
      <c r="AA1523">
        <v>98.5</v>
      </c>
      <c r="AC1523" s="3">
        <v>98.5</v>
      </c>
      <c r="AE1523" s="3">
        <v>98.5</v>
      </c>
      <c r="AI1523">
        <v>98.5</v>
      </c>
      <c r="AK1523" s="3"/>
      <c r="AV1523" t="s">
        <v>536</v>
      </c>
      <c r="AX1523" t="s">
        <v>536</v>
      </c>
      <c r="AZ1523" t="s">
        <v>536</v>
      </c>
      <c r="BB1523" t="s">
        <v>536</v>
      </c>
      <c r="BO1523" t="s">
        <v>367</v>
      </c>
      <c r="BR1523">
        <v>502446</v>
      </c>
      <c r="BS1523" t="s">
        <v>2377</v>
      </c>
      <c r="BT1523">
        <v>4</v>
      </c>
      <c r="BU1523">
        <v>2</v>
      </c>
      <c r="BV1523">
        <v>9</v>
      </c>
      <c r="BX1523">
        <v>101</v>
      </c>
      <c r="BZ1523">
        <v>98</v>
      </c>
      <c r="CM1523">
        <v>1911</v>
      </c>
    </row>
    <row r="1524" spans="1:91" x14ac:dyDescent="0.3">
      <c r="A1524" t="s">
        <v>2380</v>
      </c>
      <c r="B1524">
        <v>42398</v>
      </c>
      <c r="D1524">
        <v>12</v>
      </c>
      <c r="I1524">
        <v>248000</v>
      </c>
      <c r="U1524">
        <v>5</v>
      </c>
      <c r="Y1524">
        <v>5</v>
      </c>
      <c r="AA1524">
        <v>5.75</v>
      </c>
      <c r="AC1524" s="3">
        <v>5.71</v>
      </c>
      <c r="AE1524" s="3">
        <v>5.68</v>
      </c>
      <c r="AI1524">
        <v>5.75</v>
      </c>
      <c r="AK1524" s="3"/>
      <c r="AV1524" t="s">
        <v>823</v>
      </c>
      <c r="AZ1524" t="s">
        <v>823</v>
      </c>
      <c r="BG1524">
        <v>5</v>
      </c>
      <c r="BH1524">
        <v>5</v>
      </c>
      <c r="BI1524">
        <v>5</v>
      </c>
      <c r="BJ1524">
        <v>5</v>
      </c>
      <c r="BK1524" s="4">
        <v>3866</v>
      </c>
      <c r="BL1524" s="4">
        <v>4050</v>
      </c>
      <c r="BM1524" s="4">
        <v>4139</v>
      </c>
      <c r="BN1524" s="4">
        <v>4231</v>
      </c>
      <c r="BR1524">
        <v>28861</v>
      </c>
      <c r="BT1524">
        <v>4</v>
      </c>
      <c r="BU1524">
        <v>7</v>
      </c>
      <c r="BV1524">
        <v>0</v>
      </c>
      <c r="BX1524">
        <v>5.84</v>
      </c>
      <c r="BZ1524">
        <v>5.56</v>
      </c>
      <c r="CK1524" t="s">
        <v>360</v>
      </c>
      <c r="CM1524">
        <v>1911</v>
      </c>
    </row>
    <row r="1525" spans="1:91" x14ac:dyDescent="0.3">
      <c r="A1525" t="s">
        <v>2381</v>
      </c>
      <c r="B1525">
        <v>43293</v>
      </c>
      <c r="D1525">
        <v>12</v>
      </c>
      <c r="I1525">
        <v>66000</v>
      </c>
      <c r="U1525">
        <v>10</v>
      </c>
      <c r="Y1525">
        <v>10</v>
      </c>
      <c r="AA1525">
        <v>11.81</v>
      </c>
      <c r="AC1525" s="3">
        <v>12</v>
      </c>
      <c r="AE1525" s="3">
        <v>11.56</v>
      </c>
      <c r="AI1525">
        <v>12</v>
      </c>
      <c r="AK1525" s="3"/>
      <c r="BG1525">
        <v>6</v>
      </c>
      <c r="BH1525">
        <v>6</v>
      </c>
      <c r="BI1525">
        <v>6</v>
      </c>
      <c r="BJ1525">
        <v>6</v>
      </c>
      <c r="BK1525" s="4">
        <v>3685</v>
      </c>
      <c r="BL1525" s="4">
        <v>3866</v>
      </c>
      <c r="BM1525" s="4">
        <v>4050</v>
      </c>
      <c r="BN1525" s="4">
        <v>4231</v>
      </c>
      <c r="BR1525">
        <v>70243</v>
      </c>
      <c r="BS1525" t="s">
        <v>2382</v>
      </c>
      <c r="BT1525">
        <v>5</v>
      </c>
      <c r="BU1525">
        <v>0</v>
      </c>
      <c r="BV1525">
        <v>0</v>
      </c>
      <c r="BX1525">
        <v>12</v>
      </c>
      <c r="BZ1525">
        <v>11</v>
      </c>
      <c r="CK1525" t="s">
        <v>443</v>
      </c>
      <c r="CM1525">
        <v>1911</v>
      </c>
    </row>
    <row r="1526" spans="1:91" x14ac:dyDescent="0.3">
      <c r="A1526" t="s">
        <v>2381</v>
      </c>
      <c r="B1526">
        <v>43294</v>
      </c>
      <c r="C1526" t="s">
        <v>902</v>
      </c>
      <c r="D1526">
        <v>12</v>
      </c>
      <c r="I1526">
        <v>60000</v>
      </c>
      <c r="U1526">
        <v>10</v>
      </c>
      <c r="Y1526">
        <v>10</v>
      </c>
      <c r="AA1526">
        <v>12.62</v>
      </c>
      <c r="AC1526" s="3">
        <v>12.81</v>
      </c>
      <c r="AE1526" s="3">
        <v>12.5</v>
      </c>
      <c r="AI1526">
        <v>12.81</v>
      </c>
      <c r="AK1526" s="3"/>
      <c r="AV1526" t="s">
        <v>506</v>
      </c>
      <c r="AX1526" t="s">
        <v>506</v>
      </c>
      <c r="AZ1526" t="s">
        <v>506</v>
      </c>
      <c r="BB1526" t="s">
        <v>506</v>
      </c>
      <c r="BO1526" t="s">
        <v>367</v>
      </c>
      <c r="BR1526">
        <v>70243</v>
      </c>
      <c r="BS1526" t="s">
        <v>2382</v>
      </c>
      <c r="BT1526">
        <v>4</v>
      </c>
      <c r="BU1526">
        <v>13</v>
      </c>
      <c r="BV1526">
        <v>9</v>
      </c>
      <c r="BX1526">
        <v>13.25</v>
      </c>
      <c r="BZ1526">
        <v>12</v>
      </c>
      <c r="CM1526">
        <v>1911</v>
      </c>
    </row>
    <row r="1527" spans="1:91" x14ac:dyDescent="0.3">
      <c r="A1527" t="s">
        <v>2381</v>
      </c>
      <c r="B1527">
        <v>43295</v>
      </c>
      <c r="C1527" t="s">
        <v>665</v>
      </c>
      <c r="D1527">
        <v>12</v>
      </c>
      <c r="I1527">
        <v>300000</v>
      </c>
      <c r="J1527" t="s">
        <v>800</v>
      </c>
      <c r="U1527">
        <v>100</v>
      </c>
      <c r="Y1527">
        <v>100</v>
      </c>
      <c r="AA1527">
        <v>90</v>
      </c>
      <c r="AC1527" s="3">
        <v>90</v>
      </c>
      <c r="AE1527" s="3">
        <v>85.25</v>
      </c>
      <c r="AI1527">
        <v>85.25</v>
      </c>
      <c r="AK1527" s="3"/>
      <c r="AV1527" t="s">
        <v>536</v>
      </c>
      <c r="AX1527" t="s">
        <v>536</v>
      </c>
      <c r="AZ1527" t="s">
        <v>536</v>
      </c>
      <c r="BB1527" t="s">
        <v>536</v>
      </c>
      <c r="BO1527" t="s">
        <v>367</v>
      </c>
      <c r="BR1527">
        <v>70243</v>
      </c>
      <c r="BS1527" t="s">
        <v>2382</v>
      </c>
      <c r="BT1527">
        <v>4</v>
      </c>
      <c r="BU1527">
        <v>2</v>
      </c>
      <c r="BV1527">
        <v>3</v>
      </c>
      <c r="BX1527">
        <v>91</v>
      </c>
      <c r="BZ1527">
        <v>85</v>
      </c>
      <c r="CM1527">
        <v>1911</v>
      </c>
    </row>
    <row r="1528" spans="1:91" x14ac:dyDescent="0.3">
      <c r="A1528" t="s">
        <v>2383</v>
      </c>
      <c r="B1528">
        <v>44067</v>
      </c>
      <c r="D1528">
        <v>12</v>
      </c>
      <c r="I1528">
        <v>204236</v>
      </c>
      <c r="U1528">
        <v>4</v>
      </c>
      <c r="Y1528">
        <v>4</v>
      </c>
      <c r="AA1528">
        <v>1.62</v>
      </c>
      <c r="AC1528" s="3">
        <v>1.62</v>
      </c>
      <c r="AE1528" s="3">
        <v>1.25</v>
      </c>
      <c r="AI1528">
        <v>1.5</v>
      </c>
      <c r="AK1528" s="3"/>
      <c r="BG1528">
        <v>7</v>
      </c>
      <c r="BH1528">
        <v>7</v>
      </c>
      <c r="BI1528">
        <v>7</v>
      </c>
      <c r="BJ1528">
        <v>7</v>
      </c>
      <c r="BK1528" s="4">
        <v>3409</v>
      </c>
      <c r="BL1528" s="4">
        <v>3532</v>
      </c>
      <c r="BM1528" s="4">
        <v>3654</v>
      </c>
      <c r="BN1528" s="4">
        <v>4019</v>
      </c>
      <c r="BR1528">
        <v>112676</v>
      </c>
      <c r="BS1528" t="s">
        <v>2384</v>
      </c>
      <c r="BT1528">
        <v>18</v>
      </c>
      <c r="BU1528">
        <v>18</v>
      </c>
      <c r="BV1528">
        <v>3</v>
      </c>
      <c r="BX1528">
        <v>2.62</v>
      </c>
      <c r="BZ1528">
        <v>1.25</v>
      </c>
      <c r="CK1528" t="s">
        <v>360</v>
      </c>
      <c r="CM1528">
        <v>1911</v>
      </c>
    </row>
    <row r="1529" spans="1:91" x14ac:dyDescent="0.3">
      <c r="A1529" t="s">
        <v>2385</v>
      </c>
      <c r="B1529">
        <v>44068</v>
      </c>
      <c r="C1529" t="s">
        <v>2386</v>
      </c>
      <c r="D1529">
        <v>12</v>
      </c>
      <c r="I1529">
        <v>266640</v>
      </c>
      <c r="J1529" t="s">
        <v>800</v>
      </c>
      <c r="U1529">
        <v>20</v>
      </c>
      <c r="Y1529">
        <v>100</v>
      </c>
      <c r="Z1529" t="s">
        <v>615</v>
      </c>
      <c r="AA1529">
        <v>92.5</v>
      </c>
      <c r="AC1529" s="3">
        <v>96.5</v>
      </c>
      <c r="AE1529" s="3">
        <v>91</v>
      </c>
      <c r="AI1529">
        <v>96.5</v>
      </c>
      <c r="AK1529" s="3"/>
      <c r="AV1529" t="s">
        <v>370</v>
      </c>
      <c r="AX1529" t="s">
        <v>370</v>
      </c>
      <c r="AZ1529" t="s">
        <v>370</v>
      </c>
      <c r="BB1529" t="s">
        <v>370</v>
      </c>
      <c r="BO1529" t="s">
        <v>367</v>
      </c>
      <c r="BR1529">
        <v>112676</v>
      </c>
      <c r="BS1529" t="s">
        <v>2384</v>
      </c>
      <c r="BT1529">
        <v>5</v>
      </c>
      <c r="BU1529">
        <v>6</v>
      </c>
      <c r="BV1529">
        <v>6</v>
      </c>
      <c r="BX1529">
        <v>98.5</v>
      </c>
      <c r="BZ1529">
        <v>90.5</v>
      </c>
      <c r="CM1529">
        <v>1911</v>
      </c>
    </row>
    <row r="1530" spans="1:91" x14ac:dyDescent="0.3">
      <c r="A1530" t="s">
        <v>177</v>
      </c>
      <c r="B1530">
        <v>45536</v>
      </c>
      <c r="D1530">
        <v>12</v>
      </c>
      <c r="I1530">
        <v>634026</v>
      </c>
      <c r="U1530">
        <v>1</v>
      </c>
      <c r="Y1530">
        <v>1</v>
      </c>
      <c r="AA1530">
        <v>1.1200000000000001</v>
      </c>
      <c r="AC1530" s="3">
        <v>1.1200000000000001</v>
      </c>
      <c r="AE1530" s="3">
        <v>1.1200000000000001</v>
      </c>
      <c r="AI1530">
        <v>1.1200000000000001</v>
      </c>
      <c r="AK1530" s="3"/>
      <c r="AX1530" t="s">
        <v>823</v>
      </c>
      <c r="BB1530" t="s">
        <v>823</v>
      </c>
      <c r="BG1530">
        <v>6</v>
      </c>
      <c r="BH1530">
        <v>6</v>
      </c>
      <c r="BI1530">
        <v>5</v>
      </c>
      <c r="BJ1530">
        <v>6</v>
      </c>
      <c r="BK1530" s="4">
        <v>3774</v>
      </c>
      <c r="BL1530" s="4">
        <v>3866</v>
      </c>
      <c r="BM1530" s="4">
        <v>4170</v>
      </c>
      <c r="BN1530" s="4">
        <v>4323</v>
      </c>
      <c r="BR1530">
        <v>79023</v>
      </c>
      <c r="BS1530" t="s">
        <v>2387</v>
      </c>
      <c r="BT1530">
        <v>4</v>
      </c>
      <c r="BU1530">
        <v>17</v>
      </c>
      <c r="BV1530">
        <v>9</v>
      </c>
      <c r="BX1530">
        <v>1.1200000000000001</v>
      </c>
      <c r="BZ1530">
        <v>1.03</v>
      </c>
      <c r="CK1530" t="s">
        <v>360</v>
      </c>
      <c r="CM1530">
        <v>1911</v>
      </c>
    </row>
    <row r="1531" spans="1:91" x14ac:dyDescent="0.3">
      <c r="A1531" t="s">
        <v>177</v>
      </c>
      <c r="B1531">
        <v>45538</v>
      </c>
      <c r="C1531" t="s">
        <v>844</v>
      </c>
      <c r="D1531">
        <v>12</v>
      </c>
      <c r="I1531">
        <v>425553</v>
      </c>
      <c r="U1531">
        <v>1</v>
      </c>
      <c r="Y1531">
        <v>1</v>
      </c>
      <c r="AA1531">
        <v>1.1200000000000001</v>
      </c>
      <c r="AC1531" s="3">
        <v>1.1200000000000001</v>
      </c>
      <c r="AE1531" s="3">
        <v>1.1200000000000001</v>
      </c>
      <c r="AI1531">
        <v>1.1200000000000001</v>
      </c>
      <c r="AJ1531" t="s">
        <v>379</v>
      </c>
      <c r="AK1531" s="3"/>
      <c r="AV1531" t="s">
        <v>370</v>
      </c>
      <c r="AX1531" t="s">
        <v>370</v>
      </c>
      <c r="AZ1531" t="s">
        <v>370</v>
      </c>
      <c r="BB1531" t="s">
        <v>370</v>
      </c>
      <c r="BO1531" t="s">
        <v>367</v>
      </c>
      <c r="BR1531">
        <v>79023</v>
      </c>
      <c r="BS1531" t="s">
        <v>2387</v>
      </c>
      <c r="BT1531">
        <v>5</v>
      </c>
      <c r="BU1531">
        <v>6</v>
      </c>
      <c r="BV1531">
        <v>9</v>
      </c>
      <c r="BX1531">
        <v>1.1200000000000001</v>
      </c>
      <c r="BZ1531">
        <v>1.03</v>
      </c>
      <c r="CM1531">
        <v>1911</v>
      </c>
    </row>
    <row r="1532" spans="1:91" x14ac:dyDescent="0.3">
      <c r="A1532" t="s">
        <v>177</v>
      </c>
      <c r="B1532">
        <v>45537</v>
      </c>
      <c r="C1532" t="s">
        <v>2345</v>
      </c>
      <c r="D1532">
        <v>12</v>
      </c>
      <c r="I1532">
        <v>498100</v>
      </c>
      <c r="J1532" t="s">
        <v>800</v>
      </c>
      <c r="U1532">
        <v>100</v>
      </c>
      <c r="Y1532">
        <v>100</v>
      </c>
      <c r="AA1532">
        <v>98</v>
      </c>
      <c r="AC1532" s="3">
        <v>98</v>
      </c>
      <c r="AE1532" s="3">
        <v>98</v>
      </c>
      <c r="AI1532">
        <v>98</v>
      </c>
      <c r="AK1532" s="3"/>
      <c r="AV1532" t="s">
        <v>370</v>
      </c>
      <c r="AX1532" t="s">
        <v>370</v>
      </c>
      <c r="AZ1532" t="s">
        <v>370</v>
      </c>
      <c r="BB1532" t="s">
        <v>370</v>
      </c>
      <c r="BO1532" t="s">
        <v>367</v>
      </c>
      <c r="BR1532">
        <v>79023</v>
      </c>
      <c r="BS1532" t="s">
        <v>2387</v>
      </c>
      <c r="BT1532">
        <v>5</v>
      </c>
      <c r="BU1532">
        <v>4</v>
      </c>
      <c r="BV1532">
        <v>0</v>
      </c>
      <c r="BX1532">
        <v>101</v>
      </c>
      <c r="BZ1532">
        <v>96.5</v>
      </c>
      <c r="CM1532">
        <v>1911</v>
      </c>
    </row>
    <row r="1533" spans="1:91" x14ac:dyDescent="0.3">
      <c r="A1533" t="s">
        <v>2388</v>
      </c>
      <c r="B1533">
        <v>45652</v>
      </c>
      <c r="D1533">
        <v>12</v>
      </c>
      <c r="I1533" s="2">
        <v>1200700</v>
      </c>
      <c r="J1533" t="s">
        <v>800</v>
      </c>
      <c r="V1533" t="s">
        <v>350</v>
      </c>
      <c r="Y1533">
        <v>100</v>
      </c>
      <c r="AA1533">
        <v>154.5</v>
      </c>
      <c r="AC1533" s="3">
        <v>207.5</v>
      </c>
      <c r="AE1533" s="3">
        <v>150.5</v>
      </c>
      <c r="AI1533">
        <v>196.5</v>
      </c>
      <c r="AJ1533" t="s">
        <v>379</v>
      </c>
      <c r="AK1533" s="3"/>
      <c r="AZ1533" t="s">
        <v>969</v>
      </c>
      <c r="BB1533" t="s">
        <v>815</v>
      </c>
      <c r="BG1533">
        <v>6</v>
      </c>
      <c r="BH1533">
        <v>5</v>
      </c>
      <c r="BJ1533">
        <v>8</v>
      </c>
      <c r="BK1533" s="4">
        <v>2405</v>
      </c>
      <c r="BL1533" s="4">
        <v>2589</v>
      </c>
      <c r="BM1533" t="s">
        <v>811</v>
      </c>
      <c r="BN1533" s="4">
        <v>4353</v>
      </c>
      <c r="BR1533">
        <v>215566</v>
      </c>
      <c r="BS1533" t="s">
        <v>2389</v>
      </c>
      <c r="BT1533">
        <v>4</v>
      </c>
      <c r="BU1533">
        <v>1</v>
      </c>
      <c r="BV1533">
        <v>6</v>
      </c>
      <c r="BX1533">
        <v>207.5</v>
      </c>
      <c r="BZ1533">
        <v>69</v>
      </c>
      <c r="CK1533" t="s">
        <v>360</v>
      </c>
      <c r="CM1533">
        <v>1911</v>
      </c>
    </row>
    <row r="1534" spans="1:91" x14ac:dyDescent="0.3">
      <c r="A1534" t="s">
        <v>2390</v>
      </c>
      <c r="B1534">
        <v>51122</v>
      </c>
      <c r="C1534" t="s">
        <v>817</v>
      </c>
      <c r="D1534">
        <v>12</v>
      </c>
      <c r="I1534">
        <v>39168</v>
      </c>
      <c r="U1534">
        <v>10</v>
      </c>
      <c r="Y1534">
        <v>10</v>
      </c>
      <c r="AA1534">
        <v>9.5</v>
      </c>
      <c r="AC1534" s="3">
        <v>9.8699999999999992</v>
      </c>
      <c r="AE1534" s="3">
        <v>9.25</v>
      </c>
      <c r="AI1534">
        <v>9.6199999999999992</v>
      </c>
      <c r="AJ1534" t="s">
        <v>379</v>
      </c>
      <c r="AK1534" s="3"/>
      <c r="AV1534" t="s">
        <v>370</v>
      </c>
      <c r="AX1534" t="s">
        <v>370</v>
      </c>
      <c r="AZ1534" t="s">
        <v>370</v>
      </c>
      <c r="BB1534" t="s">
        <v>370</v>
      </c>
      <c r="BO1534" t="s">
        <v>367</v>
      </c>
      <c r="BR1534">
        <v>215566</v>
      </c>
      <c r="BS1534" t="s">
        <v>2389</v>
      </c>
      <c r="BT1534">
        <v>5</v>
      </c>
      <c r="BU1534">
        <v>4</v>
      </c>
      <c r="BV1534">
        <v>0</v>
      </c>
      <c r="BX1534">
        <v>9.8699999999999992</v>
      </c>
      <c r="BZ1534">
        <v>7.5</v>
      </c>
      <c r="CM1534">
        <v>1911</v>
      </c>
    </row>
    <row r="1535" spans="1:91" x14ac:dyDescent="0.3">
      <c r="A1535" t="s">
        <v>2390</v>
      </c>
      <c r="B1535">
        <v>45653</v>
      </c>
      <c r="C1535" t="s">
        <v>684</v>
      </c>
      <c r="D1535">
        <v>12</v>
      </c>
      <c r="I1535">
        <v>300000</v>
      </c>
      <c r="J1535" t="s">
        <v>800</v>
      </c>
      <c r="U1535">
        <v>100</v>
      </c>
      <c r="Y1535">
        <v>100</v>
      </c>
      <c r="AA1535">
        <v>94.5</v>
      </c>
      <c r="AC1535" s="3">
        <v>94.5</v>
      </c>
      <c r="AE1535" s="3">
        <v>93.25</v>
      </c>
      <c r="AI1535">
        <v>94.5</v>
      </c>
      <c r="AK1535" s="3"/>
      <c r="AV1535" t="s">
        <v>536</v>
      </c>
      <c r="AX1535" t="s">
        <v>536</v>
      </c>
      <c r="AZ1535" t="s">
        <v>536</v>
      </c>
      <c r="BB1535" t="s">
        <v>536</v>
      </c>
      <c r="BO1535" t="s">
        <v>367</v>
      </c>
      <c r="BR1535">
        <v>215566</v>
      </c>
      <c r="BS1535" t="s">
        <v>2389</v>
      </c>
      <c r="BT1535">
        <v>4</v>
      </c>
      <c r="BU1535">
        <v>5</v>
      </c>
      <c r="BV1535">
        <v>3</v>
      </c>
      <c r="BX1535">
        <v>95</v>
      </c>
      <c r="BZ1535">
        <v>90</v>
      </c>
      <c r="CM1535">
        <v>1911</v>
      </c>
    </row>
    <row r="1536" spans="1:91" x14ac:dyDescent="0.3">
      <c r="A1536" t="s">
        <v>2388</v>
      </c>
      <c r="B1536">
        <v>45655</v>
      </c>
      <c r="C1536" t="s">
        <v>2391</v>
      </c>
      <c r="D1536">
        <v>12</v>
      </c>
      <c r="I1536">
        <v>150000</v>
      </c>
      <c r="J1536" t="s">
        <v>800</v>
      </c>
      <c r="V1536" t="s">
        <v>350</v>
      </c>
      <c r="Y1536">
        <v>100</v>
      </c>
      <c r="AA1536">
        <v>101.5</v>
      </c>
      <c r="AC1536" s="3">
        <v>103.5</v>
      </c>
      <c r="AE1536" s="3">
        <v>100.5</v>
      </c>
      <c r="AI1536">
        <v>100.5</v>
      </c>
      <c r="AJ1536" t="s">
        <v>379</v>
      </c>
      <c r="AK1536" s="3"/>
      <c r="AV1536" t="s">
        <v>370</v>
      </c>
      <c r="AX1536" t="s">
        <v>370</v>
      </c>
      <c r="AZ1536" t="s">
        <v>370</v>
      </c>
      <c r="BB1536" t="s">
        <v>370</v>
      </c>
      <c r="BO1536" t="s">
        <v>367</v>
      </c>
      <c r="BR1536">
        <v>215566</v>
      </c>
      <c r="BS1536" t="s">
        <v>2389</v>
      </c>
      <c r="BT1536">
        <v>4</v>
      </c>
      <c r="BU1536">
        <v>19</v>
      </c>
      <c r="BV1536">
        <v>6</v>
      </c>
      <c r="BX1536">
        <v>103.5</v>
      </c>
      <c r="BZ1536">
        <v>91.5</v>
      </c>
      <c r="CM1536">
        <v>1911</v>
      </c>
    </row>
    <row r="1537" spans="1:91" x14ac:dyDescent="0.3">
      <c r="A1537" t="s">
        <v>2388</v>
      </c>
      <c r="B1537">
        <v>45656</v>
      </c>
      <c r="C1537" t="s">
        <v>2392</v>
      </c>
      <c r="D1537">
        <v>12</v>
      </c>
      <c r="I1537">
        <v>204050</v>
      </c>
      <c r="J1537" t="s">
        <v>800</v>
      </c>
      <c r="V1537" t="s">
        <v>350</v>
      </c>
      <c r="Y1537">
        <v>100</v>
      </c>
      <c r="AA1537">
        <v>97.5</v>
      </c>
      <c r="AC1537" s="3">
        <v>99</v>
      </c>
      <c r="AE1537" s="3">
        <v>96</v>
      </c>
      <c r="AI1537">
        <v>96</v>
      </c>
      <c r="AJ1537" t="s">
        <v>379</v>
      </c>
      <c r="AK1537" s="3"/>
      <c r="AV1537" t="s">
        <v>370</v>
      </c>
      <c r="AX1537" t="s">
        <v>370</v>
      </c>
      <c r="AZ1537" t="s">
        <v>370</v>
      </c>
      <c r="BB1537" t="s">
        <v>370</v>
      </c>
      <c r="BO1537" t="s">
        <v>367</v>
      </c>
      <c r="BR1537">
        <v>215566</v>
      </c>
      <c r="BS1537" t="s">
        <v>2389</v>
      </c>
      <c r="BT1537">
        <v>5</v>
      </c>
      <c r="BU1537">
        <v>5</v>
      </c>
      <c r="BV1537">
        <v>3</v>
      </c>
      <c r="BX1537">
        <v>99</v>
      </c>
      <c r="BZ1537">
        <v>85</v>
      </c>
      <c r="CM1537">
        <v>1911</v>
      </c>
    </row>
    <row r="1538" spans="1:91" x14ac:dyDescent="0.3">
      <c r="A1538" t="s">
        <v>2393</v>
      </c>
      <c r="B1538">
        <v>45679</v>
      </c>
      <c r="D1538">
        <v>12</v>
      </c>
      <c r="I1538">
        <v>125000</v>
      </c>
      <c r="U1538">
        <v>10</v>
      </c>
      <c r="Y1538">
        <v>10</v>
      </c>
      <c r="AA1538">
        <v>3.12</v>
      </c>
      <c r="AC1538" s="3">
        <v>3.25</v>
      </c>
      <c r="AE1538" s="3">
        <v>2.87</v>
      </c>
      <c r="AI1538">
        <v>3.25</v>
      </c>
      <c r="AK1538" s="3"/>
      <c r="BB1538" t="s">
        <v>810</v>
      </c>
      <c r="BG1538">
        <v>5</v>
      </c>
      <c r="BH1538">
        <v>5</v>
      </c>
      <c r="BI1538">
        <v>2.5</v>
      </c>
      <c r="BK1538" s="4">
        <v>2923</v>
      </c>
      <c r="BL1538" s="4">
        <v>3105</v>
      </c>
      <c r="BM1538" s="4">
        <v>3289</v>
      </c>
      <c r="BR1538">
        <v>68348</v>
      </c>
      <c r="BS1538" t="s">
        <v>2394</v>
      </c>
      <c r="BW1538" t="s">
        <v>802</v>
      </c>
      <c r="BX1538">
        <v>4.3099999999999996</v>
      </c>
      <c r="BZ1538">
        <v>1.93</v>
      </c>
      <c r="CK1538" t="s">
        <v>360</v>
      </c>
      <c r="CM1538">
        <v>1911</v>
      </c>
    </row>
    <row r="1539" spans="1:91" x14ac:dyDescent="0.3">
      <c r="A1539" t="s">
        <v>2393</v>
      </c>
      <c r="B1539">
        <v>45682</v>
      </c>
      <c r="C1539" t="s">
        <v>867</v>
      </c>
      <c r="D1539">
        <v>12</v>
      </c>
      <c r="I1539" s="2">
        <v>1649930</v>
      </c>
      <c r="J1539" t="s">
        <v>800</v>
      </c>
      <c r="V1539" t="s">
        <v>350</v>
      </c>
      <c r="Y1539">
        <v>100</v>
      </c>
      <c r="AA1539">
        <v>73</v>
      </c>
      <c r="AC1539" s="3">
        <v>73</v>
      </c>
      <c r="AE1539" s="3">
        <v>68.5</v>
      </c>
      <c r="AI1539">
        <v>72</v>
      </c>
      <c r="AJ1539" t="s">
        <v>379</v>
      </c>
      <c r="AK1539" s="3"/>
      <c r="AV1539" t="s">
        <v>370</v>
      </c>
      <c r="AX1539" t="s">
        <v>370</v>
      </c>
      <c r="AZ1539" t="s">
        <v>370</v>
      </c>
      <c r="BB1539" t="s">
        <v>370</v>
      </c>
      <c r="BO1539" t="s">
        <v>367</v>
      </c>
      <c r="BR1539">
        <v>68348</v>
      </c>
      <c r="BS1539" t="s">
        <v>2394</v>
      </c>
      <c r="BT1539">
        <v>5</v>
      </c>
      <c r="BU1539">
        <v>11</v>
      </c>
      <c r="BV1539">
        <v>0</v>
      </c>
      <c r="BX1539">
        <v>80</v>
      </c>
      <c r="BZ1539">
        <v>65</v>
      </c>
      <c r="CM1539">
        <v>1911</v>
      </c>
    </row>
    <row r="1540" spans="1:91" x14ac:dyDescent="0.3">
      <c r="A1540" t="s">
        <v>2395</v>
      </c>
      <c r="B1540">
        <v>46252</v>
      </c>
      <c r="D1540">
        <v>12</v>
      </c>
      <c r="I1540">
        <v>391337</v>
      </c>
      <c r="U1540">
        <v>1</v>
      </c>
      <c r="Y1540">
        <v>1</v>
      </c>
      <c r="AA1540">
        <v>0.9</v>
      </c>
      <c r="AC1540" s="3">
        <v>0.93</v>
      </c>
      <c r="AE1540" s="3">
        <v>0.9</v>
      </c>
      <c r="AI1540">
        <v>0.93</v>
      </c>
      <c r="AK1540" s="3"/>
      <c r="AV1540" t="s">
        <v>815</v>
      </c>
      <c r="AX1540" t="s">
        <v>815</v>
      </c>
      <c r="AZ1540" t="s">
        <v>815</v>
      </c>
      <c r="BB1540" t="s">
        <v>823</v>
      </c>
      <c r="BG1540">
        <v>4.5</v>
      </c>
      <c r="BH1540">
        <v>5</v>
      </c>
      <c r="BI1540">
        <v>5.5</v>
      </c>
      <c r="BJ1540">
        <v>5</v>
      </c>
      <c r="BK1540" t="s">
        <v>1225</v>
      </c>
      <c r="BL1540" t="s">
        <v>913</v>
      </c>
      <c r="BM1540" t="s">
        <v>1226</v>
      </c>
      <c r="BN1540" s="4">
        <v>4292</v>
      </c>
      <c r="BR1540">
        <v>27821</v>
      </c>
      <c r="BS1540" t="s">
        <v>2396</v>
      </c>
      <c r="BT1540">
        <v>5</v>
      </c>
      <c r="BU1540">
        <v>17</v>
      </c>
      <c r="BV1540">
        <v>3</v>
      </c>
      <c r="BX1540">
        <v>1.03</v>
      </c>
      <c r="BZ1540">
        <v>0.93</v>
      </c>
      <c r="CK1540" t="s">
        <v>360</v>
      </c>
      <c r="CM1540">
        <v>1911</v>
      </c>
    </row>
    <row r="1541" spans="1:91" x14ac:dyDescent="0.3">
      <c r="A1541" t="s">
        <v>2397</v>
      </c>
      <c r="B1541">
        <v>46248</v>
      </c>
      <c r="D1541">
        <v>12</v>
      </c>
      <c r="I1541">
        <v>314016</v>
      </c>
      <c r="U1541">
        <v>1</v>
      </c>
      <c r="Y1541">
        <v>1</v>
      </c>
      <c r="AA1541">
        <v>0.18</v>
      </c>
      <c r="AC1541" s="3">
        <v>0.18</v>
      </c>
      <c r="AE1541" s="3">
        <v>0.12</v>
      </c>
      <c r="AI1541">
        <v>0.15</v>
      </c>
      <c r="AK1541" s="3"/>
      <c r="AV1541" t="s">
        <v>385</v>
      </c>
      <c r="AX1541" t="s">
        <v>385</v>
      </c>
      <c r="AZ1541" t="s">
        <v>802</v>
      </c>
      <c r="BB1541" t="s">
        <v>802</v>
      </c>
      <c r="BR1541">
        <v>27821</v>
      </c>
      <c r="BS1541" t="s">
        <v>2396</v>
      </c>
      <c r="BW1541" t="s">
        <v>802</v>
      </c>
      <c r="BX1541">
        <v>0.25</v>
      </c>
      <c r="BZ1541">
        <v>0.09</v>
      </c>
      <c r="CM1541">
        <v>1911</v>
      </c>
    </row>
    <row r="1542" spans="1:91" x14ac:dyDescent="0.3">
      <c r="A1542" t="s">
        <v>2397</v>
      </c>
      <c r="B1542">
        <v>46249</v>
      </c>
      <c r="C1542" t="s">
        <v>817</v>
      </c>
      <c r="D1542">
        <v>12</v>
      </c>
      <c r="I1542">
        <v>500000</v>
      </c>
      <c r="U1542">
        <v>1</v>
      </c>
      <c r="Y1542">
        <v>1</v>
      </c>
      <c r="AA1542">
        <v>0.9</v>
      </c>
      <c r="AC1542" s="3">
        <v>0.9</v>
      </c>
      <c r="AE1542" s="3">
        <v>0.87</v>
      </c>
      <c r="AI1542">
        <v>0.9</v>
      </c>
      <c r="AK1542" s="3"/>
      <c r="BG1542">
        <v>5</v>
      </c>
      <c r="BH1542">
        <v>5</v>
      </c>
      <c r="BI1542">
        <v>5</v>
      </c>
      <c r="BJ1542">
        <v>5</v>
      </c>
      <c r="BK1542" s="4">
        <v>3685</v>
      </c>
      <c r="BL1542" s="4">
        <v>3866</v>
      </c>
      <c r="BM1542" s="4">
        <v>4050</v>
      </c>
      <c r="BN1542" s="4">
        <v>4231</v>
      </c>
      <c r="BR1542">
        <v>27821</v>
      </c>
      <c r="BS1542" t="s">
        <v>2396</v>
      </c>
      <c r="BT1542">
        <v>5</v>
      </c>
      <c r="BU1542">
        <v>10</v>
      </c>
      <c r="BV1542">
        <v>6</v>
      </c>
      <c r="BX1542">
        <v>1</v>
      </c>
      <c r="BZ1542">
        <v>0.87</v>
      </c>
      <c r="CM1542">
        <v>1911</v>
      </c>
    </row>
    <row r="1543" spans="1:91" x14ac:dyDescent="0.3">
      <c r="A1543" t="s">
        <v>2397</v>
      </c>
      <c r="B1543">
        <v>46250</v>
      </c>
      <c r="C1543" t="s">
        <v>805</v>
      </c>
      <c r="D1543">
        <v>12</v>
      </c>
      <c r="I1543">
        <v>571096</v>
      </c>
      <c r="J1543" t="s">
        <v>800</v>
      </c>
      <c r="V1543" t="s">
        <v>350</v>
      </c>
      <c r="Y1543">
        <v>100</v>
      </c>
      <c r="AA1543">
        <v>101.5</v>
      </c>
      <c r="AC1543" s="3">
        <v>103.25</v>
      </c>
      <c r="AE1543" s="3">
        <v>101</v>
      </c>
      <c r="AI1543">
        <v>101</v>
      </c>
      <c r="AJ1543" t="s">
        <v>379</v>
      </c>
      <c r="AK1543" s="3"/>
      <c r="AV1543" t="s">
        <v>370</v>
      </c>
      <c r="AX1543" t="s">
        <v>370</v>
      </c>
      <c r="AZ1543" t="s">
        <v>370</v>
      </c>
      <c r="BB1543" t="s">
        <v>370</v>
      </c>
      <c r="BO1543" t="s">
        <v>367</v>
      </c>
      <c r="BR1543">
        <v>27821</v>
      </c>
      <c r="BS1543" t="s">
        <v>2396</v>
      </c>
      <c r="BT1543">
        <v>4</v>
      </c>
      <c r="BU1543">
        <v>9</v>
      </c>
      <c r="BV1543">
        <v>0</v>
      </c>
      <c r="BX1543">
        <v>104</v>
      </c>
      <c r="BZ1543">
        <v>98</v>
      </c>
      <c r="CM1543">
        <v>1911</v>
      </c>
    </row>
    <row r="1544" spans="1:91" x14ac:dyDescent="0.3">
      <c r="A1544" t="s">
        <v>2398</v>
      </c>
      <c r="B1544">
        <v>46367</v>
      </c>
      <c r="D1544">
        <v>12</v>
      </c>
      <c r="I1544" s="2">
        <v>16487400</v>
      </c>
      <c r="J1544" t="s">
        <v>773</v>
      </c>
      <c r="U1544">
        <v>100</v>
      </c>
      <c r="V1544" t="s">
        <v>773</v>
      </c>
      <c r="Y1544">
        <v>100</v>
      </c>
      <c r="Z1544" t="s">
        <v>773</v>
      </c>
      <c r="AA1544">
        <v>124</v>
      </c>
      <c r="AC1544" s="3">
        <v>125.25</v>
      </c>
      <c r="AE1544" s="3">
        <v>122</v>
      </c>
      <c r="AI1544">
        <v>125</v>
      </c>
      <c r="AK1544" s="3"/>
      <c r="BG1544">
        <v>7</v>
      </c>
      <c r="BH1544">
        <v>7</v>
      </c>
      <c r="BI1544">
        <v>7</v>
      </c>
      <c r="BJ1544">
        <v>7</v>
      </c>
      <c r="BK1544" s="4">
        <v>4050</v>
      </c>
      <c r="BL1544" s="4">
        <v>4139</v>
      </c>
      <c r="BM1544" s="4">
        <v>4231</v>
      </c>
      <c r="BN1544" s="4">
        <v>4323</v>
      </c>
      <c r="BS1544" t="s">
        <v>385</v>
      </c>
      <c r="BT1544">
        <v>5</v>
      </c>
      <c r="BU1544">
        <v>12</v>
      </c>
      <c r="BV1544">
        <v>0</v>
      </c>
      <c r="BX1544">
        <v>130.5</v>
      </c>
      <c r="BZ1544">
        <v>114</v>
      </c>
      <c r="CM1544">
        <v>1911</v>
      </c>
    </row>
    <row r="1545" spans="1:91" x14ac:dyDescent="0.3">
      <c r="A1545" t="s">
        <v>2399</v>
      </c>
      <c r="B1545">
        <v>46368</v>
      </c>
      <c r="C1545" t="s">
        <v>2400</v>
      </c>
      <c r="D1545">
        <v>12</v>
      </c>
      <c r="I1545" s="2">
        <v>9000000</v>
      </c>
      <c r="J1545" t="s">
        <v>773</v>
      </c>
      <c r="V1545" t="s">
        <v>615</v>
      </c>
      <c r="Z1545" t="s">
        <v>615</v>
      </c>
      <c r="AA1545">
        <v>99</v>
      </c>
      <c r="AC1545" s="3">
        <v>99.5</v>
      </c>
      <c r="AE1545" s="3">
        <v>98</v>
      </c>
      <c r="AI1545">
        <v>99.5</v>
      </c>
      <c r="AK1545" s="3"/>
      <c r="AV1545" t="s">
        <v>373</v>
      </c>
      <c r="AX1545" t="s">
        <v>373</v>
      </c>
      <c r="AZ1545" t="s">
        <v>373</v>
      </c>
      <c r="BB1545" t="s">
        <v>373</v>
      </c>
      <c r="BO1545" t="s">
        <v>367</v>
      </c>
      <c r="BS1545" t="s">
        <v>385</v>
      </c>
      <c r="BT1545">
        <v>5</v>
      </c>
      <c r="BU1545">
        <v>2</v>
      </c>
      <c r="BV1545">
        <v>0</v>
      </c>
      <c r="BX1545">
        <v>102</v>
      </c>
      <c r="BZ1545">
        <v>94.75</v>
      </c>
      <c r="CM1545">
        <v>1911</v>
      </c>
    </row>
    <row r="1546" spans="1:91" x14ac:dyDescent="0.3">
      <c r="A1546" t="s">
        <v>2401</v>
      </c>
      <c r="B1546">
        <v>47441</v>
      </c>
      <c r="D1546">
        <v>12</v>
      </c>
      <c r="I1546">
        <v>77858</v>
      </c>
      <c r="U1546">
        <v>5</v>
      </c>
      <c r="Y1546">
        <v>5</v>
      </c>
      <c r="AA1546">
        <v>7.06</v>
      </c>
      <c r="AC1546" s="3">
        <v>7.09</v>
      </c>
      <c r="AE1546" s="3">
        <v>6.87</v>
      </c>
      <c r="AI1546">
        <v>7.06</v>
      </c>
      <c r="AK1546" s="3"/>
      <c r="AV1546" t="s">
        <v>385</v>
      </c>
      <c r="AX1546" t="s">
        <v>823</v>
      </c>
      <c r="BB1546" t="s">
        <v>823</v>
      </c>
      <c r="BH1546">
        <v>8</v>
      </c>
      <c r="BI1546">
        <v>12</v>
      </c>
      <c r="BJ1546">
        <v>10</v>
      </c>
      <c r="BL1546" s="4">
        <v>3897</v>
      </c>
      <c r="BM1546" s="4">
        <v>4078</v>
      </c>
      <c r="BN1546" s="4">
        <v>4262</v>
      </c>
      <c r="BR1546">
        <v>85434</v>
      </c>
      <c r="BS1546" t="s">
        <v>2402</v>
      </c>
      <c r="BT1546">
        <v>7</v>
      </c>
      <c r="BU1546">
        <v>15</v>
      </c>
      <c r="BV1546">
        <v>9</v>
      </c>
      <c r="BX1546">
        <v>7.87</v>
      </c>
      <c r="BZ1546">
        <v>6.75</v>
      </c>
      <c r="CM1546">
        <v>1911</v>
      </c>
    </row>
    <row r="1547" spans="1:91" x14ac:dyDescent="0.3">
      <c r="A1547" t="s">
        <v>2403</v>
      </c>
      <c r="B1547">
        <v>47443</v>
      </c>
      <c r="C1547" t="s">
        <v>1754</v>
      </c>
      <c r="D1547">
        <v>12</v>
      </c>
      <c r="I1547">
        <v>59000</v>
      </c>
      <c r="U1547">
        <v>5</v>
      </c>
      <c r="Y1547">
        <v>5</v>
      </c>
      <c r="AA1547">
        <v>5.5</v>
      </c>
      <c r="AC1547" s="3">
        <v>5.5</v>
      </c>
      <c r="AE1547" s="3">
        <v>5.34</v>
      </c>
      <c r="AI1547">
        <v>5.5</v>
      </c>
      <c r="AK1547" s="3"/>
      <c r="AV1547" t="s">
        <v>373</v>
      </c>
      <c r="AX1547" t="s">
        <v>373</v>
      </c>
      <c r="AZ1547" t="s">
        <v>373</v>
      </c>
      <c r="BB1547" t="s">
        <v>373</v>
      </c>
      <c r="BO1547" t="s">
        <v>367</v>
      </c>
      <c r="BR1547">
        <v>85434</v>
      </c>
      <c r="BS1547" t="s">
        <v>2402</v>
      </c>
      <c r="BT1547">
        <v>5</v>
      </c>
      <c r="BU1547">
        <v>9</v>
      </c>
      <c r="BV1547">
        <v>0</v>
      </c>
      <c r="BX1547">
        <v>5.75</v>
      </c>
      <c r="BZ1547">
        <v>5.25</v>
      </c>
      <c r="CM1547">
        <v>1911</v>
      </c>
    </row>
    <row r="1548" spans="1:91" x14ac:dyDescent="0.3">
      <c r="A1548" t="s">
        <v>2403</v>
      </c>
      <c r="B1548">
        <v>47442</v>
      </c>
      <c r="C1548" t="s">
        <v>2404</v>
      </c>
      <c r="D1548">
        <v>12</v>
      </c>
      <c r="I1548">
        <v>692235</v>
      </c>
      <c r="J1548" t="s">
        <v>800</v>
      </c>
      <c r="V1548" t="s">
        <v>350</v>
      </c>
      <c r="Y1548">
        <v>100</v>
      </c>
      <c r="AA1548">
        <v>98</v>
      </c>
      <c r="AB1548" t="s">
        <v>379</v>
      </c>
      <c r="AC1548" s="3">
        <v>98.75</v>
      </c>
      <c r="AE1548" s="3">
        <v>98</v>
      </c>
      <c r="AI1548">
        <v>98.5</v>
      </c>
      <c r="AK1548" s="3"/>
      <c r="AV1548" t="s">
        <v>366</v>
      </c>
      <c r="AX1548" t="s">
        <v>366</v>
      </c>
      <c r="AZ1548" t="s">
        <v>366</v>
      </c>
      <c r="BB1548" t="s">
        <v>366</v>
      </c>
      <c r="BO1548" t="s">
        <v>367</v>
      </c>
      <c r="BR1548">
        <v>85434</v>
      </c>
      <c r="BS1548" t="s">
        <v>2402</v>
      </c>
      <c r="BT1548">
        <v>5</v>
      </c>
      <c r="BU1548">
        <v>1</v>
      </c>
      <c r="BV1548">
        <v>6</v>
      </c>
      <c r="BX1548">
        <v>105.5</v>
      </c>
      <c r="BZ1548">
        <v>97.75</v>
      </c>
      <c r="CM1548">
        <v>1911</v>
      </c>
    </row>
    <row r="1549" spans="1:91" x14ac:dyDescent="0.3">
      <c r="A1549" t="s">
        <v>2405</v>
      </c>
      <c r="B1549">
        <v>47734</v>
      </c>
      <c r="D1549">
        <v>12</v>
      </c>
      <c r="I1549">
        <v>245000</v>
      </c>
      <c r="U1549">
        <v>1</v>
      </c>
      <c r="Y1549">
        <v>1</v>
      </c>
      <c r="AA1549">
        <v>0.37</v>
      </c>
      <c r="AC1549" s="3">
        <v>0.37</v>
      </c>
      <c r="AE1549" s="3">
        <v>0.37</v>
      </c>
      <c r="AI1549">
        <v>0.37</v>
      </c>
      <c r="AK1549" s="3"/>
      <c r="AV1549" t="s">
        <v>815</v>
      </c>
      <c r="AX1549" t="s">
        <v>815</v>
      </c>
      <c r="AZ1549" t="s">
        <v>815</v>
      </c>
      <c r="BB1549" t="s">
        <v>815</v>
      </c>
      <c r="BG1549">
        <v>4</v>
      </c>
      <c r="BH1549">
        <v>4</v>
      </c>
      <c r="BI1549">
        <v>2</v>
      </c>
      <c r="BJ1549">
        <v>2</v>
      </c>
      <c r="BK1549" t="s">
        <v>1266</v>
      </c>
      <c r="BL1549" t="s">
        <v>1224</v>
      </c>
      <c r="BM1549" t="s">
        <v>1225</v>
      </c>
      <c r="BN1549" t="s">
        <v>913</v>
      </c>
      <c r="BR1549">
        <v>28407</v>
      </c>
      <c r="BS1549" t="s">
        <v>2406</v>
      </c>
      <c r="BT1549">
        <v>5</v>
      </c>
      <c r="BU1549">
        <v>6</v>
      </c>
      <c r="BV1549">
        <v>9</v>
      </c>
      <c r="BX1549">
        <v>0.4</v>
      </c>
      <c r="BZ1549">
        <v>0.21</v>
      </c>
      <c r="CK1549" t="s">
        <v>360</v>
      </c>
      <c r="CM1549">
        <v>1911</v>
      </c>
    </row>
    <row r="1550" spans="1:91" x14ac:dyDescent="0.3">
      <c r="A1550" t="s">
        <v>2407</v>
      </c>
      <c r="B1550">
        <v>47737</v>
      </c>
      <c r="D1550">
        <v>12</v>
      </c>
      <c r="I1550">
        <v>245000</v>
      </c>
      <c r="U1550">
        <v>1</v>
      </c>
      <c r="Y1550">
        <v>1</v>
      </c>
      <c r="AA1550">
        <v>0.68</v>
      </c>
      <c r="AC1550" s="3">
        <v>0.68</v>
      </c>
      <c r="AE1550" s="3">
        <v>0.62</v>
      </c>
      <c r="AI1550">
        <v>0.65</v>
      </c>
      <c r="AK1550" s="3"/>
      <c r="BG1550">
        <v>5</v>
      </c>
      <c r="BH1550">
        <v>5</v>
      </c>
      <c r="BI1550">
        <v>5</v>
      </c>
      <c r="BJ1550">
        <v>5</v>
      </c>
      <c r="BK1550" s="4">
        <v>3685</v>
      </c>
      <c r="BL1550" s="4">
        <v>3866</v>
      </c>
      <c r="BM1550" s="4">
        <v>4050</v>
      </c>
      <c r="BN1550" s="4">
        <v>4231</v>
      </c>
      <c r="BR1550">
        <v>28407</v>
      </c>
      <c r="BS1550" t="s">
        <v>2406</v>
      </c>
      <c r="BT1550">
        <v>7</v>
      </c>
      <c r="BU1550">
        <v>12</v>
      </c>
      <c r="BV1550">
        <v>9</v>
      </c>
      <c r="BX1550">
        <v>0.71</v>
      </c>
      <c r="BZ1550">
        <v>0.53</v>
      </c>
      <c r="CM1550">
        <v>1911</v>
      </c>
    </row>
    <row r="1551" spans="1:91" x14ac:dyDescent="0.3">
      <c r="A1551" t="s">
        <v>2407</v>
      </c>
      <c r="B1551">
        <v>47736</v>
      </c>
      <c r="C1551" t="s">
        <v>979</v>
      </c>
      <c r="D1551">
        <v>12</v>
      </c>
      <c r="I1551">
        <v>245000</v>
      </c>
      <c r="J1551" t="s">
        <v>800</v>
      </c>
      <c r="V1551" t="s">
        <v>350</v>
      </c>
      <c r="Y1551">
        <v>100</v>
      </c>
      <c r="AA1551">
        <v>89</v>
      </c>
      <c r="AC1551" s="3">
        <v>92.5</v>
      </c>
      <c r="AE1551" s="3">
        <v>89</v>
      </c>
      <c r="AI1551">
        <v>92.5</v>
      </c>
      <c r="AK1551" s="3"/>
      <c r="AV1551" t="s">
        <v>366</v>
      </c>
      <c r="AX1551" t="s">
        <v>366</v>
      </c>
      <c r="AZ1551" t="s">
        <v>366</v>
      </c>
      <c r="BB1551" t="s">
        <v>366</v>
      </c>
      <c r="BO1551" t="s">
        <v>367</v>
      </c>
      <c r="BR1551">
        <v>28407</v>
      </c>
      <c r="BS1551" t="s">
        <v>2406</v>
      </c>
      <c r="BT1551">
        <v>4</v>
      </c>
      <c r="BU1551">
        <v>17</v>
      </c>
      <c r="BV1551">
        <v>3</v>
      </c>
      <c r="BX1551">
        <v>92.5</v>
      </c>
      <c r="BZ1551">
        <v>81.5</v>
      </c>
      <c r="CM1551">
        <v>1911</v>
      </c>
    </row>
    <row r="1552" spans="1:91" x14ac:dyDescent="0.3">
      <c r="A1552" t="s">
        <v>2408</v>
      </c>
      <c r="B1552">
        <v>47819</v>
      </c>
      <c r="D1552">
        <v>12</v>
      </c>
      <c r="I1552">
        <v>124560</v>
      </c>
      <c r="U1552">
        <v>1</v>
      </c>
      <c r="Y1552">
        <v>1</v>
      </c>
      <c r="AA1552">
        <v>0.84</v>
      </c>
      <c r="AB1552" t="s">
        <v>379</v>
      </c>
      <c r="AC1552" s="3">
        <v>0.84</v>
      </c>
      <c r="AE1552" s="3">
        <v>0.84</v>
      </c>
      <c r="AI1552">
        <v>0.84</v>
      </c>
      <c r="AK1552" s="3"/>
      <c r="AV1552" t="s">
        <v>823</v>
      </c>
      <c r="AZ1552" t="s">
        <v>823</v>
      </c>
      <c r="BG1552">
        <v>6.66</v>
      </c>
      <c r="BH1552">
        <v>7.5</v>
      </c>
      <c r="BI1552">
        <v>6.66</v>
      </c>
      <c r="BJ1552">
        <v>8.33</v>
      </c>
      <c r="BK1552" s="4">
        <v>3805</v>
      </c>
      <c r="BL1552" s="4">
        <v>3988</v>
      </c>
      <c r="BM1552" s="4">
        <v>4170</v>
      </c>
      <c r="BN1552" s="4">
        <v>4353</v>
      </c>
      <c r="BR1552">
        <v>58025</v>
      </c>
      <c r="BS1552" t="s">
        <v>2409</v>
      </c>
      <c r="BT1552">
        <v>8</v>
      </c>
      <c r="BU1552">
        <v>18</v>
      </c>
      <c r="BV1552">
        <v>0</v>
      </c>
      <c r="BX1552">
        <v>0.87</v>
      </c>
      <c r="BZ1552">
        <v>0.81</v>
      </c>
      <c r="CK1552" t="s">
        <v>360</v>
      </c>
      <c r="CL1552" t="s">
        <v>457</v>
      </c>
      <c r="CM1552">
        <v>1911</v>
      </c>
    </row>
    <row r="1553" spans="1:91" x14ac:dyDescent="0.3">
      <c r="A1553" t="s">
        <v>2410</v>
      </c>
      <c r="B1553">
        <v>47949</v>
      </c>
      <c r="D1553">
        <v>12</v>
      </c>
      <c r="I1553">
        <v>50000</v>
      </c>
      <c r="U1553">
        <v>5</v>
      </c>
      <c r="Y1553">
        <v>5</v>
      </c>
      <c r="AA1553">
        <v>5.37</v>
      </c>
      <c r="AC1553" s="3">
        <v>5.5</v>
      </c>
      <c r="AE1553" s="3">
        <v>5.37</v>
      </c>
      <c r="AI1553">
        <v>5.37</v>
      </c>
      <c r="AJ1553" t="s">
        <v>379</v>
      </c>
      <c r="AK1553" s="3"/>
      <c r="BG1553">
        <v>6</v>
      </c>
      <c r="BH1553">
        <v>6</v>
      </c>
      <c r="BI1553">
        <v>6</v>
      </c>
      <c r="BJ1553">
        <v>6</v>
      </c>
      <c r="BK1553" s="4">
        <v>3623</v>
      </c>
      <c r="BL1553" s="4">
        <v>3805</v>
      </c>
      <c r="BM1553" s="4">
        <v>3988</v>
      </c>
      <c r="BN1553" s="4">
        <v>4170</v>
      </c>
      <c r="BR1553">
        <v>13322</v>
      </c>
      <c r="BS1553" t="s">
        <v>2411</v>
      </c>
      <c r="BT1553">
        <v>5</v>
      </c>
      <c r="BU1553">
        <v>11</v>
      </c>
      <c r="BV1553">
        <v>6</v>
      </c>
      <c r="BX1553">
        <v>5.68</v>
      </c>
      <c r="BZ1553">
        <v>5.37</v>
      </c>
      <c r="CM1553">
        <v>1911</v>
      </c>
    </row>
    <row r="1554" spans="1:91" x14ac:dyDescent="0.3">
      <c r="A1554" t="s">
        <v>2412</v>
      </c>
      <c r="B1554">
        <v>47948</v>
      </c>
      <c r="D1554">
        <v>12</v>
      </c>
      <c r="I1554">
        <v>182743</v>
      </c>
      <c r="J1554" t="s">
        <v>800</v>
      </c>
      <c r="V1554" t="s">
        <v>350</v>
      </c>
      <c r="Y1554">
        <v>100</v>
      </c>
      <c r="AA1554">
        <v>99.5</v>
      </c>
      <c r="AC1554" s="3">
        <v>99.5</v>
      </c>
      <c r="AE1554" s="3">
        <v>97.5</v>
      </c>
      <c r="AI1554">
        <v>97.5</v>
      </c>
      <c r="AJ1554" t="s">
        <v>379</v>
      </c>
      <c r="AK1554" s="3"/>
      <c r="AV1554" t="s">
        <v>421</v>
      </c>
      <c r="AX1554" t="s">
        <v>421</v>
      </c>
      <c r="AZ1554" t="s">
        <v>421</v>
      </c>
      <c r="BB1554" t="s">
        <v>421</v>
      </c>
      <c r="BO1554" t="s">
        <v>367</v>
      </c>
      <c r="BR1554">
        <v>13322</v>
      </c>
      <c r="BS1554" t="s">
        <v>2411</v>
      </c>
      <c r="BT1554">
        <v>4</v>
      </c>
      <c r="BU1554">
        <v>12</v>
      </c>
      <c r="BV1554">
        <v>3</v>
      </c>
      <c r="BX1554">
        <v>100.5</v>
      </c>
      <c r="BZ1554">
        <v>97.5</v>
      </c>
      <c r="CM1554">
        <v>1911</v>
      </c>
    </row>
    <row r="1555" spans="1:91" x14ac:dyDescent="0.3">
      <c r="A1555" t="s">
        <v>2413</v>
      </c>
      <c r="B1555">
        <v>48064</v>
      </c>
      <c r="D1555">
        <v>12</v>
      </c>
      <c r="I1555">
        <v>400000</v>
      </c>
      <c r="U1555">
        <v>100</v>
      </c>
      <c r="V1555" t="s">
        <v>773</v>
      </c>
      <c r="Y1555">
        <v>100</v>
      </c>
      <c r="Z1555" t="s">
        <v>773</v>
      </c>
      <c r="AA1555">
        <v>115.5</v>
      </c>
      <c r="AC1555" s="3">
        <v>119</v>
      </c>
      <c r="AE1555" s="3">
        <v>114.5</v>
      </c>
      <c r="AI1555">
        <v>119</v>
      </c>
      <c r="AK1555" s="3"/>
      <c r="BG1555">
        <v>5</v>
      </c>
      <c r="BH1555">
        <v>5</v>
      </c>
      <c r="BI1555">
        <v>5</v>
      </c>
      <c r="BJ1555">
        <v>5</v>
      </c>
      <c r="BK1555" s="4">
        <v>4050</v>
      </c>
      <c r="BL1555" s="4">
        <v>4139</v>
      </c>
      <c r="BM1555" s="4">
        <v>4231</v>
      </c>
      <c r="BN1555" s="4">
        <v>4323</v>
      </c>
      <c r="BS1555" t="s">
        <v>385</v>
      </c>
      <c r="BT1555">
        <v>4</v>
      </c>
      <c r="BU1555">
        <v>4</v>
      </c>
      <c r="BV1555">
        <v>0</v>
      </c>
      <c r="BX1555">
        <v>120</v>
      </c>
      <c r="BZ1555">
        <v>104</v>
      </c>
      <c r="CM1555">
        <v>1911</v>
      </c>
    </row>
    <row r="1556" spans="1:91" x14ac:dyDescent="0.3">
      <c r="A1556" t="s">
        <v>2414</v>
      </c>
      <c r="B1556">
        <v>48065</v>
      </c>
      <c r="C1556" t="s">
        <v>2415</v>
      </c>
      <c r="D1556">
        <v>12</v>
      </c>
      <c r="I1556" s="2">
        <v>24997500</v>
      </c>
      <c r="J1556" t="s">
        <v>773</v>
      </c>
      <c r="V1556" t="s">
        <v>615</v>
      </c>
      <c r="Z1556" t="s">
        <v>615</v>
      </c>
      <c r="AA1556">
        <v>102.5</v>
      </c>
      <c r="AC1556" s="3">
        <v>104</v>
      </c>
      <c r="AE1556" s="3">
        <v>102.5</v>
      </c>
      <c r="AI1556">
        <v>104</v>
      </c>
      <c r="AK1556" s="3"/>
      <c r="AV1556" t="s">
        <v>370</v>
      </c>
      <c r="AX1556" t="s">
        <v>370</v>
      </c>
      <c r="AZ1556" t="s">
        <v>370</v>
      </c>
      <c r="BB1556" t="s">
        <v>370</v>
      </c>
      <c r="BO1556" t="s">
        <v>367</v>
      </c>
      <c r="BS1556" t="s">
        <v>385</v>
      </c>
      <c r="BT1556">
        <v>4</v>
      </c>
      <c r="BU1556">
        <v>18</v>
      </c>
      <c r="BV1556">
        <v>6</v>
      </c>
      <c r="BX1556">
        <v>104</v>
      </c>
      <c r="BZ1556">
        <v>98.5</v>
      </c>
      <c r="CM1556">
        <v>1911</v>
      </c>
    </row>
    <row r="1557" spans="1:91" x14ac:dyDescent="0.3">
      <c r="A1557" t="s">
        <v>2414</v>
      </c>
      <c r="B1557">
        <v>48066</v>
      </c>
      <c r="C1557" t="s">
        <v>2416</v>
      </c>
      <c r="D1557">
        <v>12</v>
      </c>
      <c r="I1557" s="2">
        <v>2750000</v>
      </c>
      <c r="J1557" t="s">
        <v>800</v>
      </c>
      <c r="U1557">
        <v>100</v>
      </c>
      <c r="Y1557">
        <v>100</v>
      </c>
      <c r="AA1557">
        <v>96.25</v>
      </c>
      <c r="AC1557" s="3">
        <v>97.62</v>
      </c>
      <c r="AE1557" s="3">
        <v>96.12</v>
      </c>
      <c r="AI1557">
        <v>97.5</v>
      </c>
      <c r="AK1557" s="3"/>
      <c r="AV1557" t="s">
        <v>536</v>
      </c>
      <c r="AX1557" t="s">
        <v>536</v>
      </c>
      <c r="AZ1557" t="s">
        <v>536</v>
      </c>
      <c r="BB1557" t="s">
        <v>536</v>
      </c>
      <c r="BO1557" t="s">
        <v>367</v>
      </c>
      <c r="BS1557" t="s">
        <v>385</v>
      </c>
      <c r="BT1557">
        <v>5</v>
      </c>
      <c r="BU1557">
        <v>4</v>
      </c>
      <c r="BV1557">
        <v>0</v>
      </c>
      <c r="BX1557">
        <v>98.75</v>
      </c>
      <c r="BZ1557">
        <v>92.5</v>
      </c>
      <c r="CM1557">
        <v>1911</v>
      </c>
    </row>
    <row r="1558" spans="1:91" x14ac:dyDescent="0.3">
      <c r="A1558" t="s">
        <v>2417</v>
      </c>
      <c r="B1558">
        <v>48429</v>
      </c>
      <c r="D1558">
        <v>12</v>
      </c>
      <c r="I1558">
        <v>100000</v>
      </c>
      <c r="U1558">
        <v>100</v>
      </c>
      <c r="V1558" t="s">
        <v>773</v>
      </c>
      <c r="Y1558">
        <v>100</v>
      </c>
      <c r="Z1558" t="s">
        <v>773</v>
      </c>
      <c r="AA1558">
        <v>187</v>
      </c>
      <c r="AC1558" s="3">
        <v>196.5</v>
      </c>
      <c r="AE1558" s="3">
        <v>186</v>
      </c>
      <c r="AI1558">
        <v>195</v>
      </c>
      <c r="AK1558" s="3"/>
      <c r="BG1558">
        <v>10</v>
      </c>
      <c r="BH1558">
        <v>10</v>
      </c>
      <c r="BI1558">
        <v>10</v>
      </c>
      <c r="BJ1558">
        <v>10</v>
      </c>
      <c r="BK1558" s="4">
        <v>4109</v>
      </c>
      <c r="BL1558" s="4">
        <v>4200</v>
      </c>
      <c r="BM1558" s="4">
        <v>4292</v>
      </c>
      <c r="BN1558" s="4">
        <v>4384</v>
      </c>
      <c r="BR1558" s="2">
        <v>3003070</v>
      </c>
      <c r="BS1558" t="s">
        <v>2418</v>
      </c>
      <c r="BT1558">
        <v>5</v>
      </c>
      <c r="BU1558">
        <v>5</v>
      </c>
      <c r="BV1558">
        <v>3</v>
      </c>
      <c r="BX1558">
        <v>196.5</v>
      </c>
      <c r="BZ1558">
        <v>153.5</v>
      </c>
      <c r="CM1558">
        <v>1911</v>
      </c>
    </row>
    <row r="1559" spans="1:91" x14ac:dyDescent="0.3">
      <c r="A1559" t="s">
        <v>2417</v>
      </c>
      <c r="B1559">
        <v>48430</v>
      </c>
      <c r="C1559" t="s">
        <v>2419</v>
      </c>
      <c r="D1559">
        <v>12</v>
      </c>
      <c r="I1559" s="2">
        <v>6000000</v>
      </c>
      <c r="J1559" t="s">
        <v>773</v>
      </c>
      <c r="U1559">
        <v>500</v>
      </c>
      <c r="V1559" t="s">
        <v>773</v>
      </c>
      <c r="Y1559">
        <v>500</v>
      </c>
      <c r="Z1559" t="s">
        <v>773</v>
      </c>
      <c r="AA1559">
        <v>105.5</v>
      </c>
      <c r="AC1559" s="3">
        <v>105.5</v>
      </c>
      <c r="AE1559" s="3">
        <v>102</v>
      </c>
      <c r="AI1559">
        <v>103.5</v>
      </c>
      <c r="AK1559" s="3"/>
      <c r="AV1559" t="s">
        <v>351</v>
      </c>
      <c r="AX1559" t="s">
        <v>351</v>
      </c>
      <c r="AZ1559" t="s">
        <v>351</v>
      </c>
      <c r="BB1559" t="s">
        <v>351</v>
      </c>
      <c r="BO1559" t="s">
        <v>352</v>
      </c>
      <c r="BR1559" s="2">
        <v>3003070</v>
      </c>
      <c r="BS1559" t="s">
        <v>2418</v>
      </c>
      <c r="BT1559">
        <v>4</v>
      </c>
      <c r="BU1559">
        <v>17</v>
      </c>
      <c r="BV1559">
        <v>0</v>
      </c>
      <c r="BX1559">
        <v>106.5</v>
      </c>
      <c r="BZ1559">
        <v>100</v>
      </c>
      <c r="CK1559" t="s">
        <v>2420</v>
      </c>
      <c r="CM1559">
        <v>1911</v>
      </c>
    </row>
    <row r="1560" spans="1:91" x14ac:dyDescent="0.3">
      <c r="A1560" t="s">
        <v>2421</v>
      </c>
      <c r="B1560">
        <v>49925</v>
      </c>
      <c r="D1560">
        <v>12</v>
      </c>
      <c r="I1560">
        <v>80000</v>
      </c>
      <c r="U1560">
        <v>5</v>
      </c>
      <c r="Y1560">
        <v>5</v>
      </c>
      <c r="AA1560">
        <v>5.75</v>
      </c>
      <c r="AC1560" s="3">
        <v>5.81</v>
      </c>
      <c r="AE1560" s="3">
        <v>5.62</v>
      </c>
      <c r="AI1560">
        <v>5.62</v>
      </c>
      <c r="AK1560" s="3"/>
      <c r="AX1560" t="s">
        <v>823</v>
      </c>
      <c r="BB1560" t="s">
        <v>823</v>
      </c>
      <c r="BG1560">
        <v>8</v>
      </c>
      <c r="BH1560">
        <v>6</v>
      </c>
      <c r="BI1560">
        <v>8</v>
      </c>
      <c r="BJ1560">
        <v>6</v>
      </c>
      <c r="BK1560" s="4">
        <v>3805</v>
      </c>
      <c r="BL1560" s="4">
        <v>3988</v>
      </c>
      <c r="BM1560" s="4">
        <v>4170</v>
      </c>
      <c r="BN1560" s="4">
        <v>4353</v>
      </c>
      <c r="BR1560">
        <v>58755</v>
      </c>
      <c r="BS1560" t="s">
        <v>2422</v>
      </c>
      <c r="BT1560">
        <v>6</v>
      </c>
      <c r="BU1560">
        <v>4</v>
      </c>
      <c r="BV1560">
        <v>6</v>
      </c>
      <c r="BX1560">
        <v>6.25</v>
      </c>
      <c r="BZ1560">
        <v>5.62</v>
      </c>
      <c r="CM1560">
        <v>1911</v>
      </c>
    </row>
    <row r="1561" spans="1:91" x14ac:dyDescent="0.3">
      <c r="A1561" t="s">
        <v>2423</v>
      </c>
      <c r="B1561">
        <v>49924</v>
      </c>
      <c r="D1561">
        <v>12</v>
      </c>
      <c r="I1561">
        <v>90000</v>
      </c>
      <c r="U1561">
        <v>5</v>
      </c>
      <c r="Y1561">
        <v>5</v>
      </c>
      <c r="AA1561">
        <v>5.25</v>
      </c>
      <c r="AC1561" s="3">
        <v>5.31</v>
      </c>
      <c r="AE1561" s="3">
        <v>5.12</v>
      </c>
      <c r="AI1561">
        <v>5.31</v>
      </c>
      <c r="AK1561" s="3"/>
      <c r="AV1561" t="s">
        <v>421</v>
      </c>
      <c r="AX1561" t="s">
        <v>421</v>
      </c>
      <c r="AZ1561" t="s">
        <v>421</v>
      </c>
      <c r="BB1561" t="s">
        <v>421</v>
      </c>
      <c r="BO1561" t="s">
        <v>367</v>
      </c>
      <c r="BR1561">
        <v>58755</v>
      </c>
      <c r="BS1561" t="s">
        <v>2422</v>
      </c>
      <c r="BT1561">
        <v>5</v>
      </c>
      <c r="BU1561">
        <v>12</v>
      </c>
      <c r="BV1561">
        <v>9</v>
      </c>
      <c r="BX1561">
        <v>5.5</v>
      </c>
      <c r="BZ1561">
        <v>5.12</v>
      </c>
      <c r="CM1561">
        <v>1911</v>
      </c>
    </row>
    <row r="1562" spans="1:91" x14ac:dyDescent="0.3">
      <c r="A1562" t="s">
        <v>2424</v>
      </c>
      <c r="B1562">
        <v>49923</v>
      </c>
      <c r="D1562">
        <v>12</v>
      </c>
      <c r="I1562">
        <v>793900</v>
      </c>
      <c r="J1562" t="s">
        <v>800</v>
      </c>
      <c r="V1562" t="s">
        <v>350</v>
      </c>
      <c r="Y1562">
        <v>100</v>
      </c>
      <c r="AA1562">
        <v>100.5</v>
      </c>
      <c r="AC1562" s="3">
        <v>101</v>
      </c>
      <c r="AE1562" s="3">
        <v>100.5</v>
      </c>
      <c r="AI1562">
        <v>100.5</v>
      </c>
      <c r="AK1562" s="3"/>
      <c r="AV1562" t="s">
        <v>366</v>
      </c>
      <c r="AX1562" t="s">
        <v>366</v>
      </c>
      <c r="AZ1562" t="s">
        <v>366</v>
      </c>
      <c r="BB1562" t="s">
        <v>366</v>
      </c>
      <c r="BO1562" t="s">
        <v>367</v>
      </c>
      <c r="BR1562">
        <v>58755</v>
      </c>
      <c r="BS1562" t="s">
        <v>2422</v>
      </c>
      <c r="BT1562">
        <v>5</v>
      </c>
      <c r="BU1562">
        <v>0</v>
      </c>
      <c r="BV1562">
        <v>6</v>
      </c>
      <c r="BX1562">
        <v>105</v>
      </c>
      <c r="BZ1562">
        <v>100.5</v>
      </c>
      <c r="CM1562">
        <v>1911</v>
      </c>
    </row>
    <row r="1563" spans="1:91" x14ac:dyDescent="0.3">
      <c r="A1563" t="s">
        <v>2425</v>
      </c>
      <c r="B1563">
        <v>40064</v>
      </c>
      <c r="D1563">
        <v>12</v>
      </c>
      <c r="I1563">
        <v>220334</v>
      </c>
      <c r="U1563">
        <v>1</v>
      </c>
      <c r="Y1563">
        <v>1</v>
      </c>
      <c r="AA1563">
        <v>0.68</v>
      </c>
      <c r="AC1563" s="3">
        <v>0.68</v>
      </c>
      <c r="AE1563" s="3">
        <v>0.65</v>
      </c>
      <c r="AI1563">
        <v>0.68</v>
      </c>
      <c r="AK1563" s="3"/>
      <c r="AV1563" t="s">
        <v>823</v>
      </c>
      <c r="AZ1563" t="s">
        <v>815</v>
      </c>
      <c r="BB1563" t="s">
        <v>815</v>
      </c>
      <c r="BG1563">
        <v>5</v>
      </c>
      <c r="BH1563">
        <v>5</v>
      </c>
      <c r="BI1563">
        <v>2.5</v>
      </c>
      <c r="BJ1563">
        <v>3</v>
      </c>
      <c r="BK1563" s="4">
        <v>2436</v>
      </c>
      <c r="BL1563" s="4">
        <v>2617</v>
      </c>
      <c r="BM1563" s="4">
        <v>3744</v>
      </c>
      <c r="BN1563" s="4">
        <v>4109</v>
      </c>
      <c r="BR1563">
        <v>73631</v>
      </c>
      <c r="BS1563" t="s">
        <v>2426</v>
      </c>
      <c r="BT1563">
        <v>4</v>
      </c>
      <c r="BU1563">
        <v>7</v>
      </c>
      <c r="BV1563">
        <v>3</v>
      </c>
      <c r="BX1563">
        <v>0.9</v>
      </c>
      <c r="BZ1563">
        <v>0.59</v>
      </c>
      <c r="CK1563" t="s">
        <v>360</v>
      </c>
      <c r="CM1563">
        <v>1911</v>
      </c>
    </row>
    <row r="1564" spans="1:91" x14ac:dyDescent="0.3">
      <c r="A1564" t="s">
        <v>2425</v>
      </c>
      <c r="B1564">
        <v>40065</v>
      </c>
      <c r="C1564" t="s">
        <v>943</v>
      </c>
      <c r="D1564">
        <v>12</v>
      </c>
      <c r="I1564">
        <v>125000</v>
      </c>
      <c r="U1564">
        <v>1</v>
      </c>
      <c r="Y1564">
        <v>1</v>
      </c>
      <c r="AA1564">
        <v>1</v>
      </c>
      <c r="AC1564" s="3">
        <v>1.03</v>
      </c>
      <c r="AE1564" s="3">
        <v>1</v>
      </c>
      <c r="AI1564">
        <v>1</v>
      </c>
      <c r="AK1564" s="3"/>
      <c r="AV1564" t="s">
        <v>370</v>
      </c>
      <c r="AX1564" t="s">
        <v>370</v>
      </c>
      <c r="AZ1564" t="s">
        <v>370</v>
      </c>
      <c r="BB1564" t="s">
        <v>370</v>
      </c>
      <c r="BO1564" t="s">
        <v>367</v>
      </c>
      <c r="BR1564">
        <v>73631</v>
      </c>
      <c r="BS1564" t="s">
        <v>2426</v>
      </c>
      <c r="BT1564">
        <v>6</v>
      </c>
      <c r="BU1564">
        <v>0</v>
      </c>
      <c r="BV1564">
        <v>0</v>
      </c>
      <c r="BY1564" t="s">
        <v>385</v>
      </c>
      <c r="CA1564" t="s">
        <v>385</v>
      </c>
      <c r="CM1564">
        <v>1911</v>
      </c>
    </row>
    <row r="1565" spans="1:91" x14ac:dyDescent="0.3">
      <c r="A1565" t="s">
        <v>2425</v>
      </c>
      <c r="B1565">
        <v>40066</v>
      </c>
      <c r="C1565" t="s">
        <v>2427</v>
      </c>
      <c r="D1565">
        <v>12</v>
      </c>
      <c r="I1565">
        <v>200000</v>
      </c>
      <c r="J1565" t="s">
        <v>800</v>
      </c>
      <c r="U1565">
        <v>100</v>
      </c>
      <c r="Y1565">
        <v>100</v>
      </c>
      <c r="AA1565">
        <v>102</v>
      </c>
      <c r="AC1565" s="3">
        <v>102</v>
      </c>
      <c r="AE1565" s="3">
        <v>102</v>
      </c>
      <c r="AI1565">
        <v>102</v>
      </c>
      <c r="AK1565" s="3"/>
      <c r="AV1565" t="s">
        <v>370</v>
      </c>
      <c r="AX1565" t="s">
        <v>370</v>
      </c>
      <c r="AZ1565" t="s">
        <v>370</v>
      </c>
      <c r="BB1565" t="s">
        <v>370</v>
      </c>
      <c r="BO1565" t="s">
        <v>367</v>
      </c>
      <c r="BR1565">
        <v>73631</v>
      </c>
      <c r="BS1565" t="s">
        <v>2426</v>
      </c>
      <c r="BT1565">
        <v>5</v>
      </c>
      <c r="BU1565">
        <v>0</v>
      </c>
      <c r="BV1565">
        <v>6</v>
      </c>
      <c r="BX1565">
        <v>102</v>
      </c>
      <c r="BZ1565">
        <v>98</v>
      </c>
      <c r="CM1565">
        <v>1911</v>
      </c>
    </row>
    <row r="1566" spans="1:91" x14ac:dyDescent="0.3">
      <c r="A1566" t="s">
        <v>2428</v>
      </c>
      <c r="B1566">
        <v>40162</v>
      </c>
      <c r="D1566">
        <v>12</v>
      </c>
      <c r="I1566">
        <v>600000</v>
      </c>
      <c r="J1566" t="s">
        <v>800</v>
      </c>
      <c r="V1566" t="s">
        <v>350</v>
      </c>
      <c r="Y1566">
        <v>100</v>
      </c>
      <c r="AA1566">
        <v>92</v>
      </c>
      <c r="AC1566" s="3">
        <v>93</v>
      </c>
      <c r="AE1566" s="3">
        <v>91.75</v>
      </c>
      <c r="AI1566">
        <v>92</v>
      </c>
      <c r="AK1566" s="3"/>
      <c r="BG1566">
        <v>4.5</v>
      </c>
      <c r="BH1566">
        <v>4.5</v>
      </c>
      <c r="BI1566">
        <v>4.5</v>
      </c>
      <c r="BJ1566">
        <v>4.5</v>
      </c>
      <c r="BK1566" s="4">
        <v>3774</v>
      </c>
      <c r="BL1566" s="4">
        <v>3958</v>
      </c>
      <c r="BM1566" s="4">
        <v>4139</v>
      </c>
      <c r="BN1566" s="4">
        <v>4323</v>
      </c>
      <c r="BR1566">
        <v>83443</v>
      </c>
      <c r="BS1566" t="s">
        <v>2429</v>
      </c>
      <c r="BT1566">
        <v>4</v>
      </c>
      <c r="BU1566">
        <v>18</v>
      </c>
      <c r="BV1566">
        <v>3</v>
      </c>
      <c r="BX1566">
        <v>94.5</v>
      </c>
      <c r="BZ1566">
        <v>90</v>
      </c>
      <c r="CK1566" t="s">
        <v>360</v>
      </c>
      <c r="CM1566">
        <v>1911</v>
      </c>
    </row>
    <row r="1567" spans="1:91" x14ac:dyDescent="0.3">
      <c r="A1567" t="s">
        <v>2430</v>
      </c>
      <c r="B1567">
        <v>40164</v>
      </c>
      <c r="C1567" t="s">
        <v>2431</v>
      </c>
      <c r="D1567">
        <v>12</v>
      </c>
      <c r="I1567">
        <v>200000</v>
      </c>
      <c r="J1567" t="s">
        <v>800</v>
      </c>
      <c r="V1567" t="s">
        <v>350</v>
      </c>
      <c r="Y1567">
        <v>100</v>
      </c>
      <c r="AA1567">
        <v>94</v>
      </c>
      <c r="AC1567" s="3">
        <v>95</v>
      </c>
      <c r="AE1567" s="3">
        <v>93.75</v>
      </c>
      <c r="AI1567">
        <v>95</v>
      </c>
      <c r="AK1567" s="3"/>
      <c r="AX1567" t="s">
        <v>823</v>
      </c>
      <c r="BB1567" t="s">
        <v>823</v>
      </c>
      <c r="BG1567">
        <v>4</v>
      </c>
      <c r="BH1567">
        <v>3</v>
      </c>
      <c r="BI1567">
        <v>6</v>
      </c>
      <c r="BJ1567">
        <v>3</v>
      </c>
      <c r="BK1567" s="4">
        <v>3774</v>
      </c>
      <c r="BL1567" s="4">
        <v>3958</v>
      </c>
      <c r="BM1567" s="4">
        <v>4139</v>
      </c>
      <c r="BN1567" s="4">
        <v>4323</v>
      </c>
      <c r="BR1567">
        <v>83443</v>
      </c>
      <c r="BS1567" t="s">
        <v>2429</v>
      </c>
      <c r="BT1567">
        <v>4</v>
      </c>
      <c r="BU1567">
        <v>14</v>
      </c>
      <c r="BV1567">
        <v>9</v>
      </c>
      <c r="BX1567">
        <v>95</v>
      </c>
      <c r="BZ1567">
        <v>75</v>
      </c>
      <c r="CM1567">
        <v>1911</v>
      </c>
    </row>
    <row r="1568" spans="1:91" x14ac:dyDescent="0.3">
      <c r="A1568" t="s">
        <v>2432</v>
      </c>
      <c r="B1568">
        <v>40163</v>
      </c>
      <c r="C1568" t="s">
        <v>1176</v>
      </c>
      <c r="D1568">
        <v>12</v>
      </c>
      <c r="I1568">
        <v>302695</v>
      </c>
      <c r="J1568" t="s">
        <v>800</v>
      </c>
      <c r="V1568" t="s">
        <v>350</v>
      </c>
      <c r="Y1568">
        <v>100</v>
      </c>
      <c r="AA1568">
        <v>96</v>
      </c>
      <c r="AB1568" t="s">
        <v>379</v>
      </c>
      <c r="AC1568" s="3">
        <v>96</v>
      </c>
      <c r="AE1568" s="3">
        <v>96</v>
      </c>
      <c r="AI1568">
        <v>96</v>
      </c>
      <c r="AK1568" s="3"/>
      <c r="AV1568" t="s">
        <v>421</v>
      </c>
      <c r="AX1568" t="s">
        <v>421</v>
      </c>
      <c r="AZ1568" t="s">
        <v>421</v>
      </c>
      <c r="BB1568" t="s">
        <v>421</v>
      </c>
      <c r="BO1568" t="s">
        <v>367</v>
      </c>
      <c r="BR1568">
        <v>83443</v>
      </c>
      <c r="BS1568" t="s">
        <v>2429</v>
      </c>
      <c r="BT1568">
        <v>4</v>
      </c>
      <c r="BU1568">
        <v>3</v>
      </c>
      <c r="BV1568">
        <v>9</v>
      </c>
      <c r="BX1568">
        <v>98</v>
      </c>
      <c r="BZ1568">
        <v>95.5</v>
      </c>
      <c r="CM1568">
        <v>1911</v>
      </c>
    </row>
    <row r="1569" spans="1:91" x14ac:dyDescent="0.3">
      <c r="A1569" t="s">
        <v>2433</v>
      </c>
      <c r="B1569">
        <v>40165</v>
      </c>
      <c r="D1569">
        <v>12</v>
      </c>
      <c r="I1569">
        <v>300000</v>
      </c>
      <c r="J1569" t="s">
        <v>800</v>
      </c>
      <c r="V1569" t="s">
        <v>350</v>
      </c>
      <c r="Y1569">
        <v>100</v>
      </c>
      <c r="AA1569">
        <v>318</v>
      </c>
      <c r="AC1569" s="3">
        <v>318</v>
      </c>
      <c r="AE1569" s="3">
        <v>318</v>
      </c>
      <c r="AI1569">
        <v>318</v>
      </c>
      <c r="AK1569" s="3"/>
      <c r="AX1569" t="s">
        <v>823</v>
      </c>
      <c r="BB1569" t="s">
        <v>823</v>
      </c>
      <c r="BG1569">
        <v>13</v>
      </c>
      <c r="BH1569">
        <v>13</v>
      </c>
      <c r="BI1569">
        <v>13</v>
      </c>
      <c r="BJ1569">
        <v>15</v>
      </c>
      <c r="BK1569" s="4">
        <v>3744</v>
      </c>
      <c r="BL1569" s="4">
        <v>3927</v>
      </c>
      <c r="BM1569" s="4">
        <v>4109</v>
      </c>
      <c r="BN1569" s="4">
        <v>4292</v>
      </c>
      <c r="BR1569">
        <v>537857</v>
      </c>
      <c r="BS1569" t="s">
        <v>2434</v>
      </c>
      <c r="BT1569">
        <v>4</v>
      </c>
      <c r="BU1569">
        <v>8</v>
      </c>
      <c r="BV1569">
        <v>6</v>
      </c>
      <c r="BX1569">
        <v>325</v>
      </c>
      <c r="BZ1569">
        <v>284</v>
      </c>
      <c r="CK1569" t="s">
        <v>1867</v>
      </c>
      <c r="CM1569">
        <v>1911</v>
      </c>
    </row>
    <row r="1570" spans="1:91" x14ac:dyDescent="0.3">
      <c r="A1570" t="s">
        <v>2433</v>
      </c>
      <c r="B1570">
        <v>40166</v>
      </c>
      <c r="C1570" t="s">
        <v>2435</v>
      </c>
      <c r="D1570">
        <v>12</v>
      </c>
      <c r="I1570">
        <v>700000</v>
      </c>
      <c r="J1570" t="s">
        <v>800</v>
      </c>
      <c r="V1570" t="s">
        <v>350</v>
      </c>
      <c r="Y1570">
        <v>100</v>
      </c>
      <c r="AA1570">
        <v>103.5</v>
      </c>
      <c r="AC1570" s="3">
        <v>103.5</v>
      </c>
      <c r="AE1570" s="3">
        <v>103.5</v>
      </c>
      <c r="AI1570">
        <v>103.5</v>
      </c>
      <c r="AK1570" s="3"/>
      <c r="AV1570" t="s">
        <v>536</v>
      </c>
      <c r="AX1570" t="s">
        <v>536</v>
      </c>
      <c r="AZ1570" t="s">
        <v>536</v>
      </c>
      <c r="BB1570" t="s">
        <v>536</v>
      </c>
      <c r="BO1570" t="s">
        <v>367</v>
      </c>
      <c r="BR1570">
        <v>537857</v>
      </c>
      <c r="BS1570" t="s">
        <v>2434</v>
      </c>
      <c r="BT1570">
        <v>4</v>
      </c>
      <c r="BU1570">
        <v>3</v>
      </c>
      <c r="BV1570">
        <v>0</v>
      </c>
      <c r="BX1570">
        <v>105</v>
      </c>
      <c r="BZ1570">
        <v>101</v>
      </c>
      <c r="CM1570">
        <v>1911</v>
      </c>
    </row>
    <row r="1571" spans="1:91" x14ac:dyDescent="0.3">
      <c r="A1571" t="s">
        <v>2436</v>
      </c>
      <c r="B1571">
        <v>40259</v>
      </c>
      <c r="D1571">
        <v>12</v>
      </c>
      <c r="I1571">
        <v>500000</v>
      </c>
      <c r="J1571" t="s">
        <v>800</v>
      </c>
      <c r="V1571" t="s">
        <v>350</v>
      </c>
      <c r="Y1571">
        <v>100</v>
      </c>
      <c r="AA1571">
        <v>111</v>
      </c>
      <c r="AC1571" s="3">
        <v>111</v>
      </c>
      <c r="AE1571" s="3">
        <v>110</v>
      </c>
      <c r="AI1571">
        <v>111</v>
      </c>
      <c r="AK1571" s="3"/>
      <c r="BG1571">
        <v>5</v>
      </c>
      <c r="BH1571">
        <v>5</v>
      </c>
      <c r="BI1571">
        <v>5</v>
      </c>
      <c r="BJ1571">
        <v>5</v>
      </c>
      <c r="BK1571" s="4">
        <v>3713</v>
      </c>
      <c r="BL1571" s="4">
        <v>3897</v>
      </c>
      <c r="BM1571" s="4">
        <v>4078</v>
      </c>
      <c r="BN1571" s="4">
        <v>4262</v>
      </c>
      <c r="BR1571">
        <v>267633</v>
      </c>
      <c r="BS1571" t="s">
        <v>2437</v>
      </c>
      <c r="BT1571">
        <v>4</v>
      </c>
      <c r="BU1571">
        <v>11</v>
      </c>
      <c r="BV1571">
        <v>6</v>
      </c>
      <c r="BX1571">
        <v>115</v>
      </c>
      <c r="BZ1571">
        <v>109</v>
      </c>
      <c r="CK1571" t="s">
        <v>360</v>
      </c>
      <c r="CM1571">
        <v>1911</v>
      </c>
    </row>
    <row r="1572" spans="1:91" x14ac:dyDescent="0.3">
      <c r="A1572" t="s">
        <v>2436</v>
      </c>
      <c r="B1572">
        <v>40261</v>
      </c>
      <c r="C1572" t="s">
        <v>2301</v>
      </c>
      <c r="D1572">
        <v>12</v>
      </c>
      <c r="I1572">
        <v>500000</v>
      </c>
      <c r="J1572" t="s">
        <v>800</v>
      </c>
      <c r="V1572" t="s">
        <v>350</v>
      </c>
      <c r="Y1572">
        <v>100</v>
      </c>
      <c r="AA1572">
        <v>127</v>
      </c>
      <c r="AC1572" s="3">
        <v>127</v>
      </c>
      <c r="AE1572" s="3">
        <v>127</v>
      </c>
      <c r="AI1572">
        <v>127</v>
      </c>
      <c r="AK1572" s="3"/>
      <c r="AX1572" t="s">
        <v>823</v>
      </c>
      <c r="BB1572" t="s">
        <v>823</v>
      </c>
      <c r="BG1572">
        <v>9</v>
      </c>
      <c r="BH1572">
        <v>5</v>
      </c>
      <c r="BI1572">
        <v>10</v>
      </c>
      <c r="BJ1572">
        <v>5</v>
      </c>
      <c r="BK1572" s="4">
        <v>3713</v>
      </c>
      <c r="BL1572" s="4">
        <v>3897</v>
      </c>
      <c r="BM1572" s="4">
        <v>4078</v>
      </c>
      <c r="BN1572" s="4">
        <v>4262</v>
      </c>
      <c r="BR1572">
        <v>267633</v>
      </c>
      <c r="BS1572" t="s">
        <v>2437</v>
      </c>
      <c r="BT1572">
        <v>5</v>
      </c>
      <c r="BU1572">
        <v>18</v>
      </c>
      <c r="BV1572">
        <v>0</v>
      </c>
      <c r="BX1572">
        <v>135</v>
      </c>
      <c r="BZ1572">
        <v>119</v>
      </c>
      <c r="CM1572">
        <v>1911</v>
      </c>
    </row>
    <row r="1573" spans="1:91" x14ac:dyDescent="0.3">
      <c r="A1573" t="s">
        <v>2436</v>
      </c>
      <c r="B1573">
        <v>40262</v>
      </c>
      <c r="C1573" t="s">
        <v>1176</v>
      </c>
      <c r="D1573">
        <v>12</v>
      </c>
      <c r="I1573">
        <v>500000</v>
      </c>
      <c r="J1573" t="s">
        <v>800</v>
      </c>
      <c r="V1573" t="s">
        <v>350</v>
      </c>
      <c r="Y1573">
        <v>100</v>
      </c>
      <c r="AA1573">
        <v>101</v>
      </c>
      <c r="AB1573" t="s">
        <v>379</v>
      </c>
      <c r="AC1573" s="3">
        <v>101</v>
      </c>
      <c r="AE1573" s="3">
        <v>101</v>
      </c>
      <c r="AI1573">
        <v>101</v>
      </c>
      <c r="AK1573" s="3"/>
      <c r="AV1573" t="s">
        <v>421</v>
      </c>
      <c r="AX1573" t="s">
        <v>421</v>
      </c>
      <c r="AZ1573" t="s">
        <v>421</v>
      </c>
      <c r="BB1573" t="s">
        <v>421</v>
      </c>
      <c r="BO1573" t="s">
        <v>367</v>
      </c>
      <c r="BR1573">
        <v>267633</v>
      </c>
      <c r="BS1573" t="s">
        <v>2437</v>
      </c>
      <c r="BT1573">
        <v>3</v>
      </c>
      <c r="BU1573">
        <v>19</v>
      </c>
      <c r="BV1573">
        <v>6</v>
      </c>
      <c r="BX1573">
        <v>103</v>
      </c>
      <c r="BZ1573">
        <v>99</v>
      </c>
      <c r="CM1573">
        <v>1911</v>
      </c>
    </row>
    <row r="1574" spans="1:91" x14ac:dyDescent="0.3">
      <c r="A1574" t="s">
        <v>2438</v>
      </c>
      <c r="B1574">
        <v>40325</v>
      </c>
      <c r="D1574">
        <v>12</v>
      </c>
      <c r="I1574">
        <v>350000</v>
      </c>
      <c r="J1574" t="s">
        <v>800</v>
      </c>
      <c r="V1574" t="s">
        <v>350</v>
      </c>
      <c r="Y1574">
        <v>100</v>
      </c>
      <c r="AA1574">
        <v>124</v>
      </c>
      <c r="AC1574" s="3">
        <v>124</v>
      </c>
      <c r="AE1574" s="3">
        <v>124</v>
      </c>
      <c r="AI1574">
        <v>124</v>
      </c>
      <c r="AK1574" s="3"/>
      <c r="AX1574" t="s">
        <v>823</v>
      </c>
      <c r="AZ1574" t="s">
        <v>2439</v>
      </c>
      <c r="BB1574" t="s">
        <v>823</v>
      </c>
      <c r="BG1574">
        <v>7</v>
      </c>
      <c r="BH1574">
        <v>7</v>
      </c>
      <c r="BI1574">
        <v>7</v>
      </c>
      <c r="BJ1574">
        <v>7</v>
      </c>
      <c r="BK1574" s="4">
        <v>3774</v>
      </c>
      <c r="BL1574" s="4">
        <v>3958</v>
      </c>
      <c r="BM1574" s="4">
        <v>4139</v>
      </c>
      <c r="BN1574" s="4">
        <v>4323</v>
      </c>
      <c r="BR1574">
        <v>210504</v>
      </c>
      <c r="BS1574" t="s">
        <v>2440</v>
      </c>
      <c r="BT1574">
        <v>5</v>
      </c>
      <c r="BU1574">
        <v>13</v>
      </c>
      <c r="BV1574">
        <v>0</v>
      </c>
      <c r="BX1574">
        <v>132</v>
      </c>
      <c r="BZ1574">
        <v>117</v>
      </c>
      <c r="CK1574" t="s">
        <v>360</v>
      </c>
      <c r="CM1574">
        <v>1911</v>
      </c>
    </row>
    <row r="1575" spans="1:91" x14ac:dyDescent="0.3">
      <c r="A1575" t="s">
        <v>2441</v>
      </c>
      <c r="B1575">
        <v>40328</v>
      </c>
      <c r="C1575" t="s">
        <v>2442</v>
      </c>
      <c r="D1575">
        <v>12</v>
      </c>
      <c r="I1575">
        <v>413085</v>
      </c>
      <c r="J1575" t="s">
        <v>800</v>
      </c>
      <c r="V1575" t="s">
        <v>350</v>
      </c>
      <c r="Y1575">
        <v>100</v>
      </c>
      <c r="AA1575">
        <v>89</v>
      </c>
      <c r="AC1575" s="3">
        <v>89.5</v>
      </c>
      <c r="AE1575" s="3">
        <v>88</v>
      </c>
      <c r="AI1575">
        <v>89</v>
      </c>
      <c r="AK1575" s="3"/>
      <c r="AV1575" t="s">
        <v>373</v>
      </c>
      <c r="AX1575" t="s">
        <v>373</v>
      </c>
      <c r="AZ1575" t="s">
        <v>373</v>
      </c>
      <c r="BB1575" t="s">
        <v>373</v>
      </c>
      <c r="BO1575" t="s">
        <v>367</v>
      </c>
      <c r="BR1575">
        <v>210504</v>
      </c>
      <c r="BS1575" t="s">
        <v>2440</v>
      </c>
      <c r="BT1575">
        <v>4</v>
      </c>
      <c r="BU1575">
        <v>17</v>
      </c>
      <c r="BV1575">
        <v>0</v>
      </c>
      <c r="BX1575">
        <v>90</v>
      </c>
      <c r="BZ1575">
        <v>86</v>
      </c>
      <c r="CM1575">
        <v>1911</v>
      </c>
    </row>
    <row r="1576" spans="1:91" x14ac:dyDescent="0.3">
      <c r="A1576" t="s">
        <v>2441</v>
      </c>
      <c r="B1576">
        <v>40327</v>
      </c>
      <c r="C1576" t="s">
        <v>1071</v>
      </c>
      <c r="D1576">
        <v>12</v>
      </c>
      <c r="I1576">
        <v>568468</v>
      </c>
      <c r="J1576" t="s">
        <v>800</v>
      </c>
      <c r="V1576" t="s">
        <v>350</v>
      </c>
      <c r="Y1576">
        <v>100</v>
      </c>
      <c r="AA1576">
        <v>95</v>
      </c>
      <c r="AC1576" s="3">
        <v>95</v>
      </c>
      <c r="AE1576" s="3">
        <v>93</v>
      </c>
      <c r="AI1576">
        <v>93</v>
      </c>
      <c r="AJ1576" t="s">
        <v>379</v>
      </c>
      <c r="AK1576" s="3"/>
      <c r="AV1576" t="s">
        <v>370</v>
      </c>
      <c r="AX1576" t="s">
        <v>370</v>
      </c>
      <c r="AZ1576" t="s">
        <v>370</v>
      </c>
      <c r="BB1576" t="s">
        <v>370</v>
      </c>
      <c r="BO1576" t="s">
        <v>367</v>
      </c>
      <c r="BR1576">
        <v>210504</v>
      </c>
      <c r="BS1576" t="s">
        <v>2440</v>
      </c>
      <c r="BT1576">
        <v>4</v>
      </c>
      <c r="BU1576">
        <v>6</v>
      </c>
      <c r="BV1576">
        <v>0</v>
      </c>
      <c r="BX1576">
        <v>98.25</v>
      </c>
      <c r="BZ1576">
        <v>93</v>
      </c>
      <c r="CM1576">
        <v>1911</v>
      </c>
    </row>
    <row r="1577" spans="1:91" x14ac:dyDescent="0.3">
      <c r="A1577" t="s">
        <v>2443</v>
      </c>
      <c r="B1577">
        <v>40469</v>
      </c>
      <c r="D1577">
        <v>12</v>
      </c>
      <c r="I1577">
        <v>360000</v>
      </c>
      <c r="J1577" t="s">
        <v>800</v>
      </c>
      <c r="V1577" t="s">
        <v>350</v>
      </c>
      <c r="Y1577">
        <v>100</v>
      </c>
      <c r="AA1577">
        <v>106</v>
      </c>
      <c r="AC1577" s="3">
        <v>108</v>
      </c>
      <c r="AE1577" s="3">
        <v>105.5</v>
      </c>
      <c r="AI1577">
        <v>107</v>
      </c>
      <c r="AK1577" s="3"/>
      <c r="BG1577">
        <v>5</v>
      </c>
      <c r="BH1577">
        <v>5</v>
      </c>
      <c r="BI1577">
        <v>5</v>
      </c>
      <c r="BJ1577">
        <v>5</v>
      </c>
      <c r="BK1577" s="4">
        <v>3805</v>
      </c>
      <c r="BL1577" s="4">
        <v>3988</v>
      </c>
      <c r="BM1577" s="4">
        <v>4170</v>
      </c>
      <c r="BN1577" s="4">
        <v>4353</v>
      </c>
      <c r="BR1577">
        <v>65996</v>
      </c>
      <c r="BS1577" t="s">
        <v>2444</v>
      </c>
      <c r="BT1577">
        <v>4</v>
      </c>
      <c r="BU1577">
        <v>13</v>
      </c>
      <c r="BV1577">
        <v>6</v>
      </c>
      <c r="BX1577">
        <v>108</v>
      </c>
      <c r="BZ1577">
        <v>104</v>
      </c>
      <c r="CK1577" t="s">
        <v>360</v>
      </c>
      <c r="CM1577">
        <v>1911</v>
      </c>
    </row>
    <row r="1578" spans="1:91" x14ac:dyDescent="0.3">
      <c r="A1578" t="s">
        <v>2445</v>
      </c>
      <c r="B1578">
        <v>40471</v>
      </c>
      <c r="C1578" t="s">
        <v>2431</v>
      </c>
      <c r="D1578">
        <v>12</v>
      </c>
      <c r="I1578">
        <v>200000</v>
      </c>
      <c r="J1578" t="s">
        <v>800</v>
      </c>
      <c r="V1578" t="s">
        <v>350</v>
      </c>
      <c r="Y1578">
        <v>100</v>
      </c>
      <c r="AA1578">
        <v>161.5</v>
      </c>
      <c r="AC1578" s="3">
        <v>165.5</v>
      </c>
      <c r="AE1578" s="3">
        <v>159.5</v>
      </c>
      <c r="AI1578">
        <v>159.5</v>
      </c>
      <c r="AJ1578" t="s">
        <v>379</v>
      </c>
      <c r="AK1578" s="3"/>
      <c r="AV1578" t="s">
        <v>823</v>
      </c>
      <c r="AZ1578" t="s">
        <v>823</v>
      </c>
      <c r="BG1578">
        <v>5</v>
      </c>
      <c r="BH1578">
        <v>10</v>
      </c>
      <c r="BI1578">
        <v>5</v>
      </c>
      <c r="BJ1578">
        <v>12</v>
      </c>
      <c r="BK1578" s="4">
        <v>3805</v>
      </c>
      <c r="BL1578" s="4">
        <v>3988</v>
      </c>
      <c r="BM1578" s="4">
        <v>4170</v>
      </c>
      <c r="BN1578" s="4">
        <v>4353</v>
      </c>
      <c r="BR1578">
        <v>65996</v>
      </c>
      <c r="BS1578" t="s">
        <v>2444</v>
      </c>
      <c r="BT1578">
        <v>5</v>
      </c>
      <c r="BU1578">
        <v>6</v>
      </c>
      <c r="BV1578">
        <v>6</v>
      </c>
      <c r="BX1578">
        <v>165.5</v>
      </c>
      <c r="BZ1578">
        <v>133.5</v>
      </c>
      <c r="CM1578">
        <v>1911</v>
      </c>
    </row>
    <row r="1579" spans="1:91" x14ac:dyDescent="0.3">
      <c r="A1579" t="s">
        <v>2445</v>
      </c>
      <c r="B1579">
        <v>40470</v>
      </c>
      <c r="C1579" t="s">
        <v>974</v>
      </c>
      <c r="D1579">
        <v>12</v>
      </c>
      <c r="I1579">
        <v>400000</v>
      </c>
      <c r="J1579" t="s">
        <v>800</v>
      </c>
      <c r="V1579" t="s">
        <v>350</v>
      </c>
      <c r="Y1579">
        <v>100</v>
      </c>
      <c r="AA1579">
        <v>100</v>
      </c>
      <c r="AC1579" s="3">
        <v>100</v>
      </c>
      <c r="AE1579" s="3">
        <v>99.5</v>
      </c>
      <c r="AI1579">
        <v>100</v>
      </c>
      <c r="AK1579" s="3"/>
      <c r="AV1579" t="s">
        <v>370</v>
      </c>
      <c r="AX1579" t="s">
        <v>370</v>
      </c>
      <c r="AZ1579" t="s">
        <v>370</v>
      </c>
      <c r="BB1579" t="s">
        <v>370</v>
      </c>
      <c r="BO1579" t="s">
        <v>367</v>
      </c>
      <c r="BR1579">
        <v>65996</v>
      </c>
      <c r="BS1579" t="s">
        <v>2444</v>
      </c>
      <c r="BT1579">
        <v>4</v>
      </c>
      <c r="BU1579">
        <v>1</v>
      </c>
      <c r="BV1579">
        <v>9</v>
      </c>
      <c r="BX1579">
        <v>100</v>
      </c>
      <c r="BZ1579">
        <v>97.75</v>
      </c>
      <c r="CM1579">
        <v>1911</v>
      </c>
    </row>
    <row r="1580" spans="1:91" x14ac:dyDescent="0.3">
      <c r="A1580" t="s">
        <v>2446</v>
      </c>
      <c r="B1580">
        <v>40787</v>
      </c>
      <c r="D1580">
        <v>12</v>
      </c>
      <c r="I1580">
        <v>900000</v>
      </c>
      <c r="J1580" t="s">
        <v>800</v>
      </c>
      <c r="V1580" t="s">
        <v>350</v>
      </c>
      <c r="Y1580">
        <v>100</v>
      </c>
      <c r="AA1580">
        <v>101</v>
      </c>
      <c r="AC1580" s="3">
        <v>101.25</v>
      </c>
      <c r="AE1580" s="3">
        <v>101</v>
      </c>
      <c r="AI1580">
        <v>101</v>
      </c>
      <c r="AK1580" s="3"/>
      <c r="BG1580">
        <v>4.5</v>
      </c>
      <c r="BH1580">
        <v>4.5</v>
      </c>
      <c r="BI1580">
        <v>4.5</v>
      </c>
      <c r="BJ1580">
        <v>4.5</v>
      </c>
      <c r="BK1580" s="4">
        <v>3774</v>
      </c>
      <c r="BL1580" s="4">
        <v>3958</v>
      </c>
      <c r="BM1580" s="4">
        <v>4139</v>
      </c>
      <c r="BN1580" s="4">
        <v>4323</v>
      </c>
      <c r="BR1580">
        <v>81002</v>
      </c>
      <c r="BS1580" t="s">
        <v>2447</v>
      </c>
      <c r="BT1580">
        <v>4</v>
      </c>
      <c r="BU1580">
        <v>9</v>
      </c>
      <c r="BV1580">
        <v>6</v>
      </c>
      <c r="BX1580">
        <v>103.75</v>
      </c>
      <c r="BZ1580">
        <v>99.5</v>
      </c>
      <c r="CK1580" t="s">
        <v>360</v>
      </c>
      <c r="CM1580">
        <v>1911</v>
      </c>
    </row>
    <row r="1581" spans="1:91" x14ac:dyDescent="0.3">
      <c r="A1581" t="s">
        <v>2446</v>
      </c>
      <c r="B1581">
        <v>40785</v>
      </c>
      <c r="C1581" t="s">
        <v>2301</v>
      </c>
      <c r="D1581">
        <v>12</v>
      </c>
      <c r="I1581">
        <v>900000</v>
      </c>
      <c r="J1581" t="s">
        <v>800</v>
      </c>
      <c r="V1581" t="s">
        <v>350</v>
      </c>
      <c r="Y1581">
        <v>100</v>
      </c>
      <c r="AA1581">
        <v>95</v>
      </c>
      <c r="AC1581" s="3">
        <v>95.5</v>
      </c>
      <c r="AE1581" s="3">
        <v>94</v>
      </c>
      <c r="AI1581">
        <v>95</v>
      </c>
      <c r="AK1581" s="3"/>
      <c r="AX1581" t="s">
        <v>823</v>
      </c>
      <c r="BB1581" t="s">
        <v>823</v>
      </c>
      <c r="BG1581">
        <v>5</v>
      </c>
      <c r="BH1581">
        <v>4</v>
      </c>
      <c r="BI1581">
        <v>6</v>
      </c>
      <c r="BJ1581">
        <v>4</v>
      </c>
      <c r="BK1581" s="4">
        <v>3774</v>
      </c>
      <c r="BL1581" s="4">
        <v>3958</v>
      </c>
      <c r="BM1581" s="4">
        <v>4139</v>
      </c>
      <c r="BN1581" s="4">
        <v>4323</v>
      </c>
      <c r="BR1581">
        <v>81002</v>
      </c>
      <c r="BS1581" t="s">
        <v>2447</v>
      </c>
      <c r="BT1581">
        <v>5</v>
      </c>
      <c r="BU1581">
        <v>5</v>
      </c>
      <c r="BV1581">
        <v>3</v>
      </c>
      <c r="BX1581">
        <v>97</v>
      </c>
      <c r="BZ1581">
        <v>88</v>
      </c>
      <c r="CM1581">
        <v>1911</v>
      </c>
    </row>
    <row r="1582" spans="1:91" x14ac:dyDescent="0.3">
      <c r="A1582" t="s">
        <v>2446</v>
      </c>
      <c r="B1582">
        <v>40786</v>
      </c>
      <c r="C1582" t="s">
        <v>974</v>
      </c>
      <c r="D1582">
        <v>12</v>
      </c>
      <c r="I1582">
        <v>900000</v>
      </c>
      <c r="J1582" t="s">
        <v>800</v>
      </c>
      <c r="V1582" t="s">
        <v>350</v>
      </c>
      <c r="Y1582">
        <v>100</v>
      </c>
      <c r="AA1582">
        <v>100</v>
      </c>
      <c r="AC1582" s="3">
        <v>100</v>
      </c>
      <c r="AE1582" s="3">
        <v>98</v>
      </c>
      <c r="AI1582">
        <v>98</v>
      </c>
      <c r="AJ1582" t="s">
        <v>379</v>
      </c>
      <c r="AK1582" s="3"/>
      <c r="AV1582" t="s">
        <v>370</v>
      </c>
      <c r="AX1582" t="s">
        <v>370</v>
      </c>
      <c r="AZ1582" t="s">
        <v>370</v>
      </c>
      <c r="BB1582" t="s">
        <v>370</v>
      </c>
      <c r="BO1582" t="s">
        <v>367</v>
      </c>
      <c r="BR1582">
        <v>81002</v>
      </c>
      <c r="BS1582" t="s">
        <v>2447</v>
      </c>
      <c r="BT1582">
        <v>4</v>
      </c>
      <c r="BU1582">
        <v>1</v>
      </c>
      <c r="BV1582">
        <v>9</v>
      </c>
      <c r="BX1582">
        <v>101.25</v>
      </c>
      <c r="BZ1582">
        <v>98</v>
      </c>
      <c r="CM1582">
        <v>1911</v>
      </c>
    </row>
    <row r="1583" spans="1:91" x14ac:dyDescent="0.3">
      <c r="A1583" t="s">
        <v>2448</v>
      </c>
      <c r="B1583">
        <v>41362</v>
      </c>
      <c r="D1583">
        <v>12</v>
      </c>
      <c r="I1583">
        <v>137440</v>
      </c>
      <c r="J1583" t="s">
        <v>800</v>
      </c>
      <c r="V1583" t="s">
        <v>350</v>
      </c>
      <c r="Y1583">
        <v>100</v>
      </c>
      <c r="AA1583">
        <v>80</v>
      </c>
      <c r="AC1583" s="3">
        <v>80</v>
      </c>
      <c r="AE1583" s="3">
        <v>80</v>
      </c>
      <c r="AI1583">
        <v>80</v>
      </c>
      <c r="AK1583" s="3"/>
      <c r="AV1583" t="s">
        <v>823</v>
      </c>
      <c r="AZ1583" t="s">
        <v>823</v>
      </c>
      <c r="BG1583">
        <v>5</v>
      </c>
      <c r="BH1583">
        <v>5</v>
      </c>
      <c r="BI1583">
        <v>5</v>
      </c>
      <c r="BJ1583">
        <v>5</v>
      </c>
      <c r="BK1583" s="4">
        <v>3685</v>
      </c>
      <c r="BL1583" s="4">
        <v>3866</v>
      </c>
      <c r="BM1583" s="4">
        <v>4050</v>
      </c>
      <c r="BN1583" s="4">
        <v>4231</v>
      </c>
      <c r="BR1583">
        <v>9019</v>
      </c>
      <c r="BT1583">
        <v>6</v>
      </c>
      <c r="BU1583">
        <v>6</v>
      </c>
      <c r="BV1583">
        <v>0</v>
      </c>
      <c r="BX1583">
        <v>83</v>
      </c>
      <c r="BZ1583">
        <v>64</v>
      </c>
      <c r="CK1583" t="s">
        <v>360</v>
      </c>
      <c r="CM1583">
        <v>1911</v>
      </c>
    </row>
    <row r="1584" spans="1:91" x14ac:dyDescent="0.3">
      <c r="A1584" t="s">
        <v>2449</v>
      </c>
      <c r="B1584">
        <v>41626</v>
      </c>
      <c r="D1584">
        <v>12</v>
      </c>
      <c r="I1584">
        <v>250000</v>
      </c>
      <c r="U1584">
        <v>1</v>
      </c>
      <c r="Y1584">
        <v>1</v>
      </c>
      <c r="AA1584">
        <v>1.1499999999999999</v>
      </c>
      <c r="AC1584" s="3">
        <v>1.18</v>
      </c>
      <c r="AE1584" s="3">
        <v>1.1499999999999999</v>
      </c>
      <c r="AI1584">
        <v>1.1499999999999999</v>
      </c>
      <c r="AK1584" s="3"/>
      <c r="BG1584">
        <v>5</v>
      </c>
      <c r="BH1584">
        <v>5</v>
      </c>
      <c r="BI1584">
        <v>5</v>
      </c>
      <c r="BJ1584">
        <v>6</v>
      </c>
      <c r="BK1584" s="4">
        <v>3774</v>
      </c>
      <c r="BL1584" s="4">
        <v>3958</v>
      </c>
      <c r="BM1584" s="4">
        <v>4139</v>
      </c>
      <c r="BN1584" s="4">
        <v>4323</v>
      </c>
      <c r="BR1584">
        <v>106190</v>
      </c>
      <c r="BT1584">
        <v>4</v>
      </c>
      <c r="BU1584">
        <v>15</v>
      </c>
      <c r="BV1584">
        <v>3</v>
      </c>
      <c r="BX1584">
        <v>1.18</v>
      </c>
      <c r="BZ1584">
        <v>1.03</v>
      </c>
      <c r="CM1584">
        <v>1911</v>
      </c>
    </row>
    <row r="1585" spans="1:91" x14ac:dyDescent="0.3">
      <c r="A1585" t="s">
        <v>2450</v>
      </c>
      <c r="B1585">
        <v>41484</v>
      </c>
      <c r="D1585">
        <v>12</v>
      </c>
      <c r="I1585">
        <v>900000</v>
      </c>
      <c r="J1585" t="s">
        <v>800</v>
      </c>
      <c r="V1585" t="s">
        <v>350</v>
      </c>
      <c r="Y1585">
        <v>100</v>
      </c>
      <c r="AA1585">
        <v>116</v>
      </c>
      <c r="AC1585" s="3">
        <v>116.37</v>
      </c>
      <c r="AE1585" s="3">
        <v>116</v>
      </c>
      <c r="AI1585">
        <v>116</v>
      </c>
      <c r="AK1585" s="3"/>
      <c r="AX1585" t="s">
        <v>823</v>
      </c>
      <c r="BB1585" t="s">
        <v>823</v>
      </c>
      <c r="BG1585">
        <v>5</v>
      </c>
      <c r="BH1585">
        <v>5</v>
      </c>
      <c r="BI1585">
        <v>5</v>
      </c>
      <c r="BJ1585">
        <v>5</v>
      </c>
      <c r="BK1585" s="4">
        <v>3685</v>
      </c>
      <c r="BL1585" s="4">
        <v>3866</v>
      </c>
      <c r="BM1585" s="4">
        <v>4050</v>
      </c>
      <c r="BN1585" s="4">
        <v>4231</v>
      </c>
      <c r="BR1585">
        <v>650248</v>
      </c>
      <c r="BS1585" t="s">
        <v>2451</v>
      </c>
      <c r="BT1585">
        <v>4</v>
      </c>
      <c r="BU1585">
        <v>7</v>
      </c>
      <c r="BV1585">
        <v>9</v>
      </c>
      <c r="BX1585">
        <v>118</v>
      </c>
      <c r="BZ1585">
        <v>115</v>
      </c>
      <c r="CK1585" t="s">
        <v>2452</v>
      </c>
      <c r="CM1585">
        <v>1911</v>
      </c>
    </row>
    <row r="1586" spans="1:91" x14ac:dyDescent="0.3">
      <c r="A1586" t="s">
        <v>2453</v>
      </c>
      <c r="B1586">
        <v>41486</v>
      </c>
      <c r="D1586">
        <v>12</v>
      </c>
      <c r="I1586">
        <v>600000</v>
      </c>
      <c r="J1586" t="s">
        <v>800</v>
      </c>
      <c r="V1586" t="s">
        <v>350</v>
      </c>
      <c r="Y1586">
        <v>100</v>
      </c>
      <c r="AA1586">
        <v>253.5</v>
      </c>
      <c r="AC1586" s="3">
        <v>253.5</v>
      </c>
      <c r="AE1586" s="3">
        <v>253.5</v>
      </c>
      <c r="AI1586">
        <v>253.5</v>
      </c>
      <c r="AK1586" s="3"/>
      <c r="AX1586" t="s">
        <v>823</v>
      </c>
      <c r="BB1586" t="s">
        <v>823</v>
      </c>
      <c r="BG1586">
        <v>12</v>
      </c>
      <c r="BH1586">
        <v>11</v>
      </c>
      <c r="BI1586">
        <v>13</v>
      </c>
      <c r="BJ1586">
        <v>12</v>
      </c>
      <c r="BK1586" s="4">
        <v>3685</v>
      </c>
      <c r="BL1586" s="4">
        <v>3866</v>
      </c>
      <c r="BM1586" s="4">
        <v>4050</v>
      </c>
      <c r="BN1586" s="4">
        <v>4231</v>
      </c>
      <c r="BR1586">
        <v>650248</v>
      </c>
      <c r="BS1586" t="s">
        <v>2451</v>
      </c>
      <c r="BT1586">
        <v>4</v>
      </c>
      <c r="BU1586">
        <v>19</v>
      </c>
      <c r="BV1586">
        <v>0</v>
      </c>
      <c r="BX1586">
        <v>253.5</v>
      </c>
      <c r="BZ1586">
        <v>226.5</v>
      </c>
      <c r="CM1586">
        <v>1911</v>
      </c>
    </row>
    <row r="1587" spans="1:91" x14ac:dyDescent="0.3">
      <c r="A1587" t="s">
        <v>2454</v>
      </c>
      <c r="B1587">
        <v>41485</v>
      </c>
      <c r="D1587">
        <v>12</v>
      </c>
      <c r="I1587" s="2">
        <v>1500000</v>
      </c>
      <c r="J1587" t="s">
        <v>800</v>
      </c>
      <c r="V1587" t="s">
        <v>350</v>
      </c>
      <c r="Y1587">
        <v>100</v>
      </c>
      <c r="AA1587">
        <v>101</v>
      </c>
      <c r="AC1587" s="3">
        <v>101</v>
      </c>
      <c r="AE1587" s="3">
        <v>99</v>
      </c>
      <c r="AI1587">
        <v>99</v>
      </c>
      <c r="AJ1587" t="s">
        <v>379</v>
      </c>
      <c r="AK1587" s="3"/>
      <c r="AV1587" t="s">
        <v>370</v>
      </c>
      <c r="AX1587" t="s">
        <v>370</v>
      </c>
      <c r="AZ1587" t="s">
        <v>370</v>
      </c>
      <c r="BB1587" t="s">
        <v>370</v>
      </c>
      <c r="BO1587" t="s">
        <v>367</v>
      </c>
      <c r="BR1587">
        <v>650248</v>
      </c>
      <c r="BS1587" t="s">
        <v>2451</v>
      </c>
      <c r="BT1587">
        <v>4</v>
      </c>
      <c r="BU1587">
        <v>0</v>
      </c>
      <c r="BV1587">
        <v>9</v>
      </c>
      <c r="BX1587">
        <v>103</v>
      </c>
      <c r="BZ1587">
        <v>99</v>
      </c>
      <c r="CM1587">
        <v>1911</v>
      </c>
    </row>
    <row r="1588" spans="1:91" x14ac:dyDescent="0.3">
      <c r="A1588" t="s">
        <v>2455</v>
      </c>
      <c r="B1588">
        <v>41512</v>
      </c>
      <c r="D1588">
        <v>12</v>
      </c>
      <c r="I1588">
        <v>250000</v>
      </c>
      <c r="J1588" t="s">
        <v>800</v>
      </c>
      <c r="V1588" t="s">
        <v>350</v>
      </c>
      <c r="Y1588">
        <v>100</v>
      </c>
      <c r="AA1588">
        <v>113</v>
      </c>
      <c r="AC1588" s="3">
        <v>114.62</v>
      </c>
      <c r="AE1588" s="3">
        <v>111</v>
      </c>
      <c r="AI1588">
        <v>111</v>
      </c>
      <c r="AJ1588" t="s">
        <v>379</v>
      </c>
      <c r="AK1588" s="3"/>
      <c r="BG1588">
        <v>6</v>
      </c>
      <c r="BH1588">
        <v>6</v>
      </c>
      <c r="BI1588">
        <v>6</v>
      </c>
      <c r="BJ1588">
        <v>6</v>
      </c>
      <c r="BK1588" s="4">
        <v>3654</v>
      </c>
      <c r="BL1588" s="4">
        <v>3835</v>
      </c>
      <c r="BM1588" s="4">
        <v>4019</v>
      </c>
      <c r="BN1588" s="4">
        <v>4200</v>
      </c>
      <c r="BR1588">
        <v>153099</v>
      </c>
      <c r="BS1588" t="s">
        <v>2456</v>
      </c>
      <c r="BT1588">
        <v>5</v>
      </c>
      <c r="BU1588">
        <v>8</v>
      </c>
      <c r="BV1588">
        <v>0</v>
      </c>
      <c r="BX1588">
        <v>114.62</v>
      </c>
      <c r="BZ1588">
        <v>108.75</v>
      </c>
      <c r="CK1588" t="s">
        <v>360</v>
      </c>
      <c r="CM1588">
        <v>1911</v>
      </c>
    </row>
    <row r="1589" spans="1:91" x14ac:dyDescent="0.3">
      <c r="A1589" t="s">
        <v>2457</v>
      </c>
      <c r="B1589">
        <v>41510</v>
      </c>
      <c r="D1589">
        <v>12</v>
      </c>
      <c r="I1589">
        <v>250000</v>
      </c>
      <c r="J1589" t="s">
        <v>800</v>
      </c>
      <c r="V1589" t="s">
        <v>350</v>
      </c>
      <c r="Y1589">
        <v>100</v>
      </c>
      <c r="AA1589">
        <v>77</v>
      </c>
      <c r="AC1589" s="3">
        <v>82</v>
      </c>
      <c r="AE1589" s="3">
        <v>88</v>
      </c>
      <c r="AI1589">
        <v>82</v>
      </c>
      <c r="AJ1589" t="s">
        <v>379</v>
      </c>
      <c r="AK1589" s="3"/>
      <c r="AV1589" t="s">
        <v>823</v>
      </c>
      <c r="AZ1589" t="s">
        <v>823</v>
      </c>
      <c r="BG1589">
        <v>4</v>
      </c>
      <c r="BH1589">
        <v>4</v>
      </c>
      <c r="BI1589">
        <v>4</v>
      </c>
      <c r="BJ1589">
        <v>6</v>
      </c>
      <c r="BK1589" s="4">
        <v>3654</v>
      </c>
      <c r="BL1589" s="4">
        <v>3835</v>
      </c>
      <c r="BM1589" s="4">
        <v>4019</v>
      </c>
      <c r="BN1589" s="4">
        <v>4200</v>
      </c>
      <c r="BR1589">
        <v>153099</v>
      </c>
      <c r="BS1589" t="s">
        <v>2456</v>
      </c>
      <c r="BT1589">
        <v>6</v>
      </c>
      <c r="BU1589">
        <v>2</v>
      </c>
      <c r="BV1589">
        <v>0</v>
      </c>
      <c r="BX1589">
        <v>82</v>
      </c>
      <c r="BZ1589">
        <v>65</v>
      </c>
      <c r="CM1589">
        <v>1911</v>
      </c>
    </row>
    <row r="1590" spans="1:91" x14ac:dyDescent="0.3">
      <c r="A1590" t="s">
        <v>2457</v>
      </c>
      <c r="B1590">
        <v>41514</v>
      </c>
      <c r="C1590" t="s">
        <v>2458</v>
      </c>
      <c r="D1590">
        <v>12</v>
      </c>
      <c r="I1590">
        <v>200000</v>
      </c>
      <c r="J1590" t="s">
        <v>800</v>
      </c>
      <c r="V1590" t="s">
        <v>350</v>
      </c>
      <c r="Y1590">
        <v>100</v>
      </c>
      <c r="AA1590">
        <v>102</v>
      </c>
      <c r="AC1590" s="3">
        <v>103</v>
      </c>
      <c r="AE1590" s="3">
        <v>101</v>
      </c>
      <c r="AI1590">
        <v>101</v>
      </c>
      <c r="AJ1590" t="s">
        <v>379</v>
      </c>
      <c r="AK1590" s="3"/>
      <c r="AV1590" t="s">
        <v>370</v>
      </c>
      <c r="AX1590" t="s">
        <v>370</v>
      </c>
      <c r="AZ1590" t="s">
        <v>370</v>
      </c>
      <c r="BB1590" t="s">
        <v>370</v>
      </c>
      <c r="BO1590" t="s">
        <v>367</v>
      </c>
      <c r="BR1590">
        <v>153099</v>
      </c>
      <c r="BS1590" t="s">
        <v>2456</v>
      </c>
      <c r="BT1590">
        <v>4</v>
      </c>
      <c r="BU1590">
        <v>9</v>
      </c>
      <c r="BV1590">
        <v>0</v>
      </c>
      <c r="BX1590">
        <v>103.75</v>
      </c>
      <c r="BZ1590">
        <v>101</v>
      </c>
      <c r="CM1590">
        <v>1911</v>
      </c>
    </row>
    <row r="1591" spans="1:91" x14ac:dyDescent="0.3">
      <c r="A1591" t="s">
        <v>2459</v>
      </c>
      <c r="B1591">
        <v>42210</v>
      </c>
      <c r="D1591">
        <v>12</v>
      </c>
      <c r="I1591">
        <v>799941</v>
      </c>
      <c r="J1591" t="s">
        <v>800</v>
      </c>
      <c r="V1591" t="s">
        <v>350</v>
      </c>
      <c r="Y1591">
        <v>100</v>
      </c>
      <c r="AA1591">
        <v>84</v>
      </c>
      <c r="AC1591" s="3">
        <v>84.75</v>
      </c>
      <c r="AE1591" s="3">
        <v>83.75</v>
      </c>
      <c r="AI1591">
        <v>84</v>
      </c>
      <c r="AK1591" s="3"/>
      <c r="BG1591">
        <v>4</v>
      </c>
      <c r="BH1591">
        <v>4</v>
      </c>
      <c r="BI1591">
        <v>4</v>
      </c>
      <c r="BJ1591">
        <v>4</v>
      </c>
      <c r="BK1591" s="4">
        <v>3685</v>
      </c>
      <c r="BL1591" s="4">
        <v>3866</v>
      </c>
      <c r="BM1591" s="4">
        <v>4050</v>
      </c>
      <c r="BN1591" s="4">
        <v>4231</v>
      </c>
      <c r="BR1591">
        <v>7171</v>
      </c>
      <c r="BS1591" t="s">
        <v>2460</v>
      </c>
      <c r="BT1591">
        <v>4</v>
      </c>
      <c r="BU1591">
        <v>17</v>
      </c>
      <c r="BV1591">
        <v>0</v>
      </c>
      <c r="BX1591">
        <v>86</v>
      </c>
      <c r="BZ1591">
        <v>81.25</v>
      </c>
      <c r="CK1591" t="s">
        <v>360</v>
      </c>
      <c r="CM1591">
        <v>1911</v>
      </c>
    </row>
    <row r="1592" spans="1:91" x14ac:dyDescent="0.3">
      <c r="A1592" t="s">
        <v>2459</v>
      </c>
      <c r="B1592">
        <v>42211</v>
      </c>
      <c r="C1592" t="s">
        <v>2461</v>
      </c>
      <c r="D1592">
        <v>12</v>
      </c>
      <c r="I1592">
        <v>671260</v>
      </c>
      <c r="J1592" t="s">
        <v>800</v>
      </c>
      <c r="V1592" t="s">
        <v>350</v>
      </c>
      <c r="Y1592">
        <v>100</v>
      </c>
      <c r="AA1592">
        <v>26</v>
      </c>
      <c r="AC1592" s="3">
        <v>26</v>
      </c>
      <c r="AE1592" s="3">
        <v>25.5</v>
      </c>
      <c r="AI1592">
        <v>26</v>
      </c>
      <c r="AK1592" s="3"/>
      <c r="BG1592">
        <v>1.5</v>
      </c>
      <c r="BH1592">
        <v>1.37</v>
      </c>
      <c r="BI1592">
        <v>1.5</v>
      </c>
      <c r="BJ1592">
        <v>1.37</v>
      </c>
      <c r="BK1592" s="4">
        <v>3685</v>
      </c>
      <c r="BL1592" s="4">
        <v>3866</v>
      </c>
      <c r="BM1592" s="4">
        <v>4050</v>
      </c>
      <c r="BN1592" s="4">
        <v>4231</v>
      </c>
      <c r="BR1592">
        <v>7171</v>
      </c>
      <c r="BS1592" t="s">
        <v>2460</v>
      </c>
      <c r="BT1592">
        <v>5</v>
      </c>
      <c r="BU1592">
        <v>10</v>
      </c>
      <c r="BV1592">
        <v>6</v>
      </c>
      <c r="BX1592">
        <v>27.25</v>
      </c>
      <c r="BZ1592">
        <v>24.5</v>
      </c>
      <c r="CM1592">
        <v>1911</v>
      </c>
    </row>
    <row r="1593" spans="1:91" x14ac:dyDescent="0.3">
      <c r="A1593" t="s">
        <v>2462</v>
      </c>
      <c r="B1593">
        <v>42319</v>
      </c>
      <c r="D1593">
        <v>12</v>
      </c>
      <c r="I1593">
        <v>250000</v>
      </c>
      <c r="J1593" t="s">
        <v>800</v>
      </c>
      <c r="V1593" t="s">
        <v>350</v>
      </c>
      <c r="Y1593">
        <v>100</v>
      </c>
      <c r="AA1593">
        <v>99</v>
      </c>
      <c r="AC1593" s="3">
        <v>100</v>
      </c>
      <c r="AE1593" s="3">
        <v>93</v>
      </c>
      <c r="AI1593">
        <v>99</v>
      </c>
      <c r="AK1593" s="3"/>
      <c r="AV1593" t="s">
        <v>385</v>
      </c>
      <c r="AX1593" t="s">
        <v>385</v>
      </c>
      <c r="AZ1593" t="s">
        <v>385</v>
      </c>
      <c r="BB1593" t="s">
        <v>815</v>
      </c>
      <c r="BJ1593">
        <v>7.5</v>
      </c>
      <c r="BL1593" t="s">
        <v>811</v>
      </c>
      <c r="BM1593" t="s">
        <v>811</v>
      </c>
      <c r="BN1593" s="4">
        <v>4231</v>
      </c>
      <c r="BS1593" t="s">
        <v>385</v>
      </c>
      <c r="BT1593">
        <v>7</v>
      </c>
      <c r="BU1593">
        <v>11</v>
      </c>
      <c r="BV1593">
        <v>6</v>
      </c>
      <c r="BX1593">
        <v>106.75</v>
      </c>
      <c r="BZ1593">
        <v>93</v>
      </c>
      <c r="CM1593">
        <v>1911</v>
      </c>
    </row>
    <row r="1594" spans="1:91" x14ac:dyDescent="0.3">
      <c r="A1594" t="s">
        <v>2462</v>
      </c>
      <c r="B1594">
        <v>42320</v>
      </c>
      <c r="C1594" t="s">
        <v>2463</v>
      </c>
      <c r="D1594">
        <v>12</v>
      </c>
      <c r="I1594">
        <v>500000</v>
      </c>
      <c r="J1594" t="s">
        <v>800</v>
      </c>
      <c r="V1594" t="s">
        <v>350</v>
      </c>
      <c r="Y1594">
        <v>100</v>
      </c>
      <c r="AA1594">
        <v>102</v>
      </c>
      <c r="AC1594" s="3">
        <v>102.25</v>
      </c>
      <c r="AE1594" s="3">
        <v>97</v>
      </c>
      <c r="AI1594">
        <v>102</v>
      </c>
      <c r="AK1594" s="3"/>
      <c r="AV1594" t="s">
        <v>370</v>
      </c>
      <c r="AX1594" t="s">
        <v>370</v>
      </c>
      <c r="AZ1594" t="s">
        <v>370</v>
      </c>
      <c r="BB1594" t="s">
        <v>370</v>
      </c>
      <c r="BO1594" t="s">
        <v>367</v>
      </c>
      <c r="BS1594" t="s">
        <v>385</v>
      </c>
      <c r="BT1594">
        <v>5</v>
      </c>
      <c r="BU1594">
        <v>0</v>
      </c>
      <c r="BV1594">
        <v>6</v>
      </c>
      <c r="BX1594">
        <v>102.25</v>
      </c>
      <c r="BZ1594">
        <v>93</v>
      </c>
      <c r="CM1594">
        <v>1911</v>
      </c>
    </row>
    <row r="1595" spans="1:91" x14ac:dyDescent="0.3">
      <c r="A1595" t="s">
        <v>2464</v>
      </c>
      <c r="B1595">
        <v>42602</v>
      </c>
      <c r="D1595">
        <v>12</v>
      </c>
      <c r="I1595">
        <v>150000</v>
      </c>
      <c r="U1595">
        <v>1</v>
      </c>
      <c r="Y1595">
        <v>1</v>
      </c>
      <c r="AA1595">
        <v>0.87</v>
      </c>
      <c r="AC1595" s="3">
        <v>0.93</v>
      </c>
      <c r="AE1595" s="3">
        <v>0.87</v>
      </c>
      <c r="AI1595">
        <v>0.87</v>
      </c>
      <c r="AK1595" s="3"/>
      <c r="AV1595" t="s">
        <v>370</v>
      </c>
      <c r="AX1595" t="s">
        <v>370</v>
      </c>
      <c r="AZ1595" t="s">
        <v>370</v>
      </c>
      <c r="BB1595" t="s">
        <v>370</v>
      </c>
      <c r="BO1595" t="s">
        <v>367</v>
      </c>
      <c r="BR1595">
        <v>23716</v>
      </c>
      <c r="BT1595">
        <v>8</v>
      </c>
      <c r="BU1595">
        <v>0</v>
      </c>
      <c r="BV1595">
        <v>0</v>
      </c>
      <c r="BX1595">
        <v>0.93</v>
      </c>
      <c r="BZ1595">
        <v>0.81</v>
      </c>
      <c r="CK1595" t="s">
        <v>360</v>
      </c>
      <c r="CM1595">
        <v>1911</v>
      </c>
    </row>
    <row r="1596" spans="1:91" x14ac:dyDescent="0.3">
      <c r="A1596" t="s">
        <v>2465</v>
      </c>
      <c r="B1596">
        <v>42624</v>
      </c>
      <c r="D1596">
        <v>12</v>
      </c>
      <c r="I1596">
        <v>296724</v>
      </c>
      <c r="J1596" t="s">
        <v>800</v>
      </c>
      <c r="V1596" t="s">
        <v>350</v>
      </c>
      <c r="Y1596">
        <v>100</v>
      </c>
      <c r="AA1596">
        <v>94</v>
      </c>
      <c r="AC1596" s="3">
        <v>94</v>
      </c>
      <c r="AE1596" s="3">
        <v>94</v>
      </c>
      <c r="AI1596">
        <v>94</v>
      </c>
      <c r="AK1596" s="3"/>
      <c r="BG1596">
        <v>4</v>
      </c>
      <c r="BH1596">
        <v>4</v>
      </c>
      <c r="BI1596">
        <v>4</v>
      </c>
      <c r="BJ1596">
        <v>4</v>
      </c>
      <c r="BK1596" s="4">
        <v>3713</v>
      </c>
      <c r="BL1596" s="4">
        <v>3866</v>
      </c>
      <c r="BM1596" s="4">
        <v>4078</v>
      </c>
      <c r="BN1596" s="4">
        <v>4231</v>
      </c>
      <c r="BR1596">
        <v>48985</v>
      </c>
      <c r="BS1596" t="s">
        <v>2466</v>
      </c>
      <c r="BT1596">
        <v>4</v>
      </c>
      <c r="BU1596">
        <v>9</v>
      </c>
      <c r="BV1596">
        <v>3</v>
      </c>
      <c r="BX1596">
        <v>97</v>
      </c>
      <c r="BZ1596">
        <v>93</v>
      </c>
      <c r="CK1596" t="s">
        <v>360</v>
      </c>
      <c r="CM1596">
        <v>1911</v>
      </c>
    </row>
    <row r="1597" spans="1:91" x14ac:dyDescent="0.3">
      <c r="A1597" t="s">
        <v>2467</v>
      </c>
      <c r="B1597">
        <v>42625</v>
      </c>
      <c r="C1597" t="s">
        <v>2301</v>
      </c>
      <c r="D1597">
        <v>12</v>
      </c>
      <c r="I1597">
        <v>197816</v>
      </c>
      <c r="J1597" t="s">
        <v>800</v>
      </c>
      <c r="V1597" t="s">
        <v>350</v>
      </c>
      <c r="Y1597">
        <v>100</v>
      </c>
      <c r="AA1597">
        <v>104</v>
      </c>
      <c r="AC1597" s="3">
        <v>104</v>
      </c>
      <c r="AE1597" s="3">
        <v>104</v>
      </c>
      <c r="AI1597">
        <v>104</v>
      </c>
      <c r="AK1597" s="3"/>
      <c r="AX1597" t="s">
        <v>823</v>
      </c>
      <c r="BB1597" t="s">
        <v>823</v>
      </c>
      <c r="BG1597">
        <v>6</v>
      </c>
      <c r="BH1597">
        <v>4</v>
      </c>
      <c r="BI1597">
        <v>6</v>
      </c>
      <c r="BJ1597">
        <v>4</v>
      </c>
      <c r="BK1597" s="4">
        <v>3713</v>
      </c>
      <c r="BL1597" s="4">
        <v>3866</v>
      </c>
      <c r="BM1597" s="4">
        <v>4078</v>
      </c>
      <c r="BN1597" s="4">
        <v>4231</v>
      </c>
      <c r="BR1597">
        <v>48985</v>
      </c>
      <c r="BS1597" t="s">
        <v>2466</v>
      </c>
      <c r="BT1597">
        <v>4</v>
      </c>
      <c r="BU1597">
        <v>17</v>
      </c>
      <c r="BV1597">
        <v>6</v>
      </c>
      <c r="BX1597">
        <v>104</v>
      </c>
      <c r="BZ1597">
        <v>98</v>
      </c>
      <c r="CM1597">
        <v>1911</v>
      </c>
    </row>
    <row r="1598" spans="1:91" x14ac:dyDescent="0.3">
      <c r="A1598" t="s">
        <v>2468</v>
      </c>
      <c r="B1598">
        <v>42200</v>
      </c>
      <c r="D1598">
        <v>12</v>
      </c>
      <c r="I1598">
        <v>245000</v>
      </c>
      <c r="J1598" t="s">
        <v>800</v>
      </c>
      <c r="V1598" t="s">
        <v>350</v>
      </c>
      <c r="Y1598">
        <v>100</v>
      </c>
      <c r="AA1598">
        <v>87.5</v>
      </c>
      <c r="AC1598" s="3">
        <v>88</v>
      </c>
      <c r="AE1598" s="3">
        <v>87</v>
      </c>
      <c r="AI1598">
        <v>87.5</v>
      </c>
      <c r="AK1598" s="3"/>
      <c r="AX1598" t="s">
        <v>823</v>
      </c>
      <c r="BB1598" t="s">
        <v>823</v>
      </c>
      <c r="BG1598">
        <v>4</v>
      </c>
      <c r="BH1598">
        <v>4</v>
      </c>
      <c r="BI1598">
        <v>4</v>
      </c>
      <c r="BJ1598">
        <v>4</v>
      </c>
      <c r="BK1598" s="4">
        <v>3774</v>
      </c>
      <c r="BL1598" s="4">
        <v>3958</v>
      </c>
      <c r="BM1598" s="4">
        <v>4139</v>
      </c>
      <c r="BN1598" s="4">
        <v>4323</v>
      </c>
      <c r="BR1598">
        <v>14418</v>
      </c>
      <c r="BS1598" t="s">
        <v>2469</v>
      </c>
      <c r="BT1598">
        <v>4</v>
      </c>
      <c r="BU1598">
        <v>12</v>
      </c>
      <c r="BV1598">
        <v>0</v>
      </c>
      <c r="BX1598">
        <v>90.5</v>
      </c>
      <c r="BZ1598">
        <v>87</v>
      </c>
      <c r="CK1598" t="s">
        <v>360</v>
      </c>
      <c r="CM1598">
        <v>1911</v>
      </c>
    </row>
    <row r="1599" spans="1:91" x14ac:dyDescent="0.3">
      <c r="A1599" t="s">
        <v>2470</v>
      </c>
      <c r="B1599">
        <v>42201</v>
      </c>
      <c r="D1599">
        <v>12</v>
      </c>
      <c r="I1599">
        <v>245000</v>
      </c>
      <c r="J1599" t="s">
        <v>800</v>
      </c>
      <c r="V1599" t="s">
        <v>350</v>
      </c>
      <c r="Y1599">
        <v>100</v>
      </c>
      <c r="AA1599">
        <v>100</v>
      </c>
      <c r="AC1599" s="3">
        <v>100</v>
      </c>
      <c r="AE1599" s="3">
        <v>99</v>
      </c>
      <c r="AI1599">
        <v>100</v>
      </c>
      <c r="AK1599" s="3"/>
      <c r="AX1599" t="s">
        <v>823</v>
      </c>
      <c r="BB1599" t="s">
        <v>823</v>
      </c>
      <c r="BG1599">
        <v>5</v>
      </c>
      <c r="BH1599">
        <v>5</v>
      </c>
      <c r="BI1599">
        <v>5</v>
      </c>
      <c r="BJ1599">
        <v>5</v>
      </c>
      <c r="BK1599" s="4">
        <v>3774</v>
      </c>
      <c r="BL1599" s="4">
        <v>3958</v>
      </c>
      <c r="BM1599" s="4">
        <v>4139</v>
      </c>
      <c r="BN1599" s="4">
        <v>4323</v>
      </c>
      <c r="BR1599">
        <v>14418</v>
      </c>
      <c r="BS1599" t="s">
        <v>2469</v>
      </c>
      <c r="BT1599">
        <v>5</v>
      </c>
      <c r="BU1599">
        <v>0</v>
      </c>
      <c r="BV1599">
        <v>6</v>
      </c>
      <c r="BX1599">
        <v>102.75</v>
      </c>
      <c r="BZ1599">
        <v>95.5</v>
      </c>
      <c r="CM1599">
        <v>1911</v>
      </c>
    </row>
    <row r="1600" spans="1:91" x14ac:dyDescent="0.3">
      <c r="A1600" t="s">
        <v>2470</v>
      </c>
      <c r="B1600">
        <v>42198</v>
      </c>
      <c r="C1600" t="s">
        <v>2301</v>
      </c>
      <c r="D1600">
        <v>12</v>
      </c>
      <c r="I1600">
        <v>105000</v>
      </c>
      <c r="J1600" t="s">
        <v>800</v>
      </c>
      <c r="V1600" t="s">
        <v>350</v>
      </c>
      <c r="Y1600">
        <v>100</v>
      </c>
      <c r="AA1600">
        <v>199</v>
      </c>
      <c r="AC1600" s="3">
        <v>200</v>
      </c>
      <c r="AE1600" s="3">
        <v>199</v>
      </c>
      <c r="AI1600">
        <v>200</v>
      </c>
      <c r="AK1600" s="3"/>
      <c r="AX1600" t="s">
        <v>823</v>
      </c>
      <c r="BB1600" t="s">
        <v>823</v>
      </c>
      <c r="BG1600">
        <v>11</v>
      </c>
      <c r="BH1600">
        <v>5</v>
      </c>
      <c r="BI1600">
        <v>15</v>
      </c>
      <c r="BJ1600">
        <v>10</v>
      </c>
      <c r="BK1600" s="4">
        <v>3774</v>
      </c>
      <c r="BL1600" s="4">
        <v>3958</v>
      </c>
      <c r="BM1600" s="4">
        <v>4139</v>
      </c>
      <c r="BN1600" s="4">
        <v>4323</v>
      </c>
      <c r="BR1600">
        <v>14418</v>
      </c>
      <c r="BS1600" t="s">
        <v>2469</v>
      </c>
      <c r="BT1600">
        <v>6</v>
      </c>
      <c r="BU1600">
        <v>5</v>
      </c>
      <c r="BV1600">
        <v>0</v>
      </c>
      <c r="BX1600">
        <v>200</v>
      </c>
      <c r="BZ1600">
        <v>109.5</v>
      </c>
      <c r="CM1600">
        <v>1911</v>
      </c>
    </row>
    <row r="1601" spans="1:91" x14ac:dyDescent="0.3">
      <c r="A1601" t="s">
        <v>2470</v>
      </c>
      <c r="B1601">
        <v>42197</v>
      </c>
      <c r="C1601" t="s">
        <v>2471</v>
      </c>
      <c r="D1601">
        <v>12</v>
      </c>
      <c r="I1601">
        <v>595000</v>
      </c>
      <c r="J1601" t="s">
        <v>800</v>
      </c>
      <c r="V1601" t="s">
        <v>350</v>
      </c>
      <c r="Y1601">
        <v>100</v>
      </c>
      <c r="AA1601">
        <v>103.5</v>
      </c>
      <c r="AC1601" s="3">
        <v>104.25</v>
      </c>
      <c r="AE1601" s="3">
        <v>103.5</v>
      </c>
      <c r="AI1601">
        <v>103.5</v>
      </c>
      <c r="AK1601" s="3"/>
      <c r="AV1601" t="s">
        <v>506</v>
      </c>
      <c r="AX1601" t="s">
        <v>506</v>
      </c>
      <c r="AZ1601" t="s">
        <v>506</v>
      </c>
      <c r="BB1601" t="s">
        <v>506</v>
      </c>
      <c r="BO1601" t="s">
        <v>367</v>
      </c>
      <c r="BR1601">
        <v>14418</v>
      </c>
      <c r="BS1601" t="s">
        <v>2469</v>
      </c>
      <c r="BT1601">
        <v>4</v>
      </c>
      <c r="BU1601">
        <v>3</v>
      </c>
      <c r="BV1601">
        <v>9</v>
      </c>
      <c r="BX1601">
        <v>104.5</v>
      </c>
      <c r="BZ1601">
        <v>100</v>
      </c>
      <c r="CM1601">
        <v>1911</v>
      </c>
    </row>
    <row r="1602" spans="1:91" x14ac:dyDescent="0.3">
      <c r="A1602" t="s">
        <v>2472</v>
      </c>
      <c r="B1602">
        <v>43120</v>
      </c>
      <c r="D1602">
        <v>12</v>
      </c>
      <c r="I1602">
        <v>264000</v>
      </c>
      <c r="J1602" t="s">
        <v>800</v>
      </c>
      <c r="V1602" t="s">
        <v>350</v>
      </c>
      <c r="Y1602">
        <v>100</v>
      </c>
      <c r="AA1602">
        <v>91</v>
      </c>
      <c r="AC1602" s="3">
        <v>93</v>
      </c>
      <c r="AE1602" s="3">
        <v>90</v>
      </c>
      <c r="AI1602">
        <v>93</v>
      </c>
      <c r="AK1602" s="3"/>
      <c r="AX1602" t="s">
        <v>823</v>
      </c>
      <c r="BB1602" t="s">
        <v>823</v>
      </c>
      <c r="BG1602">
        <v>5</v>
      </c>
      <c r="BH1602">
        <v>5</v>
      </c>
      <c r="BI1602">
        <v>5</v>
      </c>
      <c r="BJ1602">
        <v>5</v>
      </c>
      <c r="BK1602" s="4">
        <v>3774</v>
      </c>
      <c r="BL1602" s="4">
        <v>3958</v>
      </c>
      <c r="BM1602" s="4">
        <v>4139</v>
      </c>
      <c r="BN1602" s="4">
        <v>4323</v>
      </c>
      <c r="BS1602" t="s">
        <v>385</v>
      </c>
      <c r="BT1602">
        <v>5</v>
      </c>
      <c r="BU1602">
        <v>7</v>
      </c>
      <c r="BV1602">
        <v>6</v>
      </c>
      <c r="BX1602">
        <v>96</v>
      </c>
      <c r="BZ1602">
        <v>84</v>
      </c>
      <c r="CK1602" t="s">
        <v>360</v>
      </c>
      <c r="CM1602">
        <v>1911</v>
      </c>
    </row>
    <row r="1603" spans="1:91" x14ac:dyDescent="0.3">
      <c r="A1603" t="s">
        <v>2473</v>
      </c>
      <c r="B1603">
        <v>43122</v>
      </c>
      <c r="D1603">
        <v>12</v>
      </c>
      <c r="I1603">
        <v>176000</v>
      </c>
      <c r="J1603" t="s">
        <v>800</v>
      </c>
      <c r="V1603" t="s">
        <v>350</v>
      </c>
      <c r="Y1603">
        <v>100</v>
      </c>
      <c r="AA1603">
        <v>85</v>
      </c>
      <c r="AC1603" s="3">
        <v>86</v>
      </c>
      <c r="AE1603" s="3">
        <v>85</v>
      </c>
      <c r="AI1603">
        <v>86</v>
      </c>
      <c r="AK1603" s="3"/>
      <c r="AV1603" t="s">
        <v>366</v>
      </c>
      <c r="AX1603" t="s">
        <v>366</v>
      </c>
      <c r="AZ1603" t="s">
        <v>366</v>
      </c>
      <c r="BB1603" t="s">
        <v>366</v>
      </c>
      <c r="BO1603" t="s">
        <v>367</v>
      </c>
      <c r="BS1603" t="s">
        <v>385</v>
      </c>
      <c r="BT1603">
        <v>4</v>
      </c>
      <c r="BU1603">
        <v>13</v>
      </c>
      <c r="BV1603">
        <v>0</v>
      </c>
      <c r="BX1603">
        <v>90</v>
      </c>
      <c r="BZ1603">
        <v>84</v>
      </c>
      <c r="CM1603">
        <v>1911</v>
      </c>
    </row>
    <row r="1604" spans="1:91" x14ac:dyDescent="0.3">
      <c r="A1604" t="s">
        <v>2474</v>
      </c>
      <c r="B1604">
        <v>43507</v>
      </c>
      <c r="D1604">
        <v>12</v>
      </c>
      <c r="I1604">
        <v>302400</v>
      </c>
      <c r="J1604" t="s">
        <v>800</v>
      </c>
      <c r="V1604" t="s">
        <v>350</v>
      </c>
      <c r="Y1604">
        <v>100</v>
      </c>
      <c r="AA1604">
        <v>102.75</v>
      </c>
      <c r="AC1604" s="3">
        <v>103.5</v>
      </c>
      <c r="AE1604" s="3">
        <v>102.75</v>
      </c>
      <c r="AI1604">
        <v>103.5</v>
      </c>
      <c r="AK1604" s="3"/>
      <c r="AV1604" t="s">
        <v>536</v>
      </c>
      <c r="AX1604" t="s">
        <v>536</v>
      </c>
      <c r="AZ1604" t="s">
        <v>536</v>
      </c>
      <c r="BB1604" t="s">
        <v>536</v>
      </c>
      <c r="BO1604" t="s">
        <v>367</v>
      </c>
      <c r="BR1604">
        <v>158878</v>
      </c>
      <c r="BS1604" t="s">
        <v>2475</v>
      </c>
      <c r="BT1604">
        <v>4</v>
      </c>
      <c r="BU1604">
        <v>7</v>
      </c>
      <c r="BV1604">
        <v>6</v>
      </c>
      <c r="BX1604">
        <v>105</v>
      </c>
      <c r="BZ1604">
        <v>102.5</v>
      </c>
      <c r="CK1604" t="s">
        <v>454</v>
      </c>
      <c r="CM1604">
        <v>1911</v>
      </c>
    </row>
    <row r="1605" spans="1:91" x14ac:dyDescent="0.3">
      <c r="A1605" t="s">
        <v>2476</v>
      </c>
      <c r="B1605">
        <v>43508</v>
      </c>
      <c r="C1605" t="s">
        <v>2301</v>
      </c>
      <c r="D1605">
        <v>12</v>
      </c>
      <c r="I1605">
        <v>201600</v>
      </c>
      <c r="J1605" t="s">
        <v>800</v>
      </c>
      <c r="V1605" t="s">
        <v>350</v>
      </c>
      <c r="Y1605">
        <v>100</v>
      </c>
      <c r="AA1605">
        <v>274</v>
      </c>
      <c r="AC1605" s="3">
        <v>274</v>
      </c>
      <c r="AE1605" s="3">
        <v>270</v>
      </c>
      <c r="AI1605">
        <v>274</v>
      </c>
      <c r="AK1605" s="3"/>
      <c r="AX1605" t="s">
        <v>823</v>
      </c>
      <c r="BB1605" t="s">
        <v>823</v>
      </c>
      <c r="BG1605">
        <v>18</v>
      </c>
      <c r="BH1605">
        <v>12</v>
      </c>
      <c r="BI1605">
        <v>20</v>
      </c>
      <c r="BJ1605">
        <v>12</v>
      </c>
      <c r="BK1605" s="4">
        <v>3744</v>
      </c>
      <c r="BL1605" s="4">
        <v>3927</v>
      </c>
      <c r="BM1605" s="4">
        <v>4109</v>
      </c>
      <c r="BN1605" s="4">
        <v>4292</v>
      </c>
      <c r="BR1605">
        <v>158878</v>
      </c>
      <c r="BS1605" t="s">
        <v>2475</v>
      </c>
      <c r="BT1605">
        <v>5</v>
      </c>
      <c r="BU1605">
        <v>16</v>
      </c>
      <c r="BV1605">
        <v>9</v>
      </c>
      <c r="BX1605">
        <v>285</v>
      </c>
      <c r="BZ1605">
        <v>246</v>
      </c>
      <c r="CM1605">
        <v>1911</v>
      </c>
    </row>
    <row r="1606" spans="1:91" x14ac:dyDescent="0.3">
      <c r="A1606" t="s">
        <v>2476</v>
      </c>
      <c r="B1606">
        <v>43509</v>
      </c>
      <c r="C1606" t="s">
        <v>860</v>
      </c>
      <c r="D1606">
        <v>12</v>
      </c>
      <c r="I1606">
        <v>336000</v>
      </c>
      <c r="J1606" t="s">
        <v>800</v>
      </c>
      <c r="V1606" t="s">
        <v>350</v>
      </c>
      <c r="Y1606">
        <v>100</v>
      </c>
      <c r="AA1606">
        <v>103</v>
      </c>
      <c r="AC1606" s="3">
        <v>103</v>
      </c>
      <c r="AE1606" s="3">
        <v>103</v>
      </c>
      <c r="AI1606">
        <v>103</v>
      </c>
      <c r="AK1606" s="3"/>
      <c r="AV1606" t="s">
        <v>370</v>
      </c>
      <c r="AX1606" t="s">
        <v>370</v>
      </c>
      <c r="AZ1606" t="s">
        <v>370</v>
      </c>
      <c r="BB1606" t="s">
        <v>370</v>
      </c>
      <c r="BO1606" t="s">
        <v>367</v>
      </c>
      <c r="BR1606">
        <v>158878</v>
      </c>
      <c r="BS1606" t="s">
        <v>2475</v>
      </c>
      <c r="BT1606">
        <v>3</v>
      </c>
      <c r="BU1606">
        <v>19</v>
      </c>
      <c r="BV1606">
        <v>3</v>
      </c>
      <c r="BX1606">
        <v>103</v>
      </c>
      <c r="BZ1606">
        <v>101</v>
      </c>
      <c r="CM1606">
        <v>1911</v>
      </c>
    </row>
    <row r="1607" spans="1:91" x14ac:dyDescent="0.3">
      <c r="A1607" t="s">
        <v>2477</v>
      </c>
      <c r="B1607">
        <v>43856</v>
      </c>
      <c r="D1607">
        <v>12</v>
      </c>
      <c r="I1607">
        <v>750000</v>
      </c>
      <c r="J1607" t="s">
        <v>800</v>
      </c>
      <c r="V1607" t="s">
        <v>350</v>
      </c>
      <c r="Y1607">
        <v>100</v>
      </c>
      <c r="AA1607">
        <v>111</v>
      </c>
      <c r="AC1607" s="3">
        <v>113</v>
      </c>
      <c r="AE1607" s="3">
        <v>111</v>
      </c>
      <c r="AI1607">
        <v>112</v>
      </c>
      <c r="AK1607" s="3"/>
      <c r="AX1607" t="s">
        <v>823</v>
      </c>
      <c r="BB1607" t="s">
        <v>823</v>
      </c>
      <c r="BG1607">
        <v>5</v>
      </c>
      <c r="BH1607">
        <v>5</v>
      </c>
      <c r="BI1607">
        <v>5</v>
      </c>
      <c r="BJ1607">
        <v>5</v>
      </c>
      <c r="BK1607" s="4">
        <v>3713</v>
      </c>
      <c r="BL1607" s="4">
        <v>3897</v>
      </c>
      <c r="BM1607" s="4">
        <v>4078</v>
      </c>
      <c r="BN1607" s="4">
        <v>4262</v>
      </c>
      <c r="BR1607">
        <v>103006</v>
      </c>
      <c r="BS1607" t="s">
        <v>2478</v>
      </c>
      <c r="BT1607">
        <v>4</v>
      </c>
      <c r="BU1607">
        <v>9</v>
      </c>
      <c r="BV1607">
        <v>3</v>
      </c>
      <c r="BX1607">
        <v>113</v>
      </c>
      <c r="BZ1607">
        <v>108</v>
      </c>
      <c r="CK1607" t="s">
        <v>360</v>
      </c>
      <c r="CM1607">
        <v>1911</v>
      </c>
    </row>
    <row r="1608" spans="1:91" x14ac:dyDescent="0.3">
      <c r="A1608" t="s">
        <v>2479</v>
      </c>
      <c r="B1608">
        <v>43855</v>
      </c>
      <c r="D1608">
        <v>12</v>
      </c>
      <c r="I1608">
        <v>750000</v>
      </c>
      <c r="J1608" t="s">
        <v>800</v>
      </c>
      <c r="V1608" t="s">
        <v>350</v>
      </c>
      <c r="Y1608">
        <v>100</v>
      </c>
      <c r="AA1608">
        <v>106</v>
      </c>
      <c r="AC1608" s="3">
        <v>107.5</v>
      </c>
      <c r="AE1608" s="3">
        <v>105.75</v>
      </c>
      <c r="AI1608">
        <v>106</v>
      </c>
      <c r="AK1608" s="3"/>
      <c r="AX1608" t="s">
        <v>823</v>
      </c>
      <c r="BB1608" t="s">
        <v>823</v>
      </c>
      <c r="BG1608">
        <v>7</v>
      </c>
      <c r="BH1608">
        <v>5</v>
      </c>
      <c r="BI1608">
        <v>7</v>
      </c>
      <c r="BJ1608">
        <v>5</v>
      </c>
      <c r="BK1608" s="4">
        <v>3713</v>
      </c>
      <c r="BL1608" s="4">
        <v>3897</v>
      </c>
      <c r="BM1608" s="4">
        <v>4078</v>
      </c>
      <c r="BN1608" s="4">
        <v>4262</v>
      </c>
      <c r="BR1608">
        <v>103006</v>
      </c>
      <c r="BS1608" t="s">
        <v>2478</v>
      </c>
      <c r="BT1608">
        <v>5</v>
      </c>
      <c r="BU1608">
        <v>15</v>
      </c>
      <c r="BV1608">
        <v>3</v>
      </c>
      <c r="BX1608">
        <v>111</v>
      </c>
      <c r="BZ1608">
        <v>103</v>
      </c>
      <c r="CM1608">
        <v>1911</v>
      </c>
    </row>
    <row r="1609" spans="1:91" x14ac:dyDescent="0.3">
      <c r="A1609" t="s">
        <v>2479</v>
      </c>
      <c r="B1609">
        <v>43857</v>
      </c>
      <c r="C1609" t="s">
        <v>974</v>
      </c>
      <c r="D1609">
        <v>12</v>
      </c>
      <c r="I1609">
        <v>500000</v>
      </c>
      <c r="J1609" t="s">
        <v>800</v>
      </c>
      <c r="V1609" t="s">
        <v>350</v>
      </c>
      <c r="Y1609">
        <v>100</v>
      </c>
      <c r="AA1609">
        <v>101</v>
      </c>
      <c r="AB1609" t="s">
        <v>379</v>
      </c>
      <c r="AC1609" s="3">
        <v>101</v>
      </c>
      <c r="AE1609" s="3">
        <v>101</v>
      </c>
      <c r="AI1609">
        <v>101</v>
      </c>
      <c r="AK1609" s="3"/>
      <c r="AV1609" t="s">
        <v>421</v>
      </c>
      <c r="AX1609" t="s">
        <v>421</v>
      </c>
      <c r="AZ1609" t="s">
        <v>421</v>
      </c>
      <c r="BB1609" t="s">
        <v>421</v>
      </c>
      <c r="BO1609" t="s">
        <v>367</v>
      </c>
      <c r="BR1609">
        <v>103006</v>
      </c>
      <c r="BS1609" t="s">
        <v>2478</v>
      </c>
      <c r="BT1609">
        <v>3</v>
      </c>
      <c r="BU1609">
        <v>19</v>
      </c>
      <c r="BV1609">
        <v>6</v>
      </c>
      <c r="BX1609">
        <v>103</v>
      </c>
      <c r="BZ1609">
        <v>99.87</v>
      </c>
      <c r="CM1609">
        <v>1911</v>
      </c>
    </row>
    <row r="1610" spans="1:91" x14ac:dyDescent="0.3">
      <c r="A1610" t="s">
        <v>2480</v>
      </c>
      <c r="B1610">
        <v>43860</v>
      </c>
      <c r="D1610">
        <v>12</v>
      </c>
      <c r="I1610" s="2">
        <v>1249990</v>
      </c>
      <c r="J1610" t="s">
        <v>800</v>
      </c>
      <c r="V1610" t="s">
        <v>350</v>
      </c>
      <c r="Y1610">
        <v>100</v>
      </c>
      <c r="AA1610">
        <v>120</v>
      </c>
      <c r="AC1610" s="3">
        <v>121</v>
      </c>
      <c r="AE1610" s="3">
        <v>120</v>
      </c>
      <c r="AI1610">
        <v>120</v>
      </c>
      <c r="AK1610" s="3"/>
      <c r="BG1610">
        <v>5</v>
      </c>
      <c r="BH1610">
        <v>5</v>
      </c>
      <c r="BI1610">
        <v>5</v>
      </c>
      <c r="BJ1610">
        <v>5</v>
      </c>
      <c r="BK1610" s="4">
        <v>3654</v>
      </c>
      <c r="BL1610" s="4">
        <v>3835</v>
      </c>
      <c r="BM1610" s="4">
        <v>4019</v>
      </c>
      <c r="BN1610" s="4">
        <v>4200</v>
      </c>
      <c r="BR1610">
        <v>666768</v>
      </c>
      <c r="BS1610" t="s">
        <v>2481</v>
      </c>
      <c r="BT1610">
        <v>4</v>
      </c>
      <c r="BU1610">
        <v>5</v>
      </c>
      <c r="BV1610">
        <v>3</v>
      </c>
      <c r="BX1610">
        <v>124</v>
      </c>
      <c r="BZ1610">
        <v>117.5</v>
      </c>
      <c r="CK1610" t="s">
        <v>360</v>
      </c>
      <c r="CM1610">
        <v>1911</v>
      </c>
    </row>
    <row r="1611" spans="1:91" x14ac:dyDescent="0.3">
      <c r="A1611" t="s">
        <v>2482</v>
      </c>
      <c r="B1611">
        <v>43861</v>
      </c>
      <c r="C1611" t="s">
        <v>2301</v>
      </c>
      <c r="D1611">
        <v>12</v>
      </c>
      <c r="I1611" s="2">
        <v>1106760</v>
      </c>
      <c r="J1611" t="s">
        <v>800</v>
      </c>
      <c r="V1611" t="s">
        <v>350</v>
      </c>
      <c r="Y1611">
        <v>100</v>
      </c>
      <c r="AA1611">
        <v>134</v>
      </c>
      <c r="AC1611" s="3">
        <v>134.5</v>
      </c>
      <c r="AE1611" s="3">
        <v>134</v>
      </c>
      <c r="AI1611">
        <v>134</v>
      </c>
      <c r="AK1611" s="3"/>
      <c r="AX1611" t="s">
        <v>823</v>
      </c>
      <c r="BB1611" t="s">
        <v>823</v>
      </c>
      <c r="BG1611">
        <v>9</v>
      </c>
      <c r="BH1611">
        <v>5</v>
      </c>
      <c r="BI1611">
        <v>10</v>
      </c>
      <c r="BJ1611">
        <v>5</v>
      </c>
      <c r="BK1611" s="4">
        <v>3654</v>
      </c>
      <c r="BL1611" s="4">
        <v>3835</v>
      </c>
      <c r="BM1611" s="4">
        <v>4019</v>
      </c>
      <c r="BN1611" s="4">
        <v>4200</v>
      </c>
      <c r="BR1611">
        <v>666768</v>
      </c>
      <c r="BS1611" t="s">
        <v>2481</v>
      </c>
      <c r="BT1611">
        <v>5</v>
      </c>
      <c r="BU1611">
        <v>12</v>
      </c>
      <c r="BV1611">
        <v>0</v>
      </c>
      <c r="BX1611">
        <v>137</v>
      </c>
      <c r="BZ1611">
        <v>129</v>
      </c>
      <c r="CM1611">
        <v>1911</v>
      </c>
    </row>
    <row r="1612" spans="1:91" x14ac:dyDescent="0.3">
      <c r="A1612" t="s">
        <v>2483</v>
      </c>
      <c r="B1612">
        <v>44036</v>
      </c>
      <c r="D1612">
        <v>12</v>
      </c>
      <c r="I1612">
        <v>300000</v>
      </c>
      <c r="J1612" t="s">
        <v>800</v>
      </c>
      <c r="V1612" t="s">
        <v>350</v>
      </c>
      <c r="Y1612">
        <v>100</v>
      </c>
      <c r="AA1612">
        <v>106</v>
      </c>
      <c r="AC1612" s="3">
        <v>106</v>
      </c>
      <c r="AE1612" s="3">
        <v>104</v>
      </c>
      <c r="AI1612">
        <v>105</v>
      </c>
      <c r="AK1612" s="3"/>
      <c r="BG1612">
        <v>5</v>
      </c>
      <c r="BH1612">
        <v>5</v>
      </c>
      <c r="BI1612">
        <v>5</v>
      </c>
      <c r="BJ1612">
        <v>5</v>
      </c>
      <c r="BK1612" s="4">
        <v>3713</v>
      </c>
      <c r="BL1612" s="4">
        <v>3897</v>
      </c>
      <c r="BM1612" s="4">
        <v>4078</v>
      </c>
      <c r="BN1612" s="4">
        <v>4262</v>
      </c>
      <c r="BR1612">
        <v>114927</v>
      </c>
      <c r="BS1612" t="s">
        <v>2484</v>
      </c>
      <c r="BT1612">
        <v>4</v>
      </c>
      <c r="BU1612">
        <v>16</v>
      </c>
      <c r="BV1612">
        <v>3</v>
      </c>
      <c r="BX1612">
        <v>110</v>
      </c>
      <c r="BZ1612">
        <v>104</v>
      </c>
      <c r="CK1612" t="s">
        <v>360</v>
      </c>
      <c r="CM1612">
        <v>1911</v>
      </c>
    </row>
    <row r="1613" spans="1:91" x14ac:dyDescent="0.3">
      <c r="A1613" t="s">
        <v>2485</v>
      </c>
      <c r="B1613">
        <v>44038</v>
      </c>
      <c r="C1613" t="s">
        <v>2301</v>
      </c>
      <c r="D1613">
        <v>12</v>
      </c>
      <c r="I1613">
        <v>300000</v>
      </c>
      <c r="J1613" t="s">
        <v>800</v>
      </c>
      <c r="V1613" t="s">
        <v>350</v>
      </c>
      <c r="Y1613">
        <v>100</v>
      </c>
      <c r="AA1613">
        <v>109</v>
      </c>
      <c r="AC1613" s="3">
        <v>109</v>
      </c>
      <c r="AE1613" s="3">
        <v>107.25</v>
      </c>
      <c r="AI1613">
        <v>108</v>
      </c>
      <c r="AK1613" s="3"/>
      <c r="AX1613" t="s">
        <v>823</v>
      </c>
      <c r="BB1613" t="s">
        <v>823</v>
      </c>
      <c r="BG1613">
        <v>10</v>
      </c>
      <c r="BH1613">
        <v>4</v>
      </c>
      <c r="BI1613">
        <v>10</v>
      </c>
      <c r="BJ1613">
        <v>4</v>
      </c>
      <c r="BK1613" s="4">
        <v>3713</v>
      </c>
      <c r="BL1613" s="4">
        <v>3897</v>
      </c>
      <c r="BM1613" s="4">
        <v>4078</v>
      </c>
      <c r="BN1613" s="4">
        <v>4262</v>
      </c>
      <c r="BR1613">
        <v>114927</v>
      </c>
      <c r="BS1613" t="s">
        <v>2484</v>
      </c>
      <c r="BT1613">
        <v>6</v>
      </c>
      <c r="BU1613">
        <v>9</v>
      </c>
      <c r="BV1613">
        <v>9</v>
      </c>
      <c r="BX1613">
        <v>117</v>
      </c>
      <c r="BZ1613">
        <v>107.25</v>
      </c>
      <c r="CM1613">
        <v>1911</v>
      </c>
    </row>
    <row r="1614" spans="1:91" x14ac:dyDescent="0.3">
      <c r="A1614" t="s">
        <v>2485</v>
      </c>
      <c r="B1614">
        <v>44037</v>
      </c>
      <c r="C1614" t="s">
        <v>860</v>
      </c>
      <c r="D1614">
        <v>12</v>
      </c>
      <c r="I1614">
        <v>300000</v>
      </c>
      <c r="J1614" t="s">
        <v>800</v>
      </c>
      <c r="V1614" t="s">
        <v>350</v>
      </c>
      <c r="Y1614">
        <v>100</v>
      </c>
      <c r="AA1614">
        <v>95</v>
      </c>
      <c r="AC1614" s="3">
        <v>96</v>
      </c>
      <c r="AE1614" s="3">
        <v>95</v>
      </c>
      <c r="AI1614">
        <v>96</v>
      </c>
      <c r="AK1614" s="3"/>
      <c r="AV1614" t="s">
        <v>366</v>
      </c>
      <c r="AX1614" t="s">
        <v>366</v>
      </c>
      <c r="AZ1614" t="s">
        <v>366</v>
      </c>
      <c r="BB1614" t="s">
        <v>366</v>
      </c>
      <c r="BO1614" t="s">
        <v>367</v>
      </c>
      <c r="BR1614">
        <v>114927</v>
      </c>
      <c r="BS1614" t="s">
        <v>2484</v>
      </c>
      <c r="BT1614">
        <v>4</v>
      </c>
      <c r="BU1614">
        <v>3</v>
      </c>
      <c r="BV1614">
        <v>3</v>
      </c>
      <c r="BX1614">
        <v>100</v>
      </c>
      <c r="BZ1614">
        <v>95</v>
      </c>
      <c r="CM1614">
        <v>1911</v>
      </c>
    </row>
    <row r="1615" spans="1:91" x14ac:dyDescent="0.3">
      <c r="A1615" t="s">
        <v>2486</v>
      </c>
      <c r="B1615">
        <v>44059</v>
      </c>
      <c r="D1615">
        <v>12</v>
      </c>
      <c r="I1615">
        <v>300000</v>
      </c>
      <c r="J1615" t="s">
        <v>800</v>
      </c>
      <c r="V1615" t="s">
        <v>350</v>
      </c>
      <c r="Y1615">
        <v>100</v>
      </c>
      <c r="AA1615">
        <v>113.5</v>
      </c>
      <c r="AC1615" s="3">
        <v>113.5</v>
      </c>
      <c r="AE1615" s="3">
        <v>113.5</v>
      </c>
      <c r="AI1615">
        <v>113.5</v>
      </c>
      <c r="AK1615" s="3"/>
      <c r="AX1615" t="s">
        <v>823</v>
      </c>
      <c r="BB1615" t="s">
        <v>823</v>
      </c>
      <c r="BG1615">
        <v>6</v>
      </c>
      <c r="BH1615">
        <v>5</v>
      </c>
      <c r="BI1615">
        <v>7</v>
      </c>
      <c r="BJ1615">
        <v>5</v>
      </c>
      <c r="BK1615" s="4">
        <v>3713</v>
      </c>
      <c r="BL1615" s="4">
        <v>3897</v>
      </c>
      <c r="BM1615" s="4">
        <v>4078</v>
      </c>
      <c r="BN1615" s="4">
        <v>4262</v>
      </c>
      <c r="BR1615">
        <v>25178</v>
      </c>
      <c r="BS1615" t="s">
        <v>2487</v>
      </c>
      <c r="BT1615">
        <v>5</v>
      </c>
      <c r="BU1615">
        <v>6</v>
      </c>
      <c r="BV1615">
        <v>3</v>
      </c>
      <c r="BX1615">
        <v>114</v>
      </c>
      <c r="BZ1615">
        <v>102</v>
      </c>
      <c r="CK1615" t="s">
        <v>360</v>
      </c>
      <c r="CM1615">
        <v>1911</v>
      </c>
    </row>
    <row r="1616" spans="1:91" x14ac:dyDescent="0.3">
      <c r="A1616" t="s">
        <v>2488</v>
      </c>
      <c r="B1616">
        <v>44061</v>
      </c>
      <c r="C1616" t="s">
        <v>2489</v>
      </c>
      <c r="D1616">
        <v>12</v>
      </c>
      <c r="I1616">
        <v>300000</v>
      </c>
      <c r="J1616" t="s">
        <v>800</v>
      </c>
      <c r="V1616" t="s">
        <v>350</v>
      </c>
      <c r="Y1616">
        <v>100</v>
      </c>
      <c r="AA1616">
        <v>96</v>
      </c>
      <c r="AC1616" s="3">
        <v>97.25</v>
      </c>
      <c r="AE1616" s="3">
        <v>95</v>
      </c>
      <c r="AI1616">
        <v>95</v>
      </c>
      <c r="AJ1616" t="s">
        <v>379</v>
      </c>
      <c r="AK1616" s="3"/>
      <c r="AV1616" t="s">
        <v>370</v>
      </c>
      <c r="AX1616" t="s">
        <v>370</v>
      </c>
      <c r="AZ1616" t="s">
        <v>370</v>
      </c>
      <c r="BB1616" t="s">
        <v>370</v>
      </c>
      <c r="BO1616" t="s">
        <v>367</v>
      </c>
      <c r="BR1616">
        <v>25178</v>
      </c>
      <c r="BS1616" t="s">
        <v>2487</v>
      </c>
      <c r="BT1616">
        <v>4</v>
      </c>
      <c r="BU1616">
        <v>14</v>
      </c>
      <c r="BV1616">
        <v>9</v>
      </c>
      <c r="BX1616">
        <v>97.75</v>
      </c>
      <c r="BZ1616">
        <v>95</v>
      </c>
      <c r="CM1616">
        <v>1911</v>
      </c>
    </row>
    <row r="1617" spans="1:91" x14ac:dyDescent="0.3">
      <c r="A1617" t="s">
        <v>2490</v>
      </c>
      <c r="B1617">
        <v>44060</v>
      </c>
      <c r="C1617" t="s">
        <v>2491</v>
      </c>
      <c r="D1617">
        <v>12</v>
      </c>
      <c r="I1617">
        <v>200000</v>
      </c>
      <c r="J1617" t="s">
        <v>800</v>
      </c>
      <c r="V1617" t="s">
        <v>350</v>
      </c>
      <c r="Y1617">
        <v>100</v>
      </c>
      <c r="AA1617">
        <v>93.5</v>
      </c>
      <c r="AC1617" s="3">
        <v>94</v>
      </c>
      <c r="AE1617" s="3">
        <v>93.12</v>
      </c>
      <c r="AI1617">
        <v>93.5</v>
      </c>
      <c r="AK1617" s="3"/>
      <c r="AV1617" t="s">
        <v>366</v>
      </c>
      <c r="AX1617" t="s">
        <v>366</v>
      </c>
      <c r="AZ1617" t="s">
        <v>366</v>
      </c>
      <c r="BB1617" t="s">
        <v>366</v>
      </c>
      <c r="BO1617" t="s">
        <v>367</v>
      </c>
      <c r="BR1617">
        <v>25178</v>
      </c>
      <c r="BS1617" t="s">
        <v>2487</v>
      </c>
      <c r="BT1617">
        <v>4</v>
      </c>
      <c r="BU1617">
        <v>6</v>
      </c>
      <c r="BV1617">
        <v>0</v>
      </c>
      <c r="BX1617">
        <v>94</v>
      </c>
      <c r="BZ1617">
        <v>93</v>
      </c>
      <c r="CM1617">
        <v>1911</v>
      </c>
    </row>
    <row r="1618" spans="1:91" x14ac:dyDescent="0.3">
      <c r="A1618" t="s">
        <v>2492</v>
      </c>
      <c r="B1618">
        <v>44140</v>
      </c>
      <c r="D1618">
        <v>12</v>
      </c>
      <c r="I1618">
        <v>181127</v>
      </c>
      <c r="U1618">
        <v>10</v>
      </c>
      <c r="Y1618">
        <v>10</v>
      </c>
      <c r="AA1618">
        <v>11</v>
      </c>
      <c r="AC1618" s="3">
        <v>11.18</v>
      </c>
      <c r="AE1618" s="3">
        <v>10.75</v>
      </c>
      <c r="AI1618">
        <v>11</v>
      </c>
      <c r="AK1618" s="3"/>
      <c r="AZ1618" t="s">
        <v>815</v>
      </c>
      <c r="BB1618" t="s">
        <v>2493</v>
      </c>
      <c r="BG1618">
        <v>5.75</v>
      </c>
      <c r="BH1618">
        <v>5.87</v>
      </c>
      <c r="BI1618">
        <v>6</v>
      </c>
      <c r="BK1618" s="4">
        <v>3409</v>
      </c>
      <c r="BL1618" s="4">
        <v>3805</v>
      </c>
      <c r="BM1618" s="4">
        <v>4170</v>
      </c>
      <c r="BO1618" t="s">
        <v>352</v>
      </c>
      <c r="BR1618">
        <v>28532</v>
      </c>
      <c r="BS1618" t="s">
        <v>2494</v>
      </c>
      <c r="BT1618">
        <v>5</v>
      </c>
      <c r="BU1618">
        <v>9</v>
      </c>
      <c r="BV1618">
        <v>0</v>
      </c>
      <c r="BX1618">
        <v>11.56</v>
      </c>
      <c r="BZ1618">
        <v>10.25</v>
      </c>
      <c r="CK1618" t="s">
        <v>360</v>
      </c>
      <c r="CM1618">
        <v>1911</v>
      </c>
    </row>
    <row r="1619" spans="1:91" x14ac:dyDescent="0.3">
      <c r="A1619" t="s">
        <v>2495</v>
      </c>
      <c r="B1619">
        <v>44141</v>
      </c>
      <c r="C1619" t="s">
        <v>902</v>
      </c>
      <c r="D1619">
        <v>12</v>
      </c>
      <c r="I1619">
        <v>181127</v>
      </c>
      <c r="U1619">
        <v>10</v>
      </c>
      <c r="Y1619">
        <v>10</v>
      </c>
      <c r="AA1619">
        <v>13</v>
      </c>
      <c r="AC1619" s="3">
        <v>13.12</v>
      </c>
      <c r="AE1619" s="3">
        <v>12.81</v>
      </c>
      <c r="AI1619">
        <v>13</v>
      </c>
      <c r="AK1619" s="3"/>
      <c r="AV1619" t="s">
        <v>2496</v>
      </c>
      <c r="BR1619">
        <v>28532</v>
      </c>
      <c r="BS1619" t="s">
        <v>2494</v>
      </c>
      <c r="BT1619">
        <v>4</v>
      </c>
      <c r="BU1619">
        <v>12</v>
      </c>
      <c r="BV1619">
        <v>3</v>
      </c>
      <c r="BX1619">
        <v>13.62</v>
      </c>
      <c r="BZ1619">
        <v>12.78</v>
      </c>
      <c r="CM1619">
        <v>1911</v>
      </c>
    </row>
    <row r="1620" spans="1:91" x14ac:dyDescent="0.3">
      <c r="A1620" t="s">
        <v>2497</v>
      </c>
      <c r="B1620">
        <v>44212</v>
      </c>
      <c r="D1620">
        <v>12</v>
      </c>
      <c r="I1620">
        <v>124500</v>
      </c>
      <c r="J1620" t="s">
        <v>800</v>
      </c>
      <c r="V1620" t="s">
        <v>350</v>
      </c>
      <c r="Y1620">
        <v>100</v>
      </c>
      <c r="AA1620">
        <v>85</v>
      </c>
      <c r="AC1620" s="3">
        <v>86</v>
      </c>
      <c r="AE1620" s="3">
        <v>84</v>
      </c>
      <c r="AI1620">
        <v>84</v>
      </c>
      <c r="AJ1620" t="s">
        <v>379</v>
      </c>
      <c r="AK1620" s="3"/>
      <c r="BG1620">
        <v>4</v>
      </c>
      <c r="BH1620">
        <v>4</v>
      </c>
      <c r="BI1620">
        <v>4</v>
      </c>
      <c r="BJ1620">
        <v>4</v>
      </c>
      <c r="BK1620" s="4">
        <v>3805</v>
      </c>
      <c r="BL1620" s="4">
        <v>3988</v>
      </c>
      <c r="BM1620" s="4">
        <v>4170</v>
      </c>
      <c r="BN1620" s="4">
        <v>4353</v>
      </c>
      <c r="BR1620">
        <v>33091</v>
      </c>
      <c r="BS1620" t="s">
        <v>2498</v>
      </c>
      <c r="BT1620">
        <v>4</v>
      </c>
      <c r="BU1620">
        <v>15</v>
      </c>
      <c r="BV1620">
        <v>3</v>
      </c>
      <c r="BX1620">
        <v>86</v>
      </c>
      <c r="BZ1620">
        <v>82</v>
      </c>
      <c r="CK1620" t="s">
        <v>360</v>
      </c>
      <c r="CL1620" t="s">
        <v>457</v>
      </c>
      <c r="CM1620">
        <v>1911</v>
      </c>
    </row>
    <row r="1621" spans="1:91" x14ac:dyDescent="0.3">
      <c r="A1621" t="s">
        <v>2499</v>
      </c>
      <c r="B1621">
        <v>44210</v>
      </c>
      <c r="D1621">
        <v>12</v>
      </c>
      <c r="I1621">
        <v>75300</v>
      </c>
      <c r="J1621" t="s">
        <v>800</v>
      </c>
      <c r="V1621" t="s">
        <v>350</v>
      </c>
      <c r="Y1621">
        <v>100</v>
      </c>
      <c r="AA1621">
        <v>107</v>
      </c>
      <c r="AC1621" s="3">
        <v>111</v>
      </c>
      <c r="AE1621" s="3">
        <v>107</v>
      </c>
      <c r="AI1621">
        <v>111</v>
      </c>
      <c r="AJ1621" t="s">
        <v>379</v>
      </c>
      <c r="AK1621" s="3"/>
      <c r="AV1621" t="s">
        <v>823</v>
      </c>
      <c r="AZ1621" t="s">
        <v>823</v>
      </c>
      <c r="BG1621">
        <v>6</v>
      </c>
      <c r="BH1621">
        <v>6</v>
      </c>
      <c r="BI1621">
        <v>6</v>
      </c>
      <c r="BJ1621">
        <v>6</v>
      </c>
      <c r="BK1621" s="4">
        <v>3805</v>
      </c>
      <c r="BL1621" s="4">
        <v>3988</v>
      </c>
      <c r="BM1621" s="4">
        <v>4170</v>
      </c>
      <c r="BN1621" s="4">
        <v>4353</v>
      </c>
      <c r="BR1621">
        <v>33091</v>
      </c>
      <c r="BS1621" t="s">
        <v>2498</v>
      </c>
      <c r="BT1621">
        <v>5</v>
      </c>
      <c r="BU1621">
        <v>8</v>
      </c>
      <c r="BV1621">
        <v>0</v>
      </c>
      <c r="BX1621">
        <v>111</v>
      </c>
      <c r="BZ1621">
        <v>98</v>
      </c>
      <c r="CM1621">
        <v>1911</v>
      </c>
    </row>
    <row r="1622" spans="1:91" x14ac:dyDescent="0.3">
      <c r="A1622" t="s">
        <v>2500</v>
      </c>
      <c r="B1622">
        <v>44222</v>
      </c>
      <c r="D1622">
        <v>12</v>
      </c>
      <c r="I1622">
        <v>337050</v>
      </c>
      <c r="J1622" t="s">
        <v>800</v>
      </c>
      <c r="V1622" t="s">
        <v>350</v>
      </c>
      <c r="Y1622">
        <v>100</v>
      </c>
      <c r="AA1622">
        <v>103</v>
      </c>
      <c r="AC1622" s="3">
        <v>103.37</v>
      </c>
      <c r="AE1622" s="3">
        <v>100.5</v>
      </c>
      <c r="AI1622">
        <v>103</v>
      </c>
      <c r="AK1622" s="3"/>
      <c r="AV1622" t="s">
        <v>506</v>
      </c>
      <c r="AX1622" t="s">
        <v>506</v>
      </c>
      <c r="AZ1622" t="s">
        <v>506</v>
      </c>
      <c r="BB1622" t="s">
        <v>506</v>
      </c>
      <c r="BO1622" t="s">
        <v>367</v>
      </c>
      <c r="BR1622">
        <v>46619</v>
      </c>
      <c r="BS1622" t="s">
        <v>2501</v>
      </c>
      <c r="BT1622">
        <v>4</v>
      </c>
      <c r="BU1622">
        <v>19</v>
      </c>
      <c r="BV1622">
        <v>0</v>
      </c>
      <c r="BX1622">
        <v>105</v>
      </c>
      <c r="BZ1622">
        <v>99</v>
      </c>
      <c r="CK1622" t="s">
        <v>360</v>
      </c>
      <c r="CM1622">
        <v>1911</v>
      </c>
    </row>
    <row r="1623" spans="1:91" x14ac:dyDescent="0.3">
      <c r="A1623" t="s">
        <v>2502</v>
      </c>
      <c r="B1623">
        <v>44223</v>
      </c>
      <c r="D1623">
        <v>12</v>
      </c>
      <c r="I1623">
        <v>337050</v>
      </c>
      <c r="J1623" t="s">
        <v>800</v>
      </c>
      <c r="V1623" t="s">
        <v>350</v>
      </c>
      <c r="Y1623">
        <v>100</v>
      </c>
      <c r="AA1623">
        <v>107</v>
      </c>
      <c r="AC1623" s="3">
        <v>113</v>
      </c>
      <c r="AE1623" s="3">
        <v>107</v>
      </c>
      <c r="AI1623">
        <v>113</v>
      </c>
      <c r="AK1623" s="3"/>
      <c r="AV1623" t="s">
        <v>823</v>
      </c>
      <c r="AZ1623" t="s">
        <v>823</v>
      </c>
      <c r="BG1623">
        <v>5</v>
      </c>
      <c r="BH1623">
        <v>5</v>
      </c>
      <c r="BI1623">
        <v>5</v>
      </c>
      <c r="BJ1623">
        <v>7</v>
      </c>
      <c r="BK1623" s="4">
        <v>3470</v>
      </c>
      <c r="BL1623" s="4">
        <v>3685</v>
      </c>
      <c r="BM1623" s="4">
        <v>3835</v>
      </c>
      <c r="BN1623" s="4">
        <v>4050</v>
      </c>
      <c r="BR1623">
        <v>46619</v>
      </c>
      <c r="BS1623" t="s">
        <v>2501</v>
      </c>
      <c r="BT1623">
        <v>5</v>
      </c>
      <c r="BU1623">
        <v>6</v>
      </c>
      <c r="BV1623">
        <v>3</v>
      </c>
      <c r="BX1623">
        <v>111.5</v>
      </c>
      <c r="BZ1623">
        <v>95</v>
      </c>
      <c r="CM1623">
        <v>1911</v>
      </c>
    </row>
    <row r="1624" spans="1:91" x14ac:dyDescent="0.3">
      <c r="A1624" t="s">
        <v>2502</v>
      </c>
      <c r="B1624">
        <v>44229</v>
      </c>
      <c r="C1624" t="s">
        <v>974</v>
      </c>
      <c r="D1624">
        <v>12</v>
      </c>
      <c r="I1624">
        <v>451470</v>
      </c>
      <c r="J1624" t="s">
        <v>800</v>
      </c>
      <c r="V1624" t="s">
        <v>350</v>
      </c>
      <c r="Y1624">
        <v>100</v>
      </c>
      <c r="AA1624">
        <v>97</v>
      </c>
      <c r="AC1624" s="3">
        <v>98</v>
      </c>
      <c r="AE1624" s="3">
        <v>96</v>
      </c>
      <c r="AI1624">
        <v>96</v>
      </c>
      <c r="AJ1624" t="s">
        <v>379</v>
      </c>
      <c r="AK1624" s="3"/>
      <c r="AV1624" t="s">
        <v>370</v>
      </c>
      <c r="AX1624" t="s">
        <v>370</v>
      </c>
      <c r="AZ1624" t="s">
        <v>370</v>
      </c>
      <c r="BB1624" t="s">
        <v>370</v>
      </c>
      <c r="BO1624" t="s">
        <v>367</v>
      </c>
      <c r="BR1624">
        <v>46619</v>
      </c>
      <c r="BS1624" t="s">
        <v>2501</v>
      </c>
      <c r="BT1624">
        <v>4</v>
      </c>
      <c r="BU1624">
        <v>3</v>
      </c>
      <c r="BV1624">
        <v>3</v>
      </c>
      <c r="BX1624">
        <v>99.5</v>
      </c>
      <c r="BZ1624">
        <v>96</v>
      </c>
      <c r="CM1624">
        <v>1911</v>
      </c>
    </row>
    <row r="1625" spans="1:91" x14ac:dyDescent="0.3">
      <c r="A1625" t="s">
        <v>2502</v>
      </c>
      <c r="B1625">
        <v>44228</v>
      </c>
      <c r="C1625" t="s">
        <v>2503</v>
      </c>
      <c r="D1625">
        <v>12</v>
      </c>
      <c r="I1625">
        <v>223530</v>
      </c>
      <c r="J1625" t="s">
        <v>800</v>
      </c>
      <c r="V1625" t="s">
        <v>350</v>
      </c>
      <c r="Y1625">
        <v>100</v>
      </c>
      <c r="AA1625">
        <v>101</v>
      </c>
      <c r="AC1625" s="3">
        <v>101</v>
      </c>
      <c r="AE1625" s="3">
        <v>101</v>
      </c>
      <c r="AI1625">
        <v>101</v>
      </c>
      <c r="AK1625" s="3"/>
      <c r="AV1625" t="s">
        <v>536</v>
      </c>
      <c r="AX1625" t="s">
        <v>536</v>
      </c>
      <c r="AZ1625" t="s">
        <v>536</v>
      </c>
      <c r="BB1625" t="s">
        <v>536</v>
      </c>
      <c r="BO1625" t="s">
        <v>367</v>
      </c>
      <c r="BR1625">
        <v>46619</v>
      </c>
      <c r="BS1625" t="s">
        <v>2501</v>
      </c>
      <c r="BT1625">
        <v>4</v>
      </c>
      <c r="BU1625">
        <v>9</v>
      </c>
      <c r="BV1625">
        <v>6</v>
      </c>
      <c r="BX1625">
        <v>104.25</v>
      </c>
      <c r="BZ1625">
        <v>100</v>
      </c>
      <c r="CM1625">
        <v>1911</v>
      </c>
    </row>
    <row r="1626" spans="1:91" x14ac:dyDescent="0.3">
      <c r="A1626" t="s">
        <v>2504</v>
      </c>
      <c r="B1626">
        <v>44356</v>
      </c>
      <c r="D1626">
        <v>12</v>
      </c>
      <c r="I1626">
        <v>310000</v>
      </c>
      <c r="J1626" t="s">
        <v>800</v>
      </c>
      <c r="V1626" t="s">
        <v>350</v>
      </c>
      <c r="Y1626">
        <v>100</v>
      </c>
      <c r="AA1626">
        <v>96</v>
      </c>
      <c r="AC1626" s="3">
        <v>96.25</v>
      </c>
      <c r="AE1626" s="3">
        <v>95.75</v>
      </c>
      <c r="AI1626">
        <v>96</v>
      </c>
      <c r="AK1626" s="3"/>
      <c r="BG1626">
        <v>4.5</v>
      </c>
      <c r="BH1626">
        <v>4.5</v>
      </c>
      <c r="BI1626">
        <v>4.5</v>
      </c>
      <c r="BJ1626">
        <v>4.5</v>
      </c>
      <c r="BK1626" s="4">
        <v>3685</v>
      </c>
      <c r="BL1626" s="4">
        <v>3835</v>
      </c>
      <c r="BM1626" s="4">
        <v>4050</v>
      </c>
      <c r="BN1626" s="4">
        <v>4200</v>
      </c>
      <c r="BR1626">
        <v>300</v>
      </c>
      <c r="BS1626" t="s">
        <v>2505</v>
      </c>
      <c r="BT1626">
        <v>4</v>
      </c>
      <c r="BU1626">
        <v>16</v>
      </c>
      <c r="BV1626">
        <v>0</v>
      </c>
      <c r="BX1626">
        <v>98.5</v>
      </c>
      <c r="BZ1626">
        <v>94</v>
      </c>
      <c r="CK1626" t="s">
        <v>360</v>
      </c>
      <c r="CM1626">
        <v>1911</v>
      </c>
    </row>
    <row r="1627" spans="1:91" x14ac:dyDescent="0.3">
      <c r="A1627" t="s">
        <v>2504</v>
      </c>
      <c r="B1627">
        <v>44359</v>
      </c>
      <c r="C1627" t="s">
        <v>1632</v>
      </c>
      <c r="D1627">
        <v>12</v>
      </c>
      <c r="I1627">
        <v>310000</v>
      </c>
      <c r="J1627" t="s">
        <v>800</v>
      </c>
      <c r="V1627" t="s">
        <v>350</v>
      </c>
      <c r="Y1627">
        <v>100</v>
      </c>
      <c r="AA1627">
        <v>92</v>
      </c>
      <c r="AC1627" s="3">
        <v>93</v>
      </c>
      <c r="AE1627" s="3">
        <v>92</v>
      </c>
      <c r="AI1627">
        <v>92</v>
      </c>
      <c r="AK1627" s="3"/>
      <c r="AX1627" t="s">
        <v>823</v>
      </c>
      <c r="BB1627" t="s">
        <v>823</v>
      </c>
      <c r="BG1627">
        <v>5</v>
      </c>
      <c r="BH1627">
        <v>4</v>
      </c>
      <c r="BI1627">
        <v>5</v>
      </c>
      <c r="BJ1627">
        <v>5</v>
      </c>
      <c r="BK1627" s="4">
        <v>3685</v>
      </c>
      <c r="BL1627" s="4">
        <v>3835</v>
      </c>
      <c r="BM1627" s="4">
        <v>4050</v>
      </c>
      <c r="BN1627" s="4">
        <v>4200</v>
      </c>
      <c r="BR1627">
        <v>300</v>
      </c>
      <c r="BS1627" t="s">
        <v>2505</v>
      </c>
      <c r="BT1627">
        <v>5</v>
      </c>
      <c r="BU1627">
        <v>11</v>
      </c>
      <c r="BV1627">
        <v>0</v>
      </c>
      <c r="BX1627">
        <v>93</v>
      </c>
      <c r="BZ1627">
        <v>87.5</v>
      </c>
      <c r="CM1627">
        <v>1911</v>
      </c>
    </row>
    <row r="1628" spans="1:91" x14ac:dyDescent="0.3">
      <c r="A1628" t="s">
        <v>2504</v>
      </c>
      <c r="B1628">
        <v>44358</v>
      </c>
      <c r="C1628" t="s">
        <v>860</v>
      </c>
      <c r="D1628">
        <v>12</v>
      </c>
      <c r="I1628">
        <v>500000</v>
      </c>
      <c r="J1628" t="s">
        <v>800</v>
      </c>
      <c r="V1628" t="s">
        <v>350</v>
      </c>
      <c r="Y1628">
        <v>100</v>
      </c>
      <c r="AA1628">
        <v>96</v>
      </c>
      <c r="AC1628" s="3">
        <v>97</v>
      </c>
      <c r="AE1628" s="3">
        <v>96</v>
      </c>
      <c r="AI1628">
        <v>97</v>
      </c>
      <c r="AK1628" s="3"/>
      <c r="AV1628" t="s">
        <v>370</v>
      </c>
      <c r="AX1628" t="s">
        <v>370</v>
      </c>
      <c r="AZ1628" t="s">
        <v>370</v>
      </c>
      <c r="BB1628" t="s">
        <v>370</v>
      </c>
      <c r="BO1628" t="s">
        <v>367</v>
      </c>
      <c r="BR1628">
        <v>300</v>
      </c>
      <c r="BS1628" t="s">
        <v>2505</v>
      </c>
      <c r="BT1628">
        <v>4</v>
      </c>
      <c r="BU1628">
        <v>4</v>
      </c>
      <c r="BV1628">
        <v>3</v>
      </c>
      <c r="BX1628">
        <v>101</v>
      </c>
      <c r="BZ1628">
        <v>95</v>
      </c>
      <c r="CM1628">
        <v>1911</v>
      </c>
    </row>
    <row r="1629" spans="1:91" x14ac:dyDescent="0.3">
      <c r="A1629" t="s">
        <v>2506</v>
      </c>
      <c r="B1629">
        <v>44897</v>
      </c>
      <c r="D1629">
        <v>12</v>
      </c>
      <c r="I1629">
        <v>149400</v>
      </c>
      <c r="J1629" t="s">
        <v>800</v>
      </c>
      <c r="V1629" t="s">
        <v>350</v>
      </c>
      <c r="Y1629">
        <v>100</v>
      </c>
      <c r="AA1629">
        <v>97</v>
      </c>
      <c r="AC1629" s="3">
        <v>97</v>
      </c>
      <c r="AE1629" s="3">
        <v>95</v>
      </c>
      <c r="AI1629">
        <v>95</v>
      </c>
      <c r="AK1629" s="3"/>
      <c r="BG1629">
        <v>5</v>
      </c>
      <c r="BH1629">
        <v>5</v>
      </c>
      <c r="BI1629">
        <v>5</v>
      </c>
      <c r="BJ1629">
        <v>5</v>
      </c>
      <c r="BK1629" s="4">
        <v>3805</v>
      </c>
      <c r="BL1629" s="4">
        <v>3988</v>
      </c>
      <c r="BM1629" s="4">
        <v>4170</v>
      </c>
      <c r="BN1629" s="4">
        <v>4353</v>
      </c>
      <c r="BR1629">
        <v>45404</v>
      </c>
      <c r="BS1629" t="s">
        <v>2507</v>
      </c>
      <c r="BT1629">
        <v>5</v>
      </c>
      <c r="BU1629">
        <v>5</v>
      </c>
      <c r="BV1629">
        <v>3</v>
      </c>
      <c r="BX1629">
        <v>102.5</v>
      </c>
      <c r="BZ1629">
        <v>95</v>
      </c>
      <c r="CK1629" t="s">
        <v>360</v>
      </c>
      <c r="CM1629">
        <v>1911</v>
      </c>
    </row>
    <row r="1630" spans="1:91" x14ac:dyDescent="0.3">
      <c r="A1630" t="s">
        <v>2508</v>
      </c>
      <c r="B1630">
        <v>44898</v>
      </c>
      <c r="D1630">
        <v>12</v>
      </c>
      <c r="I1630">
        <v>99600</v>
      </c>
      <c r="J1630" t="s">
        <v>800</v>
      </c>
      <c r="V1630" t="s">
        <v>350</v>
      </c>
      <c r="Y1630">
        <v>100</v>
      </c>
      <c r="AA1630">
        <v>104</v>
      </c>
      <c r="AC1630" s="3">
        <v>105</v>
      </c>
      <c r="AE1630" s="3">
        <v>102</v>
      </c>
      <c r="AI1630">
        <v>105</v>
      </c>
      <c r="AK1630" s="3"/>
      <c r="AX1630" t="s">
        <v>823</v>
      </c>
      <c r="BB1630" t="s">
        <v>823</v>
      </c>
      <c r="BG1630">
        <v>7</v>
      </c>
      <c r="BH1630">
        <v>5</v>
      </c>
      <c r="BI1630">
        <v>7</v>
      </c>
      <c r="BJ1630">
        <v>6</v>
      </c>
      <c r="BK1630" s="4">
        <v>3805</v>
      </c>
      <c r="BL1630" s="4">
        <v>3988</v>
      </c>
      <c r="BM1630" s="4">
        <v>4170</v>
      </c>
      <c r="BN1630" s="4">
        <v>4353</v>
      </c>
      <c r="BR1630">
        <v>45404</v>
      </c>
      <c r="BS1630" t="s">
        <v>2507</v>
      </c>
      <c r="BT1630">
        <v>6</v>
      </c>
      <c r="BU1630">
        <v>3</v>
      </c>
      <c r="BV1630">
        <v>9</v>
      </c>
      <c r="BX1630">
        <v>105</v>
      </c>
      <c r="BZ1630">
        <v>82</v>
      </c>
      <c r="CM1630">
        <v>1911</v>
      </c>
    </row>
    <row r="1631" spans="1:91" x14ac:dyDescent="0.3">
      <c r="A1631" t="s">
        <v>2509</v>
      </c>
      <c r="B1631">
        <v>44899</v>
      </c>
      <c r="C1631" t="s">
        <v>805</v>
      </c>
      <c r="D1631">
        <v>12</v>
      </c>
      <c r="I1631">
        <v>250000</v>
      </c>
      <c r="J1631" t="s">
        <v>800</v>
      </c>
      <c r="V1631" t="s">
        <v>350</v>
      </c>
      <c r="Y1631">
        <v>100</v>
      </c>
      <c r="AA1631">
        <v>102</v>
      </c>
      <c r="AC1631" s="3">
        <v>102</v>
      </c>
      <c r="AE1631" s="3">
        <v>98</v>
      </c>
      <c r="AI1631">
        <v>102</v>
      </c>
      <c r="AK1631" s="3"/>
      <c r="AV1631" t="s">
        <v>366</v>
      </c>
      <c r="AX1631" t="s">
        <v>366</v>
      </c>
      <c r="AZ1631" t="s">
        <v>366</v>
      </c>
      <c r="BB1631" t="s">
        <v>366</v>
      </c>
      <c r="BO1631" t="s">
        <v>367</v>
      </c>
      <c r="BR1631">
        <v>45404</v>
      </c>
      <c r="BS1631" t="s">
        <v>2507</v>
      </c>
      <c r="BT1631">
        <v>4</v>
      </c>
      <c r="BU1631">
        <v>8</v>
      </c>
      <c r="BV1631">
        <v>3</v>
      </c>
      <c r="BX1631">
        <v>102</v>
      </c>
      <c r="BZ1631">
        <v>96.75</v>
      </c>
      <c r="CM1631">
        <v>1911</v>
      </c>
    </row>
    <row r="1632" spans="1:91" x14ac:dyDescent="0.3">
      <c r="A1632" t="s">
        <v>2510</v>
      </c>
      <c r="B1632">
        <v>44928</v>
      </c>
      <c r="D1632">
        <v>12</v>
      </c>
      <c r="I1632">
        <v>750000</v>
      </c>
      <c r="J1632" t="s">
        <v>800</v>
      </c>
      <c r="V1632" t="s">
        <v>350</v>
      </c>
      <c r="Y1632">
        <v>100</v>
      </c>
      <c r="AA1632">
        <v>157.5</v>
      </c>
      <c r="AC1632" s="3">
        <v>158</v>
      </c>
      <c r="AE1632" s="3">
        <v>155</v>
      </c>
      <c r="AI1632">
        <v>156.5</v>
      </c>
      <c r="AK1632" s="3"/>
      <c r="AX1632" t="s">
        <v>823</v>
      </c>
      <c r="BB1632" t="s">
        <v>823</v>
      </c>
      <c r="BG1632">
        <v>10</v>
      </c>
      <c r="BH1632">
        <v>6</v>
      </c>
      <c r="BI1632">
        <v>11</v>
      </c>
      <c r="BJ1632">
        <v>8</v>
      </c>
      <c r="BK1632" s="4">
        <v>3774</v>
      </c>
      <c r="BL1632" s="4">
        <v>3958</v>
      </c>
      <c r="BM1632" s="4">
        <v>4139</v>
      </c>
      <c r="BN1632" s="4">
        <v>4323</v>
      </c>
      <c r="BR1632">
        <v>445229</v>
      </c>
      <c r="BS1632" t="s">
        <v>2511</v>
      </c>
      <c r="BT1632">
        <v>6</v>
      </c>
      <c r="BU1632">
        <v>1</v>
      </c>
      <c r="BV1632">
        <v>6</v>
      </c>
      <c r="BX1632">
        <v>167</v>
      </c>
      <c r="BZ1632">
        <v>144.5</v>
      </c>
      <c r="CK1632" t="s">
        <v>360</v>
      </c>
      <c r="CM1632">
        <v>1911</v>
      </c>
    </row>
    <row r="1633" spans="1:91" x14ac:dyDescent="0.3">
      <c r="A1633" t="s">
        <v>2510</v>
      </c>
      <c r="B1633">
        <v>44929</v>
      </c>
      <c r="C1633" t="s">
        <v>977</v>
      </c>
      <c r="D1633">
        <v>12</v>
      </c>
      <c r="I1633">
        <v>750000</v>
      </c>
      <c r="J1633" t="s">
        <v>800</v>
      </c>
      <c r="V1633" t="s">
        <v>350</v>
      </c>
      <c r="Y1633">
        <v>100</v>
      </c>
      <c r="AA1633">
        <v>105</v>
      </c>
      <c r="AC1633" s="3">
        <v>105</v>
      </c>
      <c r="AE1633" s="3">
        <v>103</v>
      </c>
      <c r="AI1633">
        <v>103</v>
      </c>
      <c r="AK1633" s="3"/>
      <c r="AV1633" t="s">
        <v>366</v>
      </c>
      <c r="AX1633" t="s">
        <v>366</v>
      </c>
      <c r="AZ1633" t="s">
        <v>366</v>
      </c>
      <c r="BB1633" t="s">
        <v>366</v>
      </c>
      <c r="BO1633" t="s">
        <v>367</v>
      </c>
      <c r="BR1633">
        <v>445229</v>
      </c>
      <c r="BS1633" t="s">
        <v>2511</v>
      </c>
      <c r="BT1633">
        <v>4</v>
      </c>
      <c r="BU1633">
        <v>7</v>
      </c>
      <c r="BV1633">
        <v>6</v>
      </c>
      <c r="BX1633">
        <v>108</v>
      </c>
      <c r="BZ1633">
        <v>102.75</v>
      </c>
      <c r="CM1633">
        <v>1911</v>
      </c>
    </row>
    <row r="1634" spans="1:91" x14ac:dyDescent="0.3">
      <c r="A1634" t="s">
        <v>2510</v>
      </c>
      <c r="B1634">
        <v>44926</v>
      </c>
      <c r="C1634" t="s">
        <v>1188</v>
      </c>
      <c r="D1634">
        <v>12</v>
      </c>
      <c r="I1634" s="2">
        <v>1000000</v>
      </c>
      <c r="J1634" t="s">
        <v>800</v>
      </c>
      <c r="V1634" t="s">
        <v>350</v>
      </c>
      <c r="Y1634">
        <v>100</v>
      </c>
      <c r="AA1634">
        <v>88</v>
      </c>
      <c r="AC1634" s="3">
        <v>88</v>
      </c>
      <c r="AE1634" s="3">
        <v>87.5</v>
      </c>
      <c r="AI1634">
        <v>87.5</v>
      </c>
      <c r="AK1634" s="3"/>
      <c r="AV1634" t="s">
        <v>366</v>
      </c>
      <c r="AX1634" t="s">
        <v>366</v>
      </c>
      <c r="AZ1634" t="s">
        <v>366</v>
      </c>
      <c r="BB1634" t="s">
        <v>366</v>
      </c>
      <c r="BO1634" t="s">
        <v>367</v>
      </c>
      <c r="BR1634">
        <v>445229</v>
      </c>
      <c r="BS1634" t="s">
        <v>2511</v>
      </c>
      <c r="BT1634">
        <v>4</v>
      </c>
      <c r="BU1634">
        <v>0</v>
      </c>
      <c r="BV1634">
        <v>0</v>
      </c>
      <c r="BX1634">
        <v>90.5</v>
      </c>
      <c r="BZ1634">
        <v>86</v>
      </c>
      <c r="CM1634">
        <v>1911</v>
      </c>
    </row>
    <row r="1635" spans="1:91" x14ac:dyDescent="0.3">
      <c r="A1635" t="s">
        <v>2510</v>
      </c>
      <c r="B1635">
        <v>44930</v>
      </c>
      <c r="C1635" t="s">
        <v>1071</v>
      </c>
      <c r="D1635">
        <v>12</v>
      </c>
      <c r="I1635">
        <v>500000</v>
      </c>
      <c r="J1635" t="s">
        <v>800</v>
      </c>
      <c r="V1635" t="s">
        <v>350</v>
      </c>
      <c r="Y1635">
        <v>100</v>
      </c>
      <c r="AA1635">
        <v>100</v>
      </c>
      <c r="AC1635" s="3">
        <v>100</v>
      </c>
      <c r="AE1635" s="3">
        <v>100</v>
      </c>
      <c r="AI1635">
        <v>100</v>
      </c>
      <c r="AK1635" s="3"/>
      <c r="AV1635" t="s">
        <v>366</v>
      </c>
      <c r="AX1635" t="s">
        <v>366</v>
      </c>
      <c r="AZ1635" t="s">
        <v>366</v>
      </c>
      <c r="BB1635" t="s">
        <v>366</v>
      </c>
      <c r="BO1635" t="s">
        <v>367</v>
      </c>
      <c r="BR1635">
        <v>445229</v>
      </c>
      <c r="BS1635" t="s">
        <v>2511</v>
      </c>
      <c r="BT1635">
        <v>4</v>
      </c>
      <c r="BU1635">
        <v>0</v>
      </c>
      <c r="BV1635">
        <v>6</v>
      </c>
      <c r="BX1635">
        <v>101.75</v>
      </c>
      <c r="BZ1635">
        <v>98.5</v>
      </c>
      <c r="CM1635">
        <v>1911</v>
      </c>
    </row>
    <row r="1636" spans="1:91" x14ac:dyDescent="0.3">
      <c r="A1636" t="s">
        <v>2512</v>
      </c>
      <c r="B1636">
        <v>44956</v>
      </c>
      <c r="D1636">
        <v>12</v>
      </c>
      <c r="I1636">
        <v>600000</v>
      </c>
      <c r="J1636" t="s">
        <v>800</v>
      </c>
      <c r="V1636" t="s">
        <v>350</v>
      </c>
      <c r="Y1636">
        <v>100</v>
      </c>
      <c r="AA1636">
        <v>89</v>
      </c>
      <c r="AC1636" s="3">
        <v>89</v>
      </c>
      <c r="AE1636" s="3">
        <v>89</v>
      </c>
      <c r="AI1636">
        <v>89</v>
      </c>
      <c r="AK1636" s="3"/>
      <c r="BG1636">
        <v>4.5</v>
      </c>
      <c r="BH1636">
        <v>4.5</v>
      </c>
      <c r="BI1636">
        <v>4.5</v>
      </c>
      <c r="BJ1636">
        <v>4.5</v>
      </c>
      <c r="BK1636" s="4">
        <v>3713</v>
      </c>
      <c r="BL1636" s="4">
        <v>3897</v>
      </c>
      <c r="BM1636" s="4">
        <v>4078</v>
      </c>
      <c r="BN1636" s="4">
        <v>4262</v>
      </c>
      <c r="BR1636">
        <v>13886</v>
      </c>
      <c r="BS1636" t="s">
        <v>2513</v>
      </c>
      <c r="BT1636">
        <v>5</v>
      </c>
      <c r="BU1636">
        <v>2</v>
      </c>
      <c r="BV1636">
        <v>9</v>
      </c>
      <c r="BX1636">
        <v>96</v>
      </c>
      <c r="BZ1636">
        <v>87.5</v>
      </c>
      <c r="CK1636" t="s">
        <v>360</v>
      </c>
      <c r="CM1636">
        <v>1911</v>
      </c>
    </row>
    <row r="1637" spans="1:91" x14ac:dyDescent="0.3">
      <c r="A1637" t="s">
        <v>2512</v>
      </c>
      <c r="B1637">
        <v>44958</v>
      </c>
      <c r="C1637" t="s">
        <v>1632</v>
      </c>
      <c r="D1637">
        <v>12</v>
      </c>
      <c r="I1637">
        <v>400000</v>
      </c>
      <c r="J1637" t="s">
        <v>800</v>
      </c>
      <c r="V1637" t="s">
        <v>350</v>
      </c>
      <c r="Y1637">
        <v>100</v>
      </c>
      <c r="AA1637">
        <v>67</v>
      </c>
      <c r="AC1637" s="3">
        <v>71</v>
      </c>
      <c r="AE1637" s="3">
        <v>67</v>
      </c>
      <c r="AI1637">
        <v>70</v>
      </c>
      <c r="AK1637" s="3"/>
      <c r="AX1637" t="s">
        <v>823</v>
      </c>
      <c r="BB1637" t="s">
        <v>823</v>
      </c>
      <c r="BG1637">
        <v>5</v>
      </c>
      <c r="BH1637">
        <v>3</v>
      </c>
      <c r="BI1637">
        <v>6</v>
      </c>
      <c r="BJ1637">
        <v>3</v>
      </c>
      <c r="BK1637" s="4">
        <v>3713</v>
      </c>
      <c r="BL1637" s="4">
        <v>3897</v>
      </c>
      <c r="BM1637" s="4">
        <v>4078</v>
      </c>
      <c r="BN1637" s="4">
        <v>4262</v>
      </c>
      <c r="BR1637">
        <v>13886</v>
      </c>
      <c r="BS1637" t="s">
        <v>2513</v>
      </c>
      <c r="BT1637">
        <v>6</v>
      </c>
      <c r="BU1637">
        <v>8</v>
      </c>
      <c r="BV1637">
        <v>6</v>
      </c>
      <c r="BX1637">
        <v>72.5</v>
      </c>
      <c r="BZ1637">
        <v>61</v>
      </c>
      <c r="CM1637">
        <v>1911</v>
      </c>
    </row>
    <row r="1638" spans="1:91" x14ac:dyDescent="0.3">
      <c r="A1638" t="s">
        <v>2512</v>
      </c>
      <c r="B1638">
        <v>44957</v>
      </c>
      <c r="C1638" t="s">
        <v>860</v>
      </c>
      <c r="D1638">
        <v>12</v>
      </c>
      <c r="I1638">
        <v>750000</v>
      </c>
      <c r="J1638" t="s">
        <v>800</v>
      </c>
      <c r="V1638" t="s">
        <v>350</v>
      </c>
      <c r="Y1638">
        <v>100</v>
      </c>
      <c r="AA1638">
        <v>93.5</v>
      </c>
      <c r="AC1638" s="3">
        <v>94.5</v>
      </c>
      <c r="AE1638" s="3">
        <v>93.5</v>
      </c>
      <c r="AI1638">
        <v>94</v>
      </c>
      <c r="AJ1638" t="s">
        <v>379</v>
      </c>
      <c r="AK1638" s="3"/>
      <c r="AV1638" t="s">
        <v>370</v>
      </c>
      <c r="AX1638" t="s">
        <v>370</v>
      </c>
      <c r="AZ1638" t="s">
        <v>370</v>
      </c>
      <c r="BB1638" t="s">
        <v>370</v>
      </c>
      <c r="BO1638" t="s">
        <v>367</v>
      </c>
      <c r="BR1638">
        <v>13886</v>
      </c>
      <c r="BS1638" t="s">
        <v>2513</v>
      </c>
      <c r="BT1638">
        <v>4</v>
      </c>
      <c r="BU1638">
        <v>5</v>
      </c>
      <c r="BV1638">
        <v>0</v>
      </c>
      <c r="BX1638">
        <v>98.5</v>
      </c>
      <c r="BZ1638">
        <v>93</v>
      </c>
      <c r="CM1638">
        <v>1911</v>
      </c>
    </row>
    <row r="1639" spans="1:91" x14ac:dyDescent="0.3">
      <c r="A1639" t="s">
        <v>2514</v>
      </c>
      <c r="B1639">
        <v>44976</v>
      </c>
      <c r="D1639">
        <v>12</v>
      </c>
      <c r="I1639" s="2">
        <v>1200000</v>
      </c>
      <c r="J1639" t="s">
        <v>800</v>
      </c>
      <c r="V1639" t="s">
        <v>350</v>
      </c>
      <c r="Y1639">
        <v>100</v>
      </c>
      <c r="AA1639">
        <v>93.5</v>
      </c>
      <c r="AC1639" s="3">
        <v>94.5</v>
      </c>
      <c r="AE1639" s="3">
        <v>93.5</v>
      </c>
      <c r="AI1639">
        <v>94</v>
      </c>
      <c r="AK1639" s="3"/>
      <c r="AX1639" t="s">
        <v>823</v>
      </c>
      <c r="BB1639" t="s">
        <v>823</v>
      </c>
      <c r="BG1639">
        <v>4</v>
      </c>
      <c r="BH1639">
        <v>4</v>
      </c>
      <c r="BI1639">
        <v>4</v>
      </c>
      <c r="BJ1639">
        <v>4</v>
      </c>
      <c r="BK1639" s="4">
        <v>3774</v>
      </c>
      <c r="BL1639" s="4">
        <v>3958</v>
      </c>
      <c r="BM1639" s="4">
        <v>4139</v>
      </c>
      <c r="BN1639" s="4">
        <v>4323</v>
      </c>
      <c r="BR1639">
        <v>597250</v>
      </c>
      <c r="BS1639" t="s">
        <v>2515</v>
      </c>
      <c r="BT1639">
        <v>4</v>
      </c>
      <c r="BU1639">
        <v>5</v>
      </c>
      <c r="BV1639">
        <v>0</v>
      </c>
      <c r="BX1639">
        <v>98.25</v>
      </c>
      <c r="BZ1639">
        <v>91.12</v>
      </c>
      <c r="CK1639" t="s">
        <v>360</v>
      </c>
      <c r="CM1639">
        <v>1911</v>
      </c>
    </row>
    <row r="1640" spans="1:91" x14ac:dyDescent="0.3">
      <c r="A1640" t="s">
        <v>2514</v>
      </c>
      <c r="B1640">
        <v>44978</v>
      </c>
      <c r="C1640" t="s">
        <v>1632</v>
      </c>
      <c r="D1640">
        <v>12</v>
      </c>
      <c r="I1640">
        <v>800000</v>
      </c>
      <c r="J1640" t="s">
        <v>800</v>
      </c>
      <c r="V1640" t="s">
        <v>350</v>
      </c>
      <c r="Y1640">
        <v>100</v>
      </c>
      <c r="AA1640">
        <v>212.5</v>
      </c>
      <c r="AC1640" s="3">
        <v>213.5</v>
      </c>
      <c r="AE1640" s="3">
        <v>210</v>
      </c>
      <c r="AI1640">
        <v>211.5</v>
      </c>
      <c r="AK1640" s="3"/>
      <c r="AX1640" t="s">
        <v>823</v>
      </c>
      <c r="BB1640" t="s">
        <v>823</v>
      </c>
      <c r="BG1640">
        <v>11</v>
      </c>
      <c r="BH1640">
        <v>10</v>
      </c>
      <c r="BI1640">
        <v>12</v>
      </c>
      <c r="BJ1640">
        <v>11</v>
      </c>
      <c r="BK1640" s="4">
        <v>3774</v>
      </c>
      <c r="BL1640" s="4">
        <v>3958</v>
      </c>
      <c r="BM1640" s="4">
        <v>4139</v>
      </c>
      <c r="BN1640" s="4">
        <v>4323</v>
      </c>
      <c r="BR1640">
        <v>597250</v>
      </c>
      <c r="BS1640" t="s">
        <v>2515</v>
      </c>
      <c r="BT1640">
        <v>5</v>
      </c>
      <c r="BU1640">
        <v>8</v>
      </c>
      <c r="BV1640">
        <v>9</v>
      </c>
      <c r="BX1640">
        <v>213.5</v>
      </c>
      <c r="BZ1640">
        <v>190.5</v>
      </c>
      <c r="CM1640">
        <v>1911</v>
      </c>
    </row>
    <row r="1641" spans="1:91" x14ac:dyDescent="0.3">
      <c r="A1641" t="s">
        <v>2514</v>
      </c>
      <c r="B1641">
        <v>44977</v>
      </c>
      <c r="C1641" t="s">
        <v>860</v>
      </c>
      <c r="D1641">
        <v>12</v>
      </c>
      <c r="I1641" s="2">
        <v>1300000</v>
      </c>
      <c r="J1641" t="s">
        <v>800</v>
      </c>
      <c r="V1641" t="s">
        <v>350</v>
      </c>
      <c r="Y1641">
        <v>100</v>
      </c>
      <c r="AA1641">
        <v>100</v>
      </c>
      <c r="AC1641" s="3">
        <v>100</v>
      </c>
      <c r="AE1641" s="3">
        <v>98</v>
      </c>
      <c r="AI1641">
        <v>98</v>
      </c>
      <c r="AJ1641" t="s">
        <v>379</v>
      </c>
      <c r="AK1641" s="3"/>
      <c r="AV1641" t="s">
        <v>370</v>
      </c>
      <c r="AX1641" t="s">
        <v>370</v>
      </c>
      <c r="AZ1641" t="s">
        <v>370</v>
      </c>
      <c r="BB1641" t="s">
        <v>370</v>
      </c>
      <c r="BO1641" t="s">
        <v>367</v>
      </c>
      <c r="BR1641">
        <v>597250</v>
      </c>
      <c r="BS1641" t="s">
        <v>2515</v>
      </c>
      <c r="BT1641">
        <v>4</v>
      </c>
      <c r="BU1641">
        <v>1</v>
      </c>
      <c r="BV1641">
        <v>9</v>
      </c>
      <c r="BX1641">
        <v>102</v>
      </c>
      <c r="BZ1641">
        <v>98</v>
      </c>
      <c r="CM1641">
        <v>1911</v>
      </c>
    </row>
    <row r="1642" spans="1:91" x14ac:dyDescent="0.3">
      <c r="A1642" t="s">
        <v>2514</v>
      </c>
      <c r="B1642">
        <v>44979</v>
      </c>
      <c r="C1642" t="s">
        <v>2516</v>
      </c>
      <c r="D1642">
        <v>12</v>
      </c>
      <c r="I1642">
        <v>700000</v>
      </c>
      <c r="J1642" t="s">
        <v>800</v>
      </c>
      <c r="V1642" t="s">
        <v>350</v>
      </c>
      <c r="Y1642">
        <v>100</v>
      </c>
      <c r="AA1642">
        <v>100</v>
      </c>
      <c r="AC1642" s="3">
        <v>100</v>
      </c>
      <c r="AE1642" s="3">
        <v>98</v>
      </c>
      <c r="AI1642">
        <v>98</v>
      </c>
      <c r="AJ1642" t="s">
        <v>379</v>
      </c>
      <c r="AK1642" s="3"/>
      <c r="AV1642" t="s">
        <v>370</v>
      </c>
      <c r="AX1642" t="s">
        <v>370</v>
      </c>
      <c r="AZ1642" t="s">
        <v>370</v>
      </c>
      <c r="BB1642" t="s">
        <v>370</v>
      </c>
      <c r="BO1642" t="s">
        <v>367</v>
      </c>
      <c r="BR1642">
        <v>597250</v>
      </c>
      <c r="BS1642" t="s">
        <v>2515</v>
      </c>
      <c r="BT1642">
        <v>4</v>
      </c>
      <c r="BU1642">
        <v>1</v>
      </c>
      <c r="BV1642">
        <v>9</v>
      </c>
      <c r="BY1642" t="s">
        <v>385</v>
      </c>
      <c r="CA1642" t="s">
        <v>385</v>
      </c>
      <c r="CM1642">
        <v>1911</v>
      </c>
    </row>
    <row r="1643" spans="1:91" x14ac:dyDescent="0.3">
      <c r="A1643" t="s">
        <v>2517</v>
      </c>
      <c r="B1643">
        <v>45632</v>
      </c>
      <c r="D1643">
        <v>12</v>
      </c>
      <c r="I1643">
        <v>49800</v>
      </c>
      <c r="J1643" t="s">
        <v>800</v>
      </c>
      <c r="V1643" t="s">
        <v>350</v>
      </c>
      <c r="Y1643">
        <v>100</v>
      </c>
      <c r="AA1643">
        <v>113</v>
      </c>
      <c r="AC1643" s="3">
        <v>129</v>
      </c>
      <c r="AE1643" s="3">
        <v>113</v>
      </c>
      <c r="AI1643">
        <v>129</v>
      </c>
      <c r="AJ1643" t="s">
        <v>379</v>
      </c>
      <c r="AK1643" s="3"/>
      <c r="AV1643" t="s">
        <v>385</v>
      </c>
      <c r="AX1643" t="s">
        <v>385</v>
      </c>
      <c r="AZ1643" t="s">
        <v>385</v>
      </c>
      <c r="BB1643" t="s">
        <v>815</v>
      </c>
      <c r="BJ1643">
        <v>4</v>
      </c>
      <c r="BL1643" t="s">
        <v>811</v>
      </c>
      <c r="BM1643" t="s">
        <v>811</v>
      </c>
      <c r="BN1643" s="4">
        <v>4353</v>
      </c>
      <c r="BR1643">
        <v>561</v>
      </c>
      <c r="BS1643" t="s">
        <v>2518</v>
      </c>
      <c r="BT1643">
        <v>3</v>
      </c>
      <c r="BU1643">
        <v>2</v>
      </c>
      <c r="BV1643">
        <v>0</v>
      </c>
      <c r="BX1643">
        <v>129</v>
      </c>
      <c r="BZ1643">
        <v>106.5</v>
      </c>
      <c r="CK1643" t="s">
        <v>360</v>
      </c>
      <c r="CM1643">
        <v>1911</v>
      </c>
    </row>
    <row r="1644" spans="1:91" x14ac:dyDescent="0.3">
      <c r="A1644" t="s">
        <v>2517</v>
      </c>
      <c r="B1644">
        <v>45636</v>
      </c>
      <c r="C1644" t="s">
        <v>2519</v>
      </c>
      <c r="D1644">
        <v>12</v>
      </c>
      <c r="I1644">
        <v>217250</v>
      </c>
      <c r="J1644" t="s">
        <v>800</v>
      </c>
      <c r="V1644" t="s">
        <v>350</v>
      </c>
      <c r="Y1644">
        <v>100</v>
      </c>
      <c r="AA1644">
        <v>100</v>
      </c>
      <c r="AC1644" s="3">
        <v>100</v>
      </c>
      <c r="AE1644" s="3">
        <v>98</v>
      </c>
      <c r="AI1644">
        <v>98</v>
      </c>
      <c r="AJ1644" t="s">
        <v>379</v>
      </c>
      <c r="AK1644" s="3"/>
      <c r="AV1644" t="s">
        <v>421</v>
      </c>
      <c r="AX1644" t="s">
        <v>421</v>
      </c>
      <c r="AZ1644" t="s">
        <v>421</v>
      </c>
      <c r="BB1644" t="s">
        <v>421</v>
      </c>
      <c r="BO1644" t="s">
        <v>367</v>
      </c>
      <c r="BR1644">
        <v>561</v>
      </c>
      <c r="BS1644" t="s">
        <v>2518</v>
      </c>
      <c r="BT1644">
        <v>5</v>
      </c>
      <c r="BU1644">
        <v>2</v>
      </c>
      <c r="BV1644">
        <v>0</v>
      </c>
      <c r="BX1644">
        <v>103.5</v>
      </c>
      <c r="BZ1644">
        <v>98</v>
      </c>
      <c r="CM1644">
        <v>1911</v>
      </c>
    </row>
    <row r="1645" spans="1:91" x14ac:dyDescent="0.3">
      <c r="A1645" t="s">
        <v>2517</v>
      </c>
      <c r="B1645">
        <v>45635</v>
      </c>
      <c r="C1645" t="s">
        <v>2520</v>
      </c>
      <c r="D1645">
        <v>12</v>
      </c>
      <c r="I1645">
        <v>217250</v>
      </c>
      <c r="J1645" t="s">
        <v>800</v>
      </c>
      <c r="V1645" t="s">
        <v>350</v>
      </c>
      <c r="Y1645">
        <v>100</v>
      </c>
      <c r="AA1645">
        <v>99</v>
      </c>
      <c r="AC1645" s="3">
        <v>99</v>
      </c>
      <c r="AE1645" s="3">
        <v>97</v>
      </c>
      <c r="AI1645">
        <v>97</v>
      </c>
      <c r="AJ1645" t="s">
        <v>379</v>
      </c>
      <c r="AK1645" s="3"/>
      <c r="AV1645" t="s">
        <v>815</v>
      </c>
      <c r="AX1645" t="s">
        <v>815</v>
      </c>
      <c r="BG1645">
        <v>4.5</v>
      </c>
      <c r="BH1645">
        <v>5.5</v>
      </c>
      <c r="BI1645">
        <v>5.5</v>
      </c>
      <c r="BJ1645">
        <v>5.5</v>
      </c>
      <c r="BK1645" s="4">
        <v>3654</v>
      </c>
      <c r="BL1645" s="4">
        <v>3835</v>
      </c>
      <c r="BM1645" s="4">
        <v>4019</v>
      </c>
      <c r="BN1645" s="4">
        <v>4200</v>
      </c>
      <c r="BR1645">
        <v>561</v>
      </c>
      <c r="BS1645" t="s">
        <v>2518</v>
      </c>
      <c r="BT1645">
        <v>5</v>
      </c>
      <c r="BU1645">
        <v>13</v>
      </c>
      <c r="BV1645">
        <v>6</v>
      </c>
      <c r="BX1645">
        <v>100</v>
      </c>
      <c r="BZ1645">
        <v>96</v>
      </c>
      <c r="CM1645">
        <v>1911</v>
      </c>
    </row>
    <row r="1646" spans="1:91" x14ac:dyDescent="0.3">
      <c r="A1646" t="s">
        <v>2521</v>
      </c>
      <c r="B1646">
        <v>45772</v>
      </c>
      <c r="D1646">
        <v>12</v>
      </c>
      <c r="I1646">
        <v>164700</v>
      </c>
      <c r="J1646" t="s">
        <v>800</v>
      </c>
      <c r="V1646" t="s">
        <v>350</v>
      </c>
      <c r="Y1646">
        <v>100</v>
      </c>
      <c r="AA1646">
        <v>94</v>
      </c>
      <c r="AB1646" t="s">
        <v>379</v>
      </c>
      <c r="AC1646" s="3">
        <v>96</v>
      </c>
      <c r="AE1646" s="3">
        <v>93</v>
      </c>
      <c r="AI1646">
        <v>96</v>
      </c>
      <c r="AK1646" s="3"/>
      <c r="AV1646" t="s">
        <v>815</v>
      </c>
      <c r="AX1646" t="s">
        <v>815</v>
      </c>
      <c r="AZ1646" t="s">
        <v>815</v>
      </c>
      <c r="BB1646" t="s">
        <v>815</v>
      </c>
      <c r="BG1646">
        <v>5</v>
      </c>
      <c r="BH1646">
        <v>5</v>
      </c>
      <c r="BI1646">
        <v>5</v>
      </c>
      <c r="BJ1646">
        <v>5</v>
      </c>
      <c r="BK1646" t="s">
        <v>1224</v>
      </c>
      <c r="BL1646" t="s">
        <v>1225</v>
      </c>
      <c r="BM1646" t="s">
        <v>913</v>
      </c>
      <c r="BN1646" t="s">
        <v>1226</v>
      </c>
      <c r="BR1646">
        <v>48667</v>
      </c>
      <c r="BS1646" t="s">
        <v>2522</v>
      </c>
      <c r="BT1646">
        <v>5</v>
      </c>
      <c r="BU1646">
        <v>4</v>
      </c>
      <c r="BV1646">
        <v>3</v>
      </c>
      <c r="BX1646">
        <v>101</v>
      </c>
      <c r="BZ1646">
        <v>93</v>
      </c>
      <c r="CK1646" t="s">
        <v>360</v>
      </c>
      <c r="CM1646">
        <v>1911</v>
      </c>
    </row>
    <row r="1647" spans="1:91" x14ac:dyDescent="0.3">
      <c r="A1647" t="s">
        <v>2523</v>
      </c>
      <c r="B1647">
        <v>45773</v>
      </c>
      <c r="C1647" t="s">
        <v>1632</v>
      </c>
      <c r="D1647">
        <v>12</v>
      </c>
      <c r="I1647">
        <v>164700</v>
      </c>
      <c r="J1647" t="s">
        <v>800</v>
      </c>
      <c r="V1647" t="s">
        <v>350</v>
      </c>
      <c r="Y1647">
        <v>100</v>
      </c>
      <c r="AA1647">
        <v>93</v>
      </c>
      <c r="AC1647" s="3">
        <v>94</v>
      </c>
      <c r="AE1647" s="3">
        <v>92.12</v>
      </c>
      <c r="AI1647">
        <v>94</v>
      </c>
      <c r="AK1647" s="3"/>
      <c r="AX1647" t="s">
        <v>823</v>
      </c>
      <c r="BB1647" t="s">
        <v>823</v>
      </c>
      <c r="BG1647">
        <v>6</v>
      </c>
      <c r="BH1647">
        <v>5</v>
      </c>
      <c r="BI1647">
        <v>6</v>
      </c>
      <c r="BJ1647">
        <v>5</v>
      </c>
      <c r="BK1647" s="4">
        <v>3774</v>
      </c>
      <c r="BL1647" s="4">
        <v>3958</v>
      </c>
      <c r="BM1647" s="4">
        <v>4139</v>
      </c>
      <c r="BN1647" s="4">
        <v>4323</v>
      </c>
      <c r="BR1647">
        <v>48667</v>
      </c>
      <c r="BS1647" t="s">
        <v>2522</v>
      </c>
      <c r="BT1647">
        <v>5</v>
      </c>
      <c r="BU1647">
        <v>17</v>
      </c>
      <c r="BV1647">
        <v>0</v>
      </c>
      <c r="BX1647">
        <v>97</v>
      </c>
      <c r="BZ1647">
        <v>83.5</v>
      </c>
      <c r="CM1647">
        <v>1911</v>
      </c>
    </row>
    <row r="1648" spans="1:91" x14ac:dyDescent="0.3">
      <c r="A1648" t="s">
        <v>2524</v>
      </c>
      <c r="B1648">
        <v>45639</v>
      </c>
      <c r="D1648">
        <v>12</v>
      </c>
      <c r="I1648">
        <v>375000</v>
      </c>
      <c r="J1648" t="s">
        <v>800</v>
      </c>
      <c r="V1648" t="s">
        <v>350</v>
      </c>
      <c r="Y1648">
        <v>100</v>
      </c>
      <c r="AA1648">
        <v>102</v>
      </c>
      <c r="AC1648" s="3">
        <v>103</v>
      </c>
      <c r="AE1648" s="3">
        <v>100</v>
      </c>
      <c r="AI1648">
        <v>100</v>
      </c>
      <c r="AJ1648" t="s">
        <v>379</v>
      </c>
      <c r="AK1648" s="3"/>
      <c r="BG1648">
        <v>4.5</v>
      </c>
      <c r="BH1648">
        <v>4.5</v>
      </c>
      <c r="BI1648">
        <v>4.5</v>
      </c>
      <c r="BJ1648">
        <v>4.5</v>
      </c>
      <c r="BK1648" s="4">
        <v>3805</v>
      </c>
      <c r="BL1648" s="4">
        <v>3988</v>
      </c>
      <c r="BM1648" s="4">
        <v>4170</v>
      </c>
      <c r="BN1648" s="4">
        <v>4353</v>
      </c>
      <c r="BR1648">
        <v>237621</v>
      </c>
      <c r="BS1648" t="s">
        <v>2525</v>
      </c>
      <c r="BT1648">
        <v>4</v>
      </c>
      <c r="BU1648">
        <v>10</v>
      </c>
      <c r="BV1648">
        <v>0</v>
      </c>
      <c r="BX1648">
        <v>103</v>
      </c>
      <c r="BZ1648">
        <v>98.5</v>
      </c>
      <c r="CK1648" t="s">
        <v>2526</v>
      </c>
      <c r="CM1648">
        <v>1911</v>
      </c>
    </row>
    <row r="1649" spans="1:91" x14ac:dyDescent="0.3">
      <c r="A1649" t="s">
        <v>2527</v>
      </c>
      <c r="B1649">
        <v>45641</v>
      </c>
      <c r="C1649" t="s">
        <v>1632</v>
      </c>
      <c r="D1649">
        <v>12</v>
      </c>
      <c r="I1649">
        <v>375000</v>
      </c>
      <c r="J1649" t="s">
        <v>800</v>
      </c>
      <c r="V1649" t="s">
        <v>350</v>
      </c>
      <c r="Y1649">
        <v>100</v>
      </c>
      <c r="AA1649">
        <v>143</v>
      </c>
      <c r="AC1649" s="3">
        <v>143</v>
      </c>
      <c r="AE1649" s="3">
        <v>132</v>
      </c>
      <c r="AI1649">
        <v>132</v>
      </c>
      <c r="AJ1649" t="s">
        <v>379</v>
      </c>
      <c r="AK1649" s="3"/>
      <c r="AV1649" t="s">
        <v>823</v>
      </c>
      <c r="AZ1649" t="s">
        <v>823</v>
      </c>
      <c r="BG1649">
        <v>6</v>
      </c>
      <c r="BH1649">
        <v>8</v>
      </c>
      <c r="BI1649">
        <v>6</v>
      </c>
      <c r="BJ1649">
        <v>8</v>
      </c>
      <c r="BK1649" s="4">
        <v>3805</v>
      </c>
      <c r="BL1649" s="4">
        <v>3988</v>
      </c>
      <c r="BM1649" s="4">
        <v>4170</v>
      </c>
      <c r="BN1649" s="4">
        <v>4353</v>
      </c>
      <c r="BR1649">
        <v>237621</v>
      </c>
      <c r="BS1649" t="s">
        <v>2525</v>
      </c>
      <c r="BT1649">
        <v>5</v>
      </c>
      <c r="BU1649">
        <v>6</v>
      </c>
      <c r="BV1649">
        <v>0</v>
      </c>
      <c r="BX1649">
        <v>143</v>
      </c>
      <c r="BZ1649">
        <v>123</v>
      </c>
      <c r="CM1649">
        <v>1911</v>
      </c>
    </row>
    <row r="1650" spans="1:91" x14ac:dyDescent="0.3">
      <c r="A1650" t="s">
        <v>2527</v>
      </c>
      <c r="B1650">
        <v>45640</v>
      </c>
      <c r="C1650" t="s">
        <v>860</v>
      </c>
      <c r="D1650">
        <v>12</v>
      </c>
      <c r="I1650">
        <v>500000</v>
      </c>
      <c r="J1650" t="s">
        <v>800</v>
      </c>
      <c r="V1650" t="s">
        <v>350</v>
      </c>
      <c r="Y1650">
        <v>100</v>
      </c>
      <c r="AA1650">
        <v>101</v>
      </c>
      <c r="AC1650" s="3">
        <v>101</v>
      </c>
      <c r="AE1650" s="3">
        <v>99</v>
      </c>
      <c r="AI1650">
        <v>99</v>
      </c>
      <c r="AJ1650" t="s">
        <v>379</v>
      </c>
      <c r="AK1650" s="3"/>
      <c r="AV1650" t="s">
        <v>370</v>
      </c>
      <c r="AX1650" t="s">
        <v>370</v>
      </c>
      <c r="AZ1650" t="s">
        <v>370</v>
      </c>
      <c r="BB1650" t="s">
        <v>370</v>
      </c>
      <c r="BO1650" t="s">
        <v>367</v>
      </c>
      <c r="BR1650">
        <v>237621</v>
      </c>
      <c r="BS1650" t="s">
        <v>2525</v>
      </c>
      <c r="BT1650">
        <v>4</v>
      </c>
      <c r="BU1650">
        <v>0</v>
      </c>
      <c r="BV1650">
        <v>9</v>
      </c>
      <c r="BX1650">
        <v>101</v>
      </c>
      <c r="BZ1650">
        <v>99</v>
      </c>
      <c r="CM1650">
        <v>1911</v>
      </c>
    </row>
    <row r="1651" spans="1:91" x14ac:dyDescent="0.3">
      <c r="A1651" t="s">
        <v>2528</v>
      </c>
      <c r="B1651">
        <v>45666</v>
      </c>
      <c r="D1651">
        <v>12</v>
      </c>
      <c r="I1651">
        <v>300000</v>
      </c>
      <c r="J1651" t="s">
        <v>800</v>
      </c>
      <c r="V1651" t="s">
        <v>350</v>
      </c>
      <c r="Y1651">
        <v>100</v>
      </c>
      <c r="AA1651">
        <v>126</v>
      </c>
      <c r="AC1651" s="3">
        <v>128</v>
      </c>
      <c r="AE1651" s="3">
        <v>126</v>
      </c>
      <c r="AI1651">
        <v>128</v>
      </c>
      <c r="AK1651" s="3"/>
      <c r="BG1651">
        <v>6</v>
      </c>
      <c r="BH1651">
        <v>6</v>
      </c>
      <c r="BI1651">
        <v>6</v>
      </c>
      <c r="BJ1651">
        <v>6</v>
      </c>
      <c r="BK1651" s="4">
        <v>3562</v>
      </c>
      <c r="BL1651" s="4">
        <v>3744</v>
      </c>
      <c r="BM1651" s="4">
        <v>3927</v>
      </c>
      <c r="BN1651" s="4">
        <v>4109</v>
      </c>
      <c r="BR1651">
        <v>56411</v>
      </c>
      <c r="BS1651" t="s">
        <v>2529</v>
      </c>
      <c r="BT1651">
        <v>4</v>
      </c>
      <c r="BU1651">
        <v>13</v>
      </c>
      <c r="BV1651">
        <v>9</v>
      </c>
      <c r="BX1651">
        <v>128</v>
      </c>
      <c r="BZ1651">
        <v>112</v>
      </c>
      <c r="CK1651" t="s">
        <v>360</v>
      </c>
      <c r="CM1651">
        <v>1911</v>
      </c>
    </row>
    <row r="1652" spans="1:91" x14ac:dyDescent="0.3">
      <c r="A1652" t="s">
        <v>2528</v>
      </c>
      <c r="B1652">
        <v>45664</v>
      </c>
      <c r="C1652" t="s">
        <v>1632</v>
      </c>
      <c r="D1652">
        <v>12</v>
      </c>
      <c r="I1652">
        <v>200000</v>
      </c>
      <c r="J1652" t="s">
        <v>800</v>
      </c>
      <c r="V1652" t="s">
        <v>350</v>
      </c>
      <c r="Y1652">
        <v>100</v>
      </c>
      <c r="AA1652">
        <v>95</v>
      </c>
      <c r="AC1652" s="3">
        <v>95</v>
      </c>
      <c r="AE1652" s="3">
        <v>94.5</v>
      </c>
      <c r="AI1652">
        <v>95</v>
      </c>
      <c r="AK1652" s="3"/>
      <c r="AV1652" t="s">
        <v>815</v>
      </c>
      <c r="AX1652" t="s">
        <v>815</v>
      </c>
      <c r="AZ1652" t="s">
        <v>815</v>
      </c>
      <c r="BB1652" t="s">
        <v>815</v>
      </c>
      <c r="BG1652">
        <v>4</v>
      </c>
      <c r="BH1652">
        <v>3</v>
      </c>
      <c r="BI1652">
        <v>3.5</v>
      </c>
      <c r="BJ1652">
        <v>5</v>
      </c>
      <c r="BK1652" s="4">
        <v>3014</v>
      </c>
      <c r="BL1652" s="4">
        <v>3379</v>
      </c>
      <c r="BM1652" s="4">
        <v>3744</v>
      </c>
      <c r="BN1652" s="4">
        <v>4109</v>
      </c>
      <c r="BR1652">
        <v>56411</v>
      </c>
      <c r="BS1652" t="s">
        <v>2529</v>
      </c>
      <c r="BT1652">
        <v>5</v>
      </c>
      <c r="BU1652">
        <v>5</v>
      </c>
      <c r="BV1652">
        <v>9</v>
      </c>
      <c r="BX1652">
        <v>95.5</v>
      </c>
      <c r="BZ1652">
        <v>79</v>
      </c>
      <c r="CM1652">
        <v>1911</v>
      </c>
    </row>
    <row r="1653" spans="1:91" x14ac:dyDescent="0.3">
      <c r="A1653" t="s">
        <v>2528</v>
      </c>
      <c r="B1653">
        <v>45663</v>
      </c>
      <c r="C1653" t="s">
        <v>860</v>
      </c>
      <c r="D1653">
        <v>12</v>
      </c>
      <c r="I1653">
        <v>826149</v>
      </c>
      <c r="J1653" t="s">
        <v>800</v>
      </c>
      <c r="V1653" t="s">
        <v>350</v>
      </c>
      <c r="Y1653">
        <v>100</v>
      </c>
      <c r="AA1653">
        <v>95</v>
      </c>
      <c r="AC1653" s="3">
        <v>95.5</v>
      </c>
      <c r="AE1653" s="3">
        <v>95</v>
      </c>
      <c r="AI1653">
        <v>95</v>
      </c>
      <c r="AK1653" s="3"/>
      <c r="AV1653" t="s">
        <v>536</v>
      </c>
      <c r="AX1653" t="s">
        <v>536</v>
      </c>
      <c r="AZ1653" t="s">
        <v>536</v>
      </c>
      <c r="BB1653" t="s">
        <v>536</v>
      </c>
      <c r="BO1653" t="s">
        <v>367</v>
      </c>
      <c r="BR1653">
        <v>56411</v>
      </c>
      <c r="BS1653" t="s">
        <v>2529</v>
      </c>
      <c r="BT1653">
        <v>4</v>
      </c>
      <c r="BU1653">
        <v>4</v>
      </c>
      <c r="BV1653">
        <v>9</v>
      </c>
      <c r="BX1653">
        <v>97</v>
      </c>
      <c r="BZ1653">
        <v>92.5</v>
      </c>
      <c r="CM1653">
        <v>1911</v>
      </c>
    </row>
    <row r="1654" spans="1:91" x14ac:dyDescent="0.3">
      <c r="A1654" t="s">
        <v>2528</v>
      </c>
      <c r="B1654">
        <v>45665</v>
      </c>
      <c r="C1654" t="s">
        <v>2530</v>
      </c>
      <c r="D1654">
        <v>12</v>
      </c>
      <c r="I1654">
        <v>111707</v>
      </c>
      <c r="J1654" t="s">
        <v>800</v>
      </c>
      <c r="V1654" t="s">
        <v>350</v>
      </c>
      <c r="Y1654">
        <v>100</v>
      </c>
      <c r="AA1654">
        <v>76</v>
      </c>
      <c r="AC1654" s="3">
        <v>77</v>
      </c>
      <c r="AE1654" s="3">
        <v>76</v>
      </c>
      <c r="AI1654">
        <v>77</v>
      </c>
      <c r="AK1654" s="3"/>
      <c r="AV1654" t="s">
        <v>536</v>
      </c>
      <c r="AX1654" t="s">
        <v>536</v>
      </c>
      <c r="AZ1654" t="s">
        <v>536</v>
      </c>
      <c r="BB1654" t="s">
        <v>536</v>
      </c>
      <c r="BO1654" t="s">
        <v>367</v>
      </c>
      <c r="BR1654">
        <v>56411</v>
      </c>
      <c r="BS1654" t="s">
        <v>2529</v>
      </c>
      <c r="BT1654">
        <v>4</v>
      </c>
      <c r="BU1654">
        <v>11</v>
      </c>
      <c r="BV1654">
        <v>0</v>
      </c>
      <c r="BX1654">
        <v>80</v>
      </c>
      <c r="BZ1654">
        <v>76</v>
      </c>
      <c r="CM1654">
        <v>1911</v>
      </c>
    </row>
    <row r="1655" spans="1:91" x14ac:dyDescent="0.3">
      <c r="A1655" t="s">
        <v>2531</v>
      </c>
      <c r="B1655">
        <v>46194</v>
      </c>
      <c r="D1655">
        <v>12</v>
      </c>
      <c r="I1655" s="2">
        <v>1250000</v>
      </c>
      <c r="J1655" t="s">
        <v>800</v>
      </c>
      <c r="V1655" t="s">
        <v>350</v>
      </c>
      <c r="Y1655">
        <v>100</v>
      </c>
      <c r="AA1655">
        <v>107</v>
      </c>
      <c r="AC1655" s="3">
        <v>108</v>
      </c>
      <c r="AE1655" s="3">
        <v>106.5</v>
      </c>
      <c r="AI1655">
        <v>108</v>
      </c>
      <c r="AK1655" s="3"/>
      <c r="BG1655">
        <v>5</v>
      </c>
      <c r="BH1655">
        <v>5</v>
      </c>
      <c r="BI1655">
        <v>5</v>
      </c>
      <c r="BJ1655">
        <v>5</v>
      </c>
      <c r="BK1655" s="4">
        <v>3685</v>
      </c>
      <c r="BL1655" s="4">
        <v>3866</v>
      </c>
      <c r="BM1655" s="4">
        <v>4050</v>
      </c>
      <c r="BN1655" s="4">
        <v>4231</v>
      </c>
      <c r="BR1655">
        <v>267818</v>
      </c>
      <c r="BS1655" t="s">
        <v>2532</v>
      </c>
      <c r="BT1655">
        <v>4</v>
      </c>
      <c r="BU1655">
        <v>14</v>
      </c>
      <c r="BV1655">
        <v>3</v>
      </c>
      <c r="BX1655">
        <v>110.75</v>
      </c>
      <c r="BZ1655">
        <v>104.5</v>
      </c>
      <c r="CK1655" t="s">
        <v>360</v>
      </c>
      <c r="CM1655">
        <v>1911</v>
      </c>
    </row>
    <row r="1656" spans="1:91" x14ac:dyDescent="0.3">
      <c r="A1656" t="s">
        <v>2531</v>
      </c>
      <c r="B1656">
        <v>46195</v>
      </c>
      <c r="C1656" t="s">
        <v>2533</v>
      </c>
      <c r="D1656">
        <v>12</v>
      </c>
      <c r="I1656" s="2">
        <v>1250000</v>
      </c>
      <c r="J1656" t="s">
        <v>800</v>
      </c>
      <c r="V1656" t="s">
        <v>350</v>
      </c>
      <c r="Y1656">
        <v>100</v>
      </c>
      <c r="AA1656">
        <v>113</v>
      </c>
      <c r="AC1656" s="3">
        <v>117</v>
      </c>
      <c r="AE1656" s="3">
        <v>113</v>
      </c>
      <c r="AI1656">
        <v>117</v>
      </c>
      <c r="AK1656" s="3"/>
      <c r="AX1656" t="s">
        <v>823</v>
      </c>
      <c r="BB1656" t="s">
        <v>823</v>
      </c>
      <c r="BG1656">
        <v>5</v>
      </c>
      <c r="BH1656">
        <v>5</v>
      </c>
      <c r="BI1656">
        <v>6</v>
      </c>
      <c r="BJ1656">
        <v>5</v>
      </c>
      <c r="BK1656" s="4">
        <v>3685</v>
      </c>
      <c r="BL1656" s="4">
        <v>3866</v>
      </c>
      <c r="BM1656" s="4">
        <v>4050</v>
      </c>
      <c r="BN1656" s="4">
        <v>4231</v>
      </c>
      <c r="BR1656">
        <v>267818</v>
      </c>
      <c r="BS1656" t="s">
        <v>2532</v>
      </c>
      <c r="BT1656">
        <v>4</v>
      </c>
      <c r="BU1656">
        <v>14</v>
      </c>
      <c r="BV1656">
        <v>0</v>
      </c>
      <c r="BX1656">
        <v>117</v>
      </c>
      <c r="BZ1656">
        <v>106.25</v>
      </c>
      <c r="CM1656">
        <v>1911</v>
      </c>
    </row>
    <row r="1657" spans="1:91" x14ac:dyDescent="0.3">
      <c r="A1657" t="s">
        <v>2531</v>
      </c>
      <c r="B1657">
        <v>46196</v>
      </c>
      <c r="C1657" t="s">
        <v>860</v>
      </c>
      <c r="D1657">
        <v>12</v>
      </c>
      <c r="I1657" s="2">
        <v>1250000</v>
      </c>
      <c r="J1657" t="s">
        <v>800</v>
      </c>
      <c r="V1657" t="s">
        <v>350</v>
      </c>
      <c r="Y1657">
        <v>100</v>
      </c>
      <c r="AA1657">
        <v>101</v>
      </c>
      <c r="AC1657" s="3">
        <v>103</v>
      </c>
      <c r="AE1657" s="3">
        <v>101</v>
      </c>
      <c r="AI1657">
        <v>101</v>
      </c>
      <c r="AK1657" s="3"/>
      <c r="AV1657" t="s">
        <v>536</v>
      </c>
      <c r="AX1657" t="s">
        <v>536</v>
      </c>
      <c r="AZ1657" t="s">
        <v>536</v>
      </c>
      <c r="BB1657" t="s">
        <v>536</v>
      </c>
      <c r="BO1657" t="s">
        <v>367</v>
      </c>
      <c r="BR1657">
        <v>267818</v>
      </c>
      <c r="BS1657" t="s">
        <v>2532</v>
      </c>
      <c r="BT1657">
        <v>3</v>
      </c>
      <c r="BU1657">
        <v>19</v>
      </c>
      <c r="BV1657">
        <v>6</v>
      </c>
      <c r="BX1657">
        <v>103</v>
      </c>
      <c r="BZ1657">
        <v>98.25</v>
      </c>
      <c r="CM1657">
        <v>1911</v>
      </c>
    </row>
    <row r="1658" spans="1:91" x14ac:dyDescent="0.3">
      <c r="A1658" t="s">
        <v>2531</v>
      </c>
      <c r="B1658">
        <v>46198</v>
      </c>
      <c r="C1658" t="s">
        <v>2534</v>
      </c>
      <c r="D1658">
        <v>12</v>
      </c>
      <c r="I1658" s="2">
        <v>1125000</v>
      </c>
      <c r="J1658" t="s">
        <v>800</v>
      </c>
      <c r="V1658" t="s">
        <v>350</v>
      </c>
      <c r="Y1658">
        <v>100</v>
      </c>
      <c r="AA1658">
        <v>101</v>
      </c>
      <c r="AB1658" t="s">
        <v>379</v>
      </c>
      <c r="AC1658" s="3">
        <v>102</v>
      </c>
      <c r="AE1658" s="3">
        <v>101</v>
      </c>
      <c r="AI1658">
        <v>102</v>
      </c>
      <c r="AK1658" s="3"/>
      <c r="AV1658" t="s">
        <v>366</v>
      </c>
      <c r="AX1658" t="s">
        <v>366</v>
      </c>
      <c r="AZ1658" t="s">
        <v>366</v>
      </c>
      <c r="BB1658" t="s">
        <v>366</v>
      </c>
      <c r="BO1658" t="s">
        <v>367</v>
      </c>
      <c r="BR1658">
        <v>267818</v>
      </c>
      <c r="BS1658" t="s">
        <v>2532</v>
      </c>
      <c r="BT1658">
        <v>4</v>
      </c>
      <c r="BU1658">
        <v>3</v>
      </c>
      <c r="BV1658">
        <v>3</v>
      </c>
      <c r="BX1658">
        <v>103.87</v>
      </c>
      <c r="BZ1658">
        <v>99</v>
      </c>
      <c r="CM1658">
        <v>1911</v>
      </c>
    </row>
    <row r="1659" spans="1:91" x14ac:dyDescent="0.3">
      <c r="A1659" t="s">
        <v>2535</v>
      </c>
      <c r="B1659">
        <v>46210</v>
      </c>
      <c r="D1659">
        <v>12</v>
      </c>
      <c r="I1659">
        <v>625000</v>
      </c>
      <c r="J1659" t="s">
        <v>800</v>
      </c>
      <c r="V1659" t="s">
        <v>350</v>
      </c>
      <c r="Y1659">
        <v>100</v>
      </c>
      <c r="AA1659">
        <v>94</v>
      </c>
      <c r="AC1659" s="3">
        <v>94.5</v>
      </c>
      <c r="AE1659" s="3">
        <v>93.5</v>
      </c>
      <c r="AI1659">
        <v>94</v>
      </c>
      <c r="AK1659" s="3"/>
      <c r="AX1659" t="s">
        <v>823</v>
      </c>
      <c r="BB1659" t="s">
        <v>823</v>
      </c>
      <c r="BG1659">
        <v>4</v>
      </c>
      <c r="BH1659">
        <v>4</v>
      </c>
      <c r="BI1659">
        <v>4</v>
      </c>
      <c r="BJ1659">
        <v>4</v>
      </c>
      <c r="BK1659" s="4">
        <v>3713</v>
      </c>
      <c r="BL1659" s="4">
        <v>3897</v>
      </c>
      <c r="BM1659" s="4">
        <v>4078</v>
      </c>
      <c r="BN1659" s="4">
        <v>4262</v>
      </c>
      <c r="BR1659">
        <v>275393</v>
      </c>
      <c r="BS1659" t="s">
        <v>2536</v>
      </c>
      <c r="BT1659">
        <v>4</v>
      </c>
      <c r="BU1659">
        <v>7</v>
      </c>
      <c r="BV1659">
        <v>0</v>
      </c>
      <c r="BX1659">
        <v>97</v>
      </c>
      <c r="BZ1659">
        <v>93</v>
      </c>
      <c r="CK1659" t="s">
        <v>360</v>
      </c>
      <c r="CM1659">
        <v>1911</v>
      </c>
    </row>
    <row r="1660" spans="1:91" x14ac:dyDescent="0.3">
      <c r="A1660" t="s">
        <v>2537</v>
      </c>
      <c r="B1660">
        <v>46212</v>
      </c>
      <c r="C1660" t="s">
        <v>2538</v>
      </c>
      <c r="D1660">
        <v>12</v>
      </c>
      <c r="I1660">
        <v>625000</v>
      </c>
      <c r="J1660" t="s">
        <v>800</v>
      </c>
      <c r="V1660" t="s">
        <v>350</v>
      </c>
      <c r="Y1660">
        <v>100</v>
      </c>
      <c r="AA1660">
        <v>129</v>
      </c>
      <c r="AC1660" s="3">
        <v>129.75</v>
      </c>
      <c r="AE1660" s="3">
        <v>129</v>
      </c>
      <c r="AI1660">
        <v>129</v>
      </c>
      <c r="AK1660" s="3"/>
      <c r="AX1660" t="s">
        <v>823</v>
      </c>
      <c r="BB1660" t="s">
        <v>823</v>
      </c>
      <c r="BG1660">
        <v>10</v>
      </c>
      <c r="BH1660">
        <v>4</v>
      </c>
      <c r="BI1660">
        <v>12</v>
      </c>
      <c r="BJ1660">
        <v>4</v>
      </c>
      <c r="BK1660" s="4">
        <v>3713</v>
      </c>
      <c r="BL1660" s="4">
        <v>3897</v>
      </c>
      <c r="BM1660" s="4">
        <v>4078</v>
      </c>
      <c r="BN1660" s="4">
        <v>4262</v>
      </c>
      <c r="BR1660">
        <v>275393</v>
      </c>
      <c r="BS1660" t="s">
        <v>2536</v>
      </c>
      <c r="BT1660">
        <v>6</v>
      </c>
      <c r="BU1660">
        <v>4</v>
      </c>
      <c r="BV1660">
        <v>6</v>
      </c>
      <c r="BX1660">
        <v>132</v>
      </c>
      <c r="BZ1660">
        <v>117.75</v>
      </c>
      <c r="CM1660">
        <v>1911</v>
      </c>
    </row>
    <row r="1661" spans="1:91" x14ac:dyDescent="0.3">
      <c r="A1661" t="s">
        <v>2537</v>
      </c>
      <c r="B1661">
        <v>46211</v>
      </c>
      <c r="C1661" t="s">
        <v>2539</v>
      </c>
      <c r="D1661">
        <v>12</v>
      </c>
      <c r="I1661" s="2">
        <v>1037020</v>
      </c>
      <c r="J1661" t="s">
        <v>800</v>
      </c>
      <c r="V1661" t="s">
        <v>350</v>
      </c>
      <c r="Y1661">
        <v>100</v>
      </c>
      <c r="AA1661">
        <v>100</v>
      </c>
      <c r="AC1661" s="3">
        <v>100.5</v>
      </c>
      <c r="AE1661" s="3">
        <v>99</v>
      </c>
      <c r="AI1661">
        <v>100</v>
      </c>
      <c r="AK1661" s="3"/>
      <c r="AV1661" t="s">
        <v>366</v>
      </c>
      <c r="AX1661" t="s">
        <v>366</v>
      </c>
      <c r="AZ1661" t="s">
        <v>366</v>
      </c>
      <c r="BB1661" t="s">
        <v>366</v>
      </c>
      <c r="BO1661" t="s">
        <v>367</v>
      </c>
      <c r="BR1661">
        <v>275393</v>
      </c>
      <c r="BS1661" t="s">
        <v>2536</v>
      </c>
      <c r="BT1661">
        <v>4</v>
      </c>
      <c r="BU1661">
        <v>0</v>
      </c>
      <c r="BV1661">
        <v>6</v>
      </c>
      <c r="BX1661">
        <v>102</v>
      </c>
      <c r="BZ1661">
        <v>99</v>
      </c>
      <c r="CM1661">
        <v>1911</v>
      </c>
    </row>
    <row r="1662" spans="1:91" x14ac:dyDescent="0.3">
      <c r="A1662" t="s">
        <v>2540</v>
      </c>
      <c r="B1662">
        <v>46332</v>
      </c>
      <c r="D1662">
        <v>12</v>
      </c>
      <c r="I1662">
        <v>300000</v>
      </c>
      <c r="J1662" t="s">
        <v>800</v>
      </c>
      <c r="V1662" t="s">
        <v>350</v>
      </c>
      <c r="Y1662">
        <v>100</v>
      </c>
      <c r="AA1662">
        <v>213.5</v>
      </c>
      <c r="AC1662" s="3">
        <v>215.5</v>
      </c>
      <c r="AE1662" s="3">
        <v>213.5</v>
      </c>
      <c r="AI1662">
        <v>215.5</v>
      </c>
      <c r="AK1662" s="3"/>
      <c r="AX1662" t="s">
        <v>823</v>
      </c>
      <c r="BB1662" t="s">
        <v>823</v>
      </c>
      <c r="BG1662">
        <v>11</v>
      </c>
      <c r="BH1662">
        <v>10</v>
      </c>
      <c r="BI1662">
        <v>11</v>
      </c>
      <c r="BJ1662">
        <v>11</v>
      </c>
      <c r="BK1662" s="4">
        <v>3654</v>
      </c>
      <c r="BL1662" s="4">
        <v>3835</v>
      </c>
      <c r="BM1662" s="4">
        <v>4019</v>
      </c>
      <c r="BN1662" s="4">
        <v>4200</v>
      </c>
      <c r="BR1662">
        <v>299829</v>
      </c>
      <c r="BS1662" t="s">
        <v>2541</v>
      </c>
      <c r="BT1662">
        <v>5</v>
      </c>
      <c r="BU1662">
        <v>2</v>
      </c>
      <c r="BV1662">
        <v>0</v>
      </c>
      <c r="BX1662">
        <v>215.5</v>
      </c>
      <c r="BZ1662">
        <v>183.5</v>
      </c>
      <c r="CK1662" t="s">
        <v>360</v>
      </c>
      <c r="CM1662">
        <v>1911</v>
      </c>
    </row>
    <row r="1663" spans="1:91" x14ac:dyDescent="0.3">
      <c r="A1663" t="s">
        <v>2540</v>
      </c>
      <c r="B1663">
        <v>46333</v>
      </c>
      <c r="C1663" t="s">
        <v>922</v>
      </c>
      <c r="D1663">
        <v>12</v>
      </c>
      <c r="I1663">
        <v>600000</v>
      </c>
      <c r="J1663" t="s">
        <v>800</v>
      </c>
      <c r="V1663" t="s">
        <v>350</v>
      </c>
      <c r="Y1663">
        <v>100</v>
      </c>
      <c r="AA1663">
        <v>100</v>
      </c>
      <c r="AC1663" s="3">
        <v>100</v>
      </c>
      <c r="AE1663" s="3">
        <v>99.25</v>
      </c>
      <c r="AI1663">
        <v>100</v>
      </c>
      <c r="AK1663" s="3"/>
      <c r="AV1663" t="s">
        <v>536</v>
      </c>
      <c r="AX1663" t="s">
        <v>536</v>
      </c>
      <c r="AZ1663" t="s">
        <v>536</v>
      </c>
      <c r="BB1663" t="s">
        <v>536</v>
      </c>
      <c r="BO1663" t="s">
        <v>367</v>
      </c>
      <c r="BR1663">
        <v>299829</v>
      </c>
      <c r="BS1663" t="s">
        <v>2541</v>
      </c>
      <c r="BT1663">
        <v>4</v>
      </c>
      <c r="BU1663">
        <v>0</v>
      </c>
      <c r="BV1663">
        <v>6</v>
      </c>
      <c r="BX1663">
        <v>101</v>
      </c>
      <c r="BZ1663">
        <v>97.75</v>
      </c>
      <c r="CM1663">
        <v>1911</v>
      </c>
    </row>
    <row r="1664" spans="1:91" x14ac:dyDescent="0.3">
      <c r="A1664" t="s">
        <v>2542</v>
      </c>
      <c r="B1664">
        <v>46344</v>
      </c>
      <c r="D1664">
        <v>12</v>
      </c>
      <c r="I1664" s="2">
        <v>2532130</v>
      </c>
      <c r="J1664" t="s">
        <v>800</v>
      </c>
      <c r="V1664" t="s">
        <v>350</v>
      </c>
      <c r="Y1664">
        <v>100</v>
      </c>
      <c r="AA1664">
        <v>92.5</v>
      </c>
      <c r="AC1664" s="3">
        <v>93</v>
      </c>
      <c r="AE1664" s="3">
        <v>92</v>
      </c>
      <c r="AI1664">
        <v>92.5</v>
      </c>
      <c r="AK1664" s="3"/>
      <c r="BG1664">
        <v>4</v>
      </c>
      <c r="BH1664">
        <v>4</v>
      </c>
      <c r="BI1664">
        <v>4</v>
      </c>
      <c r="BJ1664">
        <v>4</v>
      </c>
      <c r="BK1664" s="4">
        <v>3654</v>
      </c>
      <c r="BL1664" s="4">
        <v>3835</v>
      </c>
      <c r="BM1664" s="4">
        <v>4019</v>
      </c>
      <c r="BN1664" s="4">
        <v>4200</v>
      </c>
      <c r="BS1664" t="s">
        <v>385</v>
      </c>
      <c r="BT1664">
        <v>4</v>
      </c>
      <c r="BU1664">
        <v>8</v>
      </c>
      <c r="BV1664">
        <v>6</v>
      </c>
      <c r="BX1664">
        <v>95.5</v>
      </c>
      <c r="BZ1664">
        <v>89.25</v>
      </c>
      <c r="CK1664" t="s">
        <v>360</v>
      </c>
      <c r="CM1664">
        <v>1911</v>
      </c>
    </row>
    <row r="1665" spans="1:91" x14ac:dyDescent="0.3">
      <c r="A1665" t="s">
        <v>2542</v>
      </c>
      <c r="B1665">
        <v>46346</v>
      </c>
      <c r="C1665" t="s">
        <v>2543</v>
      </c>
      <c r="D1665">
        <v>12</v>
      </c>
      <c r="I1665" s="2">
        <v>1658630</v>
      </c>
      <c r="J1665" t="s">
        <v>800</v>
      </c>
      <c r="V1665" t="s">
        <v>350</v>
      </c>
      <c r="Y1665">
        <v>100</v>
      </c>
      <c r="AA1665">
        <v>82.5</v>
      </c>
      <c r="AC1665" s="3">
        <v>83</v>
      </c>
      <c r="AE1665" s="3">
        <v>82</v>
      </c>
      <c r="AI1665">
        <v>82.5</v>
      </c>
      <c r="AK1665" s="3"/>
      <c r="BG1665">
        <v>4</v>
      </c>
      <c r="BH1665">
        <v>4</v>
      </c>
      <c r="BI1665">
        <v>4</v>
      </c>
      <c r="BJ1665">
        <v>4</v>
      </c>
      <c r="BK1665" s="4">
        <v>3654</v>
      </c>
      <c r="BL1665" s="4">
        <v>3835</v>
      </c>
      <c r="BM1665" s="4">
        <v>4019</v>
      </c>
      <c r="BN1665" s="4">
        <v>4200</v>
      </c>
      <c r="BS1665" t="s">
        <v>385</v>
      </c>
      <c r="BT1665">
        <v>4</v>
      </c>
      <c r="BU1665">
        <v>19</v>
      </c>
      <c r="BV1665">
        <v>3</v>
      </c>
      <c r="BX1665">
        <v>85.5</v>
      </c>
      <c r="BZ1665">
        <v>78</v>
      </c>
      <c r="CM1665">
        <v>1911</v>
      </c>
    </row>
    <row r="1666" spans="1:91" x14ac:dyDescent="0.3">
      <c r="A1666" t="s">
        <v>2542</v>
      </c>
      <c r="B1666">
        <v>46345</v>
      </c>
      <c r="C1666" t="s">
        <v>2544</v>
      </c>
      <c r="D1666">
        <v>12</v>
      </c>
      <c r="I1666" s="2">
        <v>1337440</v>
      </c>
      <c r="J1666" t="s">
        <v>800</v>
      </c>
      <c r="U1666">
        <v>100</v>
      </c>
      <c r="Y1666">
        <v>100</v>
      </c>
      <c r="AA1666">
        <v>92.5</v>
      </c>
      <c r="AC1666" s="3">
        <v>93</v>
      </c>
      <c r="AE1666" s="3">
        <v>92.25</v>
      </c>
      <c r="AI1666">
        <v>92.5</v>
      </c>
      <c r="AK1666" s="3"/>
      <c r="BG1666">
        <v>4</v>
      </c>
      <c r="BH1666">
        <v>4</v>
      </c>
      <c r="BI1666">
        <v>4</v>
      </c>
      <c r="BJ1666">
        <v>4</v>
      </c>
      <c r="BK1666" s="4">
        <v>3654</v>
      </c>
      <c r="BL1666" s="4">
        <v>3835</v>
      </c>
      <c r="BM1666" s="4">
        <v>4019</v>
      </c>
      <c r="BN1666" s="4">
        <v>4200</v>
      </c>
      <c r="BS1666" t="s">
        <v>385</v>
      </c>
      <c r="BT1666">
        <v>4</v>
      </c>
      <c r="BU1666">
        <v>8</v>
      </c>
      <c r="BV1666">
        <v>6</v>
      </c>
      <c r="BX1666">
        <v>95.75</v>
      </c>
      <c r="BZ1666">
        <v>89.5</v>
      </c>
      <c r="CM1666">
        <v>1911</v>
      </c>
    </row>
    <row r="1667" spans="1:91" x14ac:dyDescent="0.3">
      <c r="A1667" t="s">
        <v>2542</v>
      </c>
      <c r="B1667">
        <v>46347</v>
      </c>
      <c r="C1667" t="s">
        <v>2543</v>
      </c>
      <c r="D1667">
        <v>12</v>
      </c>
      <c r="I1667" s="2">
        <v>2210950</v>
      </c>
      <c r="J1667" t="s">
        <v>800</v>
      </c>
      <c r="U1667">
        <v>100</v>
      </c>
      <c r="Y1667">
        <v>100</v>
      </c>
      <c r="AA1667">
        <v>82</v>
      </c>
      <c r="AC1667" s="3">
        <v>83</v>
      </c>
      <c r="AE1667" s="3">
        <v>82</v>
      </c>
      <c r="AI1667">
        <v>83</v>
      </c>
      <c r="AK1667" s="3"/>
      <c r="BG1667">
        <v>4</v>
      </c>
      <c r="BH1667">
        <v>4</v>
      </c>
      <c r="BI1667">
        <v>4</v>
      </c>
      <c r="BJ1667">
        <v>4</v>
      </c>
      <c r="BK1667" s="4">
        <v>3654</v>
      </c>
      <c r="BL1667" s="4">
        <v>3835</v>
      </c>
      <c r="BM1667" s="4">
        <v>4019</v>
      </c>
      <c r="BN1667" s="4">
        <v>4200</v>
      </c>
      <c r="BS1667" t="s">
        <v>385</v>
      </c>
      <c r="BT1667">
        <v>4</v>
      </c>
      <c r="BU1667">
        <v>18</v>
      </c>
      <c r="BV1667">
        <v>9</v>
      </c>
      <c r="BX1667">
        <v>85.5</v>
      </c>
      <c r="BZ1667">
        <v>78.25</v>
      </c>
      <c r="CM1667">
        <v>1911</v>
      </c>
    </row>
    <row r="1668" spans="1:91" x14ac:dyDescent="0.3">
      <c r="A1668" t="s">
        <v>2545</v>
      </c>
      <c r="B1668">
        <v>46633</v>
      </c>
      <c r="D1668">
        <v>12</v>
      </c>
      <c r="I1668">
        <v>230160</v>
      </c>
      <c r="J1668" t="s">
        <v>800</v>
      </c>
      <c r="V1668" t="s">
        <v>350</v>
      </c>
      <c r="Y1668">
        <v>100</v>
      </c>
      <c r="AA1668">
        <v>93</v>
      </c>
      <c r="AC1668" s="3">
        <v>94</v>
      </c>
      <c r="AE1668" s="3">
        <v>93</v>
      </c>
      <c r="AI1668">
        <v>93.5</v>
      </c>
      <c r="AK1668" s="3"/>
      <c r="BG1668">
        <v>5</v>
      </c>
      <c r="BH1668">
        <v>5</v>
      </c>
      <c r="BI1668">
        <v>5</v>
      </c>
      <c r="BJ1668">
        <v>5</v>
      </c>
      <c r="BK1668" s="4">
        <v>3774</v>
      </c>
      <c r="BL1668" s="4">
        <v>3958</v>
      </c>
      <c r="BM1668" s="4">
        <v>4139</v>
      </c>
      <c r="BN1668" s="4">
        <v>4323</v>
      </c>
      <c r="BR1668">
        <v>816</v>
      </c>
      <c r="BS1668" t="s">
        <v>2546</v>
      </c>
      <c r="BT1668">
        <v>5</v>
      </c>
      <c r="BU1668">
        <v>7</v>
      </c>
      <c r="BV1668">
        <v>0</v>
      </c>
      <c r="BX1668">
        <v>96</v>
      </c>
      <c r="BZ1668">
        <v>83.5</v>
      </c>
      <c r="CK1668" t="s">
        <v>360</v>
      </c>
      <c r="CL1668" t="s">
        <v>457</v>
      </c>
      <c r="CM1668">
        <v>1911</v>
      </c>
    </row>
    <row r="1669" spans="1:91" x14ac:dyDescent="0.3">
      <c r="A1669" t="s">
        <v>2545</v>
      </c>
      <c r="B1669">
        <v>46634</v>
      </c>
      <c r="C1669" t="s">
        <v>2301</v>
      </c>
      <c r="D1669">
        <v>12</v>
      </c>
      <c r="I1669">
        <v>134070</v>
      </c>
      <c r="J1669" t="s">
        <v>800</v>
      </c>
      <c r="V1669" t="s">
        <v>350</v>
      </c>
      <c r="Y1669">
        <v>100</v>
      </c>
      <c r="AA1669">
        <v>81</v>
      </c>
      <c r="AC1669" s="3">
        <v>83</v>
      </c>
      <c r="AE1669" s="3">
        <v>81</v>
      </c>
      <c r="AI1669">
        <v>82</v>
      </c>
      <c r="AK1669" s="3"/>
      <c r="AV1669" t="s">
        <v>815</v>
      </c>
      <c r="AX1669" t="s">
        <v>815</v>
      </c>
      <c r="AZ1669" t="s">
        <v>815</v>
      </c>
      <c r="BB1669" t="s">
        <v>823</v>
      </c>
      <c r="BG1669">
        <v>2</v>
      </c>
      <c r="BH1669">
        <v>2.5</v>
      </c>
      <c r="BI1669">
        <v>3.5</v>
      </c>
      <c r="BJ1669">
        <v>4</v>
      </c>
      <c r="BK1669" s="4">
        <v>3409</v>
      </c>
      <c r="BL1669" s="4">
        <v>3958</v>
      </c>
      <c r="BM1669" s="4">
        <v>4139</v>
      </c>
      <c r="BN1669" s="4">
        <v>4323</v>
      </c>
      <c r="BR1669">
        <v>816</v>
      </c>
      <c r="BS1669" t="s">
        <v>2546</v>
      </c>
      <c r="BT1669">
        <v>4</v>
      </c>
      <c r="BU1669">
        <v>5</v>
      </c>
      <c r="BV1669">
        <v>3</v>
      </c>
      <c r="BX1669">
        <v>83</v>
      </c>
      <c r="BZ1669">
        <v>52</v>
      </c>
      <c r="CM1669">
        <v>1911</v>
      </c>
    </row>
    <row r="1670" spans="1:91" x14ac:dyDescent="0.3">
      <c r="A1670" t="s">
        <v>2545</v>
      </c>
      <c r="B1670">
        <v>46636</v>
      </c>
      <c r="C1670" t="s">
        <v>2547</v>
      </c>
      <c r="D1670">
        <v>12</v>
      </c>
      <c r="I1670">
        <v>100000</v>
      </c>
      <c r="J1670" t="s">
        <v>800</v>
      </c>
      <c r="U1670">
        <v>100</v>
      </c>
      <c r="Y1670">
        <v>100</v>
      </c>
      <c r="AA1670">
        <v>103</v>
      </c>
      <c r="AC1670" s="3">
        <v>103</v>
      </c>
      <c r="AE1670" s="3">
        <v>103</v>
      </c>
      <c r="AI1670">
        <v>103</v>
      </c>
      <c r="AK1670" s="3"/>
      <c r="AV1670" t="s">
        <v>370</v>
      </c>
      <c r="AX1670" t="s">
        <v>370</v>
      </c>
      <c r="AZ1670" t="s">
        <v>370</v>
      </c>
      <c r="BB1670" t="s">
        <v>370</v>
      </c>
      <c r="BO1670" t="s">
        <v>367</v>
      </c>
      <c r="BR1670">
        <v>816</v>
      </c>
      <c r="BS1670" t="s">
        <v>2546</v>
      </c>
      <c r="BT1670">
        <v>4</v>
      </c>
      <c r="BU1670">
        <v>9</v>
      </c>
      <c r="BV1670">
        <v>3</v>
      </c>
      <c r="BX1670">
        <v>104</v>
      </c>
      <c r="BZ1670">
        <v>101</v>
      </c>
      <c r="CM1670">
        <v>1911</v>
      </c>
    </row>
    <row r="1671" spans="1:91" x14ac:dyDescent="0.3">
      <c r="A1671" t="s">
        <v>2545</v>
      </c>
      <c r="B1671">
        <v>46637</v>
      </c>
      <c r="C1671" t="s">
        <v>2548</v>
      </c>
      <c r="D1671">
        <v>12</v>
      </c>
      <c r="I1671">
        <v>100000</v>
      </c>
      <c r="J1671" t="s">
        <v>800</v>
      </c>
      <c r="U1671">
        <v>100</v>
      </c>
      <c r="Y1671">
        <v>100</v>
      </c>
      <c r="AA1671">
        <v>98</v>
      </c>
      <c r="AC1671" s="3">
        <v>99</v>
      </c>
      <c r="AE1671" s="3">
        <v>98</v>
      </c>
      <c r="AI1671">
        <v>98</v>
      </c>
      <c r="AK1671" s="3"/>
      <c r="AV1671" t="s">
        <v>370</v>
      </c>
      <c r="AX1671" t="s">
        <v>370</v>
      </c>
      <c r="AZ1671" t="s">
        <v>370</v>
      </c>
      <c r="BB1671" t="s">
        <v>370</v>
      </c>
      <c r="BO1671" t="s">
        <v>367</v>
      </c>
      <c r="BR1671">
        <v>816</v>
      </c>
      <c r="BS1671" t="s">
        <v>2546</v>
      </c>
      <c r="BT1671">
        <v>4</v>
      </c>
      <c r="BU1671">
        <v>14</v>
      </c>
      <c r="BV1671">
        <v>0</v>
      </c>
      <c r="BX1671">
        <v>100.25</v>
      </c>
      <c r="BZ1671">
        <v>97</v>
      </c>
      <c r="CM1671">
        <v>1911</v>
      </c>
    </row>
    <row r="1672" spans="1:91" x14ac:dyDescent="0.3">
      <c r="A1672" t="s">
        <v>2545</v>
      </c>
      <c r="B1672">
        <v>46638</v>
      </c>
      <c r="C1672" t="s">
        <v>2549</v>
      </c>
      <c r="D1672">
        <v>12</v>
      </c>
      <c r="I1672">
        <v>183600</v>
      </c>
      <c r="J1672" t="s">
        <v>800</v>
      </c>
      <c r="V1672" t="s">
        <v>350</v>
      </c>
      <c r="Y1672">
        <v>100</v>
      </c>
      <c r="AA1672">
        <v>94</v>
      </c>
      <c r="AC1672" s="3">
        <v>94.75</v>
      </c>
      <c r="AE1672" s="3">
        <v>92</v>
      </c>
      <c r="AI1672">
        <v>92</v>
      </c>
      <c r="AJ1672" t="s">
        <v>379</v>
      </c>
      <c r="AK1672" s="3"/>
      <c r="AV1672" t="s">
        <v>370</v>
      </c>
      <c r="AX1672" t="s">
        <v>370</v>
      </c>
      <c r="AZ1672" t="s">
        <v>370</v>
      </c>
      <c r="BB1672" t="s">
        <v>370</v>
      </c>
      <c r="BO1672" t="s">
        <v>367</v>
      </c>
      <c r="BR1672">
        <v>816</v>
      </c>
      <c r="BS1672" t="s">
        <v>2546</v>
      </c>
      <c r="BT1672">
        <v>5</v>
      </c>
      <c r="BU1672">
        <v>0</v>
      </c>
      <c r="BV1672">
        <v>0</v>
      </c>
      <c r="BX1672">
        <v>95.5</v>
      </c>
      <c r="BZ1672">
        <v>91</v>
      </c>
      <c r="CM1672">
        <v>1911</v>
      </c>
    </row>
    <row r="1673" spans="1:91" x14ac:dyDescent="0.3">
      <c r="A1673" t="s">
        <v>2550</v>
      </c>
      <c r="B1673">
        <v>46874</v>
      </c>
      <c r="D1673">
        <v>12</v>
      </c>
      <c r="I1673">
        <v>197548</v>
      </c>
      <c r="J1673" t="s">
        <v>800</v>
      </c>
      <c r="V1673" t="s">
        <v>350</v>
      </c>
      <c r="Y1673">
        <v>100</v>
      </c>
      <c r="AA1673">
        <v>120</v>
      </c>
      <c r="AC1673" s="3">
        <v>120</v>
      </c>
      <c r="AE1673" s="3">
        <v>117</v>
      </c>
      <c r="AI1673">
        <v>117</v>
      </c>
      <c r="AJ1673" t="s">
        <v>379</v>
      </c>
      <c r="AK1673" s="3"/>
      <c r="AV1673" t="s">
        <v>823</v>
      </c>
      <c r="AZ1673" t="s">
        <v>823</v>
      </c>
      <c r="BG1673">
        <v>5</v>
      </c>
      <c r="BH1673">
        <v>7</v>
      </c>
      <c r="BI1673">
        <v>5</v>
      </c>
      <c r="BJ1673">
        <v>7</v>
      </c>
      <c r="BK1673" s="4">
        <v>3654</v>
      </c>
      <c r="BL1673" s="4">
        <v>3835</v>
      </c>
      <c r="BM1673" s="4">
        <v>4019</v>
      </c>
      <c r="BN1673" s="4">
        <v>4200</v>
      </c>
      <c r="BR1673">
        <v>51659</v>
      </c>
      <c r="BT1673">
        <v>5</v>
      </c>
      <c r="BU1673">
        <v>2</v>
      </c>
      <c r="BV1673">
        <v>6</v>
      </c>
      <c r="BX1673">
        <v>122.12</v>
      </c>
      <c r="BZ1673">
        <v>104</v>
      </c>
      <c r="CK1673" t="s">
        <v>360</v>
      </c>
      <c r="CM1673">
        <v>1911</v>
      </c>
    </row>
    <row r="1674" spans="1:91" x14ac:dyDescent="0.3">
      <c r="A1674" t="s">
        <v>2551</v>
      </c>
      <c r="B1674">
        <v>46888</v>
      </c>
      <c r="D1674">
        <v>12</v>
      </c>
      <c r="I1674">
        <v>250000</v>
      </c>
      <c r="U1674">
        <v>1</v>
      </c>
      <c r="Y1674">
        <v>1</v>
      </c>
      <c r="AA1674">
        <v>0.87</v>
      </c>
      <c r="AC1674" s="3">
        <v>0.87</v>
      </c>
      <c r="AE1674" s="3">
        <v>0.87</v>
      </c>
      <c r="AI1674">
        <v>0.87</v>
      </c>
      <c r="AK1674" s="3"/>
      <c r="AV1674" t="s">
        <v>385</v>
      </c>
      <c r="AX1674" t="s">
        <v>385</v>
      </c>
      <c r="AZ1674" t="s">
        <v>385</v>
      </c>
      <c r="BB1674" t="s">
        <v>815</v>
      </c>
      <c r="BJ1674">
        <v>7.5</v>
      </c>
      <c r="BL1674" t="s">
        <v>811</v>
      </c>
      <c r="BM1674" t="s">
        <v>811</v>
      </c>
      <c r="BN1674" s="4">
        <v>4200</v>
      </c>
      <c r="BS1674" t="s">
        <v>385</v>
      </c>
      <c r="BT1674">
        <v>8</v>
      </c>
      <c r="BU1674">
        <v>11</v>
      </c>
      <c r="BV1674">
        <v>6</v>
      </c>
      <c r="BX1674">
        <v>1.25</v>
      </c>
      <c r="BZ1674">
        <v>0.75</v>
      </c>
      <c r="CM1674">
        <v>1911</v>
      </c>
    </row>
    <row r="1675" spans="1:91" x14ac:dyDescent="0.3">
      <c r="A1675" t="s">
        <v>2552</v>
      </c>
      <c r="B1675">
        <v>47095</v>
      </c>
      <c r="D1675">
        <v>12</v>
      </c>
      <c r="I1675">
        <v>99930</v>
      </c>
      <c r="U1675">
        <v>8</v>
      </c>
      <c r="Y1675">
        <v>2.5</v>
      </c>
      <c r="AA1675">
        <v>4.37</v>
      </c>
      <c r="AC1675" s="3">
        <v>4.37</v>
      </c>
      <c r="AE1675" s="3">
        <v>4.3099999999999996</v>
      </c>
      <c r="AI1675">
        <v>4.3099999999999996</v>
      </c>
      <c r="AK1675" s="3"/>
      <c r="AX1675" t="s">
        <v>823</v>
      </c>
      <c r="BB1675" t="s">
        <v>823</v>
      </c>
      <c r="BG1675">
        <v>15</v>
      </c>
      <c r="BH1675">
        <v>5</v>
      </c>
      <c r="BI1675">
        <v>20</v>
      </c>
      <c r="BJ1675">
        <v>6</v>
      </c>
      <c r="BK1675" s="4">
        <v>3774</v>
      </c>
      <c r="BL1675" s="4">
        <v>3958</v>
      </c>
      <c r="BM1675" s="4">
        <v>4139</v>
      </c>
      <c r="BN1675" s="4">
        <v>4323</v>
      </c>
      <c r="BR1675">
        <v>177670</v>
      </c>
      <c r="BS1675" t="s">
        <v>2553</v>
      </c>
      <c r="BT1675">
        <v>7</v>
      </c>
      <c r="BU1675">
        <v>10</v>
      </c>
      <c r="BV1675">
        <v>9</v>
      </c>
      <c r="BX1675">
        <v>4.5</v>
      </c>
      <c r="BZ1675">
        <v>3.9</v>
      </c>
      <c r="CK1675" t="s">
        <v>2554</v>
      </c>
      <c r="CM1675">
        <v>1911</v>
      </c>
    </row>
    <row r="1676" spans="1:91" x14ac:dyDescent="0.3">
      <c r="A1676" t="s">
        <v>2555</v>
      </c>
      <c r="B1676">
        <v>47096</v>
      </c>
      <c r="C1676" t="s">
        <v>2556</v>
      </c>
      <c r="D1676">
        <v>12</v>
      </c>
      <c r="I1676">
        <v>400000</v>
      </c>
      <c r="J1676" t="s">
        <v>800</v>
      </c>
      <c r="V1676" t="s">
        <v>350</v>
      </c>
      <c r="Y1676">
        <v>100</v>
      </c>
      <c r="AA1676">
        <v>85</v>
      </c>
      <c r="AC1676" s="3">
        <v>85</v>
      </c>
      <c r="AE1676" s="3">
        <v>84.5</v>
      </c>
      <c r="AI1676">
        <v>85</v>
      </c>
      <c r="AK1676" s="3"/>
      <c r="AV1676" t="s">
        <v>506</v>
      </c>
      <c r="AX1676" t="s">
        <v>506</v>
      </c>
      <c r="AZ1676" t="s">
        <v>506</v>
      </c>
      <c r="BB1676" t="s">
        <v>506</v>
      </c>
      <c r="BO1676" t="s">
        <v>367</v>
      </c>
      <c r="BR1676">
        <v>177670</v>
      </c>
      <c r="BS1676" t="s">
        <v>2553</v>
      </c>
      <c r="BT1676">
        <v>4</v>
      </c>
      <c r="BU1676">
        <v>3</v>
      </c>
      <c r="BV1676">
        <v>9</v>
      </c>
      <c r="BX1676">
        <v>85</v>
      </c>
      <c r="BZ1676">
        <v>81</v>
      </c>
      <c r="CM1676">
        <v>1911</v>
      </c>
    </row>
    <row r="1677" spans="1:91" x14ac:dyDescent="0.3">
      <c r="A1677" t="s">
        <v>2557</v>
      </c>
      <c r="B1677">
        <v>47249</v>
      </c>
      <c r="D1677">
        <v>12</v>
      </c>
      <c r="I1677">
        <v>225000</v>
      </c>
      <c r="J1677" t="s">
        <v>800</v>
      </c>
      <c r="V1677" t="s">
        <v>350</v>
      </c>
      <c r="Y1677">
        <v>100</v>
      </c>
      <c r="AA1677">
        <v>99</v>
      </c>
      <c r="AC1677" s="3">
        <v>99.87</v>
      </c>
      <c r="AE1677" s="3">
        <v>98</v>
      </c>
      <c r="AI1677">
        <v>99</v>
      </c>
      <c r="AK1677" s="3"/>
      <c r="BG1677">
        <v>5</v>
      </c>
      <c r="BH1677">
        <v>5</v>
      </c>
      <c r="BI1677">
        <v>5</v>
      </c>
      <c r="BJ1677">
        <v>5</v>
      </c>
      <c r="BK1677" s="4">
        <v>3654</v>
      </c>
      <c r="BL1677" s="4">
        <v>3835</v>
      </c>
      <c r="BM1677" s="4">
        <v>4019</v>
      </c>
      <c r="BN1677" s="4">
        <v>4200</v>
      </c>
      <c r="BR1677">
        <v>26765</v>
      </c>
      <c r="BS1677" t="s">
        <v>2558</v>
      </c>
      <c r="BT1677">
        <v>5</v>
      </c>
      <c r="BU1677">
        <v>4</v>
      </c>
      <c r="BV1677">
        <v>0</v>
      </c>
      <c r="BX1677">
        <v>102</v>
      </c>
      <c r="BZ1677">
        <v>97</v>
      </c>
      <c r="CK1677" t="s">
        <v>360</v>
      </c>
      <c r="CM1677">
        <v>1911</v>
      </c>
    </row>
    <row r="1678" spans="1:91" x14ac:dyDescent="0.3">
      <c r="A1678" t="s">
        <v>2557</v>
      </c>
      <c r="B1678">
        <v>47250</v>
      </c>
      <c r="C1678" t="s">
        <v>1632</v>
      </c>
      <c r="D1678">
        <v>12</v>
      </c>
      <c r="I1678">
        <v>225000</v>
      </c>
      <c r="J1678" t="s">
        <v>800</v>
      </c>
      <c r="V1678" t="s">
        <v>350</v>
      </c>
      <c r="Y1678">
        <v>100</v>
      </c>
      <c r="AA1678">
        <v>92</v>
      </c>
      <c r="AC1678" s="3">
        <v>92</v>
      </c>
      <c r="AE1678" s="3">
        <v>92</v>
      </c>
      <c r="AI1678">
        <v>92</v>
      </c>
      <c r="AK1678" s="3"/>
      <c r="AX1678" t="s">
        <v>823</v>
      </c>
      <c r="BB1678" t="s">
        <v>823</v>
      </c>
      <c r="BG1678">
        <v>5</v>
      </c>
      <c r="BH1678">
        <v>4</v>
      </c>
      <c r="BI1678">
        <v>5</v>
      </c>
      <c r="BJ1678">
        <v>4</v>
      </c>
      <c r="BK1678" s="4">
        <v>3654</v>
      </c>
      <c r="BL1678" s="4">
        <v>3835</v>
      </c>
      <c r="BM1678" s="4">
        <v>4019</v>
      </c>
      <c r="BN1678" s="4">
        <v>4200</v>
      </c>
      <c r="BR1678">
        <v>26765</v>
      </c>
      <c r="BS1678" t="s">
        <v>2558</v>
      </c>
      <c r="BT1678">
        <v>5</v>
      </c>
      <c r="BU1678">
        <v>0</v>
      </c>
      <c r="BV1678">
        <v>0</v>
      </c>
      <c r="BX1678">
        <v>93</v>
      </c>
      <c r="BZ1678">
        <v>83</v>
      </c>
      <c r="CM1678">
        <v>1911</v>
      </c>
    </row>
    <row r="1679" spans="1:91" x14ac:dyDescent="0.3">
      <c r="A1679" t="s">
        <v>2557</v>
      </c>
      <c r="B1679">
        <v>47251</v>
      </c>
      <c r="C1679" t="s">
        <v>2539</v>
      </c>
      <c r="D1679">
        <v>12</v>
      </c>
      <c r="I1679">
        <v>250000</v>
      </c>
      <c r="J1679" t="s">
        <v>800</v>
      </c>
      <c r="V1679" t="s">
        <v>350</v>
      </c>
      <c r="Y1679">
        <v>100</v>
      </c>
      <c r="AA1679">
        <v>96</v>
      </c>
      <c r="AC1679" s="3">
        <v>96</v>
      </c>
      <c r="AE1679" s="3">
        <v>94</v>
      </c>
      <c r="AI1679">
        <v>94</v>
      </c>
      <c r="AJ1679" t="s">
        <v>379</v>
      </c>
      <c r="AK1679" s="3"/>
      <c r="AV1679" t="s">
        <v>370</v>
      </c>
      <c r="AX1679" t="s">
        <v>370</v>
      </c>
      <c r="AZ1679" t="s">
        <v>370</v>
      </c>
      <c r="BB1679" t="s">
        <v>370</v>
      </c>
      <c r="BO1679" t="s">
        <v>367</v>
      </c>
      <c r="BR1679">
        <v>26765</v>
      </c>
      <c r="BS1679" t="s">
        <v>2558</v>
      </c>
      <c r="BT1679">
        <v>4</v>
      </c>
      <c r="BU1679">
        <v>5</v>
      </c>
      <c r="BV1679">
        <v>0</v>
      </c>
      <c r="BX1679">
        <v>97.5</v>
      </c>
      <c r="BZ1679">
        <v>94</v>
      </c>
      <c r="CM1679">
        <v>1911</v>
      </c>
    </row>
    <row r="1680" spans="1:91" x14ac:dyDescent="0.3">
      <c r="A1680" t="s">
        <v>2559</v>
      </c>
      <c r="B1680">
        <v>47908</v>
      </c>
      <c r="D1680">
        <v>12</v>
      </c>
      <c r="I1680">
        <v>500100</v>
      </c>
      <c r="J1680" t="s">
        <v>800</v>
      </c>
      <c r="V1680" t="s">
        <v>350</v>
      </c>
      <c r="Y1680">
        <v>100</v>
      </c>
      <c r="AA1680">
        <v>99</v>
      </c>
      <c r="AC1680" s="3">
        <v>99.5</v>
      </c>
      <c r="AE1680" s="3">
        <v>98</v>
      </c>
      <c r="AI1680">
        <v>98</v>
      </c>
      <c r="AK1680" s="3"/>
      <c r="AX1680" t="s">
        <v>823</v>
      </c>
      <c r="BB1680" t="s">
        <v>823</v>
      </c>
      <c r="BG1680">
        <v>8</v>
      </c>
      <c r="BH1680">
        <v>4</v>
      </c>
      <c r="BI1680">
        <v>8</v>
      </c>
      <c r="BJ1680">
        <v>4</v>
      </c>
      <c r="BK1680" s="4">
        <v>4050</v>
      </c>
      <c r="BL1680" s="4">
        <v>4200</v>
      </c>
      <c r="BM1680" s="4">
        <v>4415</v>
      </c>
      <c r="BN1680" s="4">
        <v>4566</v>
      </c>
      <c r="BR1680">
        <v>271092</v>
      </c>
      <c r="BS1680" t="s">
        <v>2560</v>
      </c>
      <c r="BT1680">
        <v>6</v>
      </c>
      <c r="BU1680">
        <v>2</v>
      </c>
      <c r="BV1680">
        <v>6</v>
      </c>
      <c r="BY1680" t="s">
        <v>385</v>
      </c>
      <c r="CA1680" t="s">
        <v>385</v>
      </c>
      <c r="CK1680" t="s">
        <v>360</v>
      </c>
      <c r="CM1680">
        <v>1911</v>
      </c>
    </row>
    <row r="1681" spans="1:91" x14ac:dyDescent="0.3">
      <c r="A1681" t="s">
        <v>2559</v>
      </c>
      <c r="B1681">
        <v>47912</v>
      </c>
      <c r="C1681" t="s">
        <v>977</v>
      </c>
      <c r="D1681">
        <v>12</v>
      </c>
      <c r="I1681">
        <v>500100</v>
      </c>
      <c r="J1681" t="s">
        <v>800</v>
      </c>
      <c r="V1681" t="s">
        <v>350</v>
      </c>
      <c r="Y1681">
        <v>100</v>
      </c>
      <c r="AA1681">
        <v>99</v>
      </c>
      <c r="AC1681" s="3">
        <v>99.5</v>
      </c>
      <c r="AE1681" s="3">
        <v>98</v>
      </c>
      <c r="AI1681">
        <v>98</v>
      </c>
      <c r="AK1681" s="3"/>
      <c r="AV1681" t="s">
        <v>370</v>
      </c>
      <c r="AX1681" t="s">
        <v>370</v>
      </c>
      <c r="AZ1681" t="s">
        <v>370</v>
      </c>
      <c r="BB1681" t="s">
        <v>370</v>
      </c>
      <c r="BO1681" t="s">
        <v>367</v>
      </c>
      <c r="BR1681">
        <v>271092</v>
      </c>
      <c r="BS1681" t="s">
        <v>2560</v>
      </c>
      <c r="BT1681">
        <v>4</v>
      </c>
      <c r="BU1681">
        <v>13</v>
      </c>
      <c r="BV1681">
        <v>9</v>
      </c>
      <c r="BY1681" t="s">
        <v>385</v>
      </c>
      <c r="CA1681" t="s">
        <v>385</v>
      </c>
      <c r="CM1681">
        <v>1911</v>
      </c>
    </row>
    <row r="1682" spans="1:91" x14ac:dyDescent="0.3">
      <c r="A1682" t="s">
        <v>2559</v>
      </c>
      <c r="B1682">
        <v>47910</v>
      </c>
      <c r="C1682" t="s">
        <v>1176</v>
      </c>
      <c r="D1682">
        <v>12</v>
      </c>
      <c r="I1682" s="2">
        <v>1040840</v>
      </c>
      <c r="J1682" t="s">
        <v>800</v>
      </c>
      <c r="V1682" t="s">
        <v>350</v>
      </c>
      <c r="Y1682">
        <v>100</v>
      </c>
      <c r="AA1682">
        <v>99</v>
      </c>
      <c r="AC1682" s="3">
        <v>99</v>
      </c>
      <c r="AE1682" s="3">
        <v>97</v>
      </c>
      <c r="AI1682">
        <v>98</v>
      </c>
      <c r="AK1682" s="3"/>
      <c r="AV1682" t="s">
        <v>506</v>
      </c>
      <c r="AX1682" t="s">
        <v>506</v>
      </c>
      <c r="AZ1682" t="s">
        <v>506</v>
      </c>
      <c r="BB1682" t="s">
        <v>506</v>
      </c>
      <c r="BO1682" t="s">
        <v>367</v>
      </c>
      <c r="BR1682">
        <v>271092</v>
      </c>
      <c r="BS1682" t="s">
        <v>2560</v>
      </c>
      <c r="BT1682">
        <v>4</v>
      </c>
      <c r="BU1682">
        <v>3</v>
      </c>
      <c r="BV1682">
        <v>0</v>
      </c>
      <c r="BX1682">
        <v>101</v>
      </c>
      <c r="BZ1682">
        <v>96</v>
      </c>
      <c r="CM1682">
        <v>1911</v>
      </c>
    </row>
    <row r="1683" spans="1:91" x14ac:dyDescent="0.3">
      <c r="A1683" t="s">
        <v>2561</v>
      </c>
      <c r="B1683">
        <v>47894</v>
      </c>
      <c r="D1683">
        <v>12</v>
      </c>
      <c r="I1683" s="2">
        <v>1700000</v>
      </c>
      <c r="J1683" t="s">
        <v>800</v>
      </c>
      <c r="V1683" t="s">
        <v>350</v>
      </c>
      <c r="Y1683">
        <v>100</v>
      </c>
      <c r="AA1683">
        <v>83</v>
      </c>
      <c r="AC1683" s="3">
        <v>83</v>
      </c>
      <c r="AE1683" s="3">
        <v>81.5</v>
      </c>
      <c r="AI1683">
        <v>82</v>
      </c>
      <c r="AK1683" s="3"/>
      <c r="AU1683" t="s">
        <v>2562</v>
      </c>
      <c r="AV1683" t="s">
        <v>2563</v>
      </c>
      <c r="AW1683" t="s">
        <v>2564</v>
      </c>
      <c r="AX1683" t="s">
        <v>2565</v>
      </c>
      <c r="AY1683" t="s">
        <v>2566</v>
      </c>
      <c r="AZ1683" t="s">
        <v>2567</v>
      </c>
      <c r="BA1683" t="s">
        <v>1767</v>
      </c>
      <c r="BB1683" t="s">
        <v>1769</v>
      </c>
      <c r="BC1683">
        <v>546</v>
      </c>
      <c r="BD1683">
        <v>471</v>
      </c>
      <c r="BE1683">
        <v>489</v>
      </c>
      <c r="BF1683">
        <v>480</v>
      </c>
      <c r="BK1683" s="4">
        <v>3744</v>
      </c>
      <c r="BL1683" s="4">
        <v>3927</v>
      </c>
      <c r="BM1683" s="4">
        <v>4109</v>
      </c>
      <c r="BN1683" s="4">
        <v>4292</v>
      </c>
      <c r="BR1683">
        <v>3100</v>
      </c>
      <c r="BS1683" t="s">
        <v>2568</v>
      </c>
      <c r="BT1683">
        <v>4</v>
      </c>
      <c r="BU1683">
        <v>18</v>
      </c>
      <c r="BV1683">
        <v>6</v>
      </c>
      <c r="BX1683">
        <v>88.5</v>
      </c>
      <c r="BZ1683">
        <v>81</v>
      </c>
      <c r="CK1683" t="s">
        <v>2569</v>
      </c>
      <c r="CM1683">
        <v>1911</v>
      </c>
    </row>
    <row r="1684" spans="1:91" x14ac:dyDescent="0.3">
      <c r="A1684" t="s">
        <v>2561</v>
      </c>
      <c r="B1684">
        <v>47895</v>
      </c>
      <c r="C1684" t="s">
        <v>2301</v>
      </c>
      <c r="D1684">
        <v>12</v>
      </c>
      <c r="I1684" s="2">
        <v>1700000</v>
      </c>
      <c r="J1684" t="s">
        <v>800</v>
      </c>
      <c r="V1684" t="s">
        <v>350</v>
      </c>
      <c r="Y1684">
        <v>100</v>
      </c>
      <c r="AA1684">
        <v>15</v>
      </c>
      <c r="AC1684" s="3">
        <v>16.87</v>
      </c>
      <c r="AE1684" s="3">
        <v>14.75</v>
      </c>
      <c r="AI1684">
        <v>16</v>
      </c>
      <c r="AK1684" s="3"/>
      <c r="AU1684" t="s">
        <v>2570</v>
      </c>
      <c r="AV1684" s="5">
        <v>40854</v>
      </c>
      <c r="AW1684" t="s">
        <v>2571</v>
      </c>
      <c r="AX1684" s="5">
        <v>40794</v>
      </c>
      <c r="AY1684" t="s">
        <v>1497</v>
      </c>
      <c r="AZ1684" s="5">
        <v>40697</v>
      </c>
      <c r="BA1684" t="s">
        <v>2572</v>
      </c>
      <c r="BB1684" s="5">
        <v>40615</v>
      </c>
      <c r="BC1684">
        <v>95</v>
      </c>
      <c r="BD1684">
        <v>105</v>
      </c>
      <c r="BE1684">
        <v>42</v>
      </c>
      <c r="BF1684">
        <v>159</v>
      </c>
      <c r="BK1684" s="4">
        <v>2648</v>
      </c>
      <c r="BL1684" s="4">
        <v>3014</v>
      </c>
      <c r="BM1684" s="4">
        <v>3744</v>
      </c>
      <c r="BN1684" s="4">
        <v>4109</v>
      </c>
      <c r="BR1684">
        <v>3100</v>
      </c>
      <c r="BS1684" t="s">
        <v>2568</v>
      </c>
      <c r="BT1684">
        <v>4</v>
      </c>
      <c r="BU1684">
        <v>2</v>
      </c>
      <c r="BV1684">
        <v>9</v>
      </c>
      <c r="BX1684">
        <v>19.5</v>
      </c>
      <c r="BZ1684">
        <v>14</v>
      </c>
      <c r="CM1684">
        <v>1911</v>
      </c>
    </row>
    <row r="1685" spans="1:91" x14ac:dyDescent="0.3">
      <c r="A1685" t="s">
        <v>2573</v>
      </c>
      <c r="B1685">
        <v>47919</v>
      </c>
      <c r="D1685">
        <v>12</v>
      </c>
      <c r="I1685">
        <v>50000</v>
      </c>
      <c r="U1685">
        <v>8</v>
      </c>
      <c r="Y1685">
        <v>8</v>
      </c>
      <c r="AA1685">
        <v>6.25</v>
      </c>
      <c r="AC1685" s="3">
        <v>6.37</v>
      </c>
      <c r="AE1685" s="3">
        <v>6.25</v>
      </c>
      <c r="AI1685">
        <v>6.37</v>
      </c>
      <c r="AK1685" s="3"/>
      <c r="AX1685" t="s">
        <v>823</v>
      </c>
      <c r="BB1685" t="s">
        <v>823</v>
      </c>
      <c r="BG1685">
        <v>6</v>
      </c>
      <c r="BH1685">
        <v>4</v>
      </c>
      <c r="BI1685">
        <v>6</v>
      </c>
      <c r="BJ1685">
        <v>4</v>
      </c>
      <c r="BK1685" s="4">
        <v>3685</v>
      </c>
      <c r="BL1685" s="4">
        <v>3835</v>
      </c>
      <c r="BM1685" s="4">
        <v>4050</v>
      </c>
      <c r="BN1685" s="4">
        <v>4200</v>
      </c>
      <c r="BR1685">
        <v>79601</v>
      </c>
      <c r="BS1685" t="s">
        <v>2574</v>
      </c>
      <c r="BT1685">
        <v>6</v>
      </c>
      <c r="BU1685">
        <v>5</v>
      </c>
      <c r="BV1685">
        <v>6</v>
      </c>
      <c r="BX1685">
        <v>7</v>
      </c>
      <c r="BZ1685">
        <v>6</v>
      </c>
      <c r="CK1685" t="s">
        <v>360</v>
      </c>
      <c r="CM1685">
        <v>1911</v>
      </c>
    </row>
    <row r="1686" spans="1:91" x14ac:dyDescent="0.3">
      <c r="A1686" t="s">
        <v>2573</v>
      </c>
      <c r="B1686">
        <v>47922</v>
      </c>
      <c r="C1686" t="s">
        <v>2575</v>
      </c>
      <c r="D1686">
        <v>12</v>
      </c>
      <c r="I1686">
        <v>377040</v>
      </c>
      <c r="J1686" t="s">
        <v>800</v>
      </c>
      <c r="V1686" t="s">
        <v>350</v>
      </c>
      <c r="Y1686">
        <v>100</v>
      </c>
      <c r="AA1686">
        <v>137</v>
      </c>
      <c r="AC1686" s="3">
        <v>137</v>
      </c>
      <c r="AE1686" s="3">
        <v>137</v>
      </c>
      <c r="AI1686">
        <v>137</v>
      </c>
      <c r="AK1686" s="3"/>
      <c r="AV1686" t="s">
        <v>370</v>
      </c>
      <c r="AX1686" t="s">
        <v>370</v>
      </c>
      <c r="AZ1686" t="s">
        <v>370</v>
      </c>
      <c r="BB1686" t="s">
        <v>370</v>
      </c>
      <c r="BO1686" t="s">
        <v>367</v>
      </c>
      <c r="BR1686">
        <v>79601</v>
      </c>
      <c r="BS1686" t="s">
        <v>2574</v>
      </c>
      <c r="BT1686">
        <v>5</v>
      </c>
      <c r="BU1686">
        <v>11</v>
      </c>
      <c r="BV1686">
        <v>9</v>
      </c>
      <c r="BX1686">
        <v>142.5</v>
      </c>
      <c r="BZ1686">
        <v>135</v>
      </c>
      <c r="CM1686">
        <v>1911</v>
      </c>
    </row>
    <row r="1687" spans="1:91" x14ac:dyDescent="0.3">
      <c r="A1687" t="s">
        <v>2576</v>
      </c>
      <c r="B1687">
        <v>48013</v>
      </c>
      <c r="D1687">
        <v>12</v>
      </c>
      <c r="I1687">
        <v>848879</v>
      </c>
      <c r="U1687">
        <v>1</v>
      </c>
      <c r="Y1687">
        <v>1</v>
      </c>
      <c r="AA1687">
        <v>1.46</v>
      </c>
      <c r="AC1687" s="3">
        <v>1.46</v>
      </c>
      <c r="AE1687" s="3">
        <v>1.1200000000000001</v>
      </c>
      <c r="AI1687">
        <v>1.18</v>
      </c>
      <c r="AK1687" s="3"/>
      <c r="AV1687" t="s">
        <v>385</v>
      </c>
      <c r="AX1687" t="s">
        <v>385</v>
      </c>
      <c r="AZ1687" t="s">
        <v>385</v>
      </c>
      <c r="BB1687" t="s">
        <v>385</v>
      </c>
      <c r="BS1687" t="s">
        <v>385</v>
      </c>
      <c r="BW1687" t="s">
        <v>802</v>
      </c>
      <c r="BX1687">
        <v>1.53</v>
      </c>
      <c r="BZ1687">
        <v>0.75</v>
      </c>
      <c r="CM1687">
        <v>1911</v>
      </c>
    </row>
    <row r="1688" spans="1:91" x14ac:dyDescent="0.3">
      <c r="A1688" t="s">
        <v>2577</v>
      </c>
      <c r="B1688">
        <v>47879</v>
      </c>
      <c r="D1688">
        <v>12</v>
      </c>
      <c r="I1688">
        <v>250000</v>
      </c>
      <c r="J1688" t="s">
        <v>800</v>
      </c>
      <c r="V1688" t="s">
        <v>350</v>
      </c>
      <c r="Y1688">
        <v>100</v>
      </c>
      <c r="AA1688">
        <v>100</v>
      </c>
      <c r="AC1688" s="3">
        <v>100</v>
      </c>
      <c r="AE1688" s="3">
        <v>99.25</v>
      </c>
      <c r="AI1688">
        <v>100</v>
      </c>
      <c r="AK1688" s="3"/>
      <c r="AV1688" t="s">
        <v>506</v>
      </c>
      <c r="AX1688" t="s">
        <v>506</v>
      </c>
      <c r="AZ1688" t="s">
        <v>506</v>
      </c>
      <c r="BB1688" t="s">
        <v>506</v>
      </c>
      <c r="BO1688" t="s">
        <v>367</v>
      </c>
      <c r="BR1688">
        <v>118640</v>
      </c>
      <c r="BS1688" t="s">
        <v>2578</v>
      </c>
      <c r="BT1688">
        <v>4</v>
      </c>
      <c r="BU1688">
        <v>11</v>
      </c>
      <c r="BV1688">
        <v>6</v>
      </c>
      <c r="BX1688">
        <v>102</v>
      </c>
      <c r="BZ1688">
        <v>99</v>
      </c>
      <c r="CK1688" t="s">
        <v>360</v>
      </c>
      <c r="CM1688">
        <v>1911</v>
      </c>
    </row>
    <row r="1689" spans="1:91" x14ac:dyDescent="0.3">
      <c r="A1689" t="s">
        <v>2577</v>
      </c>
      <c r="B1689">
        <v>47880</v>
      </c>
      <c r="C1689" t="s">
        <v>2301</v>
      </c>
      <c r="D1689">
        <v>12</v>
      </c>
      <c r="I1689">
        <v>250000</v>
      </c>
      <c r="J1689" t="s">
        <v>800</v>
      </c>
      <c r="V1689" t="s">
        <v>350</v>
      </c>
      <c r="Y1689">
        <v>100</v>
      </c>
      <c r="AA1689">
        <v>171.5</v>
      </c>
      <c r="AC1689" s="3">
        <v>173.5</v>
      </c>
      <c r="AE1689" s="3">
        <v>171.5</v>
      </c>
      <c r="AI1689">
        <v>173.5</v>
      </c>
      <c r="AK1689" s="3"/>
      <c r="AX1689" t="s">
        <v>823</v>
      </c>
      <c r="BB1689" t="s">
        <v>823</v>
      </c>
      <c r="BG1689">
        <v>10</v>
      </c>
      <c r="BH1689">
        <v>7</v>
      </c>
      <c r="BI1689">
        <v>11</v>
      </c>
      <c r="BJ1689">
        <v>8</v>
      </c>
      <c r="BK1689" s="4">
        <v>3685</v>
      </c>
      <c r="BL1689" s="4">
        <v>3866</v>
      </c>
      <c r="BM1689" s="4">
        <v>4050</v>
      </c>
      <c r="BN1689" s="4">
        <v>4231</v>
      </c>
      <c r="BR1689">
        <v>118640</v>
      </c>
      <c r="BS1689" t="s">
        <v>2578</v>
      </c>
      <c r="BT1689">
        <v>5</v>
      </c>
      <c r="BU1689">
        <v>9</v>
      </c>
      <c r="BV1689">
        <v>6</v>
      </c>
      <c r="BX1689">
        <v>173.5</v>
      </c>
      <c r="BZ1689">
        <v>151.5</v>
      </c>
      <c r="CM1689">
        <v>1911</v>
      </c>
    </row>
    <row r="1690" spans="1:91" x14ac:dyDescent="0.3">
      <c r="A1690" t="s">
        <v>2577</v>
      </c>
      <c r="B1690">
        <v>47881</v>
      </c>
      <c r="C1690" t="s">
        <v>2579</v>
      </c>
      <c r="D1690">
        <v>12</v>
      </c>
      <c r="I1690">
        <v>250000</v>
      </c>
      <c r="J1690" t="s">
        <v>800</v>
      </c>
      <c r="V1690" t="s">
        <v>350</v>
      </c>
      <c r="Y1690">
        <v>100</v>
      </c>
      <c r="AA1690">
        <v>99</v>
      </c>
      <c r="AC1690" s="3">
        <v>99</v>
      </c>
      <c r="AE1690" s="3">
        <v>97</v>
      </c>
      <c r="AI1690">
        <v>97</v>
      </c>
      <c r="AJ1690" t="s">
        <v>379</v>
      </c>
      <c r="AK1690" s="3"/>
      <c r="AV1690" t="s">
        <v>370</v>
      </c>
      <c r="AX1690" t="s">
        <v>370</v>
      </c>
      <c r="AZ1690" t="s">
        <v>370</v>
      </c>
      <c r="BB1690" t="s">
        <v>370</v>
      </c>
      <c r="BO1690" t="s">
        <v>367</v>
      </c>
      <c r="BS1690" t="s">
        <v>385</v>
      </c>
      <c r="BT1690">
        <v>4</v>
      </c>
      <c r="BU1690">
        <v>2</v>
      </c>
      <c r="BV1690">
        <v>6</v>
      </c>
      <c r="BX1690">
        <v>101</v>
      </c>
      <c r="BZ1690">
        <v>97</v>
      </c>
      <c r="CM1690">
        <v>1911</v>
      </c>
    </row>
    <row r="1691" spans="1:91" x14ac:dyDescent="0.3">
      <c r="A1691" t="s">
        <v>2580</v>
      </c>
      <c r="B1691">
        <v>48240</v>
      </c>
      <c r="D1691">
        <v>12</v>
      </c>
      <c r="I1691">
        <v>893138</v>
      </c>
      <c r="U1691">
        <v>1</v>
      </c>
      <c r="Z1691" t="s">
        <v>1758</v>
      </c>
      <c r="AA1691">
        <v>0.81</v>
      </c>
      <c r="AC1691" s="3">
        <v>1.06</v>
      </c>
      <c r="AE1691" s="3">
        <v>0.81</v>
      </c>
      <c r="AI1691">
        <v>1.06</v>
      </c>
      <c r="AK1691" s="3"/>
      <c r="AV1691" t="s">
        <v>815</v>
      </c>
      <c r="AX1691" t="s">
        <v>823</v>
      </c>
      <c r="BB1691" t="s">
        <v>823</v>
      </c>
      <c r="BG1691">
        <v>20</v>
      </c>
      <c r="BH1691">
        <v>15</v>
      </c>
      <c r="BI1691">
        <v>15</v>
      </c>
      <c r="BJ1691">
        <v>10</v>
      </c>
      <c r="BK1691" s="4">
        <v>3805</v>
      </c>
      <c r="BL1691" s="4">
        <v>3988</v>
      </c>
      <c r="BM1691" s="4">
        <v>4200</v>
      </c>
      <c r="BN1691" s="4">
        <v>4353</v>
      </c>
      <c r="BR1691">
        <v>66521</v>
      </c>
      <c r="BT1691">
        <v>5</v>
      </c>
      <c r="BU1691">
        <v>17</v>
      </c>
      <c r="BV1691">
        <v>6</v>
      </c>
      <c r="BX1691">
        <v>2</v>
      </c>
      <c r="BZ1691">
        <v>0.71</v>
      </c>
      <c r="CM1691">
        <v>1911</v>
      </c>
    </row>
    <row r="1692" spans="1:91" x14ac:dyDescent="0.3">
      <c r="A1692" t="s">
        <v>2581</v>
      </c>
      <c r="B1692">
        <v>40024</v>
      </c>
      <c r="D1692">
        <v>12</v>
      </c>
      <c r="I1692">
        <v>300000</v>
      </c>
      <c r="J1692" t="s">
        <v>800</v>
      </c>
      <c r="V1692" t="s">
        <v>350</v>
      </c>
      <c r="Y1692">
        <v>100</v>
      </c>
      <c r="AA1692">
        <v>208</v>
      </c>
      <c r="AC1692" s="3">
        <v>208</v>
      </c>
      <c r="AE1692" s="3">
        <v>208</v>
      </c>
      <c r="AI1692">
        <v>208</v>
      </c>
      <c r="AK1692" s="3"/>
      <c r="AV1692" t="s">
        <v>823</v>
      </c>
      <c r="AZ1692" t="s">
        <v>823</v>
      </c>
      <c r="BG1692">
        <v>8</v>
      </c>
      <c r="BH1692">
        <v>8.75</v>
      </c>
      <c r="BI1692">
        <v>9</v>
      </c>
      <c r="BJ1692">
        <v>9.75</v>
      </c>
      <c r="BK1692" s="4">
        <v>3593</v>
      </c>
      <c r="BL1692" s="4">
        <v>3805</v>
      </c>
      <c r="BM1692" s="4">
        <v>3958</v>
      </c>
      <c r="BN1692" s="4">
        <v>4170</v>
      </c>
      <c r="BR1692">
        <v>106398</v>
      </c>
      <c r="BT1692">
        <v>4</v>
      </c>
      <c r="BU1692">
        <v>5</v>
      </c>
      <c r="BV1692">
        <v>3</v>
      </c>
      <c r="BX1692">
        <v>211.5</v>
      </c>
      <c r="BZ1692">
        <v>199.5</v>
      </c>
      <c r="CK1692" t="s">
        <v>2582</v>
      </c>
      <c r="CM1692">
        <v>1911</v>
      </c>
    </row>
    <row r="1693" spans="1:91" x14ac:dyDescent="0.3">
      <c r="A1693" t="s">
        <v>2583</v>
      </c>
      <c r="B1693">
        <v>40022</v>
      </c>
      <c r="C1693" t="s">
        <v>2584</v>
      </c>
      <c r="D1693">
        <v>12</v>
      </c>
      <c r="I1693">
        <v>400000</v>
      </c>
      <c r="J1693" t="s">
        <v>800</v>
      </c>
      <c r="V1693" t="s">
        <v>350</v>
      </c>
      <c r="Y1693">
        <v>100</v>
      </c>
      <c r="AA1693">
        <v>210</v>
      </c>
      <c r="AC1693" s="3">
        <v>210</v>
      </c>
      <c r="AE1693" s="3">
        <v>210</v>
      </c>
      <c r="AI1693">
        <v>210</v>
      </c>
      <c r="AK1693" s="3"/>
      <c r="AX1693" t="s">
        <v>823</v>
      </c>
      <c r="BB1693" t="s">
        <v>823</v>
      </c>
      <c r="BG1693">
        <v>9</v>
      </c>
      <c r="BH1693">
        <v>8</v>
      </c>
      <c r="BI1693">
        <v>10</v>
      </c>
      <c r="BJ1693">
        <v>9</v>
      </c>
      <c r="BK1693" s="4">
        <v>3713</v>
      </c>
      <c r="BL1693" s="4">
        <v>3897</v>
      </c>
      <c r="BM1693" s="4">
        <v>4078</v>
      </c>
      <c r="BN1693" s="4">
        <v>4262</v>
      </c>
      <c r="BR1693">
        <v>138811</v>
      </c>
      <c r="BT1693">
        <v>4</v>
      </c>
      <c r="BU1693">
        <v>11</v>
      </c>
      <c r="BV1693">
        <v>0</v>
      </c>
      <c r="BX1693">
        <v>210</v>
      </c>
      <c r="BZ1693">
        <v>202.5</v>
      </c>
      <c r="CM1693">
        <v>1911</v>
      </c>
    </row>
    <row r="1694" spans="1:91" x14ac:dyDescent="0.3">
      <c r="A1694" t="s">
        <v>2581</v>
      </c>
      <c r="B1694">
        <v>40023</v>
      </c>
      <c r="C1694" t="s">
        <v>2585</v>
      </c>
      <c r="D1694">
        <v>12</v>
      </c>
      <c r="I1694">
        <v>400000</v>
      </c>
      <c r="J1694" t="s">
        <v>800</v>
      </c>
      <c r="V1694" t="s">
        <v>350</v>
      </c>
      <c r="Y1694">
        <v>100</v>
      </c>
      <c r="AA1694">
        <v>193.5</v>
      </c>
      <c r="AC1694" s="3">
        <v>194.5</v>
      </c>
      <c r="AE1694" s="3">
        <v>193.5</v>
      </c>
      <c r="AI1694">
        <v>194.5</v>
      </c>
      <c r="AK1694" s="3"/>
      <c r="AV1694" t="s">
        <v>823</v>
      </c>
      <c r="AZ1694" t="s">
        <v>823</v>
      </c>
      <c r="BG1694">
        <v>7.5</v>
      </c>
      <c r="BH1694">
        <v>9</v>
      </c>
      <c r="BI1694">
        <v>8</v>
      </c>
      <c r="BJ1694">
        <v>9.5</v>
      </c>
      <c r="BK1694" s="4">
        <v>3654</v>
      </c>
      <c r="BL1694" s="4">
        <v>3835</v>
      </c>
      <c r="BM1694" s="4">
        <v>4019</v>
      </c>
      <c r="BN1694" s="4">
        <v>4200</v>
      </c>
      <c r="BR1694">
        <v>112963</v>
      </c>
      <c r="BT1694">
        <v>4</v>
      </c>
      <c r="BU1694">
        <v>10</v>
      </c>
      <c r="BV1694">
        <v>0</v>
      </c>
      <c r="BX1694">
        <v>194.5</v>
      </c>
      <c r="BZ1694">
        <v>181.25</v>
      </c>
      <c r="CM1694">
        <v>1911</v>
      </c>
    </row>
    <row r="1695" spans="1:91" x14ac:dyDescent="0.3">
      <c r="A1695" t="s">
        <v>2586</v>
      </c>
      <c r="B1695">
        <v>48530</v>
      </c>
      <c r="D1695">
        <v>12</v>
      </c>
      <c r="I1695">
        <v>250000</v>
      </c>
      <c r="J1695" t="s">
        <v>800</v>
      </c>
      <c r="V1695" t="s">
        <v>350</v>
      </c>
      <c r="Y1695">
        <v>100</v>
      </c>
      <c r="AA1695">
        <v>102</v>
      </c>
      <c r="AB1695" t="s">
        <v>379</v>
      </c>
      <c r="AC1695" s="3">
        <v>102</v>
      </c>
      <c r="AE1695" s="3">
        <v>102</v>
      </c>
      <c r="AI1695">
        <v>102</v>
      </c>
      <c r="AK1695" s="3"/>
      <c r="BG1695">
        <v>5</v>
      </c>
      <c r="BH1695">
        <v>5</v>
      </c>
      <c r="BI1695">
        <v>5</v>
      </c>
      <c r="BJ1695">
        <v>5</v>
      </c>
      <c r="BK1695" s="4">
        <v>3774</v>
      </c>
      <c r="BL1695" s="4">
        <v>3958</v>
      </c>
      <c r="BM1695" s="4">
        <v>4139</v>
      </c>
      <c r="BN1695" s="4">
        <v>4323</v>
      </c>
      <c r="BR1695">
        <v>54422</v>
      </c>
      <c r="BS1695" t="s">
        <v>2587</v>
      </c>
      <c r="BT1695">
        <v>4</v>
      </c>
      <c r="BU1695">
        <v>18</v>
      </c>
      <c r="BV1695">
        <v>6</v>
      </c>
      <c r="BX1695">
        <v>104.25</v>
      </c>
      <c r="BZ1695">
        <v>101</v>
      </c>
      <c r="CK1695" t="s">
        <v>454</v>
      </c>
      <c r="CM1695">
        <v>1911</v>
      </c>
    </row>
    <row r="1696" spans="1:91" x14ac:dyDescent="0.3">
      <c r="A1696" t="s">
        <v>2586</v>
      </c>
      <c r="B1696">
        <v>48532</v>
      </c>
      <c r="C1696" t="s">
        <v>2301</v>
      </c>
      <c r="D1696">
        <v>12</v>
      </c>
      <c r="I1696">
        <v>250000</v>
      </c>
      <c r="J1696" t="s">
        <v>800</v>
      </c>
      <c r="V1696" t="s">
        <v>350</v>
      </c>
      <c r="Y1696">
        <v>100</v>
      </c>
      <c r="AA1696">
        <v>92</v>
      </c>
      <c r="AB1696" t="s">
        <v>379</v>
      </c>
      <c r="AC1696" s="3">
        <v>92</v>
      </c>
      <c r="AE1696" s="3">
        <v>92</v>
      </c>
      <c r="AI1696">
        <v>92</v>
      </c>
      <c r="AK1696" s="3"/>
      <c r="AV1696" t="s">
        <v>823</v>
      </c>
      <c r="AZ1696" t="s">
        <v>823</v>
      </c>
      <c r="BG1696">
        <v>4</v>
      </c>
      <c r="BH1696">
        <v>6</v>
      </c>
      <c r="BI1696">
        <v>4</v>
      </c>
      <c r="BJ1696">
        <v>7</v>
      </c>
      <c r="BK1696" s="4">
        <v>3774</v>
      </c>
      <c r="BL1696" s="4">
        <v>3958</v>
      </c>
      <c r="BM1696" s="4">
        <v>4139</v>
      </c>
      <c r="BN1696" s="4">
        <v>4323</v>
      </c>
      <c r="BR1696">
        <v>54422</v>
      </c>
      <c r="BS1696" t="s">
        <v>2587</v>
      </c>
      <c r="BT1696">
        <v>3</v>
      </c>
      <c r="BU1696">
        <v>19</v>
      </c>
      <c r="BV1696">
        <v>6</v>
      </c>
      <c r="BX1696">
        <v>96</v>
      </c>
      <c r="BZ1696">
        <v>86</v>
      </c>
      <c r="CM1696">
        <v>1911</v>
      </c>
    </row>
    <row r="1697" spans="1:91" x14ac:dyDescent="0.3">
      <c r="A1697" t="s">
        <v>2586</v>
      </c>
      <c r="B1697">
        <v>48531</v>
      </c>
      <c r="C1697" t="s">
        <v>1176</v>
      </c>
      <c r="D1697">
        <v>12</v>
      </c>
      <c r="I1697">
        <v>250000</v>
      </c>
      <c r="J1697" t="s">
        <v>800</v>
      </c>
      <c r="V1697" t="s">
        <v>350</v>
      </c>
      <c r="Y1697">
        <v>100</v>
      </c>
      <c r="AA1697">
        <v>95</v>
      </c>
      <c r="AB1697" t="s">
        <v>379</v>
      </c>
      <c r="AC1697" s="3">
        <v>95</v>
      </c>
      <c r="AE1697" s="3">
        <v>95</v>
      </c>
      <c r="AI1697">
        <v>95</v>
      </c>
      <c r="AK1697" s="3"/>
      <c r="AV1697" t="s">
        <v>366</v>
      </c>
      <c r="AX1697" t="s">
        <v>366</v>
      </c>
      <c r="AZ1697" t="s">
        <v>366</v>
      </c>
      <c r="BB1697" t="s">
        <v>366</v>
      </c>
      <c r="BO1697" t="s">
        <v>367</v>
      </c>
      <c r="BR1697">
        <v>54422</v>
      </c>
      <c r="BS1697" t="s">
        <v>2587</v>
      </c>
      <c r="BT1697">
        <v>4</v>
      </c>
      <c r="BU1697">
        <v>4</v>
      </c>
      <c r="BV1697">
        <v>9</v>
      </c>
      <c r="BX1697">
        <v>98</v>
      </c>
      <c r="BZ1697">
        <v>92</v>
      </c>
      <c r="CM1697">
        <v>1911</v>
      </c>
    </row>
    <row r="1698" spans="1:91" x14ac:dyDescent="0.3">
      <c r="A1698" t="s">
        <v>2588</v>
      </c>
      <c r="B1698">
        <v>40031</v>
      </c>
      <c r="D1698">
        <v>12</v>
      </c>
      <c r="I1698">
        <v>150000</v>
      </c>
      <c r="J1698" t="s">
        <v>800</v>
      </c>
      <c r="V1698" t="s">
        <v>350</v>
      </c>
      <c r="Y1698">
        <v>100</v>
      </c>
      <c r="AA1698">
        <v>96</v>
      </c>
      <c r="AC1698" s="3">
        <v>96</v>
      </c>
      <c r="AE1698" s="3">
        <v>96</v>
      </c>
      <c r="AI1698">
        <v>96</v>
      </c>
      <c r="AK1698" s="3"/>
      <c r="BG1698">
        <v>4.5</v>
      </c>
      <c r="BH1698">
        <v>4.5</v>
      </c>
      <c r="BI1698">
        <v>4.5</v>
      </c>
      <c r="BJ1698">
        <v>4.5</v>
      </c>
      <c r="BK1698" s="4">
        <v>3744</v>
      </c>
      <c r="BL1698" s="4">
        <v>3927</v>
      </c>
      <c r="BM1698" s="4">
        <v>4109</v>
      </c>
      <c r="BN1698" s="4">
        <v>4292</v>
      </c>
      <c r="BR1698">
        <v>35400</v>
      </c>
      <c r="BS1698" t="s">
        <v>2589</v>
      </c>
      <c r="BT1698">
        <v>4</v>
      </c>
      <c r="BU1698">
        <v>14</v>
      </c>
      <c r="BV1698">
        <v>3</v>
      </c>
      <c r="BX1698">
        <v>98</v>
      </c>
      <c r="BZ1698">
        <v>95.5</v>
      </c>
      <c r="CK1698" t="s">
        <v>454</v>
      </c>
      <c r="CM1698">
        <v>1911</v>
      </c>
    </row>
    <row r="1699" spans="1:91" x14ac:dyDescent="0.3">
      <c r="A1699" t="s">
        <v>2590</v>
      </c>
      <c r="B1699">
        <v>40030</v>
      </c>
      <c r="C1699" t="s">
        <v>2301</v>
      </c>
      <c r="D1699">
        <v>12</v>
      </c>
      <c r="I1699">
        <v>100000</v>
      </c>
      <c r="J1699" t="s">
        <v>800</v>
      </c>
      <c r="V1699" t="s">
        <v>350</v>
      </c>
      <c r="Y1699">
        <v>100</v>
      </c>
      <c r="AA1699">
        <v>114.5</v>
      </c>
      <c r="AC1699" s="3">
        <v>114.5</v>
      </c>
      <c r="AE1699" s="3">
        <v>114.5</v>
      </c>
      <c r="AI1699">
        <v>114.5</v>
      </c>
      <c r="AK1699" s="3"/>
      <c r="AV1699" t="s">
        <v>823</v>
      </c>
      <c r="AZ1699" t="s">
        <v>823</v>
      </c>
      <c r="BG1699">
        <v>5</v>
      </c>
      <c r="BH1699">
        <v>7</v>
      </c>
      <c r="BI1699">
        <v>5</v>
      </c>
      <c r="BJ1699">
        <v>9</v>
      </c>
      <c r="BK1699" s="4">
        <v>3744</v>
      </c>
      <c r="BL1699" s="4">
        <v>3927</v>
      </c>
      <c r="BM1699" s="4">
        <v>4109</v>
      </c>
      <c r="BN1699" s="4">
        <v>4292</v>
      </c>
      <c r="BR1699">
        <v>35400</v>
      </c>
      <c r="BS1699" t="s">
        <v>2589</v>
      </c>
      <c r="BT1699">
        <v>6</v>
      </c>
      <c r="BU1699">
        <v>2</v>
      </c>
      <c r="BV1699">
        <v>3</v>
      </c>
      <c r="BX1699">
        <v>118.5</v>
      </c>
      <c r="BZ1699">
        <v>109.5</v>
      </c>
      <c r="CM1699">
        <v>1911</v>
      </c>
    </row>
    <row r="1700" spans="1:91" x14ac:dyDescent="0.3">
      <c r="A1700" t="s">
        <v>2590</v>
      </c>
      <c r="B1700">
        <v>40029</v>
      </c>
      <c r="C1700" t="s">
        <v>2591</v>
      </c>
      <c r="D1700">
        <v>12</v>
      </c>
      <c r="I1700">
        <v>250000</v>
      </c>
      <c r="J1700" t="s">
        <v>800</v>
      </c>
      <c r="V1700" t="s">
        <v>350</v>
      </c>
      <c r="Y1700">
        <v>100</v>
      </c>
      <c r="AA1700">
        <v>95</v>
      </c>
      <c r="AB1700" t="s">
        <v>379</v>
      </c>
      <c r="AC1700" s="3">
        <v>95</v>
      </c>
      <c r="AE1700" s="3">
        <v>95</v>
      </c>
      <c r="AI1700">
        <v>95</v>
      </c>
      <c r="AK1700" s="3"/>
      <c r="AV1700" t="s">
        <v>421</v>
      </c>
      <c r="AX1700" t="s">
        <v>421</v>
      </c>
      <c r="AZ1700" t="s">
        <v>421</v>
      </c>
      <c r="BB1700" t="s">
        <v>421</v>
      </c>
      <c r="BO1700" t="s">
        <v>367</v>
      </c>
      <c r="BR1700">
        <v>35400</v>
      </c>
      <c r="BS1700" t="s">
        <v>2589</v>
      </c>
      <c r="BT1700">
        <v>4</v>
      </c>
      <c r="BU1700">
        <v>4</v>
      </c>
      <c r="BV1700">
        <v>9</v>
      </c>
      <c r="BX1700">
        <v>97</v>
      </c>
      <c r="BZ1700">
        <v>95</v>
      </c>
      <c r="CM1700">
        <v>1911</v>
      </c>
    </row>
    <row r="1701" spans="1:91" x14ac:dyDescent="0.3">
      <c r="A1701" t="s">
        <v>2592</v>
      </c>
      <c r="B1701">
        <v>48563</v>
      </c>
      <c r="D1701">
        <v>12</v>
      </c>
      <c r="I1701">
        <v>100000</v>
      </c>
      <c r="U1701">
        <v>1</v>
      </c>
      <c r="Y1701">
        <v>1</v>
      </c>
      <c r="AA1701">
        <v>1.87</v>
      </c>
      <c r="AC1701" s="3">
        <v>1.87</v>
      </c>
      <c r="AE1701" s="3">
        <v>1.75</v>
      </c>
      <c r="AI1701">
        <v>1.75</v>
      </c>
      <c r="AK1701" s="3"/>
      <c r="AV1701" t="s">
        <v>385</v>
      </c>
      <c r="AX1701" t="s">
        <v>823</v>
      </c>
      <c r="BB1701" t="s">
        <v>823</v>
      </c>
      <c r="BH1701">
        <v>10</v>
      </c>
      <c r="BI1701">
        <v>10</v>
      </c>
      <c r="BJ1701">
        <v>8</v>
      </c>
      <c r="BL1701" s="4">
        <v>3927</v>
      </c>
      <c r="BM1701" s="4">
        <v>4170</v>
      </c>
      <c r="BN1701" s="4">
        <v>4292</v>
      </c>
      <c r="BR1701">
        <v>21281</v>
      </c>
      <c r="BT1701">
        <v>5</v>
      </c>
      <c r="BU1701">
        <v>14</v>
      </c>
      <c r="BV1701">
        <v>3</v>
      </c>
      <c r="BX1701">
        <v>2.5</v>
      </c>
      <c r="BZ1701">
        <v>1.75</v>
      </c>
      <c r="CM1701">
        <v>1911</v>
      </c>
    </row>
    <row r="1702" spans="1:91" x14ac:dyDescent="0.3">
      <c r="A1702" t="s">
        <v>2593</v>
      </c>
      <c r="B1702">
        <v>48946</v>
      </c>
      <c r="D1702">
        <v>12</v>
      </c>
      <c r="I1702">
        <v>200000</v>
      </c>
      <c r="U1702">
        <v>1</v>
      </c>
      <c r="Y1702">
        <v>1</v>
      </c>
      <c r="AA1702">
        <v>1.06</v>
      </c>
      <c r="AC1702" s="3">
        <v>1.06</v>
      </c>
      <c r="AE1702" s="3">
        <v>1.06</v>
      </c>
      <c r="AI1702">
        <v>1.06</v>
      </c>
      <c r="AK1702" s="3"/>
      <c r="AV1702" t="s">
        <v>385</v>
      </c>
      <c r="AX1702" t="s">
        <v>815</v>
      </c>
      <c r="AZ1702" t="s">
        <v>823</v>
      </c>
      <c r="BH1702">
        <v>7</v>
      </c>
      <c r="BI1702">
        <v>6</v>
      </c>
      <c r="BJ1702">
        <v>8</v>
      </c>
      <c r="BL1702" t="s">
        <v>1226</v>
      </c>
      <c r="BM1702" s="4">
        <v>4078</v>
      </c>
      <c r="BN1702" s="4">
        <v>4292</v>
      </c>
      <c r="BR1702">
        <v>11117</v>
      </c>
      <c r="BT1702">
        <v>6</v>
      </c>
      <c r="BU1702">
        <v>11</v>
      </c>
      <c r="BV1702">
        <v>9</v>
      </c>
      <c r="BX1702">
        <v>1.1499999999999999</v>
      </c>
      <c r="BZ1702">
        <v>1.06</v>
      </c>
      <c r="CK1702" t="s">
        <v>360</v>
      </c>
      <c r="CM1702">
        <v>1911</v>
      </c>
    </row>
    <row r="1703" spans="1:91" x14ac:dyDescent="0.3">
      <c r="A1703" t="s">
        <v>2594</v>
      </c>
      <c r="B1703">
        <v>48941</v>
      </c>
      <c r="D1703">
        <v>12</v>
      </c>
      <c r="I1703">
        <v>500000</v>
      </c>
      <c r="U1703">
        <v>1</v>
      </c>
      <c r="Y1703">
        <v>1</v>
      </c>
      <c r="AA1703">
        <v>2.56</v>
      </c>
      <c r="AC1703" s="3">
        <v>2.56</v>
      </c>
      <c r="AE1703" s="3">
        <v>2.4300000000000002</v>
      </c>
      <c r="AI1703">
        <v>2.4300000000000002</v>
      </c>
      <c r="AK1703" s="3"/>
      <c r="AX1703" t="s">
        <v>823</v>
      </c>
      <c r="BB1703" t="s">
        <v>823</v>
      </c>
      <c r="BG1703">
        <v>30</v>
      </c>
      <c r="BH1703">
        <v>20</v>
      </c>
      <c r="BI1703">
        <v>40</v>
      </c>
      <c r="BJ1703">
        <v>15</v>
      </c>
      <c r="BK1703" s="4">
        <v>3685</v>
      </c>
      <c r="BL1703" s="4">
        <v>3835</v>
      </c>
      <c r="BM1703" s="4">
        <v>4050</v>
      </c>
      <c r="BN1703" s="4">
        <v>4200</v>
      </c>
      <c r="BR1703">
        <v>374879</v>
      </c>
      <c r="BS1703" t="s">
        <v>2595</v>
      </c>
      <c r="BT1703">
        <v>11</v>
      </c>
      <c r="BU1703">
        <v>5</v>
      </c>
      <c r="BV1703">
        <v>9</v>
      </c>
      <c r="BX1703">
        <v>3.65</v>
      </c>
      <c r="BZ1703">
        <v>2.12</v>
      </c>
      <c r="CK1703" t="s">
        <v>360</v>
      </c>
      <c r="CM1703">
        <v>1911</v>
      </c>
    </row>
    <row r="1704" spans="1:91" x14ac:dyDescent="0.3">
      <c r="A1704" t="s">
        <v>2594</v>
      </c>
      <c r="B1704">
        <v>48944</v>
      </c>
      <c r="C1704" t="s">
        <v>825</v>
      </c>
      <c r="D1704">
        <v>12</v>
      </c>
      <c r="I1704">
        <v>500000</v>
      </c>
      <c r="U1704">
        <v>1</v>
      </c>
      <c r="Y1704">
        <v>1</v>
      </c>
      <c r="AA1704">
        <v>1</v>
      </c>
      <c r="AC1704" s="3">
        <v>1</v>
      </c>
      <c r="AE1704" s="3">
        <v>1</v>
      </c>
      <c r="AI1704">
        <v>1</v>
      </c>
      <c r="AK1704" s="3"/>
      <c r="AV1704" t="s">
        <v>370</v>
      </c>
      <c r="AX1704" t="s">
        <v>370</v>
      </c>
      <c r="AZ1704" t="s">
        <v>370</v>
      </c>
      <c r="BB1704" t="s">
        <v>370</v>
      </c>
      <c r="BO1704" t="s">
        <v>367</v>
      </c>
      <c r="BR1704">
        <v>374879</v>
      </c>
      <c r="BS1704" t="s">
        <v>2595</v>
      </c>
      <c r="BT1704">
        <v>6</v>
      </c>
      <c r="BU1704">
        <v>0</v>
      </c>
      <c r="BV1704">
        <v>0</v>
      </c>
      <c r="BX1704">
        <v>1.1499999999999999</v>
      </c>
      <c r="BZ1704">
        <v>0.96</v>
      </c>
      <c r="CM1704">
        <v>1911</v>
      </c>
    </row>
    <row r="1705" spans="1:91" x14ac:dyDescent="0.3">
      <c r="A1705" t="s">
        <v>2594</v>
      </c>
      <c r="B1705">
        <v>48943</v>
      </c>
      <c r="C1705" t="s">
        <v>2596</v>
      </c>
      <c r="D1705">
        <v>12</v>
      </c>
      <c r="I1705">
        <v>110000</v>
      </c>
      <c r="J1705" t="s">
        <v>800</v>
      </c>
      <c r="U1705">
        <v>100</v>
      </c>
      <c r="Y1705">
        <v>100</v>
      </c>
      <c r="AA1705">
        <v>102.5</v>
      </c>
      <c r="AC1705" s="3">
        <v>103</v>
      </c>
      <c r="AE1705" s="3">
        <v>102.25</v>
      </c>
      <c r="AI1705">
        <v>103</v>
      </c>
      <c r="AK1705" s="3"/>
      <c r="AV1705" t="s">
        <v>370</v>
      </c>
      <c r="AX1705" t="s">
        <v>370</v>
      </c>
      <c r="AZ1705" t="s">
        <v>370</v>
      </c>
      <c r="BB1705" t="s">
        <v>370</v>
      </c>
      <c r="BO1705" t="s">
        <v>367</v>
      </c>
      <c r="BR1705">
        <v>374879</v>
      </c>
      <c r="BS1705" t="s">
        <v>2595</v>
      </c>
      <c r="BT1705">
        <v>5</v>
      </c>
      <c r="BU1705">
        <v>4</v>
      </c>
      <c r="BV1705">
        <v>6</v>
      </c>
      <c r="BX1705">
        <v>104.5</v>
      </c>
      <c r="BZ1705">
        <v>100.75</v>
      </c>
      <c r="CM1705">
        <v>1911</v>
      </c>
    </row>
    <row r="1706" spans="1:91" x14ac:dyDescent="0.3">
      <c r="A1706" t="s">
        <v>2597</v>
      </c>
      <c r="B1706">
        <v>49242</v>
      </c>
      <c r="D1706">
        <v>12</v>
      </c>
      <c r="I1706">
        <v>100352</v>
      </c>
      <c r="J1706" t="s">
        <v>800</v>
      </c>
      <c r="V1706" t="s">
        <v>350</v>
      </c>
      <c r="Y1706">
        <v>100</v>
      </c>
      <c r="AA1706">
        <v>70</v>
      </c>
      <c r="AC1706" s="3">
        <v>70</v>
      </c>
      <c r="AE1706" s="3">
        <v>70</v>
      </c>
      <c r="AI1706">
        <v>70</v>
      </c>
      <c r="AK1706" s="3"/>
      <c r="AV1706" t="s">
        <v>815</v>
      </c>
      <c r="AX1706" t="s">
        <v>815</v>
      </c>
      <c r="AZ1706" t="s">
        <v>815</v>
      </c>
      <c r="BB1706" t="s">
        <v>815</v>
      </c>
      <c r="BG1706">
        <v>3.5</v>
      </c>
      <c r="BH1706">
        <v>2.5</v>
      </c>
      <c r="BI1706">
        <v>2.5</v>
      </c>
      <c r="BJ1706">
        <v>3</v>
      </c>
      <c r="BK1706" t="s">
        <v>1224</v>
      </c>
      <c r="BL1706" s="4">
        <v>3320</v>
      </c>
      <c r="BM1706" s="4">
        <v>3685</v>
      </c>
      <c r="BN1706" s="4">
        <v>4050</v>
      </c>
      <c r="BR1706">
        <v>15111</v>
      </c>
      <c r="BS1706" t="s">
        <v>2598</v>
      </c>
      <c r="BT1706">
        <v>4</v>
      </c>
      <c r="BU1706">
        <v>6</v>
      </c>
      <c r="BV1706">
        <v>3</v>
      </c>
      <c r="BX1706">
        <v>71</v>
      </c>
      <c r="BZ1706">
        <v>37</v>
      </c>
      <c r="CK1706" t="s">
        <v>360</v>
      </c>
      <c r="CM1706">
        <v>1911</v>
      </c>
    </row>
    <row r="1707" spans="1:91" x14ac:dyDescent="0.3">
      <c r="A1707" t="s">
        <v>2597</v>
      </c>
      <c r="B1707">
        <v>49253</v>
      </c>
      <c r="C1707" t="s">
        <v>896</v>
      </c>
      <c r="D1707">
        <v>12</v>
      </c>
      <c r="I1707">
        <v>199900</v>
      </c>
      <c r="U1707">
        <v>1.4</v>
      </c>
      <c r="Y1707">
        <v>0.4</v>
      </c>
      <c r="AA1707">
        <v>0.25</v>
      </c>
      <c r="AC1707" s="3">
        <v>0.25</v>
      </c>
      <c r="AE1707" s="3">
        <v>0.25</v>
      </c>
      <c r="AI1707">
        <v>0.25</v>
      </c>
      <c r="AK1707" s="3"/>
      <c r="AV1707" t="s">
        <v>815</v>
      </c>
      <c r="AX1707" t="s">
        <v>815</v>
      </c>
      <c r="AZ1707" t="s">
        <v>815</v>
      </c>
      <c r="BB1707" t="s">
        <v>815</v>
      </c>
      <c r="BG1707">
        <v>3.5</v>
      </c>
      <c r="BH1707">
        <v>2.5</v>
      </c>
      <c r="BI1707">
        <v>2.5</v>
      </c>
      <c r="BJ1707">
        <v>3</v>
      </c>
      <c r="BK1707" t="s">
        <v>1224</v>
      </c>
      <c r="BL1707" s="4">
        <v>3320</v>
      </c>
      <c r="BM1707" s="4">
        <v>3685</v>
      </c>
      <c r="BN1707" s="4">
        <v>4050</v>
      </c>
      <c r="BR1707">
        <v>15111</v>
      </c>
      <c r="BS1707" t="s">
        <v>2598</v>
      </c>
      <c r="BT1707">
        <v>4</v>
      </c>
      <c r="BU1707">
        <v>16</v>
      </c>
      <c r="BV1707">
        <v>0</v>
      </c>
      <c r="BX1707">
        <v>0.31</v>
      </c>
      <c r="BZ1707">
        <v>0.12</v>
      </c>
      <c r="CM1707">
        <v>1911</v>
      </c>
    </row>
    <row r="1708" spans="1:91" x14ac:dyDescent="0.3">
      <c r="A1708" t="s">
        <v>2597</v>
      </c>
      <c r="B1708">
        <v>49250</v>
      </c>
      <c r="C1708" t="s">
        <v>977</v>
      </c>
      <c r="D1708">
        <v>12</v>
      </c>
      <c r="I1708">
        <v>325000</v>
      </c>
      <c r="J1708" t="s">
        <v>800</v>
      </c>
      <c r="V1708" t="s">
        <v>350</v>
      </c>
      <c r="Y1708">
        <v>100</v>
      </c>
      <c r="AA1708">
        <v>84</v>
      </c>
      <c r="AC1708" s="3">
        <v>85</v>
      </c>
      <c r="AE1708" s="3">
        <v>82</v>
      </c>
      <c r="AI1708">
        <v>82</v>
      </c>
      <c r="AJ1708" t="s">
        <v>379</v>
      </c>
      <c r="AK1708" s="3"/>
      <c r="AV1708" t="s">
        <v>370</v>
      </c>
      <c r="AX1708" t="s">
        <v>370</v>
      </c>
      <c r="AZ1708" t="s">
        <v>370</v>
      </c>
      <c r="BB1708" t="s">
        <v>370</v>
      </c>
      <c r="BO1708" t="s">
        <v>367</v>
      </c>
      <c r="BR1708">
        <v>15111</v>
      </c>
      <c r="BS1708" t="s">
        <v>2598</v>
      </c>
      <c r="BT1708">
        <v>5</v>
      </c>
      <c r="BU1708">
        <v>9</v>
      </c>
      <c r="BV1708">
        <v>9</v>
      </c>
      <c r="BX1708">
        <v>87</v>
      </c>
      <c r="BZ1708">
        <v>82</v>
      </c>
      <c r="CM1708">
        <v>1911</v>
      </c>
    </row>
    <row r="1709" spans="1:91" x14ac:dyDescent="0.3">
      <c r="A1709" t="s">
        <v>2597</v>
      </c>
      <c r="B1709">
        <v>49248</v>
      </c>
      <c r="C1709" t="s">
        <v>2599</v>
      </c>
      <c r="D1709">
        <v>12</v>
      </c>
      <c r="I1709" s="2">
        <v>1071720</v>
      </c>
      <c r="J1709" t="s">
        <v>800</v>
      </c>
      <c r="V1709" t="s">
        <v>350</v>
      </c>
      <c r="Y1709">
        <v>100</v>
      </c>
      <c r="AA1709">
        <v>81</v>
      </c>
      <c r="AC1709" s="3">
        <v>82</v>
      </c>
      <c r="AE1709" s="3">
        <v>80</v>
      </c>
      <c r="AI1709">
        <v>82</v>
      </c>
      <c r="AK1709" s="3"/>
      <c r="AV1709" t="s">
        <v>506</v>
      </c>
      <c r="AX1709" t="s">
        <v>506</v>
      </c>
      <c r="AZ1709" t="s">
        <v>506</v>
      </c>
      <c r="BB1709" t="s">
        <v>506</v>
      </c>
      <c r="BO1709" t="s">
        <v>367</v>
      </c>
      <c r="BR1709">
        <v>15111</v>
      </c>
      <c r="BS1709" t="s">
        <v>2598</v>
      </c>
      <c r="BT1709">
        <v>4</v>
      </c>
      <c r="BU1709">
        <v>6</v>
      </c>
      <c r="BV1709">
        <v>6</v>
      </c>
      <c r="BX1709">
        <v>83.25</v>
      </c>
      <c r="BZ1709">
        <v>79.87</v>
      </c>
      <c r="CM1709">
        <v>1911</v>
      </c>
    </row>
    <row r="1710" spans="1:91" x14ac:dyDescent="0.3">
      <c r="A1710" t="s">
        <v>2597</v>
      </c>
      <c r="B1710">
        <v>49244</v>
      </c>
      <c r="C1710" t="s">
        <v>2600</v>
      </c>
      <c r="D1710">
        <v>12</v>
      </c>
      <c r="I1710">
        <v>535860</v>
      </c>
      <c r="J1710" t="s">
        <v>800</v>
      </c>
      <c r="V1710" t="s">
        <v>350</v>
      </c>
      <c r="Y1710">
        <v>100</v>
      </c>
      <c r="AA1710">
        <v>80</v>
      </c>
      <c r="AC1710" s="3">
        <v>80</v>
      </c>
      <c r="AE1710" s="3">
        <v>80</v>
      </c>
      <c r="AI1710">
        <v>80</v>
      </c>
      <c r="AK1710" s="3"/>
      <c r="AV1710" t="s">
        <v>506</v>
      </c>
      <c r="AX1710" t="s">
        <v>506</v>
      </c>
      <c r="AZ1710" t="s">
        <v>506</v>
      </c>
      <c r="BB1710" t="s">
        <v>506</v>
      </c>
      <c r="BO1710" t="s">
        <v>367</v>
      </c>
      <c r="BR1710">
        <v>15111</v>
      </c>
      <c r="BS1710" t="s">
        <v>2598</v>
      </c>
      <c r="BT1710">
        <v>5</v>
      </c>
      <c r="BU1710">
        <v>2</v>
      </c>
      <c r="BV1710">
        <v>3</v>
      </c>
      <c r="BX1710">
        <v>85</v>
      </c>
      <c r="BZ1710">
        <v>78</v>
      </c>
      <c r="CM1710">
        <v>1911</v>
      </c>
    </row>
    <row r="1711" spans="1:91" x14ac:dyDescent="0.3">
      <c r="A1711" t="s">
        <v>2597</v>
      </c>
      <c r="B1711">
        <v>49251</v>
      </c>
      <c r="C1711" t="s">
        <v>2601</v>
      </c>
      <c r="D1711">
        <v>12</v>
      </c>
      <c r="I1711" s="2">
        <v>1071720</v>
      </c>
      <c r="J1711" t="s">
        <v>800</v>
      </c>
      <c r="V1711" t="s">
        <v>350</v>
      </c>
      <c r="Y1711">
        <v>100</v>
      </c>
      <c r="AA1711">
        <v>19</v>
      </c>
      <c r="AC1711" s="3">
        <v>21</v>
      </c>
      <c r="AE1711" s="3">
        <v>18</v>
      </c>
      <c r="AI1711">
        <v>21</v>
      </c>
      <c r="AK1711" s="3"/>
      <c r="AV1711" t="s">
        <v>815</v>
      </c>
      <c r="AX1711" t="s">
        <v>815</v>
      </c>
      <c r="AZ1711" t="s">
        <v>815</v>
      </c>
      <c r="BB1711" t="s">
        <v>815</v>
      </c>
      <c r="BG1711">
        <v>0.37</v>
      </c>
      <c r="BH1711">
        <v>0.12</v>
      </c>
      <c r="BI1711">
        <v>0.62</v>
      </c>
      <c r="BJ1711">
        <v>1.25</v>
      </c>
      <c r="BK1711" s="4">
        <v>3136</v>
      </c>
      <c r="BL1711" s="4">
        <v>3501</v>
      </c>
      <c r="BM1711" s="4">
        <v>3866</v>
      </c>
      <c r="BN1711" s="4">
        <v>4231</v>
      </c>
      <c r="BR1711">
        <v>15111</v>
      </c>
      <c r="BS1711" t="s">
        <v>2598</v>
      </c>
      <c r="BT1711">
        <v>5</v>
      </c>
      <c r="BU1711">
        <v>19</v>
      </c>
      <c r="BV1711">
        <v>0</v>
      </c>
      <c r="BX1711">
        <v>24</v>
      </c>
      <c r="BZ1711">
        <v>14.5</v>
      </c>
      <c r="CM1711">
        <v>1911</v>
      </c>
    </row>
    <row r="1712" spans="1:91" x14ac:dyDescent="0.3">
      <c r="A1712" t="s">
        <v>2597</v>
      </c>
      <c r="B1712">
        <v>49249</v>
      </c>
      <c r="C1712" t="s">
        <v>2602</v>
      </c>
      <c r="D1712">
        <v>12</v>
      </c>
      <c r="I1712">
        <v>613080</v>
      </c>
      <c r="J1712" t="s">
        <v>800</v>
      </c>
      <c r="V1712" t="s">
        <v>350</v>
      </c>
      <c r="Y1712">
        <v>100</v>
      </c>
      <c r="AA1712">
        <v>61.5</v>
      </c>
      <c r="AC1712" s="3">
        <v>64</v>
      </c>
      <c r="AE1712" s="3">
        <v>61.5</v>
      </c>
      <c r="AI1712">
        <v>64</v>
      </c>
      <c r="AK1712" s="3"/>
      <c r="BG1712">
        <v>3</v>
      </c>
      <c r="BH1712">
        <v>3</v>
      </c>
      <c r="BI1712">
        <v>3</v>
      </c>
      <c r="BJ1712">
        <v>3</v>
      </c>
      <c r="BK1712" s="4">
        <v>3685</v>
      </c>
      <c r="BL1712" s="4">
        <v>3866</v>
      </c>
      <c r="BM1712" s="4">
        <v>4050</v>
      </c>
      <c r="BN1712" s="4">
        <v>4231</v>
      </c>
      <c r="BR1712">
        <v>15111</v>
      </c>
      <c r="BS1712" t="s">
        <v>2598</v>
      </c>
      <c r="BT1712">
        <v>4</v>
      </c>
      <c r="BU1712">
        <v>15</v>
      </c>
      <c r="BV1712">
        <v>3</v>
      </c>
      <c r="BX1712">
        <v>67</v>
      </c>
      <c r="BZ1712">
        <v>60.5</v>
      </c>
      <c r="CM1712">
        <v>1911</v>
      </c>
    </row>
    <row r="1713" spans="1:91" x14ac:dyDescent="0.3">
      <c r="A1713" t="s">
        <v>2597</v>
      </c>
      <c r="B1713">
        <v>49245</v>
      </c>
      <c r="C1713" t="s">
        <v>2603</v>
      </c>
      <c r="D1713">
        <v>12</v>
      </c>
      <c r="I1713">
        <v>408920</v>
      </c>
      <c r="J1713" t="s">
        <v>800</v>
      </c>
      <c r="V1713" t="s">
        <v>350</v>
      </c>
      <c r="Y1713">
        <v>100</v>
      </c>
      <c r="AA1713">
        <v>31.5</v>
      </c>
      <c r="AC1713" s="3">
        <v>34</v>
      </c>
      <c r="AE1713" s="3">
        <v>31.5</v>
      </c>
      <c r="AI1713">
        <v>34</v>
      </c>
      <c r="AK1713" s="3"/>
      <c r="AV1713" t="s">
        <v>815</v>
      </c>
      <c r="AX1713" t="s">
        <v>815</v>
      </c>
      <c r="AZ1713" t="s">
        <v>815</v>
      </c>
      <c r="BB1713" t="s">
        <v>815</v>
      </c>
      <c r="BG1713">
        <v>1.1200000000000001</v>
      </c>
      <c r="BH1713">
        <v>0.87</v>
      </c>
      <c r="BI1713">
        <v>1.37</v>
      </c>
      <c r="BJ1713">
        <v>1.62</v>
      </c>
      <c r="BK1713" s="4">
        <v>3136</v>
      </c>
      <c r="BL1713" s="4">
        <v>3501</v>
      </c>
      <c r="BM1713" s="4">
        <v>3866</v>
      </c>
      <c r="BN1713" s="4">
        <v>4231</v>
      </c>
      <c r="BR1713">
        <v>15111</v>
      </c>
      <c r="BS1713" t="s">
        <v>2598</v>
      </c>
      <c r="BT1713">
        <v>4</v>
      </c>
      <c r="BU1713">
        <v>15</v>
      </c>
      <c r="BV1713">
        <v>6</v>
      </c>
      <c r="BX1713">
        <v>33</v>
      </c>
      <c r="BZ1713">
        <v>31.5</v>
      </c>
      <c r="CM1713">
        <v>1911</v>
      </c>
    </row>
    <row r="1714" spans="1:91" x14ac:dyDescent="0.3">
      <c r="A1714" t="s">
        <v>2604</v>
      </c>
      <c r="B1714">
        <v>49801</v>
      </c>
      <c r="D1714">
        <v>12</v>
      </c>
      <c r="I1714">
        <v>375000</v>
      </c>
      <c r="J1714" t="s">
        <v>800</v>
      </c>
      <c r="V1714" t="s">
        <v>350</v>
      </c>
      <c r="Y1714">
        <v>100</v>
      </c>
      <c r="AA1714">
        <v>100.5</v>
      </c>
      <c r="AC1714" s="3">
        <v>100.5</v>
      </c>
      <c r="AE1714" s="3">
        <v>100</v>
      </c>
      <c r="AI1714">
        <v>100.5</v>
      </c>
      <c r="AK1714" s="3"/>
      <c r="BG1714">
        <v>5</v>
      </c>
      <c r="BH1714">
        <v>5</v>
      </c>
      <c r="BI1714">
        <v>5</v>
      </c>
      <c r="BJ1714">
        <v>5</v>
      </c>
      <c r="BK1714" s="4">
        <v>3774</v>
      </c>
      <c r="BL1714" s="4">
        <v>3958</v>
      </c>
      <c r="BM1714" s="4">
        <v>4139</v>
      </c>
      <c r="BN1714" s="4">
        <v>4323</v>
      </c>
      <c r="BR1714">
        <v>43484</v>
      </c>
      <c r="BS1714" t="s">
        <v>2605</v>
      </c>
      <c r="BT1714">
        <v>5</v>
      </c>
      <c r="BU1714">
        <v>0</v>
      </c>
      <c r="BV1714">
        <v>0</v>
      </c>
      <c r="BX1714">
        <v>104</v>
      </c>
      <c r="BZ1714">
        <v>99</v>
      </c>
      <c r="CK1714" t="s">
        <v>360</v>
      </c>
      <c r="CM1714">
        <v>1911</v>
      </c>
    </row>
    <row r="1715" spans="1:91" x14ac:dyDescent="0.3">
      <c r="A1715" t="s">
        <v>2604</v>
      </c>
      <c r="B1715">
        <v>49803</v>
      </c>
      <c r="C1715" t="s">
        <v>2301</v>
      </c>
      <c r="D1715">
        <v>12</v>
      </c>
      <c r="I1715">
        <v>375000</v>
      </c>
      <c r="J1715" t="s">
        <v>800</v>
      </c>
      <c r="V1715" t="s">
        <v>350</v>
      </c>
      <c r="Y1715">
        <v>100</v>
      </c>
      <c r="AA1715">
        <v>90</v>
      </c>
      <c r="AC1715" s="3">
        <v>91</v>
      </c>
      <c r="AE1715" s="3">
        <v>90</v>
      </c>
      <c r="AI1715">
        <v>91</v>
      </c>
      <c r="AK1715" s="3"/>
      <c r="AX1715" t="s">
        <v>823</v>
      </c>
      <c r="BB1715" t="s">
        <v>823</v>
      </c>
      <c r="BG1715">
        <v>5</v>
      </c>
      <c r="BH1715">
        <v>4</v>
      </c>
      <c r="BI1715">
        <v>5</v>
      </c>
      <c r="BJ1715">
        <v>5</v>
      </c>
      <c r="BK1715" s="4">
        <v>3774</v>
      </c>
      <c r="BL1715" s="4">
        <v>3927</v>
      </c>
      <c r="BM1715" s="4">
        <v>4139</v>
      </c>
      <c r="BN1715" s="4">
        <v>4292</v>
      </c>
      <c r="BR1715">
        <v>43484</v>
      </c>
      <c r="BS1715" t="s">
        <v>2605</v>
      </c>
      <c r="BT1715">
        <v>5</v>
      </c>
      <c r="BU1715">
        <v>10</v>
      </c>
      <c r="BV1715">
        <v>0</v>
      </c>
      <c r="BX1715">
        <v>92</v>
      </c>
      <c r="BZ1715">
        <v>79</v>
      </c>
      <c r="CM1715">
        <v>1911</v>
      </c>
    </row>
    <row r="1716" spans="1:91" x14ac:dyDescent="0.3">
      <c r="A1716" t="s">
        <v>2604</v>
      </c>
      <c r="B1716">
        <v>49802</v>
      </c>
      <c r="C1716" t="s">
        <v>974</v>
      </c>
      <c r="D1716">
        <v>12</v>
      </c>
      <c r="I1716">
        <v>375000</v>
      </c>
      <c r="J1716" t="s">
        <v>800</v>
      </c>
      <c r="V1716" t="s">
        <v>350</v>
      </c>
      <c r="Y1716">
        <v>100</v>
      </c>
      <c r="AA1716">
        <v>96</v>
      </c>
      <c r="AB1716" t="s">
        <v>379</v>
      </c>
      <c r="AC1716" s="3">
        <v>96.37</v>
      </c>
      <c r="AE1716" s="3">
        <v>95</v>
      </c>
      <c r="AI1716">
        <v>96</v>
      </c>
      <c r="AK1716" s="3"/>
      <c r="AV1716" t="s">
        <v>421</v>
      </c>
      <c r="AX1716" t="s">
        <v>421</v>
      </c>
      <c r="AZ1716" t="s">
        <v>421</v>
      </c>
      <c r="BB1716" t="s">
        <v>421</v>
      </c>
      <c r="BO1716" t="s">
        <v>367</v>
      </c>
      <c r="BR1716">
        <v>43484</v>
      </c>
      <c r="BS1716" t="s">
        <v>2605</v>
      </c>
      <c r="BT1716">
        <v>4</v>
      </c>
      <c r="BU1716">
        <v>3</v>
      </c>
      <c r="BV1716">
        <v>9</v>
      </c>
      <c r="BX1716">
        <v>100</v>
      </c>
      <c r="BZ1716">
        <v>95</v>
      </c>
      <c r="CM1716">
        <v>1911</v>
      </c>
    </row>
    <row r="1717" spans="1:91" x14ac:dyDescent="0.3">
      <c r="A1717" t="s">
        <v>2606</v>
      </c>
      <c r="B1717">
        <v>49833</v>
      </c>
      <c r="D1717">
        <v>12</v>
      </c>
      <c r="I1717">
        <v>149160</v>
      </c>
      <c r="J1717" t="s">
        <v>800</v>
      </c>
      <c r="V1717" t="s">
        <v>350</v>
      </c>
      <c r="Y1717">
        <v>100</v>
      </c>
      <c r="AA1717">
        <v>99</v>
      </c>
      <c r="AC1717" s="3">
        <v>99</v>
      </c>
      <c r="AE1717" s="3">
        <v>97</v>
      </c>
      <c r="AI1717">
        <v>98.5</v>
      </c>
      <c r="AK1717" s="3"/>
      <c r="BG1717">
        <v>5</v>
      </c>
      <c r="BH1717">
        <v>5</v>
      </c>
      <c r="BI1717">
        <v>5</v>
      </c>
      <c r="BJ1717">
        <v>5</v>
      </c>
      <c r="BK1717" s="4">
        <v>3713</v>
      </c>
      <c r="BL1717" s="4">
        <v>3897</v>
      </c>
      <c r="BM1717" s="4">
        <v>4078</v>
      </c>
      <c r="BN1717" s="4">
        <v>4262</v>
      </c>
      <c r="BR1717">
        <v>42553</v>
      </c>
      <c r="BS1717" t="s">
        <v>2607</v>
      </c>
      <c r="BT1717">
        <v>5</v>
      </c>
      <c r="BU1717">
        <v>2</v>
      </c>
      <c r="BV1717">
        <v>6</v>
      </c>
      <c r="BX1717">
        <v>99</v>
      </c>
      <c r="BZ1717">
        <v>94</v>
      </c>
      <c r="CK1717" t="s">
        <v>360</v>
      </c>
      <c r="CM1717">
        <v>1911</v>
      </c>
    </row>
    <row r="1718" spans="1:91" x14ac:dyDescent="0.3">
      <c r="A1718" t="s">
        <v>2608</v>
      </c>
      <c r="B1718">
        <v>49834</v>
      </c>
      <c r="C1718" t="s">
        <v>2301</v>
      </c>
      <c r="D1718">
        <v>12</v>
      </c>
      <c r="I1718">
        <v>99640</v>
      </c>
      <c r="J1718" t="s">
        <v>800</v>
      </c>
      <c r="V1718" t="s">
        <v>350</v>
      </c>
      <c r="Y1718">
        <v>100</v>
      </c>
      <c r="AA1718">
        <v>101.5</v>
      </c>
      <c r="AC1718" s="3">
        <v>101.5</v>
      </c>
      <c r="AE1718" s="3">
        <v>100.5</v>
      </c>
      <c r="AI1718">
        <v>100.5</v>
      </c>
      <c r="AK1718" s="3"/>
      <c r="AX1718" t="s">
        <v>823</v>
      </c>
      <c r="BB1718" t="s">
        <v>823</v>
      </c>
      <c r="BG1718">
        <v>5</v>
      </c>
      <c r="BH1718">
        <v>4</v>
      </c>
      <c r="BI1718">
        <v>6</v>
      </c>
      <c r="BJ1718">
        <v>4</v>
      </c>
      <c r="BK1718" s="4">
        <v>3713</v>
      </c>
      <c r="BL1718" s="4">
        <v>3897</v>
      </c>
      <c r="BM1718" s="4">
        <v>4078</v>
      </c>
      <c r="BN1718" s="4">
        <v>4262</v>
      </c>
      <c r="BR1718">
        <v>42553</v>
      </c>
      <c r="BS1718" t="s">
        <v>2607</v>
      </c>
      <c r="BT1718">
        <v>5</v>
      </c>
      <c r="BU1718">
        <v>0</v>
      </c>
      <c r="BV1718">
        <v>6</v>
      </c>
      <c r="BX1718">
        <v>103.5</v>
      </c>
      <c r="BZ1718">
        <v>94</v>
      </c>
      <c r="CM1718">
        <v>1911</v>
      </c>
    </row>
    <row r="1719" spans="1:91" x14ac:dyDescent="0.3">
      <c r="A1719" t="s">
        <v>2609</v>
      </c>
      <c r="B1719">
        <v>40124</v>
      </c>
      <c r="D1719">
        <v>12</v>
      </c>
      <c r="I1719">
        <v>120000</v>
      </c>
      <c r="U1719">
        <v>5</v>
      </c>
      <c r="Y1719">
        <v>5</v>
      </c>
      <c r="AA1719">
        <v>11.5</v>
      </c>
      <c r="AC1719" s="3">
        <v>11.87</v>
      </c>
      <c r="AE1719" s="3">
        <v>11.37</v>
      </c>
      <c r="AI1719">
        <v>11.87</v>
      </c>
      <c r="AK1719" s="3"/>
      <c r="AX1719" t="s">
        <v>823</v>
      </c>
      <c r="BB1719" t="s">
        <v>823</v>
      </c>
      <c r="BG1719">
        <v>18</v>
      </c>
      <c r="BH1719">
        <v>5</v>
      </c>
      <c r="BI1719">
        <v>18.5</v>
      </c>
      <c r="BJ1719">
        <v>5</v>
      </c>
      <c r="BK1719" s="4">
        <v>3805</v>
      </c>
      <c r="BL1719" s="4">
        <v>3988</v>
      </c>
      <c r="BM1719" s="4">
        <v>4170</v>
      </c>
      <c r="BN1719" s="4">
        <v>4353</v>
      </c>
      <c r="BR1719">
        <v>105053</v>
      </c>
      <c r="BT1719">
        <v>4</v>
      </c>
      <c r="BU1719">
        <v>18</v>
      </c>
      <c r="BV1719">
        <v>9</v>
      </c>
      <c r="BX1719">
        <v>12.62</v>
      </c>
      <c r="BZ1719">
        <v>10.87</v>
      </c>
      <c r="CK1719" t="s">
        <v>360</v>
      </c>
      <c r="CM1719">
        <v>1911</v>
      </c>
    </row>
    <row r="1720" spans="1:91" x14ac:dyDescent="0.3">
      <c r="A1720" t="s">
        <v>2610</v>
      </c>
      <c r="B1720">
        <v>40398</v>
      </c>
      <c r="D1720">
        <v>12</v>
      </c>
      <c r="I1720">
        <v>15000</v>
      </c>
      <c r="U1720">
        <v>20</v>
      </c>
      <c r="Y1720">
        <v>20</v>
      </c>
      <c r="AA1720">
        <v>38</v>
      </c>
      <c r="AC1720" s="3">
        <v>38</v>
      </c>
      <c r="AE1720" s="3">
        <v>38</v>
      </c>
      <c r="AI1720">
        <v>38</v>
      </c>
      <c r="AK1720" s="3"/>
      <c r="AX1720" t="s">
        <v>823</v>
      </c>
      <c r="BB1720" t="s">
        <v>823</v>
      </c>
      <c r="BG1720">
        <v>11</v>
      </c>
      <c r="BH1720">
        <v>11</v>
      </c>
      <c r="BI1720">
        <v>13</v>
      </c>
      <c r="BJ1720">
        <v>11</v>
      </c>
      <c r="BK1720" s="4">
        <v>3713</v>
      </c>
      <c r="BL1720" s="4">
        <v>3897</v>
      </c>
      <c r="BM1720" s="4">
        <v>4078</v>
      </c>
      <c r="BN1720" s="4">
        <v>4262</v>
      </c>
      <c r="BR1720">
        <v>45000</v>
      </c>
      <c r="BT1720">
        <v>6</v>
      </c>
      <c r="BU1720">
        <v>6</v>
      </c>
      <c r="BV1720">
        <v>3</v>
      </c>
      <c r="BX1720">
        <v>39.119999999999997</v>
      </c>
      <c r="BZ1720">
        <v>37</v>
      </c>
      <c r="CK1720" t="s">
        <v>360</v>
      </c>
      <c r="CL1720" t="s">
        <v>457</v>
      </c>
      <c r="CM1720">
        <v>1911</v>
      </c>
    </row>
    <row r="1721" spans="1:91" x14ac:dyDescent="0.3">
      <c r="A1721" t="s">
        <v>2611</v>
      </c>
      <c r="B1721">
        <v>41367</v>
      </c>
      <c r="D1721">
        <v>12</v>
      </c>
      <c r="I1721">
        <v>8000</v>
      </c>
      <c r="U1721">
        <v>25</v>
      </c>
      <c r="Y1721">
        <v>25</v>
      </c>
      <c r="AA1721">
        <v>45</v>
      </c>
      <c r="AC1721" s="3">
        <v>45.25</v>
      </c>
      <c r="AE1721" s="3">
        <v>44.87</v>
      </c>
      <c r="AI1721">
        <v>45.25</v>
      </c>
      <c r="AK1721" s="3"/>
      <c r="AX1721" t="s">
        <v>823</v>
      </c>
      <c r="BB1721" t="s">
        <v>823</v>
      </c>
      <c r="BG1721">
        <v>8</v>
      </c>
      <c r="BH1721">
        <v>7.5</v>
      </c>
      <c r="BI1721">
        <v>8</v>
      </c>
      <c r="BJ1721">
        <v>7.5</v>
      </c>
      <c r="BK1721" s="4">
        <v>3713</v>
      </c>
      <c r="BL1721" s="4">
        <v>3897</v>
      </c>
      <c r="BM1721" s="4">
        <v>4078</v>
      </c>
      <c r="BN1721" s="4">
        <v>4262</v>
      </c>
      <c r="BR1721">
        <v>30072</v>
      </c>
      <c r="BS1721" t="s">
        <v>2612</v>
      </c>
      <c r="BT1721">
        <v>4</v>
      </c>
      <c r="BU1721">
        <v>5</v>
      </c>
      <c r="BV1721">
        <v>9</v>
      </c>
      <c r="BX1721">
        <v>46.75</v>
      </c>
      <c r="BZ1721">
        <v>44.87</v>
      </c>
      <c r="CK1721" t="s">
        <v>872</v>
      </c>
      <c r="CM1721">
        <v>1911</v>
      </c>
    </row>
    <row r="1722" spans="1:91" x14ac:dyDescent="0.3">
      <c r="A1722" t="s">
        <v>2611</v>
      </c>
      <c r="B1722">
        <v>41370</v>
      </c>
      <c r="C1722" t="s">
        <v>2613</v>
      </c>
      <c r="D1722">
        <v>12</v>
      </c>
      <c r="I1722">
        <v>8000</v>
      </c>
      <c r="U1722">
        <v>20</v>
      </c>
      <c r="Y1722">
        <v>20</v>
      </c>
      <c r="AA1722">
        <v>36</v>
      </c>
      <c r="AC1722" s="3">
        <v>36</v>
      </c>
      <c r="AE1722" s="3">
        <v>36</v>
      </c>
      <c r="AI1722">
        <v>36</v>
      </c>
      <c r="AK1722" s="3"/>
      <c r="AX1722" t="s">
        <v>823</v>
      </c>
      <c r="BB1722" t="s">
        <v>823</v>
      </c>
      <c r="BG1722">
        <v>8</v>
      </c>
      <c r="BH1722">
        <v>7.5</v>
      </c>
      <c r="BI1722">
        <v>8</v>
      </c>
      <c r="BJ1722">
        <v>7.5</v>
      </c>
      <c r="BK1722" s="4">
        <v>3713</v>
      </c>
      <c r="BL1722" s="4">
        <v>3897</v>
      </c>
      <c r="BM1722" s="4">
        <v>4078</v>
      </c>
      <c r="BN1722" s="4">
        <v>4262</v>
      </c>
      <c r="BR1722">
        <v>30072</v>
      </c>
      <c r="BS1722" t="s">
        <v>2612</v>
      </c>
      <c r="BT1722">
        <v>4</v>
      </c>
      <c r="BU1722">
        <v>6</v>
      </c>
      <c r="BV1722">
        <v>0</v>
      </c>
      <c r="BX1722">
        <v>36.869999999999997</v>
      </c>
      <c r="BZ1722">
        <v>35.75</v>
      </c>
      <c r="CM1722">
        <v>1911</v>
      </c>
    </row>
    <row r="1723" spans="1:91" x14ac:dyDescent="0.3">
      <c r="A1723" t="s">
        <v>2614</v>
      </c>
      <c r="B1723">
        <v>42459</v>
      </c>
      <c r="D1723">
        <v>12</v>
      </c>
      <c r="I1723">
        <v>10000</v>
      </c>
      <c r="U1723">
        <v>8</v>
      </c>
      <c r="Y1723">
        <v>8</v>
      </c>
      <c r="AA1723">
        <v>5.62</v>
      </c>
      <c r="AC1723" s="3">
        <v>5.62</v>
      </c>
      <c r="AE1723" s="3">
        <v>5.62</v>
      </c>
      <c r="AI1723">
        <v>5.62</v>
      </c>
      <c r="AK1723" s="3"/>
      <c r="AU1723" t="s">
        <v>1463</v>
      </c>
      <c r="AV1723" t="s">
        <v>2125</v>
      </c>
      <c r="AW1723" t="s">
        <v>1463</v>
      </c>
      <c r="AX1723" t="s">
        <v>1464</v>
      </c>
      <c r="AY1723" t="s">
        <v>1463</v>
      </c>
      <c r="AZ1723" t="s">
        <v>2125</v>
      </c>
      <c r="BA1723" t="s">
        <v>1463</v>
      </c>
      <c r="BB1723" t="s">
        <v>1464</v>
      </c>
      <c r="BC1723">
        <v>60</v>
      </c>
      <c r="BD1723">
        <v>60</v>
      </c>
      <c r="BE1723">
        <v>60</v>
      </c>
      <c r="BF1723">
        <v>60</v>
      </c>
      <c r="BK1723" s="4">
        <v>3532</v>
      </c>
      <c r="BL1723" s="4">
        <v>3713</v>
      </c>
      <c r="BM1723" s="4">
        <v>3897</v>
      </c>
      <c r="BN1723" s="4">
        <v>4078</v>
      </c>
      <c r="BR1723">
        <v>11670</v>
      </c>
      <c r="BT1723">
        <v>8</v>
      </c>
      <c r="BU1723">
        <v>17</v>
      </c>
      <c r="BV1723">
        <v>9</v>
      </c>
      <c r="BX1723">
        <v>6</v>
      </c>
      <c r="BZ1723">
        <v>5.62</v>
      </c>
      <c r="CK1723" t="s">
        <v>360</v>
      </c>
      <c r="CL1723" t="s">
        <v>457</v>
      </c>
      <c r="CM1723">
        <v>1911</v>
      </c>
    </row>
    <row r="1724" spans="1:91" x14ac:dyDescent="0.3">
      <c r="A1724" t="s">
        <v>2615</v>
      </c>
      <c r="B1724">
        <v>42603</v>
      </c>
      <c r="D1724">
        <v>12</v>
      </c>
      <c r="I1724">
        <v>100000</v>
      </c>
      <c r="V1724" t="s">
        <v>350</v>
      </c>
      <c r="Y1724">
        <v>100</v>
      </c>
      <c r="AA1724">
        <v>270.5</v>
      </c>
      <c r="AC1724" s="3">
        <v>270.5</v>
      </c>
      <c r="AE1724" s="3">
        <v>270.5</v>
      </c>
      <c r="AI1724">
        <v>270.5</v>
      </c>
      <c r="AK1724" s="3"/>
      <c r="BG1724">
        <v>12</v>
      </c>
      <c r="BH1724">
        <v>12</v>
      </c>
      <c r="BI1724">
        <v>12</v>
      </c>
      <c r="BJ1724">
        <v>12</v>
      </c>
      <c r="BK1724" s="4">
        <v>3685</v>
      </c>
      <c r="BL1724" s="4">
        <v>3866</v>
      </c>
      <c r="BM1724" s="4">
        <v>4050</v>
      </c>
      <c r="BN1724" s="4">
        <v>4231</v>
      </c>
      <c r="BR1724">
        <v>12470</v>
      </c>
      <c r="BT1724">
        <v>4</v>
      </c>
      <c r="BU1724">
        <v>10</v>
      </c>
      <c r="BV1724">
        <v>0</v>
      </c>
      <c r="BX1724">
        <v>274</v>
      </c>
      <c r="BZ1724">
        <v>265.5</v>
      </c>
      <c r="CK1724" t="s">
        <v>360</v>
      </c>
      <c r="CL1724" t="s">
        <v>457</v>
      </c>
      <c r="CM1724">
        <v>1911</v>
      </c>
    </row>
    <row r="1725" spans="1:91" x14ac:dyDescent="0.3">
      <c r="A1725" t="s">
        <v>2616</v>
      </c>
      <c r="B1725">
        <v>42687</v>
      </c>
      <c r="D1725">
        <v>12</v>
      </c>
      <c r="I1725">
        <v>30000</v>
      </c>
      <c r="U1725">
        <v>10</v>
      </c>
      <c r="Y1725">
        <v>10</v>
      </c>
      <c r="AA1725">
        <v>15.75</v>
      </c>
      <c r="AC1725" s="3">
        <v>15.75</v>
      </c>
      <c r="AE1725" s="3">
        <v>15.5</v>
      </c>
      <c r="AI1725">
        <v>15.75</v>
      </c>
      <c r="AK1725" s="3"/>
      <c r="AX1725" t="s">
        <v>815</v>
      </c>
      <c r="AZ1725" t="s">
        <v>2617</v>
      </c>
      <c r="BB1725" t="s">
        <v>823</v>
      </c>
      <c r="BG1725">
        <v>10</v>
      </c>
      <c r="BH1725">
        <v>10</v>
      </c>
      <c r="BJ1725">
        <v>6</v>
      </c>
      <c r="BK1725" s="4">
        <v>3744</v>
      </c>
      <c r="BL1725" s="4">
        <v>4170</v>
      </c>
      <c r="BM1725" t="s">
        <v>811</v>
      </c>
      <c r="BN1725" s="4">
        <v>4292</v>
      </c>
      <c r="BR1725">
        <v>43012</v>
      </c>
      <c r="BS1725" t="s">
        <v>2618</v>
      </c>
      <c r="BT1725">
        <v>4</v>
      </c>
      <c r="BU1725">
        <v>15</v>
      </c>
      <c r="BV1725">
        <v>3</v>
      </c>
      <c r="BX1725">
        <v>17.309999999999999</v>
      </c>
      <c r="BZ1725">
        <v>15.5</v>
      </c>
      <c r="CK1725" t="s">
        <v>360</v>
      </c>
      <c r="CM1725">
        <v>1911</v>
      </c>
    </row>
    <row r="1726" spans="1:91" x14ac:dyDescent="0.3">
      <c r="A1726" t="s">
        <v>2616</v>
      </c>
      <c r="B1726">
        <v>42688</v>
      </c>
      <c r="C1726" t="s">
        <v>2619</v>
      </c>
      <c r="D1726">
        <v>12</v>
      </c>
      <c r="I1726">
        <v>14000</v>
      </c>
      <c r="U1726">
        <v>10</v>
      </c>
      <c r="Y1726">
        <v>10</v>
      </c>
      <c r="AA1726">
        <v>12</v>
      </c>
      <c r="AC1726" s="3">
        <v>12</v>
      </c>
      <c r="AE1726" s="3">
        <v>12</v>
      </c>
      <c r="AI1726">
        <v>12</v>
      </c>
      <c r="AK1726" s="3"/>
      <c r="BG1726">
        <v>6</v>
      </c>
      <c r="BH1726">
        <v>6</v>
      </c>
      <c r="BI1726">
        <v>6</v>
      </c>
      <c r="BJ1726">
        <v>6</v>
      </c>
      <c r="BK1726" s="4">
        <v>3593</v>
      </c>
      <c r="BL1726" s="4">
        <v>3774</v>
      </c>
      <c r="BM1726" s="4">
        <v>3958</v>
      </c>
      <c r="BN1726" s="4">
        <v>4139</v>
      </c>
      <c r="BR1726">
        <v>43012</v>
      </c>
      <c r="BS1726" t="s">
        <v>2618</v>
      </c>
      <c r="BT1726">
        <v>5</v>
      </c>
      <c r="BU1726">
        <v>0</v>
      </c>
      <c r="BV1726">
        <v>0</v>
      </c>
      <c r="BX1726">
        <v>12</v>
      </c>
      <c r="BZ1726">
        <v>11.75</v>
      </c>
      <c r="CM1726">
        <v>1911</v>
      </c>
    </row>
    <row r="1727" spans="1:91" x14ac:dyDescent="0.3">
      <c r="A1727" t="s">
        <v>2616</v>
      </c>
      <c r="B1727">
        <v>42691</v>
      </c>
      <c r="C1727" t="s">
        <v>2620</v>
      </c>
      <c r="D1727">
        <v>12</v>
      </c>
      <c r="I1727">
        <v>184883</v>
      </c>
      <c r="J1727" t="s">
        <v>800</v>
      </c>
      <c r="V1727" t="s">
        <v>350</v>
      </c>
      <c r="Y1727">
        <v>100</v>
      </c>
      <c r="AA1727">
        <v>94</v>
      </c>
      <c r="AC1727" s="3">
        <v>94.75</v>
      </c>
      <c r="AE1727" s="3">
        <v>93.5</v>
      </c>
      <c r="AI1727">
        <v>94</v>
      </c>
      <c r="AK1727" s="3"/>
      <c r="AV1727" t="s">
        <v>370</v>
      </c>
      <c r="AX1727" t="s">
        <v>370</v>
      </c>
      <c r="AZ1727" t="s">
        <v>370</v>
      </c>
      <c r="BB1727" t="s">
        <v>370</v>
      </c>
      <c r="BO1727" t="s">
        <v>367</v>
      </c>
      <c r="BR1727">
        <v>43012</v>
      </c>
      <c r="BS1727" t="s">
        <v>2618</v>
      </c>
      <c r="BT1727">
        <v>4</v>
      </c>
      <c r="BU1727">
        <v>8</v>
      </c>
      <c r="BV1727">
        <v>0</v>
      </c>
      <c r="BX1727">
        <v>95</v>
      </c>
      <c r="BZ1727">
        <v>92</v>
      </c>
      <c r="CM1727">
        <v>1911</v>
      </c>
    </row>
    <row r="1728" spans="1:91" x14ac:dyDescent="0.3">
      <c r="A1728" t="s">
        <v>2621</v>
      </c>
      <c r="B1728">
        <v>43383</v>
      </c>
      <c r="D1728">
        <v>12</v>
      </c>
      <c r="I1728">
        <v>21470</v>
      </c>
      <c r="U1728">
        <v>10</v>
      </c>
      <c r="Y1728">
        <v>10</v>
      </c>
      <c r="AA1728">
        <v>16.12</v>
      </c>
      <c r="AB1728" t="s">
        <v>379</v>
      </c>
      <c r="AC1728" s="3">
        <v>16.25</v>
      </c>
      <c r="AE1728" s="3">
        <v>16.12</v>
      </c>
      <c r="AI1728">
        <v>16.25</v>
      </c>
      <c r="AK1728" s="3"/>
      <c r="AX1728" t="s">
        <v>823</v>
      </c>
      <c r="BB1728" t="s">
        <v>823</v>
      </c>
      <c r="BG1728">
        <v>7</v>
      </c>
      <c r="BH1728">
        <v>7</v>
      </c>
      <c r="BI1728">
        <v>7</v>
      </c>
      <c r="BJ1728">
        <v>7</v>
      </c>
      <c r="BK1728" s="4">
        <v>3805</v>
      </c>
      <c r="BL1728" s="4">
        <v>3988</v>
      </c>
      <c r="BM1728" s="4">
        <v>4170</v>
      </c>
      <c r="BN1728" s="4">
        <v>4353</v>
      </c>
      <c r="BR1728">
        <v>18059</v>
      </c>
      <c r="BS1728" t="s">
        <v>2622</v>
      </c>
      <c r="BT1728">
        <v>4</v>
      </c>
      <c r="BU1728">
        <v>6</v>
      </c>
      <c r="BV1728">
        <v>3</v>
      </c>
      <c r="BX1728">
        <v>16.62</v>
      </c>
      <c r="BZ1728">
        <v>16</v>
      </c>
      <c r="CK1728" t="s">
        <v>360</v>
      </c>
      <c r="CL1728" t="s">
        <v>457</v>
      </c>
      <c r="CM1728">
        <v>1911</v>
      </c>
    </row>
    <row r="1729" spans="1:91" x14ac:dyDescent="0.3">
      <c r="A1729" t="s">
        <v>2623</v>
      </c>
      <c r="B1729">
        <v>45168</v>
      </c>
      <c r="D1729">
        <v>12</v>
      </c>
      <c r="I1729">
        <v>45000</v>
      </c>
      <c r="U1729">
        <v>10</v>
      </c>
      <c r="Y1729">
        <v>7</v>
      </c>
      <c r="AA1729">
        <v>5.37</v>
      </c>
      <c r="AC1729" s="3">
        <v>5.37</v>
      </c>
      <c r="AE1729" s="3">
        <v>5.25</v>
      </c>
      <c r="AI1729">
        <v>5.37</v>
      </c>
      <c r="AK1729" s="3"/>
      <c r="AX1729" t="s">
        <v>823</v>
      </c>
      <c r="BB1729" t="s">
        <v>823</v>
      </c>
      <c r="BG1729">
        <v>5</v>
      </c>
      <c r="BH1729">
        <v>5</v>
      </c>
      <c r="BI1729">
        <v>5</v>
      </c>
      <c r="BJ1729">
        <v>5</v>
      </c>
      <c r="BK1729" s="4">
        <v>3774</v>
      </c>
      <c r="BL1729" s="4">
        <v>3958</v>
      </c>
      <c r="BM1729" s="4">
        <v>4139</v>
      </c>
      <c r="BN1729" s="4">
        <v>4323</v>
      </c>
      <c r="BR1729">
        <v>57526</v>
      </c>
      <c r="BT1729">
        <v>6</v>
      </c>
      <c r="BU1729">
        <v>10</v>
      </c>
      <c r="BV1729">
        <v>3</v>
      </c>
      <c r="BX1729">
        <v>5.87</v>
      </c>
      <c r="BZ1729">
        <v>4.93</v>
      </c>
      <c r="CK1729" t="s">
        <v>360</v>
      </c>
      <c r="CL1729" t="s">
        <v>457</v>
      </c>
      <c r="CM1729">
        <v>1911</v>
      </c>
    </row>
    <row r="1730" spans="1:91" x14ac:dyDescent="0.3">
      <c r="A1730" t="s">
        <v>2624</v>
      </c>
      <c r="B1730">
        <v>46537</v>
      </c>
      <c r="D1730">
        <v>12</v>
      </c>
      <c r="I1730">
        <v>42500</v>
      </c>
      <c r="U1730">
        <v>20</v>
      </c>
      <c r="Y1730">
        <v>20</v>
      </c>
      <c r="AA1730">
        <v>31</v>
      </c>
      <c r="AC1730" s="3">
        <v>31</v>
      </c>
      <c r="AE1730" s="3">
        <v>30.5</v>
      </c>
      <c r="AI1730">
        <v>31</v>
      </c>
      <c r="AK1730" s="3"/>
      <c r="AX1730" t="s">
        <v>823</v>
      </c>
      <c r="BB1730" t="s">
        <v>823</v>
      </c>
      <c r="BG1730">
        <v>10</v>
      </c>
      <c r="BH1730">
        <v>6</v>
      </c>
      <c r="BI1730">
        <v>10</v>
      </c>
      <c r="BJ1730">
        <v>6</v>
      </c>
      <c r="BK1730" s="4">
        <v>3713</v>
      </c>
      <c r="BL1730" s="4">
        <v>3927</v>
      </c>
      <c r="BM1730" s="4">
        <v>4078</v>
      </c>
      <c r="BN1730" s="4">
        <v>4292</v>
      </c>
      <c r="BR1730">
        <v>216753</v>
      </c>
      <c r="BS1730" t="s">
        <v>2625</v>
      </c>
      <c r="BT1730">
        <v>5</v>
      </c>
      <c r="BU1730">
        <v>3</v>
      </c>
      <c r="BV1730">
        <v>3</v>
      </c>
      <c r="BX1730">
        <v>33.5</v>
      </c>
      <c r="BZ1730">
        <v>30.5</v>
      </c>
      <c r="CK1730" t="s">
        <v>360</v>
      </c>
      <c r="CM1730">
        <v>1911</v>
      </c>
    </row>
    <row r="1731" spans="1:91" x14ac:dyDescent="0.3">
      <c r="A1731" t="s">
        <v>2624</v>
      </c>
      <c r="B1731">
        <v>46538</v>
      </c>
      <c r="C1731" t="s">
        <v>2626</v>
      </c>
      <c r="D1731">
        <v>12</v>
      </c>
      <c r="I1731">
        <v>200000</v>
      </c>
      <c r="J1731" t="s">
        <v>800</v>
      </c>
      <c r="V1731" t="s">
        <v>350</v>
      </c>
      <c r="Y1731">
        <v>100</v>
      </c>
      <c r="AA1731">
        <v>107</v>
      </c>
      <c r="AC1731" s="3">
        <v>107</v>
      </c>
      <c r="AE1731" s="3">
        <v>105</v>
      </c>
      <c r="AI1731">
        <v>105</v>
      </c>
      <c r="AJ1731" t="s">
        <v>379</v>
      </c>
      <c r="AK1731" s="3"/>
      <c r="AV1731" t="s">
        <v>421</v>
      </c>
      <c r="AX1731" t="s">
        <v>421</v>
      </c>
      <c r="AZ1731" t="s">
        <v>421</v>
      </c>
      <c r="BB1731" t="s">
        <v>421</v>
      </c>
      <c r="BO1731" t="s">
        <v>367</v>
      </c>
      <c r="BR1731">
        <v>216753</v>
      </c>
      <c r="BS1731" t="s">
        <v>2625</v>
      </c>
      <c r="BT1731">
        <v>4</v>
      </c>
      <c r="BU1731">
        <v>15</v>
      </c>
      <c r="BV1731">
        <v>3</v>
      </c>
      <c r="BX1731">
        <v>109.5</v>
      </c>
      <c r="BZ1731">
        <v>104.5</v>
      </c>
      <c r="CM1731">
        <v>1911</v>
      </c>
    </row>
    <row r="1732" spans="1:91" x14ac:dyDescent="0.3">
      <c r="A1732" t="s">
        <v>2624</v>
      </c>
      <c r="B1732">
        <v>46539</v>
      </c>
      <c r="C1732" t="s">
        <v>2627</v>
      </c>
      <c r="D1732">
        <v>12</v>
      </c>
      <c r="I1732">
        <v>150000</v>
      </c>
      <c r="J1732" t="s">
        <v>800</v>
      </c>
      <c r="V1732" t="s">
        <v>350</v>
      </c>
      <c r="Y1732">
        <v>100</v>
      </c>
      <c r="AA1732">
        <v>104</v>
      </c>
      <c r="AC1732" s="3">
        <v>104</v>
      </c>
      <c r="AE1732" s="3">
        <v>102</v>
      </c>
      <c r="AI1732">
        <v>102</v>
      </c>
      <c r="AJ1732" t="s">
        <v>379</v>
      </c>
      <c r="AK1732" s="3"/>
      <c r="AV1732" t="s">
        <v>421</v>
      </c>
      <c r="AX1732" t="s">
        <v>421</v>
      </c>
      <c r="AZ1732" t="s">
        <v>421</v>
      </c>
      <c r="BB1732" t="s">
        <v>421</v>
      </c>
      <c r="BO1732" t="s">
        <v>367</v>
      </c>
      <c r="BR1732">
        <v>216753</v>
      </c>
      <c r="BS1732" t="s">
        <v>2625</v>
      </c>
      <c r="BT1732">
        <v>4</v>
      </c>
      <c r="BU1732">
        <v>18</v>
      </c>
      <c r="BV1732">
        <v>0</v>
      </c>
      <c r="BX1732">
        <v>106.5</v>
      </c>
      <c r="BZ1732">
        <v>102</v>
      </c>
      <c r="CM1732">
        <v>1911</v>
      </c>
    </row>
    <row r="1733" spans="1:91" x14ac:dyDescent="0.3">
      <c r="A1733" t="s">
        <v>2628</v>
      </c>
      <c r="B1733">
        <v>46951</v>
      </c>
      <c r="D1733">
        <v>12</v>
      </c>
      <c r="I1733">
        <v>388390</v>
      </c>
      <c r="J1733" t="s">
        <v>800</v>
      </c>
      <c r="V1733" t="s">
        <v>350</v>
      </c>
      <c r="Y1733">
        <v>100</v>
      </c>
      <c r="AA1733">
        <v>180.5</v>
      </c>
      <c r="AC1733" s="3">
        <v>181</v>
      </c>
      <c r="AE1733" s="3">
        <v>180.5</v>
      </c>
      <c r="AI1733">
        <v>181</v>
      </c>
      <c r="AK1733" s="3"/>
      <c r="AX1733" t="s">
        <v>823</v>
      </c>
      <c r="BB1733" t="s">
        <v>823</v>
      </c>
      <c r="BG1733">
        <v>8</v>
      </c>
      <c r="BH1733">
        <v>6.5</v>
      </c>
      <c r="BI1733">
        <v>8</v>
      </c>
      <c r="BJ1733">
        <v>6.5</v>
      </c>
      <c r="BK1733" s="4">
        <v>3713</v>
      </c>
      <c r="BL1733" s="4">
        <v>3866</v>
      </c>
      <c r="BM1733" s="4">
        <v>4231</v>
      </c>
      <c r="BN1733" s="4">
        <v>4262</v>
      </c>
      <c r="BR1733">
        <v>23970</v>
      </c>
      <c r="BS1733" t="s">
        <v>2629</v>
      </c>
      <c r="BT1733">
        <v>4</v>
      </c>
      <c r="BU1733">
        <v>0</v>
      </c>
      <c r="BV1733">
        <v>0</v>
      </c>
      <c r="BX1733">
        <v>187.25</v>
      </c>
      <c r="BZ1733">
        <v>180</v>
      </c>
      <c r="CK1733" t="s">
        <v>1076</v>
      </c>
      <c r="CM1733">
        <v>1911</v>
      </c>
    </row>
    <row r="1734" spans="1:91" x14ac:dyDescent="0.3">
      <c r="A1734" t="s">
        <v>2628</v>
      </c>
      <c r="B1734">
        <v>46954</v>
      </c>
      <c r="C1734" t="s">
        <v>2630</v>
      </c>
      <c r="D1734">
        <v>12</v>
      </c>
      <c r="I1734">
        <v>320005</v>
      </c>
      <c r="J1734" t="s">
        <v>800</v>
      </c>
      <c r="V1734" t="s">
        <v>350</v>
      </c>
      <c r="Y1734">
        <v>100</v>
      </c>
      <c r="AA1734">
        <v>126</v>
      </c>
      <c r="AC1734" s="3">
        <v>126</v>
      </c>
      <c r="AE1734" s="3">
        <v>126</v>
      </c>
      <c r="AI1734">
        <v>126</v>
      </c>
      <c r="AK1734" s="3"/>
      <c r="AX1734" t="s">
        <v>823</v>
      </c>
      <c r="BB1734" t="s">
        <v>823</v>
      </c>
      <c r="BG1734">
        <v>5.6</v>
      </c>
      <c r="BH1734">
        <v>4.55</v>
      </c>
      <c r="BI1734">
        <v>5.6</v>
      </c>
      <c r="BJ1734">
        <v>4.55</v>
      </c>
      <c r="BK1734" s="4">
        <v>3713</v>
      </c>
      <c r="BL1734" s="4">
        <v>3866</v>
      </c>
      <c r="BM1734" s="4">
        <v>4231</v>
      </c>
      <c r="BN1734" s="4">
        <v>4262</v>
      </c>
      <c r="BR1734">
        <v>23970</v>
      </c>
      <c r="BS1734" t="s">
        <v>2629</v>
      </c>
      <c r="BT1734">
        <v>4</v>
      </c>
      <c r="BU1734">
        <v>0</v>
      </c>
      <c r="BV1734">
        <v>6</v>
      </c>
      <c r="BX1734">
        <v>133</v>
      </c>
      <c r="BZ1734">
        <v>126</v>
      </c>
      <c r="CM1734">
        <v>1911</v>
      </c>
    </row>
    <row r="1735" spans="1:91" x14ac:dyDescent="0.3">
      <c r="A1735" t="s">
        <v>2628</v>
      </c>
      <c r="B1735">
        <v>46953</v>
      </c>
      <c r="C1735" t="s">
        <v>1195</v>
      </c>
      <c r="D1735">
        <v>12</v>
      </c>
      <c r="I1735" s="2">
        <v>1105060</v>
      </c>
      <c r="J1735" t="s">
        <v>800</v>
      </c>
      <c r="V1735" t="s">
        <v>350</v>
      </c>
      <c r="Y1735">
        <v>100</v>
      </c>
      <c r="AA1735">
        <v>138</v>
      </c>
      <c r="AC1735" s="3">
        <v>139</v>
      </c>
      <c r="AE1735" s="3">
        <v>138</v>
      </c>
      <c r="AI1735">
        <v>139</v>
      </c>
      <c r="AK1735" s="3"/>
      <c r="AV1735" t="s">
        <v>373</v>
      </c>
      <c r="AX1735" t="s">
        <v>373</v>
      </c>
      <c r="AZ1735" t="s">
        <v>373</v>
      </c>
      <c r="BB1735" t="s">
        <v>373</v>
      </c>
      <c r="BO1735" t="s">
        <v>367</v>
      </c>
      <c r="BR1735">
        <v>23970</v>
      </c>
      <c r="BS1735" t="s">
        <v>2629</v>
      </c>
      <c r="BT1735">
        <v>3</v>
      </c>
      <c r="BU1735">
        <v>12</v>
      </c>
      <c r="BV1735">
        <v>9</v>
      </c>
      <c r="BX1735">
        <v>139</v>
      </c>
      <c r="BZ1735">
        <v>134</v>
      </c>
      <c r="CM1735">
        <v>1911</v>
      </c>
    </row>
    <row r="1736" spans="1:91" x14ac:dyDescent="0.3">
      <c r="A1736" t="s">
        <v>2631</v>
      </c>
      <c r="B1736">
        <v>48310</v>
      </c>
      <c r="D1736">
        <v>12</v>
      </c>
      <c r="I1736">
        <v>225000</v>
      </c>
      <c r="J1736" t="s">
        <v>800</v>
      </c>
      <c r="V1736" t="s">
        <v>350</v>
      </c>
      <c r="Y1736">
        <v>100</v>
      </c>
      <c r="AA1736">
        <v>153.5</v>
      </c>
      <c r="AC1736" s="3">
        <v>153.5</v>
      </c>
      <c r="AE1736" s="3">
        <v>153.5</v>
      </c>
      <c r="AI1736">
        <v>153.5</v>
      </c>
      <c r="AK1736" s="3"/>
      <c r="BG1736">
        <v>6.5</v>
      </c>
      <c r="BH1736">
        <v>6.5</v>
      </c>
      <c r="BI1736">
        <v>6.5</v>
      </c>
      <c r="BJ1736">
        <v>6.5</v>
      </c>
      <c r="BK1736" s="4">
        <v>3713</v>
      </c>
      <c r="BL1736" s="4">
        <v>3897</v>
      </c>
      <c r="BM1736" s="4">
        <v>4078</v>
      </c>
      <c r="BN1736" s="4">
        <v>4262</v>
      </c>
      <c r="BR1736">
        <v>48667</v>
      </c>
      <c r="BS1736" t="s">
        <v>2632</v>
      </c>
      <c r="BT1736">
        <v>4</v>
      </c>
      <c r="BU1736">
        <v>5</v>
      </c>
      <c r="BV1736">
        <v>9</v>
      </c>
      <c r="BX1736">
        <v>155</v>
      </c>
      <c r="BZ1736">
        <v>151.5</v>
      </c>
      <c r="CK1736" t="s">
        <v>393</v>
      </c>
      <c r="CM1736">
        <v>1911</v>
      </c>
    </row>
    <row r="1737" spans="1:91" x14ac:dyDescent="0.3">
      <c r="A1737" t="s">
        <v>2633</v>
      </c>
      <c r="B1737">
        <v>48317</v>
      </c>
      <c r="C1737" t="s">
        <v>2634</v>
      </c>
      <c r="D1737">
        <v>12</v>
      </c>
      <c r="I1737">
        <v>464440</v>
      </c>
      <c r="J1737" t="s">
        <v>800</v>
      </c>
      <c r="V1737" t="s">
        <v>350</v>
      </c>
      <c r="Y1737">
        <v>100</v>
      </c>
      <c r="AA1737">
        <v>148.5</v>
      </c>
      <c r="AC1737" s="3">
        <v>148.5</v>
      </c>
      <c r="AE1737" s="3">
        <v>148.5</v>
      </c>
      <c r="AI1737">
        <v>148.5</v>
      </c>
      <c r="AK1737" s="3"/>
      <c r="BG1737">
        <v>6.5</v>
      </c>
      <c r="BH1737">
        <v>6.5</v>
      </c>
      <c r="BI1737">
        <v>6.5</v>
      </c>
      <c r="BJ1737">
        <v>6.5</v>
      </c>
      <c r="BK1737" s="4">
        <v>3713</v>
      </c>
      <c r="BL1737" s="4">
        <v>3897</v>
      </c>
      <c r="BM1737" s="4">
        <v>4078</v>
      </c>
      <c r="BN1737" s="4">
        <v>4262</v>
      </c>
      <c r="BR1737">
        <v>48667</v>
      </c>
      <c r="BS1737" t="s">
        <v>2635</v>
      </c>
      <c r="BT1737">
        <v>4</v>
      </c>
      <c r="BU1737">
        <v>8</v>
      </c>
      <c r="BV1737">
        <v>9</v>
      </c>
      <c r="BX1737">
        <v>150.5</v>
      </c>
      <c r="BZ1737">
        <v>147</v>
      </c>
      <c r="CM1737">
        <v>1911</v>
      </c>
    </row>
    <row r="1738" spans="1:91" x14ac:dyDescent="0.3">
      <c r="A1738" t="s">
        <v>2633</v>
      </c>
      <c r="B1738">
        <v>48315</v>
      </c>
      <c r="C1738" t="s">
        <v>2636</v>
      </c>
      <c r="D1738">
        <v>12</v>
      </c>
      <c r="I1738">
        <v>341300</v>
      </c>
      <c r="J1738" t="s">
        <v>800</v>
      </c>
      <c r="V1738" t="s">
        <v>350</v>
      </c>
      <c r="Y1738">
        <v>100</v>
      </c>
      <c r="AA1738">
        <v>132.5</v>
      </c>
      <c r="AC1738" s="3">
        <v>132.5</v>
      </c>
      <c r="AE1738" s="3">
        <v>130</v>
      </c>
      <c r="AI1738">
        <v>130</v>
      </c>
      <c r="AJ1738" t="s">
        <v>379</v>
      </c>
      <c r="AK1738" s="3"/>
      <c r="AV1738" t="s">
        <v>370</v>
      </c>
      <c r="AX1738" t="s">
        <v>370</v>
      </c>
      <c r="AZ1738" t="s">
        <v>370</v>
      </c>
      <c r="BB1738" t="s">
        <v>370</v>
      </c>
      <c r="BO1738" t="s">
        <v>367</v>
      </c>
      <c r="BR1738">
        <v>48667</v>
      </c>
      <c r="BS1738" t="s">
        <v>2632</v>
      </c>
      <c r="BT1738">
        <v>3</v>
      </c>
      <c r="BU1738">
        <v>17</v>
      </c>
      <c r="BV1738">
        <v>0</v>
      </c>
      <c r="BX1738">
        <v>133.5</v>
      </c>
      <c r="BZ1738">
        <v>130</v>
      </c>
      <c r="CM1738">
        <v>1911</v>
      </c>
    </row>
    <row r="1739" spans="1:91" x14ac:dyDescent="0.3">
      <c r="A1739" t="s">
        <v>2633</v>
      </c>
      <c r="B1739">
        <v>48319</v>
      </c>
      <c r="C1739" t="s">
        <v>2637</v>
      </c>
      <c r="D1739">
        <v>12</v>
      </c>
      <c r="I1739">
        <v>261969</v>
      </c>
      <c r="J1739" t="s">
        <v>800</v>
      </c>
      <c r="V1739" t="s">
        <v>350</v>
      </c>
      <c r="Y1739">
        <v>100</v>
      </c>
      <c r="AA1739">
        <v>108.25</v>
      </c>
      <c r="AC1739" s="3">
        <v>108.25</v>
      </c>
      <c r="AE1739" s="3">
        <v>106</v>
      </c>
      <c r="AI1739">
        <v>106</v>
      </c>
      <c r="AJ1739" t="s">
        <v>379</v>
      </c>
      <c r="AK1739" s="3"/>
      <c r="AV1739" t="s">
        <v>370</v>
      </c>
      <c r="AX1739" t="s">
        <v>370</v>
      </c>
      <c r="AZ1739" t="s">
        <v>370</v>
      </c>
      <c r="BB1739" t="s">
        <v>370</v>
      </c>
      <c r="BO1739" t="s">
        <v>367</v>
      </c>
      <c r="BR1739">
        <v>48667</v>
      </c>
      <c r="BS1739" t="s">
        <v>2632</v>
      </c>
      <c r="BT1739">
        <v>3</v>
      </c>
      <c r="BU1739">
        <v>15</v>
      </c>
      <c r="BV1739">
        <v>6</v>
      </c>
      <c r="BX1739">
        <v>109</v>
      </c>
      <c r="BZ1739">
        <v>106</v>
      </c>
      <c r="CM1739">
        <v>1911</v>
      </c>
    </row>
    <row r="1740" spans="1:91" x14ac:dyDescent="0.3">
      <c r="A1740" t="s">
        <v>2638</v>
      </c>
      <c r="B1740">
        <v>48300</v>
      </c>
      <c r="D1740">
        <v>12</v>
      </c>
      <c r="I1740">
        <v>85700</v>
      </c>
      <c r="J1740" t="s">
        <v>800</v>
      </c>
      <c r="V1740" t="s">
        <v>350</v>
      </c>
      <c r="Y1740">
        <v>100</v>
      </c>
      <c r="AA1740">
        <v>235</v>
      </c>
      <c r="AC1740" s="3">
        <v>235</v>
      </c>
      <c r="AE1740" s="3">
        <v>235</v>
      </c>
      <c r="AI1740">
        <v>235</v>
      </c>
      <c r="AK1740" s="3"/>
      <c r="BG1740">
        <v>9.75</v>
      </c>
      <c r="BH1740">
        <v>9.75</v>
      </c>
      <c r="BI1740">
        <v>10</v>
      </c>
      <c r="BJ1740">
        <v>10</v>
      </c>
      <c r="BK1740" s="4">
        <v>3713</v>
      </c>
      <c r="BL1740" s="4">
        <v>3897</v>
      </c>
      <c r="BM1740" s="4">
        <v>4078</v>
      </c>
      <c r="BN1740" s="4">
        <v>4262</v>
      </c>
      <c r="BR1740">
        <v>22715</v>
      </c>
      <c r="BS1740" t="s">
        <v>2639</v>
      </c>
      <c r="BT1740">
        <v>4</v>
      </c>
      <c r="BU1740">
        <v>6</v>
      </c>
      <c r="BV1740">
        <v>6</v>
      </c>
      <c r="BX1740">
        <v>245</v>
      </c>
      <c r="BZ1740">
        <v>232.5</v>
      </c>
      <c r="CK1740" t="s">
        <v>360</v>
      </c>
      <c r="CM1740">
        <v>1911</v>
      </c>
    </row>
    <row r="1741" spans="1:91" x14ac:dyDescent="0.3">
      <c r="A1741" t="s">
        <v>2638</v>
      </c>
      <c r="B1741">
        <v>48303</v>
      </c>
      <c r="C1741" t="s">
        <v>2640</v>
      </c>
      <c r="D1741">
        <v>12</v>
      </c>
      <c r="I1741">
        <v>75000</v>
      </c>
      <c r="J1741" t="s">
        <v>800</v>
      </c>
      <c r="V1741" t="s">
        <v>350</v>
      </c>
      <c r="Y1741">
        <v>100</v>
      </c>
      <c r="AA1741">
        <v>146.5</v>
      </c>
      <c r="AC1741" s="3">
        <v>146.5</v>
      </c>
      <c r="AE1741" s="3">
        <v>146.5</v>
      </c>
      <c r="AI1741">
        <v>146.5</v>
      </c>
      <c r="AK1741" s="3"/>
      <c r="BG1741">
        <v>6.82</v>
      </c>
      <c r="BH1741">
        <v>6.82</v>
      </c>
      <c r="BI1741">
        <v>7</v>
      </c>
      <c r="BJ1741">
        <v>7</v>
      </c>
      <c r="BK1741" s="4">
        <v>3713</v>
      </c>
      <c r="BL1741" s="4">
        <v>3897</v>
      </c>
      <c r="BM1741" s="4">
        <v>4078</v>
      </c>
      <c r="BN1741" s="4">
        <v>4262</v>
      </c>
      <c r="BR1741">
        <v>22715</v>
      </c>
      <c r="BS1741" t="s">
        <v>2639</v>
      </c>
      <c r="BT1741">
        <v>4</v>
      </c>
      <c r="BU1741">
        <v>17</v>
      </c>
      <c r="BV1741">
        <v>0</v>
      </c>
      <c r="BX1741">
        <v>150</v>
      </c>
      <c r="BZ1741">
        <v>143.5</v>
      </c>
      <c r="CM1741">
        <v>1911</v>
      </c>
    </row>
    <row r="1742" spans="1:91" x14ac:dyDescent="0.3">
      <c r="A1742" t="s">
        <v>2641</v>
      </c>
      <c r="B1742">
        <v>49346</v>
      </c>
      <c r="D1742">
        <v>12</v>
      </c>
      <c r="I1742">
        <v>267500</v>
      </c>
      <c r="J1742" t="s">
        <v>800</v>
      </c>
      <c r="V1742" t="s">
        <v>350</v>
      </c>
      <c r="Y1742">
        <v>100</v>
      </c>
      <c r="AA1742">
        <v>217.5</v>
      </c>
      <c r="AC1742" s="3">
        <v>217.5</v>
      </c>
      <c r="AE1742" s="3">
        <v>217.5</v>
      </c>
      <c r="AI1742">
        <v>217.5</v>
      </c>
      <c r="AK1742" s="3"/>
      <c r="BG1742">
        <v>9</v>
      </c>
      <c r="BH1742">
        <v>9</v>
      </c>
      <c r="BI1742">
        <v>9</v>
      </c>
      <c r="BJ1742">
        <v>9</v>
      </c>
      <c r="BK1742" s="4">
        <v>3713</v>
      </c>
      <c r="BL1742" s="4">
        <v>3897</v>
      </c>
      <c r="BM1742" s="4">
        <v>4078</v>
      </c>
      <c r="BN1742" s="4">
        <v>4262</v>
      </c>
      <c r="BR1742">
        <v>35876</v>
      </c>
      <c r="BT1742">
        <v>4</v>
      </c>
      <c r="BU1742">
        <v>3</v>
      </c>
      <c r="BV1742">
        <v>3</v>
      </c>
      <c r="BX1742">
        <v>225</v>
      </c>
      <c r="BZ1742">
        <v>217</v>
      </c>
      <c r="CK1742" t="s">
        <v>1076</v>
      </c>
      <c r="CL1742" t="s">
        <v>457</v>
      </c>
      <c r="CM1742">
        <v>1911</v>
      </c>
    </row>
    <row r="1743" spans="1:91" x14ac:dyDescent="0.3">
      <c r="A1743" t="s">
        <v>2642</v>
      </c>
      <c r="B1743">
        <v>49378</v>
      </c>
      <c r="D1743">
        <v>12</v>
      </c>
      <c r="I1743">
        <v>60000</v>
      </c>
      <c r="J1743" t="s">
        <v>800</v>
      </c>
      <c r="V1743" t="s">
        <v>350</v>
      </c>
      <c r="Y1743">
        <v>100</v>
      </c>
      <c r="AA1743">
        <v>245</v>
      </c>
      <c r="AC1743" s="3">
        <v>245</v>
      </c>
      <c r="AE1743" s="3">
        <v>245</v>
      </c>
      <c r="AI1743">
        <v>245</v>
      </c>
      <c r="AK1743" s="3"/>
      <c r="BG1743">
        <v>11</v>
      </c>
      <c r="BH1743">
        <v>11</v>
      </c>
      <c r="BI1743">
        <v>11</v>
      </c>
      <c r="BJ1743">
        <v>11</v>
      </c>
      <c r="BK1743" s="4">
        <v>3685</v>
      </c>
      <c r="BL1743" s="4">
        <v>3866</v>
      </c>
      <c r="BM1743" s="4">
        <v>4050</v>
      </c>
      <c r="BN1743" s="4">
        <v>4231</v>
      </c>
      <c r="BR1743">
        <v>20582</v>
      </c>
      <c r="BT1743">
        <v>4</v>
      </c>
      <c r="BU1743">
        <v>7</v>
      </c>
      <c r="BV1743">
        <v>0</v>
      </c>
      <c r="BX1743">
        <v>249.5</v>
      </c>
      <c r="BZ1743">
        <v>242.5</v>
      </c>
      <c r="CM1743">
        <v>1911</v>
      </c>
    </row>
    <row r="1744" spans="1:91" x14ac:dyDescent="0.3">
      <c r="A1744" t="s">
        <v>2643</v>
      </c>
      <c r="B1744">
        <v>49489</v>
      </c>
      <c r="D1744">
        <v>12</v>
      </c>
      <c r="I1744">
        <v>40000</v>
      </c>
      <c r="U1744">
        <v>8</v>
      </c>
      <c r="Y1744">
        <v>8</v>
      </c>
      <c r="AA1744">
        <v>11</v>
      </c>
      <c r="AC1744" s="3">
        <v>11</v>
      </c>
      <c r="AE1744" s="3">
        <v>10.75</v>
      </c>
      <c r="AI1744">
        <v>10.75</v>
      </c>
      <c r="AK1744" s="3"/>
      <c r="AX1744" t="s">
        <v>823</v>
      </c>
      <c r="BB1744" t="s">
        <v>823</v>
      </c>
      <c r="BG1744">
        <v>8</v>
      </c>
      <c r="BH1744">
        <v>8</v>
      </c>
      <c r="BI1744">
        <v>8</v>
      </c>
      <c r="BJ1744">
        <v>8</v>
      </c>
      <c r="BK1744" s="4">
        <v>3774</v>
      </c>
      <c r="BL1744" s="4">
        <v>3927</v>
      </c>
      <c r="BM1744" s="4">
        <v>4139</v>
      </c>
      <c r="BN1744" s="4">
        <v>4292</v>
      </c>
      <c r="BR1744">
        <v>75606</v>
      </c>
      <c r="BT1744">
        <v>5</v>
      </c>
      <c r="BU1744">
        <v>19</v>
      </c>
      <c r="BV1744">
        <v>0</v>
      </c>
      <c r="BX1744">
        <v>11.5</v>
      </c>
      <c r="BZ1744">
        <v>10.53</v>
      </c>
      <c r="CK1744" t="s">
        <v>1117</v>
      </c>
      <c r="CM1744">
        <v>1911</v>
      </c>
    </row>
    <row r="1745" spans="1:91" x14ac:dyDescent="0.3">
      <c r="A1745" t="s">
        <v>2644</v>
      </c>
      <c r="B1745">
        <v>40057</v>
      </c>
      <c r="D1745">
        <v>12</v>
      </c>
      <c r="I1745">
        <v>192954</v>
      </c>
      <c r="U1745">
        <v>1</v>
      </c>
      <c r="Y1745">
        <v>1</v>
      </c>
      <c r="AA1745">
        <v>3</v>
      </c>
      <c r="AB1745" t="s">
        <v>379</v>
      </c>
      <c r="AC1745" s="3">
        <v>3.06</v>
      </c>
      <c r="AE1745" s="3">
        <v>2.87</v>
      </c>
      <c r="AI1745">
        <v>2.87</v>
      </c>
      <c r="AK1745" s="3"/>
      <c r="AX1745" t="s">
        <v>823</v>
      </c>
      <c r="BB1745" t="s">
        <v>823</v>
      </c>
      <c r="BG1745">
        <v>25</v>
      </c>
      <c r="BH1745">
        <v>25</v>
      </c>
      <c r="BI1745">
        <v>15</v>
      </c>
      <c r="BJ1745">
        <v>30</v>
      </c>
      <c r="BK1745" s="4">
        <v>3744</v>
      </c>
      <c r="BL1745" s="4">
        <v>3958</v>
      </c>
      <c r="BM1745" s="4">
        <v>4109</v>
      </c>
      <c r="BN1745" s="4">
        <v>4323</v>
      </c>
      <c r="BR1745">
        <v>14176</v>
      </c>
      <c r="BT1745">
        <v>7</v>
      </c>
      <c r="BU1745">
        <v>16</v>
      </c>
      <c r="BV1745">
        <v>6</v>
      </c>
      <c r="BX1745">
        <v>4.62</v>
      </c>
      <c r="BZ1745">
        <v>2.71</v>
      </c>
      <c r="CK1745" t="s">
        <v>360</v>
      </c>
      <c r="CL1745" t="s">
        <v>457</v>
      </c>
      <c r="CM1745">
        <v>1911</v>
      </c>
    </row>
    <row r="1746" spans="1:91" x14ac:dyDescent="0.3">
      <c r="A1746" t="s">
        <v>2645</v>
      </c>
      <c r="B1746">
        <v>40063</v>
      </c>
      <c r="D1746">
        <v>12</v>
      </c>
      <c r="I1746">
        <v>334024</v>
      </c>
      <c r="U1746">
        <v>1</v>
      </c>
      <c r="Y1746">
        <v>1</v>
      </c>
      <c r="AA1746">
        <v>2.0299999999999998</v>
      </c>
      <c r="AC1746" s="3">
        <v>2.06</v>
      </c>
      <c r="AE1746" s="3">
        <v>2.0299999999999998</v>
      </c>
      <c r="AI1746">
        <v>2.0299999999999998</v>
      </c>
      <c r="AJ1746" t="s">
        <v>379</v>
      </c>
      <c r="AK1746" s="3"/>
      <c r="AX1746" t="s">
        <v>823</v>
      </c>
      <c r="BB1746" t="s">
        <v>823</v>
      </c>
      <c r="BG1746">
        <v>10</v>
      </c>
      <c r="BH1746">
        <v>15</v>
      </c>
      <c r="BI1746">
        <v>10</v>
      </c>
      <c r="BJ1746">
        <v>15</v>
      </c>
      <c r="BK1746" s="4">
        <v>3654</v>
      </c>
      <c r="BL1746" s="4">
        <v>3835</v>
      </c>
      <c r="BM1746" s="4">
        <v>4019</v>
      </c>
      <c r="BN1746" s="4">
        <v>4200</v>
      </c>
      <c r="BR1746">
        <v>370332</v>
      </c>
      <c r="BS1746" t="s">
        <v>2646</v>
      </c>
      <c r="BT1746">
        <v>5</v>
      </c>
      <c r="BU1746">
        <v>17</v>
      </c>
      <c r="BV1746">
        <v>9</v>
      </c>
      <c r="BX1746">
        <v>2.12</v>
      </c>
      <c r="BZ1746">
        <v>1.9</v>
      </c>
      <c r="CK1746" t="s">
        <v>616</v>
      </c>
      <c r="CM1746">
        <v>1911</v>
      </c>
    </row>
    <row r="1747" spans="1:91" x14ac:dyDescent="0.3">
      <c r="A1747" t="s">
        <v>2647</v>
      </c>
      <c r="B1747">
        <v>40110</v>
      </c>
      <c r="D1747">
        <v>12</v>
      </c>
      <c r="I1747">
        <v>293810</v>
      </c>
      <c r="U1747">
        <v>1</v>
      </c>
      <c r="Y1747">
        <v>1</v>
      </c>
      <c r="AA1747">
        <v>0.93</v>
      </c>
      <c r="AC1747" s="3">
        <v>1</v>
      </c>
      <c r="AE1747" s="3">
        <v>0.93</v>
      </c>
      <c r="AI1747">
        <v>1</v>
      </c>
      <c r="AK1747" s="3"/>
      <c r="AV1747" t="s">
        <v>385</v>
      </c>
      <c r="AX1747" t="s">
        <v>385</v>
      </c>
      <c r="AZ1747" t="s">
        <v>385</v>
      </c>
      <c r="BB1747" t="s">
        <v>815</v>
      </c>
      <c r="BI1747">
        <v>5.5</v>
      </c>
      <c r="BL1747" t="s">
        <v>811</v>
      </c>
      <c r="BM1747" t="s">
        <v>811</v>
      </c>
      <c r="BN1747" t="s">
        <v>1262</v>
      </c>
      <c r="BR1747">
        <v>514</v>
      </c>
      <c r="BT1747">
        <v>5</v>
      </c>
      <c r="BU1747">
        <v>10</v>
      </c>
      <c r="BV1747">
        <v>0</v>
      </c>
      <c r="BX1747">
        <v>1.03</v>
      </c>
      <c r="BZ1747">
        <v>0.75</v>
      </c>
      <c r="CM1747">
        <v>1911</v>
      </c>
    </row>
    <row r="1748" spans="1:91" x14ac:dyDescent="0.3">
      <c r="A1748" t="s">
        <v>2648</v>
      </c>
      <c r="B1748">
        <v>40128</v>
      </c>
      <c r="D1748">
        <v>12</v>
      </c>
      <c r="I1748">
        <v>60000</v>
      </c>
      <c r="U1748">
        <v>1</v>
      </c>
      <c r="Y1748">
        <v>1</v>
      </c>
      <c r="AA1748">
        <v>1.1200000000000001</v>
      </c>
      <c r="AC1748" s="3">
        <v>1.1200000000000001</v>
      </c>
      <c r="AE1748" s="3">
        <v>1.0900000000000001</v>
      </c>
      <c r="AI1748">
        <v>1.0900000000000001</v>
      </c>
      <c r="AK1748" s="3"/>
      <c r="AV1748" t="s">
        <v>815</v>
      </c>
      <c r="AX1748" t="s">
        <v>815</v>
      </c>
      <c r="AZ1748" t="s">
        <v>815</v>
      </c>
      <c r="BB1748" t="s">
        <v>815</v>
      </c>
      <c r="BG1748">
        <v>10</v>
      </c>
      <c r="BH1748">
        <v>10</v>
      </c>
      <c r="BI1748">
        <v>8</v>
      </c>
      <c r="BJ1748">
        <v>6</v>
      </c>
      <c r="BK1748" s="4">
        <v>2954</v>
      </c>
      <c r="BL1748" s="4">
        <v>3320</v>
      </c>
      <c r="BM1748" s="4">
        <v>3685</v>
      </c>
      <c r="BN1748" s="4">
        <v>4050</v>
      </c>
      <c r="BR1748">
        <v>3232</v>
      </c>
      <c r="BT1748">
        <v>5</v>
      </c>
      <c r="BU1748">
        <v>9</v>
      </c>
      <c r="BV1748">
        <v>9</v>
      </c>
      <c r="BX1748">
        <v>1.37</v>
      </c>
      <c r="BZ1748">
        <v>0.93</v>
      </c>
      <c r="CK1748" t="s">
        <v>465</v>
      </c>
      <c r="CM1748">
        <v>1911</v>
      </c>
    </row>
    <row r="1749" spans="1:91" x14ac:dyDescent="0.3">
      <c r="A1749" t="s">
        <v>2649</v>
      </c>
      <c r="B1749">
        <v>40142</v>
      </c>
      <c r="D1749">
        <v>12</v>
      </c>
      <c r="I1749">
        <v>15000</v>
      </c>
      <c r="U1749">
        <v>5</v>
      </c>
      <c r="Y1749">
        <v>3</v>
      </c>
      <c r="AA1749">
        <v>4</v>
      </c>
      <c r="AC1749" s="3">
        <v>4</v>
      </c>
      <c r="AE1749" s="3">
        <v>3.5</v>
      </c>
      <c r="AI1749">
        <v>3.62</v>
      </c>
      <c r="AK1749" s="3"/>
      <c r="AV1749" t="s">
        <v>823</v>
      </c>
      <c r="AZ1749" t="s">
        <v>823</v>
      </c>
      <c r="BG1749">
        <v>5</v>
      </c>
      <c r="BH1749">
        <v>15</v>
      </c>
      <c r="BI1749">
        <v>5</v>
      </c>
      <c r="BJ1749">
        <v>15</v>
      </c>
      <c r="BK1749" s="4">
        <v>3744</v>
      </c>
      <c r="BL1749" s="4">
        <v>3927</v>
      </c>
      <c r="BM1749" s="4">
        <v>4109</v>
      </c>
      <c r="BN1749" s="4">
        <v>4292</v>
      </c>
      <c r="BR1749">
        <v>37243</v>
      </c>
      <c r="BS1749" t="s">
        <v>2650</v>
      </c>
      <c r="BT1749">
        <v>8</v>
      </c>
      <c r="BU1749">
        <v>4</v>
      </c>
      <c r="BV1749">
        <v>9</v>
      </c>
      <c r="BX1749">
        <v>4</v>
      </c>
      <c r="BZ1749">
        <v>3.37</v>
      </c>
      <c r="CK1749" t="s">
        <v>393</v>
      </c>
      <c r="CM1749">
        <v>1911</v>
      </c>
    </row>
    <row r="1750" spans="1:91" x14ac:dyDescent="0.3">
      <c r="A1750" t="s">
        <v>2649</v>
      </c>
      <c r="B1750">
        <v>40143</v>
      </c>
      <c r="C1750" t="s">
        <v>803</v>
      </c>
      <c r="D1750">
        <v>12</v>
      </c>
      <c r="I1750">
        <v>10000</v>
      </c>
      <c r="U1750">
        <v>5</v>
      </c>
      <c r="Y1750">
        <v>5</v>
      </c>
      <c r="AA1750">
        <v>5.37</v>
      </c>
      <c r="AC1750" s="3">
        <v>5.37</v>
      </c>
      <c r="AE1750" s="3">
        <v>5.25</v>
      </c>
      <c r="AI1750">
        <v>5.25</v>
      </c>
      <c r="AK1750" s="3"/>
      <c r="AV1750" t="s">
        <v>2651</v>
      </c>
      <c r="AX1750" t="s">
        <v>2651</v>
      </c>
      <c r="AZ1750" t="s">
        <v>2651</v>
      </c>
      <c r="BB1750" t="s">
        <v>2651</v>
      </c>
      <c r="BO1750" t="s">
        <v>367</v>
      </c>
      <c r="BR1750">
        <v>37243</v>
      </c>
      <c r="BS1750" t="s">
        <v>2650</v>
      </c>
      <c r="BT1750">
        <v>5</v>
      </c>
      <c r="BU1750">
        <v>14</v>
      </c>
      <c r="BV1750">
        <v>3</v>
      </c>
      <c r="BX1750">
        <v>5.62</v>
      </c>
      <c r="BZ1750">
        <v>5.25</v>
      </c>
      <c r="CM1750">
        <v>1911</v>
      </c>
    </row>
    <row r="1751" spans="1:91" x14ac:dyDescent="0.3">
      <c r="A1751" t="s">
        <v>2652</v>
      </c>
      <c r="B1751">
        <v>40228</v>
      </c>
      <c r="D1751">
        <v>12</v>
      </c>
      <c r="I1751">
        <v>550000</v>
      </c>
      <c r="U1751">
        <v>1</v>
      </c>
      <c r="Y1751">
        <v>1</v>
      </c>
      <c r="AA1751">
        <v>1.0900000000000001</v>
      </c>
      <c r="AC1751" s="3">
        <v>1.0900000000000001</v>
      </c>
      <c r="AE1751" s="3">
        <v>1.0900000000000001</v>
      </c>
      <c r="AI1751">
        <v>1.0900000000000001</v>
      </c>
      <c r="AK1751" s="3"/>
      <c r="BG1751">
        <v>5</v>
      </c>
      <c r="BH1751">
        <v>5</v>
      </c>
      <c r="BI1751">
        <v>5</v>
      </c>
      <c r="BJ1751">
        <v>5</v>
      </c>
      <c r="BK1751" s="4">
        <v>3774</v>
      </c>
      <c r="BL1751" s="4">
        <v>3958</v>
      </c>
      <c r="BM1751" s="4">
        <v>4139</v>
      </c>
      <c r="BN1751" s="4">
        <v>4323</v>
      </c>
      <c r="BR1751">
        <v>350000</v>
      </c>
      <c r="BT1751">
        <v>4</v>
      </c>
      <c r="BU1751">
        <v>11</v>
      </c>
      <c r="BV1751">
        <v>6</v>
      </c>
      <c r="BX1751">
        <v>1.1499999999999999</v>
      </c>
      <c r="BZ1751">
        <v>1.03</v>
      </c>
      <c r="CK1751" t="s">
        <v>360</v>
      </c>
      <c r="CM1751">
        <v>1911</v>
      </c>
    </row>
    <row r="1752" spans="1:91" x14ac:dyDescent="0.3">
      <c r="A1752" t="s">
        <v>2653</v>
      </c>
      <c r="B1752">
        <v>40248</v>
      </c>
      <c r="D1752">
        <v>12</v>
      </c>
      <c r="I1752">
        <v>978095</v>
      </c>
      <c r="U1752">
        <v>5</v>
      </c>
      <c r="V1752" t="s">
        <v>773</v>
      </c>
      <c r="Y1752">
        <v>5</v>
      </c>
      <c r="Z1752" t="s">
        <v>773</v>
      </c>
      <c r="AA1752">
        <v>1</v>
      </c>
      <c r="AB1752" t="s">
        <v>379</v>
      </c>
      <c r="AC1752" s="3">
        <v>1.03</v>
      </c>
      <c r="AE1752" s="3">
        <v>1</v>
      </c>
      <c r="AI1752">
        <v>1</v>
      </c>
      <c r="AK1752" s="3"/>
      <c r="BG1752">
        <v>5</v>
      </c>
      <c r="BH1752">
        <v>5</v>
      </c>
      <c r="BI1752">
        <v>5</v>
      </c>
      <c r="BJ1752">
        <v>5</v>
      </c>
      <c r="BK1752" s="4">
        <v>3623</v>
      </c>
      <c r="BL1752" s="4">
        <v>3805</v>
      </c>
      <c r="BM1752" s="4">
        <v>3988</v>
      </c>
      <c r="BN1752" s="4">
        <v>4170</v>
      </c>
      <c r="BS1752" t="s">
        <v>385</v>
      </c>
      <c r="BT1752">
        <v>5</v>
      </c>
      <c r="BU1752">
        <v>0</v>
      </c>
      <c r="BV1752">
        <v>0</v>
      </c>
      <c r="BX1752">
        <v>1.0900000000000001</v>
      </c>
      <c r="BZ1752">
        <v>1</v>
      </c>
      <c r="CK1752" t="s">
        <v>399</v>
      </c>
      <c r="CM1752">
        <v>1911</v>
      </c>
    </row>
    <row r="1753" spans="1:91" x14ac:dyDescent="0.3">
      <c r="A1753" t="s">
        <v>2653</v>
      </c>
      <c r="B1753">
        <v>40249</v>
      </c>
      <c r="C1753" t="s">
        <v>2654</v>
      </c>
      <c r="D1753">
        <v>12</v>
      </c>
      <c r="I1753" s="2">
        <v>6000000</v>
      </c>
      <c r="J1753" t="s">
        <v>773</v>
      </c>
      <c r="U1753">
        <v>1000</v>
      </c>
      <c r="V1753" t="s">
        <v>773</v>
      </c>
      <c r="Y1753">
        <v>100</v>
      </c>
      <c r="Z1753" t="s">
        <v>615</v>
      </c>
      <c r="AA1753">
        <v>94.5</v>
      </c>
      <c r="AC1753" s="3">
        <v>96.5</v>
      </c>
      <c r="AE1753" s="3">
        <v>94.5</v>
      </c>
      <c r="AI1753">
        <v>96.5</v>
      </c>
      <c r="AK1753" s="3"/>
      <c r="AV1753" t="s">
        <v>370</v>
      </c>
      <c r="AX1753" t="s">
        <v>370</v>
      </c>
      <c r="AZ1753" t="s">
        <v>370</v>
      </c>
      <c r="BB1753" t="s">
        <v>370</v>
      </c>
      <c r="BO1753" t="s">
        <v>367</v>
      </c>
      <c r="BS1753" t="s">
        <v>385</v>
      </c>
      <c r="BT1753">
        <v>4</v>
      </c>
      <c r="BU1753">
        <v>4</v>
      </c>
      <c r="BV1753">
        <v>3</v>
      </c>
      <c r="BX1753">
        <v>96.5</v>
      </c>
      <c r="BZ1753">
        <v>93</v>
      </c>
      <c r="CM1753">
        <v>1911</v>
      </c>
    </row>
    <row r="1754" spans="1:91" x14ac:dyDescent="0.3">
      <c r="A1754" t="s">
        <v>2655</v>
      </c>
      <c r="B1754">
        <v>40288</v>
      </c>
      <c r="D1754">
        <v>12</v>
      </c>
      <c r="I1754">
        <v>136000</v>
      </c>
      <c r="U1754">
        <v>5</v>
      </c>
      <c r="Y1754">
        <v>5</v>
      </c>
      <c r="AA1754">
        <v>5.12</v>
      </c>
      <c r="AC1754" s="3">
        <v>5.62</v>
      </c>
      <c r="AE1754" s="3">
        <v>5.12</v>
      </c>
      <c r="AI1754">
        <v>5.5</v>
      </c>
      <c r="AK1754" s="3"/>
      <c r="AV1754" t="s">
        <v>385</v>
      </c>
      <c r="AX1754" t="s">
        <v>385</v>
      </c>
      <c r="BI1754">
        <v>8</v>
      </c>
      <c r="BJ1754">
        <v>8</v>
      </c>
      <c r="BL1754" t="s">
        <v>811</v>
      </c>
      <c r="BM1754" s="4">
        <v>4109</v>
      </c>
      <c r="BN1754" s="4">
        <v>4292</v>
      </c>
      <c r="BS1754" t="s">
        <v>385</v>
      </c>
      <c r="BT1754">
        <v>7</v>
      </c>
      <c r="BU1754">
        <v>5</v>
      </c>
      <c r="BV1754">
        <v>6</v>
      </c>
      <c r="BX1754">
        <v>5.62</v>
      </c>
      <c r="BZ1754">
        <v>4.87</v>
      </c>
      <c r="CM1754">
        <v>1911</v>
      </c>
    </row>
    <row r="1755" spans="1:91" x14ac:dyDescent="0.3">
      <c r="A1755" t="s">
        <v>2656</v>
      </c>
      <c r="B1755">
        <v>40390</v>
      </c>
      <c r="D1755">
        <v>12</v>
      </c>
      <c r="I1755">
        <v>21000</v>
      </c>
      <c r="U1755">
        <v>10</v>
      </c>
      <c r="Y1755">
        <v>7.5</v>
      </c>
      <c r="AA1755">
        <v>14.5</v>
      </c>
      <c r="AC1755" s="3">
        <v>14.5</v>
      </c>
      <c r="AE1755" s="3">
        <v>14.5</v>
      </c>
      <c r="AI1755">
        <v>14.5</v>
      </c>
      <c r="AK1755" s="3"/>
      <c r="AX1755" t="s">
        <v>823</v>
      </c>
      <c r="BB1755" t="s">
        <v>823</v>
      </c>
      <c r="BG1755">
        <v>20</v>
      </c>
      <c r="BH1755">
        <v>5</v>
      </c>
      <c r="BI1755">
        <v>15</v>
      </c>
      <c r="BJ1755">
        <v>5</v>
      </c>
      <c r="BK1755" s="4">
        <v>3654</v>
      </c>
      <c r="BL1755" s="4">
        <v>3835</v>
      </c>
      <c r="BM1755" s="4">
        <v>4019</v>
      </c>
      <c r="BN1755" s="4">
        <v>4200</v>
      </c>
      <c r="BR1755">
        <v>60309</v>
      </c>
      <c r="BS1755" t="s">
        <v>2657</v>
      </c>
      <c r="BT1755">
        <v>5</v>
      </c>
      <c r="BU1755">
        <v>3</v>
      </c>
      <c r="BV1755">
        <v>0</v>
      </c>
      <c r="BX1755">
        <v>15.25</v>
      </c>
      <c r="BZ1755">
        <v>14.28</v>
      </c>
      <c r="CK1755" t="s">
        <v>2658</v>
      </c>
      <c r="CM1755">
        <v>1911</v>
      </c>
    </row>
    <row r="1756" spans="1:91" x14ac:dyDescent="0.3">
      <c r="A1756" t="s">
        <v>2656</v>
      </c>
      <c r="B1756">
        <v>40391</v>
      </c>
      <c r="C1756" t="s">
        <v>1786</v>
      </c>
      <c r="D1756">
        <v>12</v>
      </c>
      <c r="I1756">
        <v>12000</v>
      </c>
      <c r="U1756">
        <v>10</v>
      </c>
      <c r="Y1756">
        <v>10</v>
      </c>
      <c r="AA1756">
        <v>11</v>
      </c>
      <c r="AC1756" s="3">
        <v>11</v>
      </c>
      <c r="AE1756" s="3">
        <v>11</v>
      </c>
      <c r="AI1756">
        <v>11</v>
      </c>
      <c r="AK1756" s="3"/>
      <c r="AV1756" t="s">
        <v>370</v>
      </c>
      <c r="AX1756" t="s">
        <v>370</v>
      </c>
      <c r="AZ1756" t="s">
        <v>370</v>
      </c>
      <c r="BB1756" t="s">
        <v>370</v>
      </c>
      <c r="BO1756" t="s">
        <v>367</v>
      </c>
      <c r="BR1756">
        <v>60309</v>
      </c>
      <c r="BS1756" t="s">
        <v>2657</v>
      </c>
      <c r="BT1756">
        <v>4</v>
      </c>
      <c r="BU1756">
        <v>11</v>
      </c>
      <c r="BV1756">
        <v>0</v>
      </c>
      <c r="BX1756">
        <v>11.25</v>
      </c>
      <c r="BZ1756">
        <v>11</v>
      </c>
      <c r="CM1756">
        <v>1911</v>
      </c>
    </row>
    <row r="1757" spans="1:91" x14ac:dyDescent="0.3">
      <c r="A1757" t="s">
        <v>2656</v>
      </c>
      <c r="B1757">
        <v>40392</v>
      </c>
      <c r="C1757" t="s">
        <v>2659</v>
      </c>
      <c r="D1757">
        <v>12</v>
      </c>
      <c r="I1757">
        <v>120000</v>
      </c>
      <c r="J1757" t="s">
        <v>800</v>
      </c>
      <c r="U1757">
        <v>100</v>
      </c>
      <c r="Y1757">
        <v>100</v>
      </c>
      <c r="AA1757">
        <v>97</v>
      </c>
      <c r="AC1757" s="3">
        <v>97</v>
      </c>
      <c r="AE1757" s="3">
        <v>95</v>
      </c>
      <c r="AI1757">
        <v>95</v>
      </c>
      <c r="AJ1757" t="s">
        <v>379</v>
      </c>
      <c r="AK1757" s="3"/>
      <c r="AV1757" t="s">
        <v>370</v>
      </c>
      <c r="AX1757" t="s">
        <v>370</v>
      </c>
      <c r="AZ1757" t="s">
        <v>370</v>
      </c>
      <c r="BB1757" t="s">
        <v>370</v>
      </c>
      <c r="BO1757" t="s">
        <v>367</v>
      </c>
      <c r="BR1757">
        <v>60309</v>
      </c>
      <c r="BS1757" t="s">
        <v>2657</v>
      </c>
      <c r="BT1757">
        <v>4</v>
      </c>
      <c r="BU1757">
        <v>4</v>
      </c>
      <c r="BV1757">
        <v>3</v>
      </c>
      <c r="BX1757">
        <v>98</v>
      </c>
      <c r="BZ1757">
        <v>95</v>
      </c>
      <c r="CM1757">
        <v>1911</v>
      </c>
    </row>
    <row r="1758" spans="1:91" x14ac:dyDescent="0.3">
      <c r="A1758" t="s">
        <v>2660</v>
      </c>
      <c r="B1758">
        <v>40376</v>
      </c>
      <c r="D1758">
        <v>12</v>
      </c>
      <c r="I1758">
        <v>203400</v>
      </c>
      <c r="J1758" t="s">
        <v>800</v>
      </c>
      <c r="U1758">
        <v>100</v>
      </c>
      <c r="Y1758">
        <v>100</v>
      </c>
      <c r="AA1758">
        <v>82.5</v>
      </c>
      <c r="AC1758" s="3">
        <v>82.5</v>
      </c>
      <c r="AE1758" s="3">
        <v>82.5</v>
      </c>
      <c r="AI1758">
        <v>82.5</v>
      </c>
      <c r="AK1758" s="3"/>
      <c r="BG1758">
        <v>4.5</v>
      </c>
      <c r="BH1758">
        <v>4.5</v>
      </c>
      <c r="BI1758">
        <v>4.5</v>
      </c>
      <c r="BJ1758">
        <v>4.5</v>
      </c>
      <c r="BK1758" s="4">
        <v>3654</v>
      </c>
      <c r="BL1758" s="4">
        <v>3835</v>
      </c>
      <c r="BM1758" s="4">
        <v>4019</v>
      </c>
      <c r="BN1758" s="4">
        <v>4200</v>
      </c>
      <c r="BR1758">
        <v>77592</v>
      </c>
      <c r="BT1758">
        <v>5</v>
      </c>
      <c r="BU1758">
        <v>11</v>
      </c>
      <c r="BV1758">
        <v>6</v>
      </c>
      <c r="BX1758">
        <v>87.5</v>
      </c>
      <c r="BZ1758">
        <v>78</v>
      </c>
      <c r="CK1758" t="s">
        <v>360</v>
      </c>
      <c r="CM1758">
        <v>1911</v>
      </c>
    </row>
    <row r="1759" spans="1:91" x14ac:dyDescent="0.3">
      <c r="A1759" t="s">
        <v>2661</v>
      </c>
      <c r="B1759">
        <v>40402</v>
      </c>
      <c r="D1759">
        <v>12</v>
      </c>
      <c r="I1759">
        <v>119000</v>
      </c>
      <c r="U1759">
        <v>10</v>
      </c>
      <c r="Y1759">
        <v>10</v>
      </c>
      <c r="AA1759">
        <v>6.75</v>
      </c>
      <c r="AC1759" s="3">
        <v>6.87</v>
      </c>
      <c r="AE1759" s="3">
        <v>6.37</v>
      </c>
      <c r="AI1759">
        <v>6.37</v>
      </c>
      <c r="AK1759" s="3"/>
      <c r="AV1759" t="s">
        <v>815</v>
      </c>
      <c r="AX1759" t="s">
        <v>823</v>
      </c>
      <c r="BB1759" t="s">
        <v>823</v>
      </c>
      <c r="BG1759">
        <v>3</v>
      </c>
      <c r="BH1759">
        <v>4</v>
      </c>
      <c r="BI1759">
        <v>6</v>
      </c>
      <c r="BJ1759">
        <v>5</v>
      </c>
      <c r="BK1759" s="4">
        <v>3835</v>
      </c>
      <c r="BL1759" s="4">
        <v>3988</v>
      </c>
      <c r="BM1759" s="4">
        <v>4200</v>
      </c>
      <c r="BN1759" s="4">
        <v>4353</v>
      </c>
      <c r="BR1759">
        <v>172430</v>
      </c>
      <c r="BS1759" t="s">
        <v>2662</v>
      </c>
      <c r="BT1759">
        <v>8</v>
      </c>
      <c r="BU1759">
        <v>12</v>
      </c>
      <c r="BV1759">
        <v>6</v>
      </c>
      <c r="BX1759">
        <v>7.12</v>
      </c>
      <c r="BZ1759">
        <v>4.5</v>
      </c>
      <c r="CK1759" t="s">
        <v>360</v>
      </c>
      <c r="CM1759">
        <v>1911</v>
      </c>
    </row>
    <row r="1760" spans="1:91" x14ac:dyDescent="0.3">
      <c r="A1760" t="s">
        <v>2661</v>
      </c>
      <c r="B1760">
        <v>40404</v>
      </c>
      <c r="C1760" t="s">
        <v>2663</v>
      </c>
      <c r="D1760">
        <v>12</v>
      </c>
      <c r="I1760">
        <v>119000</v>
      </c>
      <c r="U1760">
        <v>10</v>
      </c>
      <c r="Y1760">
        <v>10</v>
      </c>
      <c r="AA1760">
        <v>7.62</v>
      </c>
      <c r="AC1760" s="3">
        <v>7.75</v>
      </c>
      <c r="AE1760" s="3">
        <v>7.31</v>
      </c>
      <c r="AI1760">
        <v>7.37</v>
      </c>
      <c r="AK1760" s="3"/>
      <c r="AV1760" t="s">
        <v>421</v>
      </c>
      <c r="AX1760" t="s">
        <v>421</v>
      </c>
      <c r="AZ1760" t="s">
        <v>421</v>
      </c>
      <c r="BB1760" t="s">
        <v>421</v>
      </c>
      <c r="BO1760" t="s">
        <v>367</v>
      </c>
      <c r="BR1760">
        <v>172430</v>
      </c>
      <c r="BS1760" t="s">
        <v>2662</v>
      </c>
      <c r="BT1760">
        <v>6</v>
      </c>
      <c r="BU1760">
        <v>15</v>
      </c>
      <c r="BV1760">
        <v>6</v>
      </c>
      <c r="BX1760">
        <v>7.75</v>
      </c>
      <c r="BZ1760">
        <v>5.93</v>
      </c>
      <c r="CM1760">
        <v>1911</v>
      </c>
    </row>
    <row r="1761" spans="1:91" x14ac:dyDescent="0.3">
      <c r="A1761" t="s">
        <v>2661</v>
      </c>
      <c r="B1761">
        <v>40403</v>
      </c>
      <c r="C1761" t="s">
        <v>2664</v>
      </c>
      <c r="D1761">
        <v>12</v>
      </c>
      <c r="I1761">
        <v>850000</v>
      </c>
      <c r="J1761" t="s">
        <v>800</v>
      </c>
      <c r="V1761" t="s">
        <v>350</v>
      </c>
      <c r="Y1761">
        <v>100</v>
      </c>
      <c r="AA1761">
        <v>80.5</v>
      </c>
      <c r="AC1761" s="3">
        <v>81.5</v>
      </c>
      <c r="AE1761" s="3">
        <v>79.5</v>
      </c>
      <c r="AI1761">
        <v>79.5</v>
      </c>
      <c r="AK1761" s="3"/>
      <c r="AV1761" t="s">
        <v>536</v>
      </c>
      <c r="AX1761" t="s">
        <v>536</v>
      </c>
      <c r="AZ1761" t="s">
        <v>536</v>
      </c>
      <c r="BB1761" t="s">
        <v>536</v>
      </c>
      <c r="BO1761" t="s">
        <v>367</v>
      </c>
      <c r="BR1761">
        <v>172430</v>
      </c>
      <c r="BS1761" t="s">
        <v>2662</v>
      </c>
      <c r="BT1761">
        <v>5</v>
      </c>
      <c r="BU1761">
        <v>2</v>
      </c>
      <c r="BV1761">
        <v>0</v>
      </c>
      <c r="BX1761">
        <v>81.5</v>
      </c>
      <c r="BZ1761">
        <v>69.5</v>
      </c>
      <c r="CM1761">
        <v>1911</v>
      </c>
    </row>
    <row r="1762" spans="1:91" x14ac:dyDescent="0.3">
      <c r="A1762" t="s">
        <v>2665</v>
      </c>
      <c r="B1762">
        <v>40465</v>
      </c>
      <c r="D1762">
        <v>12</v>
      </c>
      <c r="I1762">
        <v>15000</v>
      </c>
      <c r="U1762">
        <v>10</v>
      </c>
      <c r="Y1762">
        <v>10</v>
      </c>
      <c r="AA1762">
        <v>16</v>
      </c>
      <c r="AC1762" s="3">
        <v>16</v>
      </c>
      <c r="AE1762" s="3">
        <v>16</v>
      </c>
      <c r="AI1762">
        <v>16</v>
      </c>
      <c r="AK1762" s="3"/>
      <c r="AV1762" t="s">
        <v>823</v>
      </c>
      <c r="AZ1762" t="s">
        <v>823</v>
      </c>
      <c r="BG1762">
        <v>6</v>
      </c>
      <c r="BH1762">
        <v>14</v>
      </c>
      <c r="BI1762">
        <v>6</v>
      </c>
      <c r="BJ1762">
        <v>14</v>
      </c>
      <c r="BK1762" s="4">
        <v>3593</v>
      </c>
      <c r="BL1762" s="4">
        <v>3774</v>
      </c>
      <c r="BM1762" s="4">
        <v>3958</v>
      </c>
      <c r="BN1762" s="4">
        <v>4139</v>
      </c>
      <c r="BR1762">
        <v>91061</v>
      </c>
      <c r="BT1762">
        <v>6</v>
      </c>
      <c r="BU1762">
        <v>5</v>
      </c>
      <c r="BV1762">
        <v>0</v>
      </c>
      <c r="BX1762">
        <v>17.5</v>
      </c>
      <c r="BZ1762">
        <v>14.75</v>
      </c>
      <c r="CK1762" t="s">
        <v>399</v>
      </c>
      <c r="CM1762">
        <v>1911</v>
      </c>
    </row>
    <row r="1763" spans="1:91" x14ac:dyDescent="0.3">
      <c r="A1763" t="s">
        <v>2666</v>
      </c>
      <c r="B1763">
        <v>40497</v>
      </c>
      <c r="D1763">
        <v>12</v>
      </c>
      <c r="I1763">
        <v>120000</v>
      </c>
      <c r="J1763" t="s">
        <v>800</v>
      </c>
      <c r="V1763" t="s">
        <v>350</v>
      </c>
      <c r="Y1763">
        <v>100</v>
      </c>
      <c r="AA1763">
        <v>73</v>
      </c>
      <c r="AC1763" s="3">
        <v>73</v>
      </c>
      <c r="AE1763" s="3">
        <v>73</v>
      </c>
      <c r="AI1763">
        <v>73</v>
      </c>
      <c r="AK1763" s="3"/>
      <c r="AV1763" t="s">
        <v>366</v>
      </c>
      <c r="AX1763" t="s">
        <v>366</v>
      </c>
      <c r="AZ1763" t="s">
        <v>366</v>
      </c>
      <c r="BB1763" t="s">
        <v>366</v>
      </c>
      <c r="BO1763" t="s">
        <v>367</v>
      </c>
      <c r="BS1763" t="s">
        <v>385</v>
      </c>
      <c r="BT1763">
        <v>5</v>
      </c>
      <c r="BU1763">
        <v>10</v>
      </c>
      <c r="BV1763">
        <v>6</v>
      </c>
      <c r="BX1763">
        <v>75</v>
      </c>
      <c r="BZ1763">
        <v>72.5</v>
      </c>
      <c r="CK1763" t="s">
        <v>360</v>
      </c>
      <c r="CM1763">
        <v>1911</v>
      </c>
    </row>
    <row r="1764" spans="1:91" x14ac:dyDescent="0.3">
      <c r="A1764" t="s">
        <v>2667</v>
      </c>
      <c r="B1764">
        <v>40500</v>
      </c>
      <c r="D1764">
        <v>12</v>
      </c>
      <c r="I1764" s="2">
        <v>1758660</v>
      </c>
      <c r="J1764" t="s">
        <v>800</v>
      </c>
      <c r="V1764" t="s">
        <v>350</v>
      </c>
      <c r="Y1764">
        <v>100</v>
      </c>
      <c r="AA1764">
        <v>56.5</v>
      </c>
      <c r="AC1764" s="3">
        <v>56.75</v>
      </c>
      <c r="AE1764" s="3">
        <v>56.5</v>
      </c>
      <c r="AI1764">
        <v>56.5</v>
      </c>
      <c r="AK1764" s="3"/>
      <c r="AX1764" t="s">
        <v>823</v>
      </c>
      <c r="BB1764" t="s">
        <v>823</v>
      </c>
      <c r="BG1764">
        <v>4</v>
      </c>
      <c r="BH1764">
        <v>4</v>
      </c>
      <c r="BI1764">
        <v>4</v>
      </c>
      <c r="BJ1764">
        <v>4</v>
      </c>
      <c r="BK1764" s="4">
        <v>3713</v>
      </c>
      <c r="BL1764" s="4">
        <v>3897</v>
      </c>
      <c r="BM1764" s="4">
        <v>4078</v>
      </c>
      <c r="BN1764" s="4">
        <v>4262</v>
      </c>
      <c r="BR1764">
        <v>231144</v>
      </c>
      <c r="BS1764" t="s">
        <v>2668</v>
      </c>
      <c r="BT1764">
        <v>7</v>
      </c>
      <c r="BU1764">
        <v>3</v>
      </c>
      <c r="BV1764">
        <v>3</v>
      </c>
      <c r="BX1764">
        <v>68.75</v>
      </c>
      <c r="BZ1764">
        <v>53.5</v>
      </c>
      <c r="CK1764" t="s">
        <v>360</v>
      </c>
      <c r="CM1764">
        <v>1911</v>
      </c>
    </row>
    <row r="1765" spans="1:91" x14ac:dyDescent="0.3">
      <c r="A1765" t="s">
        <v>2667</v>
      </c>
      <c r="B1765">
        <v>40503</v>
      </c>
      <c r="C1765" t="s">
        <v>2669</v>
      </c>
      <c r="D1765">
        <v>12</v>
      </c>
      <c r="I1765">
        <v>250000</v>
      </c>
      <c r="J1765" t="s">
        <v>800</v>
      </c>
      <c r="V1765" t="s">
        <v>350</v>
      </c>
      <c r="Y1765">
        <v>100</v>
      </c>
      <c r="AA1765">
        <v>88</v>
      </c>
      <c r="AC1765" s="3">
        <v>88</v>
      </c>
      <c r="AE1765" s="3">
        <v>87</v>
      </c>
      <c r="AI1765">
        <v>87</v>
      </c>
      <c r="AJ1765" t="s">
        <v>379</v>
      </c>
      <c r="AK1765" s="3"/>
      <c r="AV1765" t="s">
        <v>370</v>
      </c>
      <c r="AX1765" t="s">
        <v>370</v>
      </c>
      <c r="AZ1765" t="s">
        <v>370</v>
      </c>
      <c r="BB1765" t="s">
        <v>370</v>
      </c>
      <c r="BO1765" t="s">
        <v>367</v>
      </c>
      <c r="BR1765">
        <v>231144</v>
      </c>
      <c r="BS1765" t="s">
        <v>2668</v>
      </c>
      <c r="BT1765">
        <v>5</v>
      </c>
      <c r="BU1765">
        <v>3</v>
      </c>
      <c r="BV1765">
        <v>6</v>
      </c>
      <c r="BX1765">
        <v>90</v>
      </c>
      <c r="BZ1765">
        <v>86.5</v>
      </c>
      <c r="CM1765">
        <v>1911</v>
      </c>
    </row>
    <row r="1766" spans="1:91" x14ac:dyDescent="0.3">
      <c r="A1766" t="s">
        <v>2667</v>
      </c>
      <c r="B1766">
        <v>40501</v>
      </c>
      <c r="C1766" t="s">
        <v>2670</v>
      </c>
      <c r="D1766">
        <v>12</v>
      </c>
      <c r="I1766">
        <v>892080</v>
      </c>
      <c r="J1766" t="s">
        <v>800</v>
      </c>
      <c r="V1766" t="s">
        <v>350</v>
      </c>
      <c r="Y1766">
        <v>100</v>
      </c>
      <c r="AA1766">
        <v>88</v>
      </c>
      <c r="AC1766" s="3">
        <v>88</v>
      </c>
      <c r="AE1766" s="3">
        <v>86</v>
      </c>
      <c r="AI1766">
        <v>87</v>
      </c>
      <c r="AJ1766" t="s">
        <v>379</v>
      </c>
      <c r="AK1766" s="3"/>
      <c r="AV1766" t="s">
        <v>370</v>
      </c>
      <c r="AX1766" t="s">
        <v>370</v>
      </c>
      <c r="AZ1766" t="s">
        <v>370</v>
      </c>
      <c r="BB1766" t="s">
        <v>370</v>
      </c>
      <c r="BO1766" t="s">
        <v>367</v>
      </c>
      <c r="BR1766">
        <v>231144</v>
      </c>
      <c r="BS1766" t="s">
        <v>2668</v>
      </c>
      <c r="BT1766">
        <v>5</v>
      </c>
      <c r="BU1766">
        <v>3</v>
      </c>
      <c r="BV1766">
        <v>6</v>
      </c>
      <c r="BX1766">
        <v>92</v>
      </c>
      <c r="BZ1766">
        <v>83</v>
      </c>
      <c r="CM1766">
        <v>1911</v>
      </c>
    </row>
    <row r="1767" spans="1:91" x14ac:dyDescent="0.3">
      <c r="A1767" t="s">
        <v>2671</v>
      </c>
      <c r="B1767">
        <v>40508</v>
      </c>
      <c r="D1767">
        <v>12</v>
      </c>
      <c r="I1767">
        <v>400000</v>
      </c>
      <c r="U1767">
        <v>1</v>
      </c>
      <c r="Y1767">
        <v>1</v>
      </c>
      <c r="AA1767">
        <v>1.1200000000000001</v>
      </c>
      <c r="AC1767" s="3">
        <v>1.1200000000000001</v>
      </c>
      <c r="AE1767" s="3">
        <v>1.0900000000000001</v>
      </c>
      <c r="AI1767">
        <v>1.1200000000000001</v>
      </c>
      <c r="AJ1767" t="s">
        <v>379</v>
      </c>
      <c r="AK1767" s="3"/>
      <c r="AV1767" t="s">
        <v>370</v>
      </c>
      <c r="AX1767" t="s">
        <v>370</v>
      </c>
      <c r="AZ1767" t="s">
        <v>370</v>
      </c>
      <c r="BB1767" t="s">
        <v>370</v>
      </c>
      <c r="BO1767" t="s">
        <v>367</v>
      </c>
      <c r="BR1767">
        <v>132854</v>
      </c>
      <c r="BT1767">
        <v>4</v>
      </c>
      <c r="BU1767">
        <v>17</v>
      </c>
      <c r="BV1767">
        <v>9</v>
      </c>
      <c r="BX1767">
        <v>1.18</v>
      </c>
      <c r="BZ1767">
        <v>1.06</v>
      </c>
      <c r="CK1767" t="s">
        <v>360</v>
      </c>
      <c r="CM1767">
        <v>1911</v>
      </c>
    </row>
    <row r="1768" spans="1:91" x14ac:dyDescent="0.3">
      <c r="A1768" t="s">
        <v>2672</v>
      </c>
      <c r="B1768">
        <v>40521</v>
      </c>
      <c r="D1768">
        <v>12</v>
      </c>
      <c r="I1768">
        <v>10000</v>
      </c>
      <c r="U1768">
        <v>5</v>
      </c>
      <c r="Y1768">
        <v>5</v>
      </c>
      <c r="AA1768">
        <v>3.87</v>
      </c>
      <c r="AC1768" s="3">
        <v>3.87</v>
      </c>
      <c r="AE1768" s="3">
        <v>3.87</v>
      </c>
      <c r="AI1768">
        <v>3.87</v>
      </c>
      <c r="AK1768" s="3"/>
      <c r="BG1768">
        <v>5.25</v>
      </c>
      <c r="BH1768">
        <v>5.25</v>
      </c>
      <c r="BI1768">
        <v>5.25</v>
      </c>
      <c r="BJ1768">
        <v>5.25</v>
      </c>
      <c r="BK1768" s="4">
        <v>3713</v>
      </c>
      <c r="BL1768" s="4">
        <v>3897</v>
      </c>
      <c r="BM1768" s="4">
        <v>4078</v>
      </c>
      <c r="BN1768" s="4">
        <v>4262</v>
      </c>
      <c r="BR1768">
        <v>14390</v>
      </c>
      <c r="BS1768" t="s">
        <v>2673</v>
      </c>
      <c r="BT1768">
        <v>6</v>
      </c>
      <c r="BU1768">
        <v>15</v>
      </c>
      <c r="BV1768">
        <v>6</v>
      </c>
      <c r="BX1768">
        <v>4</v>
      </c>
      <c r="BZ1768">
        <v>3.62</v>
      </c>
      <c r="CK1768" t="s">
        <v>360</v>
      </c>
      <c r="CM1768">
        <v>1911</v>
      </c>
    </row>
    <row r="1769" spans="1:91" x14ac:dyDescent="0.3">
      <c r="A1769" t="s">
        <v>2674</v>
      </c>
      <c r="B1769">
        <v>40523</v>
      </c>
      <c r="D1769">
        <v>12</v>
      </c>
      <c r="I1769">
        <v>105000</v>
      </c>
      <c r="J1769" t="s">
        <v>800</v>
      </c>
      <c r="V1769" t="s">
        <v>350</v>
      </c>
      <c r="Y1769">
        <v>100</v>
      </c>
      <c r="AA1769">
        <v>72.5</v>
      </c>
      <c r="AC1769" s="3">
        <v>72.5</v>
      </c>
      <c r="AE1769" s="3">
        <v>72.5</v>
      </c>
      <c r="AI1769">
        <v>72.5</v>
      </c>
      <c r="AK1769" s="3"/>
      <c r="AV1769" t="s">
        <v>373</v>
      </c>
      <c r="AX1769" t="s">
        <v>373</v>
      </c>
      <c r="AZ1769" t="s">
        <v>373</v>
      </c>
      <c r="BB1769" t="s">
        <v>373</v>
      </c>
      <c r="BO1769" t="s">
        <v>367</v>
      </c>
      <c r="BR1769">
        <v>14390</v>
      </c>
      <c r="BS1769" t="s">
        <v>2673</v>
      </c>
      <c r="BT1769">
        <v>5</v>
      </c>
      <c r="BU1769">
        <v>18</v>
      </c>
      <c r="BV1769">
        <v>3</v>
      </c>
      <c r="BX1769">
        <v>75</v>
      </c>
      <c r="BZ1769">
        <v>72.5</v>
      </c>
      <c r="CM1769">
        <v>1911</v>
      </c>
    </row>
    <row r="1770" spans="1:91" x14ac:dyDescent="0.3">
      <c r="A1770" t="s">
        <v>2675</v>
      </c>
      <c r="B1770">
        <v>40526</v>
      </c>
      <c r="D1770">
        <v>12</v>
      </c>
      <c r="I1770">
        <v>10800</v>
      </c>
      <c r="U1770">
        <v>10</v>
      </c>
      <c r="Y1770">
        <v>10</v>
      </c>
      <c r="AA1770">
        <v>12.25</v>
      </c>
      <c r="AC1770" s="3">
        <v>12.25</v>
      </c>
      <c r="AE1770" s="3">
        <v>12.12</v>
      </c>
      <c r="AI1770">
        <v>12.25</v>
      </c>
      <c r="AK1770" s="3"/>
      <c r="AX1770" t="s">
        <v>823</v>
      </c>
      <c r="BB1770" t="s">
        <v>823</v>
      </c>
      <c r="BG1770">
        <v>15</v>
      </c>
      <c r="BH1770">
        <v>5</v>
      </c>
      <c r="BI1770">
        <v>5</v>
      </c>
      <c r="BJ1770">
        <v>5</v>
      </c>
      <c r="BK1770" s="4">
        <v>3685</v>
      </c>
      <c r="BL1770" s="4">
        <v>3866</v>
      </c>
      <c r="BM1770" s="4">
        <v>4050</v>
      </c>
      <c r="BN1770" s="4">
        <v>4231</v>
      </c>
      <c r="BR1770">
        <v>81753</v>
      </c>
      <c r="BS1770" t="s">
        <v>2676</v>
      </c>
      <c r="BT1770">
        <v>4</v>
      </c>
      <c r="BU1770">
        <v>1</v>
      </c>
      <c r="BV1770">
        <v>9</v>
      </c>
      <c r="BX1770">
        <v>13.5</v>
      </c>
      <c r="BZ1770">
        <v>12.12</v>
      </c>
      <c r="CK1770" t="s">
        <v>399</v>
      </c>
      <c r="CM1770">
        <v>1911</v>
      </c>
    </row>
    <row r="1771" spans="1:91" x14ac:dyDescent="0.3">
      <c r="A1771" t="s">
        <v>2675</v>
      </c>
      <c r="B1771">
        <v>40528</v>
      </c>
      <c r="C1771" t="s">
        <v>2677</v>
      </c>
      <c r="D1771">
        <v>12</v>
      </c>
      <c r="I1771">
        <v>10800</v>
      </c>
      <c r="U1771">
        <v>10</v>
      </c>
      <c r="Y1771">
        <v>10</v>
      </c>
      <c r="AA1771">
        <v>10</v>
      </c>
      <c r="AC1771" s="3">
        <v>10.119999999999999</v>
      </c>
      <c r="AE1771" s="3">
        <v>10</v>
      </c>
      <c r="AI1771">
        <v>10.119999999999999</v>
      </c>
      <c r="AK1771" s="3"/>
      <c r="AV1771" t="s">
        <v>370</v>
      </c>
      <c r="AX1771" t="s">
        <v>370</v>
      </c>
      <c r="AZ1771" t="s">
        <v>370</v>
      </c>
      <c r="BB1771" t="s">
        <v>370</v>
      </c>
      <c r="BO1771" t="s">
        <v>367</v>
      </c>
      <c r="BR1771">
        <v>81753</v>
      </c>
      <c r="BS1771" t="s">
        <v>2676</v>
      </c>
      <c r="BT1771">
        <v>4</v>
      </c>
      <c r="BU1771">
        <v>18</v>
      </c>
      <c r="BV1771">
        <v>9</v>
      </c>
      <c r="BX1771">
        <v>10.25</v>
      </c>
      <c r="BZ1771">
        <v>10</v>
      </c>
      <c r="CM1771">
        <v>1911</v>
      </c>
    </row>
    <row r="1772" spans="1:91" x14ac:dyDescent="0.3">
      <c r="A1772" t="s">
        <v>2675</v>
      </c>
      <c r="B1772">
        <v>40527</v>
      </c>
      <c r="C1772" t="s">
        <v>2659</v>
      </c>
      <c r="D1772">
        <v>12</v>
      </c>
      <c r="I1772">
        <v>108000</v>
      </c>
      <c r="J1772" t="s">
        <v>800</v>
      </c>
      <c r="V1772" t="s">
        <v>350</v>
      </c>
      <c r="Y1772">
        <v>100</v>
      </c>
      <c r="AA1772">
        <v>94</v>
      </c>
      <c r="AC1772" s="3">
        <v>94</v>
      </c>
      <c r="AE1772" s="3">
        <v>94</v>
      </c>
      <c r="AI1772">
        <v>94</v>
      </c>
      <c r="AK1772" s="3"/>
      <c r="AV1772" t="s">
        <v>536</v>
      </c>
      <c r="AX1772" t="s">
        <v>536</v>
      </c>
      <c r="AZ1772" t="s">
        <v>536</v>
      </c>
      <c r="BB1772" t="s">
        <v>536</v>
      </c>
      <c r="BO1772" t="s">
        <v>367</v>
      </c>
      <c r="BR1772">
        <v>81753</v>
      </c>
      <c r="BS1772" t="s">
        <v>2676</v>
      </c>
      <c r="BT1772">
        <v>4</v>
      </c>
      <c r="BU1772">
        <v>6</v>
      </c>
      <c r="BV1772">
        <v>3</v>
      </c>
      <c r="BX1772">
        <v>97</v>
      </c>
      <c r="BZ1772">
        <v>94</v>
      </c>
      <c r="CM1772">
        <v>1911</v>
      </c>
    </row>
    <row r="1773" spans="1:91" x14ac:dyDescent="0.3">
      <c r="A1773" t="s">
        <v>2678</v>
      </c>
      <c r="B1773">
        <v>40531</v>
      </c>
      <c r="D1773">
        <v>12</v>
      </c>
      <c r="I1773">
        <v>100000</v>
      </c>
      <c r="U1773">
        <v>1</v>
      </c>
      <c r="Y1773">
        <v>1</v>
      </c>
      <c r="AA1773">
        <v>1.06</v>
      </c>
      <c r="AC1773" s="3">
        <v>1.0900000000000001</v>
      </c>
      <c r="AE1773" s="3">
        <v>1.06</v>
      </c>
      <c r="AI1773">
        <v>1.06</v>
      </c>
      <c r="AJ1773" t="s">
        <v>379</v>
      </c>
      <c r="AK1773" s="3"/>
      <c r="AV1773" t="s">
        <v>421</v>
      </c>
      <c r="AX1773" t="s">
        <v>421</v>
      </c>
      <c r="AZ1773" t="s">
        <v>421</v>
      </c>
      <c r="BB1773" t="s">
        <v>421</v>
      </c>
      <c r="BO1773" t="s">
        <v>367</v>
      </c>
      <c r="BR1773">
        <v>6772</v>
      </c>
      <c r="BT1773">
        <v>5</v>
      </c>
      <c r="BU1773">
        <v>3</v>
      </c>
      <c r="BV1773">
        <v>6</v>
      </c>
      <c r="BX1773">
        <v>1.0900000000000001</v>
      </c>
      <c r="BZ1773">
        <v>1</v>
      </c>
      <c r="CM1773">
        <v>1911</v>
      </c>
    </row>
    <row r="1774" spans="1:91" x14ac:dyDescent="0.3">
      <c r="A1774" t="s">
        <v>2679</v>
      </c>
      <c r="B1774">
        <v>40561</v>
      </c>
      <c r="D1774">
        <v>12</v>
      </c>
      <c r="I1774">
        <v>630000</v>
      </c>
      <c r="V1774" t="s">
        <v>350</v>
      </c>
      <c r="Y1774">
        <v>100</v>
      </c>
      <c r="AA1774">
        <v>131</v>
      </c>
      <c r="AC1774" s="3">
        <v>131</v>
      </c>
      <c r="AE1774" s="3">
        <v>126.5</v>
      </c>
      <c r="AI1774">
        <v>127</v>
      </c>
      <c r="AK1774" s="3"/>
      <c r="AV1774" t="s">
        <v>385</v>
      </c>
      <c r="BH1774">
        <v>8</v>
      </c>
      <c r="BI1774">
        <v>8</v>
      </c>
      <c r="BJ1774">
        <v>8</v>
      </c>
      <c r="BL1774" s="4">
        <v>4019</v>
      </c>
      <c r="BM1774" s="4">
        <v>4200</v>
      </c>
      <c r="BN1774" s="4">
        <v>4384</v>
      </c>
      <c r="BR1774">
        <v>116079</v>
      </c>
      <c r="BS1774" t="s">
        <v>2680</v>
      </c>
      <c r="BT1774">
        <v>6</v>
      </c>
      <c r="BU1774">
        <v>6</v>
      </c>
      <c r="BV1774">
        <v>0</v>
      </c>
      <c r="BX1774">
        <v>137</v>
      </c>
      <c r="BZ1774">
        <v>124.5</v>
      </c>
      <c r="CK1774" t="s">
        <v>360</v>
      </c>
      <c r="CM1774">
        <v>1911</v>
      </c>
    </row>
    <row r="1775" spans="1:91" x14ac:dyDescent="0.3">
      <c r="A1775" t="s">
        <v>2679</v>
      </c>
      <c r="B1775">
        <v>50892</v>
      </c>
      <c r="C1775" t="s">
        <v>2681</v>
      </c>
      <c r="D1775">
        <v>12</v>
      </c>
      <c r="I1775">
        <v>218750</v>
      </c>
      <c r="V1775" t="s">
        <v>350</v>
      </c>
      <c r="Y1775">
        <v>100</v>
      </c>
      <c r="AA1775">
        <v>118</v>
      </c>
      <c r="AC1775" s="3">
        <v>118.75</v>
      </c>
      <c r="AE1775" s="3">
        <v>115</v>
      </c>
      <c r="AI1775">
        <v>116</v>
      </c>
      <c r="AK1775" s="3"/>
      <c r="AV1775" t="s">
        <v>385</v>
      </c>
      <c r="AX1775" t="s">
        <v>385</v>
      </c>
      <c r="AZ1775" t="s">
        <v>385</v>
      </c>
      <c r="BB1775" t="s">
        <v>815</v>
      </c>
      <c r="BJ1775">
        <v>6</v>
      </c>
      <c r="BL1775" t="s">
        <v>811</v>
      </c>
      <c r="BM1775" t="s">
        <v>811</v>
      </c>
      <c r="BN1775" s="4">
        <v>4200</v>
      </c>
      <c r="BR1775">
        <v>116079</v>
      </c>
      <c r="BS1775" t="s">
        <v>2680</v>
      </c>
      <c r="BT1775">
        <v>5</v>
      </c>
      <c r="BU1775">
        <v>3</v>
      </c>
      <c r="BV1775">
        <v>6</v>
      </c>
      <c r="BX1775">
        <v>126</v>
      </c>
      <c r="BZ1775">
        <v>72.5</v>
      </c>
      <c r="CM1775">
        <v>1911</v>
      </c>
    </row>
    <row r="1776" spans="1:91" x14ac:dyDescent="0.3">
      <c r="A1776" t="s">
        <v>2679</v>
      </c>
      <c r="B1776">
        <v>40554</v>
      </c>
      <c r="C1776" t="s">
        <v>2682</v>
      </c>
      <c r="D1776">
        <v>12</v>
      </c>
      <c r="I1776">
        <v>8000</v>
      </c>
      <c r="U1776">
        <v>10</v>
      </c>
      <c r="Y1776">
        <v>10</v>
      </c>
      <c r="AA1776">
        <v>14.5</v>
      </c>
      <c r="AC1776" s="3">
        <v>14.75</v>
      </c>
      <c r="AE1776" s="3">
        <v>14.5</v>
      </c>
      <c r="AI1776">
        <v>14.5</v>
      </c>
      <c r="AK1776" s="3"/>
      <c r="BG1776">
        <v>8</v>
      </c>
      <c r="BH1776">
        <v>8</v>
      </c>
      <c r="BI1776">
        <v>8</v>
      </c>
      <c r="BJ1776">
        <v>8</v>
      </c>
      <c r="BK1776" s="4">
        <v>3835</v>
      </c>
      <c r="BL1776" s="4">
        <v>4019</v>
      </c>
      <c r="BM1776" s="4">
        <v>4200</v>
      </c>
      <c r="BN1776" s="4">
        <v>4384</v>
      </c>
      <c r="BR1776">
        <v>116079</v>
      </c>
      <c r="BS1776" t="s">
        <v>2680</v>
      </c>
      <c r="BT1776">
        <v>5</v>
      </c>
      <c r="BU1776">
        <v>10</v>
      </c>
      <c r="BV1776">
        <v>3</v>
      </c>
      <c r="BX1776">
        <v>15.43</v>
      </c>
      <c r="BZ1776">
        <v>14.43</v>
      </c>
      <c r="CM1776">
        <v>1911</v>
      </c>
    </row>
    <row r="1777" spans="1:91" x14ac:dyDescent="0.3">
      <c r="A1777" t="s">
        <v>2679</v>
      </c>
      <c r="B1777">
        <v>40556</v>
      </c>
      <c r="C1777" t="s">
        <v>2683</v>
      </c>
      <c r="D1777">
        <v>12</v>
      </c>
      <c r="I1777">
        <v>15000</v>
      </c>
      <c r="U1777">
        <v>10</v>
      </c>
      <c r="Y1777">
        <v>10</v>
      </c>
      <c r="AA1777">
        <v>11.75</v>
      </c>
      <c r="AC1777" s="3">
        <v>11.75</v>
      </c>
      <c r="AE1777" s="3">
        <v>11.5</v>
      </c>
      <c r="AI1777">
        <v>11.5</v>
      </c>
      <c r="AK1777" s="3"/>
      <c r="BG1777">
        <v>6</v>
      </c>
      <c r="BH1777">
        <v>6</v>
      </c>
      <c r="BI1777">
        <v>6</v>
      </c>
      <c r="BJ1777">
        <v>6</v>
      </c>
      <c r="BK1777" s="4">
        <v>3835</v>
      </c>
      <c r="BL1777" s="4">
        <v>4019</v>
      </c>
      <c r="BM1777" s="4">
        <v>4200</v>
      </c>
      <c r="BN1777" s="4">
        <v>4384</v>
      </c>
      <c r="BR1777">
        <v>116079</v>
      </c>
      <c r="BS1777" t="s">
        <v>2680</v>
      </c>
      <c r="BT1777">
        <v>5</v>
      </c>
      <c r="BU1777">
        <v>4</v>
      </c>
      <c r="BV1777">
        <v>3</v>
      </c>
      <c r="BX1777">
        <v>12.25</v>
      </c>
      <c r="BZ1777">
        <v>11.5</v>
      </c>
      <c r="CM1777">
        <v>1911</v>
      </c>
    </row>
    <row r="1778" spans="1:91" x14ac:dyDescent="0.3">
      <c r="A1778" t="s">
        <v>2679</v>
      </c>
      <c r="B1778">
        <v>40559</v>
      </c>
      <c r="C1778" t="s">
        <v>2684</v>
      </c>
      <c r="D1778">
        <v>12</v>
      </c>
      <c r="I1778">
        <v>450000</v>
      </c>
      <c r="J1778" t="s">
        <v>800</v>
      </c>
      <c r="V1778" t="s">
        <v>350</v>
      </c>
      <c r="Y1778">
        <v>100</v>
      </c>
      <c r="AA1778">
        <v>104</v>
      </c>
      <c r="AC1778" s="3">
        <v>104</v>
      </c>
      <c r="AE1778" s="3">
        <v>102</v>
      </c>
      <c r="AI1778">
        <v>102</v>
      </c>
      <c r="AJ1778" t="s">
        <v>379</v>
      </c>
      <c r="AK1778" s="3"/>
      <c r="AV1778" t="s">
        <v>370</v>
      </c>
      <c r="AX1778" t="s">
        <v>370</v>
      </c>
      <c r="AZ1778" t="s">
        <v>370</v>
      </c>
      <c r="BB1778" t="s">
        <v>370</v>
      </c>
      <c r="BO1778" t="s">
        <v>367</v>
      </c>
      <c r="BR1778">
        <v>116079</v>
      </c>
      <c r="BS1778" t="s">
        <v>2680</v>
      </c>
      <c r="BT1778">
        <v>4</v>
      </c>
      <c r="BU1778">
        <v>8</v>
      </c>
      <c r="BV1778">
        <v>3</v>
      </c>
      <c r="BX1778">
        <v>104.5</v>
      </c>
      <c r="BZ1778">
        <v>101</v>
      </c>
      <c r="CM1778">
        <v>1911</v>
      </c>
    </row>
    <row r="1779" spans="1:91" x14ac:dyDescent="0.3">
      <c r="A1779" t="s">
        <v>2685</v>
      </c>
      <c r="B1779">
        <v>40592</v>
      </c>
      <c r="D1779">
        <v>12</v>
      </c>
      <c r="I1779">
        <v>500000</v>
      </c>
      <c r="U1779">
        <v>1</v>
      </c>
      <c r="Y1779">
        <v>1</v>
      </c>
      <c r="AA1779">
        <v>1.06</v>
      </c>
      <c r="AC1779" s="3">
        <v>1.06</v>
      </c>
      <c r="AE1779" s="3">
        <v>1</v>
      </c>
      <c r="AI1779">
        <v>1.03</v>
      </c>
      <c r="AK1779" s="3"/>
      <c r="AV1779" t="s">
        <v>366</v>
      </c>
      <c r="AX1779" t="s">
        <v>366</v>
      </c>
      <c r="AZ1779" t="s">
        <v>366</v>
      </c>
      <c r="BB1779" t="s">
        <v>366</v>
      </c>
      <c r="BO1779" t="s">
        <v>367</v>
      </c>
      <c r="BR1779">
        <v>201472</v>
      </c>
      <c r="BT1779">
        <v>4</v>
      </c>
      <c r="BU1779">
        <v>17</v>
      </c>
      <c r="BV1779">
        <v>0</v>
      </c>
      <c r="BX1779">
        <v>1.1200000000000001</v>
      </c>
      <c r="BZ1779">
        <v>1</v>
      </c>
      <c r="CK1779" t="s">
        <v>360</v>
      </c>
      <c r="CM1779">
        <v>1911</v>
      </c>
    </row>
    <row r="1780" spans="1:91" x14ac:dyDescent="0.3">
      <c r="A1780" t="s">
        <v>2686</v>
      </c>
      <c r="B1780">
        <v>40532</v>
      </c>
      <c r="D1780">
        <v>12</v>
      </c>
      <c r="I1780">
        <v>192232</v>
      </c>
      <c r="U1780">
        <v>10</v>
      </c>
      <c r="Y1780">
        <v>10</v>
      </c>
      <c r="AA1780">
        <v>7.12</v>
      </c>
      <c r="AC1780" s="3">
        <v>8.1199999999999992</v>
      </c>
      <c r="AE1780" s="3">
        <v>7.06</v>
      </c>
      <c r="AI1780">
        <v>8</v>
      </c>
      <c r="AK1780" s="3"/>
      <c r="AV1780" t="s">
        <v>385</v>
      </c>
      <c r="AX1780" t="s">
        <v>385</v>
      </c>
      <c r="AZ1780" t="s">
        <v>385</v>
      </c>
      <c r="BB1780" t="s">
        <v>385</v>
      </c>
      <c r="BR1780">
        <v>505033</v>
      </c>
      <c r="BS1780" t="s">
        <v>2687</v>
      </c>
      <c r="BW1780" t="s">
        <v>802</v>
      </c>
      <c r="BX1780">
        <v>8.43</v>
      </c>
      <c r="BZ1780">
        <v>4.5</v>
      </c>
      <c r="CK1780" t="s">
        <v>360</v>
      </c>
      <c r="CM1780">
        <v>1911</v>
      </c>
    </row>
    <row r="1781" spans="1:91" x14ac:dyDescent="0.3">
      <c r="A1781" t="s">
        <v>2686</v>
      </c>
      <c r="B1781">
        <v>40533</v>
      </c>
      <c r="C1781" t="s">
        <v>2688</v>
      </c>
      <c r="D1781">
        <v>12</v>
      </c>
      <c r="I1781">
        <v>216154</v>
      </c>
      <c r="U1781">
        <v>10</v>
      </c>
      <c r="Y1781">
        <v>10</v>
      </c>
      <c r="AA1781">
        <v>8.25</v>
      </c>
      <c r="AC1781" s="3">
        <v>8.5299999999999994</v>
      </c>
      <c r="AE1781" s="3">
        <v>8.1199999999999992</v>
      </c>
      <c r="AI1781">
        <v>8.3699999999999992</v>
      </c>
      <c r="AK1781" s="3"/>
      <c r="BG1781">
        <v>5.5</v>
      </c>
      <c r="BH1781">
        <v>5.5</v>
      </c>
      <c r="BI1781">
        <v>5.5</v>
      </c>
      <c r="BJ1781">
        <v>5.5</v>
      </c>
      <c r="BK1781" s="4">
        <v>3744</v>
      </c>
      <c r="BL1781" s="4">
        <v>3927</v>
      </c>
      <c r="BM1781" s="4">
        <v>4109</v>
      </c>
      <c r="BN1781" s="4">
        <v>4292</v>
      </c>
      <c r="BR1781">
        <v>505033</v>
      </c>
      <c r="BS1781" t="s">
        <v>2687</v>
      </c>
      <c r="BT1781">
        <v>6</v>
      </c>
      <c r="BU1781">
        <v>11</v>
      </c>
      <c r="BV1781">
        <v>3</v>
      </c>
      <c r="BX1781">
        <v>9.1199999999999992</v>
      </c>
      <c r="BZ1781">
        <v>7.75</v>
      </c>
      <c r="CM1781">
        <v>1911</v>
      </c>
    </row>
    <row r="1782" spans="1:91" x14ac:dyDescent="0.3">
      <c r="A1782" t="s">
        <v>2686</v>
      </c>
      <c r="B1782">
        <v>40534</v>
      </c>
      <c r="C1782" t="s">
        <v>2689</v>
      </c>
      <c r="D1782">
        <v>12</v>
      </c>
      <c r="I1782" s="2">
        <v>2327110</v>
      </c>
      <c r="J1782" t="s">
        <v>800</v>
      </c>
      <c r="V1782" t="s">
        <v>350</v>
      </c>
      <c r="Y1782">
        <v>100</v>
      </c>
      <c r="AA1782">
        <v>94</v>
      </c>
      <c r="AC1782" s="3">
        <v>94.75</v>
      </c>
      <c r="AE1782" s="3">
        <v>93.62</v>
      </c>
      <c r="AI1782">
        <v>94.5</v>
      </c>
      <c r="AK1782" s="3"/>
      <c r="AV1782" t="s">
        <v>370</v>
      </c>
      <c r="AX1782" t="s">
        <v>370</v>
      </c>
      <c r="AZ1782" t="s">
        <v>370</v>
      </c>
      <c r="BB1782" t="s">
        <v>370</v>
      </c>
      <c r="BO1782" t="s">
        <v>367</v>
      </c>
      <c r="BR1782">
        <v>505033</v>
      </c>
      <c r="BS1782" t="s">
        <v>2687</v>
      </c>
      <c r="BT1782">
        <v>4</v>
      </c>
      <c r="BU1782">
        <v>11</v>
      </c>
      <c r="BV1782">
        <v>0</v>
      </c>
      <c r="BX1782">
        <v>95.75</v>
      </c>
      <c r="BZ1782">
        <v>87</v>
      </c>
      <c r="CM1782">
        <v>1911</v>
      </c>
    </row>
    <row r="1783" spans="1:91" x14ac:dyDescent="0.3">
      <c r="A1783" t="s">
        <v>2686</v>
      </c>
      <c r="B1783">
        <v>40535</v>
      </c>
      <c r="C1783" t="s">
        <v>2690</v>
      </c>
      <c r="D1783">
        <v>12</v>
      </c>
      <c r="I1783">
        <v>600000</v>
      </c>
      <c r="J1783" t="s">
        <v>800</v>
      </c>
      <c r="V1783" t="s">
        <v>350</v>
      </c>
      <c r="Y1783">
        <v>100</v>
      </c>
      <c r="AA1783">
        <v>92</v>
      </c>
      <c r="AC1783" s="3">
        <v>92.5</v>
      </c>
      <c r="AE1783" s="3">
        <v>91.5</v>
      </c>
      <c r="AI1783">
        <v>92.5</v>
      </c>
      <c r="AJ1783" t="s">
        <v>379</v>
      </c>
      <c r="AK1783" s="3"/>
      <c r="AV1783" t="s">
        <v>366</v>
      </c>
      <c r="AX1783" t="s">
        <v>366</v>
      </c>
      <c r="AZ1783" t="s">
        <v>366</v>
      </c>
      <c r="BB1783" t="s">
        <v>366</v>
      </c>
      <c r="BO1783" t="s">
        <v>367</v>
      </c>
      <c r="BR1783">
        <v>505033</v>
      </c>
      <c r="BS1783" t="s">
        <v>2687</v>
      </c>
      <c r="BT1783">
        <v>5</v>
      </c>
      <c r="BU1783">
        <v>8</v>
      </c>
      <c r="BV1783">
        <v>0</v>
      </c>
      <c r="BY1783" t="s">
        <v>385</v>
      </c>
      <c r="CA1783" t="s">
        <v>385</v>
      </c>
      <c r="CM1783">
        <v>1911</v>
      </c>
    </row>
    <row r="1784" spans="1:91" x14ac:dyDescent="0.3">
      <c r="A1784" t="s">
        <v>2691</v>
      </c>
      <c r="B1784">
        <v>50783</v>
      </c>
      <c r="D1784">
        <v>12</v>
      </c>
      <c r="I1784">
        <v>932500</v>
      </c>
      <c r="J1784" t="s">
        <v>800</v>
      </c>
      <c r="V1784" t="s">
        <v>350</v>
      </c>
      <c r="Y1784">
        <v>100</v>
      </c>
      <c r="AA1784">
        <v>96.5</v>
      </c>
      <c r="AC1784" s="3">
        <v>102</v>
      </c>
      <c r="AE1784" s="3">
        <v>96.5</v>
      </c>
      <c r="AI1784">
        <v>96.5</v>
      </c>
      <c r="AJ1784" t="s">
        <v>379</v>
      </c>
      <c r="AK1784" s="3"/>
      <c r="AV1784" t="s">
        <v>823</v>
      </c>
      <c r="AZ1784" t="s">
        <v>823</v>
      </c>
      <c r="BG1784">
        <v>6</v>
      </c>
      <c r="BH1784">
        <v>6</v>
      </c>
      <c r="BI1784">
        <v>6</v>
      </c>
      <c r="BJ1784">
        <v>8</v>
      </c>
      <c r="BK1784" s="4">
        <v>3866</v>
      </c>
      <c r="BL1784" s="4">
        <v>4050</v>
      </c>
      <c r="BM1784" s="4">
        <v>4200</v>
      </c>
      <c r="BN1784" s="4">
        <v>4353</v>
      </c>
      <c r="BR1784">
        <v>274986</v>
      </c>
      <c r="BT1784">
        <v>7</v>
      </c>
      <c r="BU1784">
        <v>5</v>
      </c>
      <c r="BV1784">
        <v>0</v>
      </c>
      <c r="BX1784">
        <v>102</v>
      </c>
      <c r="BZ1784">
        <v>89.5</v>
      </c>
      <c r="CM1784">
        <v>1911</v>
      </c>
    </row>
    <row r="1785" spans="1:91" x14ac:dyDescent="0.3">
      <c r="A1785" t="s">
        <v>2692</v>
      </c>
      <c r="B1785">
        <v>40707</v>
      </c>
      <c r="D1785">
        <v>12</v>
      </c>
      <c r="I1785">
        <v>250000</v>
      </c>
      <c r="U1785">
        <v>1</v>
      </c>
      <c r="Y1785">
        <v>1</v>
      </c>
      <c r="AA1785">
        <v>1.0900000000000001</v>
      </c>
      <c r="AC1785" s="3">
        <v>1.1200000000000001</v>
      </c>
      <c r="AE1785" s="3">
        <v>1.0900000000000001</v>
      </c>
      <c r="AI1785">
        <v>1.0900000000000001</v>
      </c>
      <c r="AK1785" s="3"/>
      <c r="AV1785" t="s">
        <v>823</v>
      </c>
      <c r="AZ1785" t="s">
        <v>823</v>
      </c>
      <c r="BG1785">
        <v>8</v>
      </c>
      <c r="BH1785">
        <v>10</v>
      </c>
      <c r="BI1785">
        <v>8</v>
      </c>
      <c r="BJ1785">
        <v>10</v>
      </c>
      <c r="BK1785" s="4">
        <v>3654</v>
      </c>
      <c r="BL1785" s="4">
        <v>3835</v>
      </c>
      <c r="BM1785" s="4">
        <v>4019</v>
      </c>
      <c r="BN1785" s="4">
        <v>4200</v>
      </c>
      <c r="BR1785">
        <v>40744</v>
      </c>
      <c r="BS1785" t="s">
        <v>2693</v>
      </c>
      <c r="BT1785">
        <v>8</v>
      </c>
      <c r="BU1785">
        <v>4</v>
      </c>
      <c r="BV1785">
        <v>9</v>
      </c>
      <c r="BX1785">
        <v>1.1499999999999999</v>
      </c>
      <c r="BZ1785">
        <v>1.03</v>
      </c>
      <c r="CK1785" t="s">
        <v>360</v>
      </c>
      <c r="CM1785">
        <v>1911</v>
      </c>
    </row>
    <row r="1786" spans="1:91" x14ac:dyDescent="0.3">
      <c r="A1786" t="s">
        <v>2694</v>
      </c>
      <c r="B1786">
        <v>40706</v>
      </c>
      <c r="C1786" t="s">
        <v>1365</v>
      </c>
      <c r="D1786">
        <v>12</v>
      </c>
      <c r="I1786">
        <v>75000</v>
      </c>
      <c r="U1786">
        <v>5</v>
      </c>
      <c r="Y1786">
        <v>5</v>
      </c>
      <c r="AA1786">
        <v>5.68</v>
      </c>
      <c r="AB1786" t="s">
        <v>379</v>
      </c>
      <c r="AC1786" s="3">
        <v>5.71</v>
      </c>
      <c r="AE1786" s="3">
        <v>5.5</v>
      </c>
      <c r="AI1786">
        <v>5.68</v>
      </c>
      <c r="AK1786" s="3"/>
      <c r="AV1786" t="s">
        <v>356</v>
      </c>
      <c r="AX1786" t="s">
        <v>356</v>
      </c>
      <c r="AZ1786" t="s">
        <v>356</v>
      </c>
      <c r="BB1786" t="s">
        <v>356</v>
      </c>
      <c r="BO1786" t="s">
        <v>352</v>
      </c>
      <c r="BR1786">
        <v>40744</v>
      </c>
      <c r="BS1786" t="s">
        <v>2693</v>
      </c>
      <c r="BT1786">
        <v>6</v>
      </c>
      <c r="BU1786">
        <v>3</v>
      </c>
      <c r="BV1786">
        <v>0</v>
      </c>
      <c r="BX1786">
        <v>6.18</v>
      </c>
      <c r="BZ1786">
        <v>5.34</v>
      </c>
      <c r="CM1786">
        <v>1911</v>
      </c>
    </row>
    <row r="1787" spans="1:91" x14ac:dyDescent="0.3">
      <c r="A1787" t="s">
        <v>2695</v>
      </c>
      <c r="B1787">
        <v>40712</v>
      </c>
      <c r="D1787">
        <v>12</v>
      </c>
      <c r="I1787">
        <v>216200</v>
      </c>
      <c r="U1787">
        <v>1</v>
      </c>
      <c r="Y1787">
        <v>1</v>
      </c>
      <c r="AA1787">
        <v>0.46</v>
      </c>
      <c r="AC1787" s="3">
        <v>0.46</v>
      </c>
      <c r="AE1787" s="3">
        <v>0.46</v>
      </c>
      <c r="AI1787">
        <v>0.46</v>
      </c>
      <c r="AK1787" s="3"/>
      <c r="AX1787" t="s">
        <v>823</v>
      </c>
      <c r="BB1787" t="s">
        <v>823</v>
      </c>
      <c r="BG1787">
        <v>5</v>
      </c>
      <c r="BH1787">
        <v>4.16</v>
      </c>
      <c r="BI1787">
        <v>4.16</v>
      </c>
      <c r="BJ1787">
        <v>3.33</v>
      </c>
      <c r="BK1787" s="4">
        <v>3713</v>
      </c>
      <c r="BL1787" s="4">
        <v>3897</v>
      </c>
      <c r="BM1787" s="4">
        <v>4078</v>
      </c>
      <c r="BN1787" s="4">
        <v>4262</v>
      </c>
      <c r="BR1787">
        <v>5781</v>
      </c>
      <c r="BT1787">
        <v>8</v>
      </c>
      <c r="BU1787">
        <v>0</v>
      </c>
      <c r="BV1787">
        <v>0</v>
      </c>
      <c r="BX1787">
        <v>0.56000000000000005</v>
      </c>
      <c r="BZ1787">
        <v>0.43</v>
      </c>
      <c r="CK1787" t="s">
        <v>360</v>
      </c>
      <c r="CL1787" t="s">
        <v>457</v>
      </c>
      <c r="CM1787">
        <v>1911</v>
      </c>
    </row>
    <row r="1788" spans="1:91" x14ac:dyDescent="0.3">
      <c r="A1788" t="s">
        <v>2696</v>
      </c>
      <c r="B1788">
        <v>40742</v>
      </c>
      <c r="D1788">
        <v>12</v>
      </c>
      <c r="I1788">
        <v>200000</v>
      </c>
      <c r="U1788">
        <v>1</v>
      </c>
      <c r="Y1788">
        <v>1</v>
      </c>
      <c r="AA1788">
        <v>0.56000000000000005</v>
      </c>
      <c r="AC1788" s="3">
        <v>0.56000000000000005</v>
      </c>
      <c r="AE1788" s="3">
        <v>0.56000000000000005</v>
      </c>
      <c r="AI1788">
        <v>0.56000000000000005</v>
      </c>
      <c r="AK1788" s="3"/>
      <c r="AX1788" t="s">
        <v>823</v>
      </c>
      <c r="BB1788" t="s">
        <v>823</v>
      </c>
      <c r="BG1788">
        <v>6</v>
      </c>
      <c r="BH1788">
        <v>5</v>
      </c>
      <c r="BI1788">
        <v>5</v>
      </c>
      <c r="BJ1788">
        <v>4</v>
      </c>
      <c r="BK1788" s="4">
        <v>3713</v>
      </c>
      <c r="BL1788" s="4">
        <v>3897</v>
      </c>
      <c r="BM1788" s="4">
        <v>4078</v>
      </c>
      <c r="BN1788" s="4">
        <v>4262</v>
      </c>
      <c r="BR1788">
        <v>15439</v>
      </c>
      <c r="BT1788">
        <v>8</v>
      </c>
      <c r="BU1788">
        <v>0</v>
      </c>
      <c r="BV1788">
        <v>0</v>
      </c>
      <c r="BX1788">
        <v>0.75</v>
      </c>
      <c r="BZ1788">
        <v>0.5</v>
      </c>
      <c r="CK1788" t="s">
        <v>360</v>
      </c>
      <c r="CM1788">
        <v>1911</v>
      </c>
    </row>
    <row r="1789" spans="1:91" x14ac:dyDescent="0.3">
      <c r="A1789" t="s">
        <v>2697</v>
      </c>
      <c r="B1789">
        <v>40751</v>
      </c>
      <c r="D1789">
        <v>12</v>
      </c>
      <c r="I1789">
        <v>14000</v>
      </c>
      <c r="U1789">
        <v>5</v>
      </c>
      <c r="Y1789">
        <v>5</v>
      </c>
      <c r="AA1789">
        <v>4.75</v>
      </c>
      <c r="AC1789" s="3">
        <v>4.75</v>
      </c>
      <c r="AE1789" s="3">
        <v>4.62</v>
      </c>
      <c r="AI1789">
        <v>4.75</v>
      </c>
      <c r="AK1789" s="3"/>
      <c r="AX1789" t="s">
        <v>823</v>
      </c>
      <c r="BB1789" t="s">
        <v>823</v>
      </c>
      <c r="BG1789">
        <v>8</v>
      </c>
      <c r="BH1789">
        <v>8</v>
      </c>
      <c r="BI1789">
        <v>8</v>
      </c>
      <c r="BJ1789">
        <v>8</v>
      </c>
      <c r="BK1789" s="4">
        <v>3744</v>
      </c>
      <c r="BL1789" s="4">
        <v>3927</v>
      </c>
      <c r="BM1789" s="4">
        <v>4109</v>
      </c>
      <c r="BN1789" s="4">
        <v>4292</v>
      </c>
      <c r="BR1789">
        <v>32879</v>
      </c>
      <c r="BS1789" t="s">
        <v>2698</v>
      </c>
      <c r="BT1789">
        <v>8</v>
      </c>
      <c r="BU1789">
        <v>8</v>
      </c>
      <c r="BV1789">
        <v>6</v>
      </c>
      <c r="BX1789">
        <v>5</v>
      </c>
      <c r="BZ1789">
        <v>4.37</v>
      </c>
      <c r="CK1789" t="s">
        <v>360</v>
      </c>
      <c r="CM1789">
        <v>1911</v>
      </c>
    </row>
    <row r="1790" spans="1:91" x14ac:dyDescent="0.3">
      <c r="A1790" t="s">
        <v>2697</v>
      </c>
      <c r="B1790">
        <v>40752</v>
      </c>
      <c r="C1790" t="s">
        <v>2699</v>
      </c>
      <c r="D1790">
        <v>12</v>
      </c>
      <c r="I1790">
        <v>15000</v>
      </c>
      <c r="U1790">
        <v>5</v>
      </c>
      <c r="Y1790">
        <v>5</v>
      </c>
      <c r="AA1790">
        <v>3.87</v>
      </c>
      <c r="AC1790" s="3">
        <v>4</v>
      </c>
      <c r="AE1790" s="3">
        <v>3.87</v>
      </c>
      <c r="AI1790">
        <v>3.87</v>
      </c>
      <c r="AK1790" s="3"/>
      <c r="AX1790" t="s">
        <v>823</v>
      </c>
      <c r="BB1790" t="s">
        <v>823</v>
      </c>
      <c r="BG1790">
        <v>8</v>
      </c>
      <c r="BH1790">
        <v>8</v>
      </c>
      <c r="BI1790">
        <v>8</v>
      </c>
      <c r="BJ1790">
        <v>8</v>
      </c>
      <c r="BK1790" s="4">
        <v>3744</v>
      </c>
      <c r="BL1790" s="4">
        <v>3927</v>
      </c>
      <c r="BM1790" s="4">
        <v>4109</v>
      </c>
      <c r="BN1790" s="4">
        <v>4292</v>
      </c>
      <c r="BR1790">
        <v>32879</v>
      </c>
      <c r="BS1790" t="s">
        <v>2698</v>
      </c>
      <c r="BT1790">
        <v>10</v>
      </c>
      <c r="BU1790">
        <v>6</v>
      </c>
      <c r="BV1790">
        <v>6</v>
      </c>
      <c r="BX1790">
        <v>4</v>
      </c>
      <c r="BZ1790">
        <v>3.43</v>
      </c>
      <c r="CM1790">
        <v>1911</v>
      </c>
    </row>
    <row r="1791" spans="1:91" x14ac:dyDescent="0.3">
      <c r="A1791" t="s">
        <v>2700</v>
      </c>
      <c r="B1791">
        <v>40775</v>
      </c>
      <c r="D1791">
        <v>12</v>
      </c>
      <c r="I1791">
        <v>250000</v>
      </c>
      <c r="J1791" t="s">
        <v>800</v>
      </c>
      <c r="V1791" t="s">
        <v>350</v>
      </c>
      <c r="Y1791">
        <v>100</v>
      </c>
      <c r="AA1791">
        <v>95.5</v>
      </c>
      <c r="AC1791" s="3">
        <v>95.5</v>
      </c>
      <c r="AE1791" s="3">
        <v>95.5</v>
      </c>
      <c r="AI1791">
        <v>95.5</v>
      </c>
      <c r="AK1791" s="3"/>
      <c r="AV1791" t="s">
        <v>366</v>
      </c>
      <c r="AX1791" t="s">
        <v>366</v>
      </c>
      <c r="AZ1791" t="s">
        <v>366</v>
      </c>
      <c r="BB1791" t="s">
        <v>366</v>
      </c>
      <c r="BO1791" t="s">
        <v>367</v>
      </c>
      <c r="BS1791" t="s">
        <v>385</v>
      </c>
      <c r="BT1791">
        <v>3</v>
      </c>
      <c r="BU1791">
        <v>19</v>
      </c>
      <c r="BV1791">
        <v>0</v>
      </c>
      <c r="BX1791">
        <v>97.5</v>
      </c>
      <c r="BZ1791">
        <v>95.5</v>
      </c>
      <c r="CK1791" t="s">
        <v>360</v>
      </c>
      <c r="CM1791">
        <v>1911</v>
      </c>
    </row>
    <row r="1792" spans="1:91" x14ac:dyDescent="0.3">
      <c r="A1792" t="s">
        <v>2700</v>
      </c>
      <c r="B1792">
        <v>40776</v>
      </c>
      <c r="C1792" t="s">
        <v>2701</v>
      </c>
      <c r="D1792">
        <v>12</v>
      </c>
      <c r="I1792">
        <v>125000</v>
      </c>
      <c r="J1792" t="s">
        <v>800</v>
      </c>
      <c r="V1792" t="s">
        <v>350</v>
      </c>
      <c r="Y1792">
        <v>100</v>
      </c>
      <c r="AA1792">
        <v>102</v>
      </c>
      <c r="AC1792" s="3">
        <v>102.75</v>
      </c>
      <c r="AE1792" s="3">
        <v>102</v>
      </c>
      <c r="AI1792">
        <v>102</v>
      </c>
      <c r="AK1792" s="3"/>
      <c r="AV1792" t="s">
        <v>366</v>
      </c>
      <c r="AX1792" t="s">
        <v>366</v>
      </c>
      <c r="AZ1792" t="s">
        <v>366</v>
      </c>
      <c r="BB1792" t="s">
        <v>366</v>
      </c>
      <c r="BO1792" t="s">
        <v>367</v>
      </c>
      <c r="BS1792" t="s">
        <v>385</v>
      </c>
      <c r="BT1792">
        <v>4</v>
      </c>
      <c r="BU1792">
        <v>9</v>
      </c>
      <c r="BV1792">
        <v>0</v>
      </c>
      <c r="BX1792">
        <v>103</v>
      </c>
      <c r="BZ1792">
        <v>101</v>
      </c>
      <c r="CM1792">
        <v>1911</v>
      </c>
    </row>
    <row r="1793" spans="1:91" x14ac:dyDescent="0.3">
      <c r="A1793" t="s">
        <v>2702</v>
      </c>
      <c r="B1793">
        <v>40743</v>
      </c>
      <c r="D1793">
        <v>12</v>
      </c>
      <c r="I1793">
        <v>230000</v>
      </c>
      <c r="U1793">
        <v>1</v>
      </c>
      <c r="Y1793">
        <v>1</v>
      </c>
      <c r="AA1793">
        <v>1.62</v>
      </c>
      <c r="AC1793" s="3">
        <v>1.68</v>
      </c>
      <c r="AE1793" s="3">
        <v>1.56</v>
      </c>
      <c r="AI1793">
        <v>1.62</v>
      </c>
      <c r="AK1793" s="3"/>
      <c r="AX1793" t="s">
        <v>823</v>
      </c>
      <c r="BB1793" t="s">
        <v>823</v>
      </c>
      <c r="BG1793">
        <v>13.33</v>
      </c>
      <c r="BH1793">
        <v>6.66</v>
      </c>
      <c r="BI1793">
        <v>13.33</v>
      </c>
      <c r="BJ1793">
        <v>6.66</v>
      </c>
      <c r="BK1793" s="4">
        <v>3744</v>
      </c>
      <c r="BL1793" s="4">
        <v>3927</v>
      </c>
      <c r="BM1793" s="4">
        <v>4109</v>
      </c>
      <c r="BN1793" s="4">
        <v>4292</v>
      </c>
      <c r="BR1793">
        <v>133612</v>
      </c>
      <c r="BS1793" t="s">
        <v>2703</v>
      </c>
      <c r="BT1793">
        <v>6</v>
      </c>
      <c r="BU1793">
        <v>3</v>
      </c>
      <c r="BV1793">
        <v>0</v>
      </c>
      <c r="BX1793">
        <v>1.81</v>
      </c>
      <c r="BZ1793">
        <v>1.31</v>
      </c>
      <c r="CK1793" t="s">
        <v>360</v>
      </c>
      <c r="CM1793">
        <v>1911</v>
      </c>
    </row>
    <row r="1794" spans="1:91" x14ac:dyDescent="0.3">
      <c r="A1794" t="s">
        <v>2704</v>
      </c>
      <c r="B1794">
        <v>40745</v>
      </c>
      <c r="C1794" t="s">
        <v>2688</v>
      </c>
      <c r="D1794">
        <v>12</v>
      </c>
      <c r="I1794">
        <v>37000</v>
      </c>
      <c r="U1794">
        <v>5</v>
      </c>
      <c r="Y1794">
        <v>5</v>
      </c>
      <c r="AA1794">
        <v>6</v>
      </c>
      <c r="AC1794" s="3">
        <v>6.18</v>
      </c>
      <c r="AE1794" s="3">
        <v>6</v>
      </c>
      <c r="AI1794">
        <v>6</v>
      </c>
      <c r="AK1794" s="3"/>
      <c r="AV1794" t="s">
        <v>536</v>
      </c>
      <c r="AX1794" t="s">
        <v>536</v>
      </c>
      <c r="AZ1794" t="s">
        <v>536</v>
      </c>
      <c r="BB1794" t="s">
        <v>536</v>
      </c>
      <c r="BO1794" t="s">
        <v>367</v>
      </c>
      <c r="BR1794">
        <v>133612</v>
      </c>
      <c r="BS1794" t="s">
        <v>2703</v>
      </c>
      <c r="BT1794">
        <v>4</v>
      </c>
      <c r="BU1794">
        <v>11</v>
      </c>
      <c r="BV1794">
        <v>9</v>
      </c>
      <c r="BX1794">
        <v>6.18</v>
      </c>
      <c r="BZ1794">
        <v>5.12</v>
      </c>
      <c r="CM1794">
        <v>1911</v>
      </c>
    </row>
    <row r="1795" spans="1:91" x14ac:dyDescent="0.3">
      <c r="A1795" t="s">
        <v>2704</v>
      </c>
      <c r="B1795">
        <v>40744</v>
      </c>
      <c r="C1795" t="s">
        <v>1222</v>
      </c>
      <c r="D1795">
        <v>12</v>
      </c>
      <c r="I1795">
        <v>150000</v>
      </c>
      <c r="J1795" t="s">
        <v>800</v>
      </c>
      <c r="V1795" t="s">
        <v>350</v>
      </c>
      <c r="Y1795">
        <v>100</v>
      </c>
      <c r="AA1795">
        <v>109</v>
      </c>
      <c r="AC1795" s="3">
        <v>109</v>
      </c>
      <c r="AE1795" s="3">
        <v>108</v>
      </c>
      <c r="AI1795">
        <v>108</v>
      </c>
      <c r="AJ1795" t="s">
        <v>379</v>
      </c>
      <c r="AK1795" s="3"/>
      <c r="AV1795" t="s">
        <v>370</v>
      </c>
      <c r="AX1795" t="s">
        <v>370</v>
      </c>
      <c r="AZ1795" t="s">
        <v>370</v>
      </c>
      <c r="BB1795" t="s">
        <v>370</v>
      </c>
      <c r="BO1795" t="s">
        <v>367</v>
      </c>
      <c r="BR1795">
        <v>133612</v>
      </c>
      <c r="BS1795" t="s">
        <v>2703</v>
      </c>
      <c r="BT1795">
        <v>4</v>
      </c>
      <c r="BU1795">
        <v>3</v>
      </c>
      <c r="BV1795">
        <v>3</v>
      </c>
      <c r="BX1795">
        <v>110.75</v>
      </c>
      <c r="BZ1795">
        <v>106</v>
      </c>
      <c r="CM1795">
        <v>1911</v>
      </c>
    </row>
    <row r="1796" spans="1:91" x14ac:dyDescent="0.3">
      <c r="A1796" t="s">
        <v>2704</v>
      </c>
      <c r="B1796">
        <v>40747</v>
      </c>
      <c r="C1796" t="s">
        <v>1176</v>
      </c>
      <c r="D1796">
        <v>12</v>
      </c>
      <c r="I1796">
        <v>250000</v>
      </c>
      <c r="J1796" t="s">
        <v>800</v>
      </c>
      <c r="V1796" t="s">
        <v>350</v>
      </c>
      <c r="Y1796">
        <v>100</v>
      </c>
      <c r="AA1796">
        <v>91.5</v>
      </c>
      <c r="AC1796" s="3">
        <v>91.5</v>
      </c>
      <c r="AE1796" s="3">
        <v>90.5</v>
      </c>
      <c r="AI1796">
        <v>90.5</v>
      </c>
      <c r="AJ1796" t="s">
        <v>379</v>
      </c>
      <c r="AK1796" s="3"/>
      <c r="AV1796" t="s">
        <v>370</v>
      </c>
      <c r="AX1796" t="s">
        <v>370</v>
      </c>
      <c r="AZ1796" t="s">
        <v>370</v>
      </c>
      <c r="BB1796" t="s">
        <v>370</v>
      </c>
      <c r="BO1796" t="s">
        <v>367</v>
      </c>
      <c r="BR1796">
        <v>133612</v>
      </c>
      <c r="BS1796" t="s">
        <v>2703</v>
      </c>
      <c r="BT1796">
        <v>4</v>
      </c>
      <c r="BU1796">
        <v>8</v>
      </c>
      <c r="BV1796">
        <v>6</v>
      </c>
      <c r="BX1796">
        <v>94.5</v>
      </c>
      <c r="BZ1796">
        <v>90.5</v>
      </c>
      <c r="CM1796">
        <v>1911</v>
      </c>
    </row>
    <row r="1797" spans="1:91" x14ac:dyDescent="0.3">
      <c r="A1797" t="s">
        <v>2705</v>
      </c>
      <c r="B1797">
        <v>40819</v>
      </c>
      <c r="D1797">
        <v>12</v>
      </c>
      <c r="I1797">
        <v>210671</v>
      </c>
      <c r="U1797">
        <v>1</v>
      </c>
      <c r="Y1797">
        <v>1</v>
      </c>
      <c r="AA1797">
        <v>1.46</v>
      </c>
      <c r="AC1797" s="3">
        <v>1.46</v>
      </c>
      <c r="AE1797" s="3">
        <v>1.43</v>
      </c>
      <c r="AI1797">
        <v>1.43</v>
      </c>
      <c r="AK1797" s="3"/>
      <c r="AX1797" t="s">
        <v>823</v>
      </c>
      <c r="BB1797" t="s">
        <v>823</v>
      </c>
      <c r="BG1797">
        <v>8</v>
      </c>
      <c r="BH1797">
        <v>8</v>
      </c>
      <c r="BI1797">
        <v>8</v>
      </c>
      <c r="BJ1797">
        <v>8</v>
      </c>
      <c r="BK1797" s="4">
        <v>3713</v>
      </c>
      <c r="BL1797" s="4">
        <v>3897</v>
      </c>
      <c r="BM1797" s="4">
        <v>4078</v>
      </c>
      <c r="BN1797" s="4">
        <v>4262</v>
      </c>
      <c r="BR1797">
        <v>87803</v>
      </c>
      <c r="BS1797" t="s">
        <v>2706</v>
      </c>
      <c r="BT1797">
        <v>5</v>
      </c>
      <c r="BU1797">
        <v>11</v>
      </c>
      <c r="BV1797">
        <v>3</v>
      </c>
      <c r="BX1797">
        <v>1.56</v>
      </c>
      <c r="BZ1797">
        <v>1.37</v>
      </c>
      <c r="CK1797" t="s">
        <v>399</v>
      </c>
      <c r="CM1797">
        <v>1911</v>
      </c>
    </row>
    <row r="1798" spans="1:91" x14ac:dyDescent="0.3">
      <c r="A1798" t="s">
        <v>2705</v>
      </c>
      <c r="B1798">
        <v>40817</v>
      </c>
      <c r="C1798" t="s">
        <v>2102</v>
      </c>
      <c r="D1798">
        <v>12</v>
      </c>
      <c r="I1798">
        <v>210664</v>
      </c>
      <c r="U1798">
        <v>1</v>
      </c>
      <c r="Y1798">
        <v>1</v>
      </c>
      <c r="AA1798">
        <v>1.0900000000000001</v>
      </c>
      <c r="AC1798" s="3">
        <v>1.0900000000000001</v>
      </c>
      <c r="AE1798" s="3">
        <v>1.0900000000000001</v>
      </c>
      <c r="AI1798">
        <v>1.0900000000000001</v>
      </c>
      <c r="AK1798" s="3"/>
      <c r="AV1798" t="s">
        <v>373</v>
      </c>
      <c r="AX1798" t="s">
        <v>373</v>
      </c>
      <c r="AZ1798" t="s">
        <v>373</v>
      </c>
      <c r="BB1798" t="s">
        <v>373</v>
      </c>
      <c r="BO1798" t="s">
        <v>367</v>
      </c>
      <c r="BR1798">
        <v>87803</v>
      </c>
      <c r="BS1798" t="s">
        <v>2706</v>
      </c>
      <c r="BT1798">
        <v>4</v>
      </c>
      <c r="BU1798">
        <v>11</v>
      </c>
      <c r="BV1798">
        <v>6</v>
      </c>
      <c r="BX1798">
        <v>1.0900000000000001</v>
      </c>
      <c r="BZ1798">
        <v>1.06</v>
      </c>
      <c r="CM1798">
        <v>1911</v>
      </c>
    </row>
    <row r="1799" spans="1:91" x14ac:dyDescent="0.3">
      <c r="A1799" t="s">
        <v>2705</v>
      </c>
      <c r="B1799">
        <v>40815</v>
      </c>
      <c r="C1799" t="s">
        <v>684</v>
      </c>
      <c r="D1799">
        <v>12</v>
      </c>
      <c r="I1799">
        <v>240000</v>
      </c>
      <c r="J1799" t="s">
        <v>800</v>
      </c>
      <c r="V1799" t="s">
        <v>350</v>
      </c>
      <c r="Y1799">
        <v>100</v>
      </c>
      <c r="AA1799">
        <v>99</v>
      </c>
      <c r="AC1799" s="3">
        <v>99</v>
      </c>
      <c r="AE1799" s="3">
        <v>97</v>
      </c>
      <c r="AI1799">
        <v>97</v>
      </c>
      <c r="AJ1799" t="s">
        <v>379</v>
      </c>
      <c r="AK1799" s="3"/>
      <c r="AV1799" t="s">
        <v>370</v>
      </c>
      <c r="AX1799" t="s">
        <v>370</v>
      </c>
      <c r="AZ1799" t="s">
        <v>370</v>
      </c>
      <c r="BB1799" t="s">
        <v>370</v>
      </c>
      <c r="BO1799" t="s">
        <v>367</v>
      </c>
      <c r="BR1799">
        <v>87803</v>
      </c>
      <c r="BS1799" t="s">
        <v>2706</v>
      </c>
      <c r="BT1799">
        <v>4</v>
      </c>
      <c r="BU1799">
        <v>2</v>
      </c>
      <c r="BV1799">
        <v>6</v>
      </c>
      <c r="BX1799">
        <v>100</v>
      </c>
      <c r="BZ1799">
        <v>97</v>
      </c>
      <c r="CM1799">
        <v>1911</v>
      </c>
    </row>
    <row r="1800" spans="1:91" x14ac:dyDescent="0.3">
      <c r="A1800" t="s">
        <v>2707</v>
      </c>
      <c r="B1800">
        <v>40842</v>
      </c>
      <c r="D1800">
        <v>12</v>
      </c>
      <c r="I1800">
        <v>584000</v>
      </c>
      <c r="U1800">
        <v>1</v>
      </c>
      <c r="Y1800">
        <v>1</v>
      </c>
      <c r="AA1800">
        <v>0.4</v>
      </c>
      <c r="AC1800" s="3">
        <v>0.43</v>
      </c>
      <c r="AE1800" s="3">
        <v>0.4</v>
      </c>
      <c r="AI1800">
        <v>0.4</v>
      </c>
      <c r="AK1800" s="3"/>
      <c r="AV1800" t="s">
        <v>815</v>
      </c>
      <c r="AX1800" t="s">
        <v>815</v>
      </c>
      <c r="AZ1800" t="s">
        <v>815</v>
      </c>
      <c r="BB1800" t="s">
        <v>815</v>
      </c>
      <c r="BG1800">
        <v>2.5</v>
      </c>
      <c r="BH1800">
        <v>2.5</v>
      </c>
      <c r="BI1800">
        <v>2.5</v>
      </c>
      <c r="BJ1800">
        <v>2.5</v>
      </c>
      <c r="BK1800" s="4">
        <v>2648</v>
      </c>
      <c r="BL1800" s="4">
        <v>3014</v>
      </c>
      <c r="BM1800" s="4">
        <v>3744</v>
      </c>
      <c r="BN1800" s="4">
        <v>4109</v>
      </c>
      <c r="BR1800">
        <v>70291</v>
      </c>
      <c r="BS1800" t="s">
        <v>2708</v>
      </c>
      <c r="BT1800">
        <v>6</v>
      </c>
      <c r="BU1800">
        <v>3</v>
      </c>
      <c r="BV1800">
        <v>0</v>
      </c>
      <c r="BX1800">
        <v>0.43</v>
      </c>
      <c r="BZ1800">
        <v>0.28000000000000003</v>
      </c>
      <c r="CK1800" t="s">
        <v>1081</v>
      </c>
      <c r="CM1800">
        <v>1911</v>
      </c>
    </row>
    <row r="1801" spans="1:91" x14ac:dyDescent="0.3">
      <c r="A1801" t="s">
        <v>2707</v>
      </c>
      <c r="B1801">
        <v>40844</v>
      </c>
      <c r="C1801" t="s">
        <v>803</v>
      </c>
      <c r="D1801">
        <v>12</v>
      </c>
      <c r="I1801">
        <v>35000</v>
      </c>
      <c r="U1801">
        <v>10</v>
      </c>
      <c r="Y1801">
        <v>10</v>
      </c>
      <c r="AA1801">
        <v>7.06</v>
      </c>
      <c r="AC1801" s="3">
        <v>7.06</v>
      </c>
      <c r="AE1801" s="3">
        <v>6.87</v>
      </c>
      <c r="AI1801">
        <v>7</v>
      </c>
      <c r="AK1801" s="3"/>
      <c r="BG1801">
        <v>6</v>
      </c>
      <c r="BH1801">
        <v>6</v>
      </c>
      <c r="BI1801">
        <v>6</v>
      </c>
      <c r="BJ1801">
        <v>6</v>
      </c>
      <c r="BK1801" s="4">
        <v>3685</v>
      </c>
      <c r="BL1801" s="4">
        <v>3866</v>
      </c>
      <c r="BM1801" s="4">
        <v>4050</v>
      </c>
      <c r="BN1801" s="4">
        <v>4231</v>
      </c>
      <c r="BR1801">
        <v>70291</v>
      </c>
      <c r="BS1801" t="s">
        <v>2708</v>
      </c>
      <c r="BT1801">
        <v>8</v>
      </c>
      <c r="BU1801">
        <v>11</v>
      </c>
      <c r="BV1801">
        <v>6</v>
      </c>
      <c r="BX1801">
        <v>7.37</v>
      </c>
      <c r="BZ1801">
        <v>6.31</v>
      </c>
      <c r="CM1801">
        <v>1911</v>
      </c>
    </row>
    <row r="1802" spans="1:91" x14ac:dyDescent="0.3">
      <c r="A1802" t="s">
        <v>2707</v>
      </c>
      <c r="B1802">
        <v>40843</v>
      </c>
      <c r="C1802" t="s">
        <v>718</v>
      </c>
      <c r="D1802">
        <v>12</v>
      </c>
      <c r="I1802">
        <v>150000</v>
      </c>
      <c r="J1802" t="s">
        <v>800</v>
      </c>
      <c r="V1802" t="s">
        <v>350</v>
      </c>
      <c r="Y1802">
        <v>100</v>
      </c>
      <c r="AA1802">
        <v>79</v>
      </c>
      <c r="AC1802" s="3">
        <v>79</v>
      </c>
      <c r="AE1802" s="3">
        <v>78.37</v>
      </c>
      <c r="AI1802">
        <v>78.37</v>
      </c>
      <c r="AK1802" s="3"/>
      <c r="AV1802" t="s">
        <v>506</v>
      </c>
      <c r="AX1802" t="s">
        <v>506</v>
      </c>
      <c r="AZ1802" t="s">
        <v>506</v>
      </c>
      <c r="BB1802" t="s">
        <v>506</v>
      </c>
      <c r="BO1802" t="s">
        <v>367</v>
      </c>
      <c r="BR1802">
        <v>70291</v>
      </c>
      <c r="BS1802" t="s">
        <v>2708</v>
      </c>
      <c r="BT1802">
        <v>5</v>
      </c>
      <c r="BU1802">
        <v>3</v>
      </c>
      <c r="BV1802">
        <v>3</v>
      </c>
      <c r="BX1802">
        <v>80</v>
      </c>
      <c r="BZ1802">
        <v>77</v>
      </c>
      <c r="CM1802">
        <v>1911</v>
      </c>
    </row>
    <row r="1803" spans="1:91" x14ac:dyDescent="0.3">
      <c r="A1803" t="s">
        <v>2709</v>
      </c>
      <c r="B1803">
        <v>40882</v>
      </c>
      <c r="D1803">
        <v>12</v>
      </c>
      <c r="I1803">
        <v>22709</v>
      </c>
      <c r="U1803">
        <v>10</v>
      </c>
      <c r="Y1803">
        <v>10</v>
      </c>
      <c r="AA1803">
        <v>9.75</v>
      </c>
      <c r="AC1803" s="3">
        <v>9.75</v>
      </c>
      <c r="AE1803" s="3">
        <v>9.5</v>
      </c>
      <c r="AI1803">
        <v>9.5</v>
      </c>
      <c r="AK1803" s="3"/>
      <c r="AX1803" t="s">
        <v>823</v>
      </c>
      <c r="BB1803" t="s">
        <v>823</v>
      </c>
      <c r="BG1803">
        <v>5</v>
      </c>
      <c r="BH1803">
        <v>5</v>
      </c>
      <c r="BI1803">
        <v>5</v>
      </c>
      <c r="BJ1803">
        <v>5</v>
      </c>
      <c r="BK1803" s="4">
        <v>3713</v>
      </c>
      <c r="BL1803" s="4">
        <v>3897</v>
      </c>
      <c r="BM1803" s="4">
        <v>4078</v>
      </c>
      <c r="BN1803" s="4">
        <v>4262</v>
      </c>
      <c r="BR1803">
        <v>25352</v>
      </c>
      <c r="BT1803">
        <v>5</v>
      </c>
      <c r="BU1803">
        <v>5</v>
      </c>
      <c r="BV1803">
        <v>3</v>
      </c>
      <c r="BX1803">
        <v>10.25</v>
      </c>
      <c r="BZ1803">
        <v>9.25</v>
      </c>
      <c r="CK1803" t="s">
        <v>2710</v>
      </c>
      <c r="CM1803">
        <v>1911</v>
      </c>
    </row>
    <row r="1804" spans="1:91" x14ac:dyDescent="0.3">
      <c r="A1804" t="s">
        <v>2711</v>
      </c>
      <c r="B1804">
        <v>40942</v>
      </c>
      <c r="D1804">
        <v>12</v>
      </c>
      <c r="I1804">
        <v>87000</v>
      </c>
      <c r="U1804">
        <v>1</v>
      </c>
      <c r="Y1804">
        <v>1</v>
      </c>
      <c r="AA1804">
        <v>1</v>
      </c>
      <c r="AC1804" s="3">
        <v>1</v>
      </c>
      <c r="AE1804" s="3">
        <v>1</v>
      </c>
      <c r="AI1804">
        <v>1</v>
      </c>
      <c r="AK1804" s="3"/>
      <c r="AV1804" t="s">
        <v>823</v>
      </c>
      <c r="AZ1804" t="s">
        <v>823</v>
      </c>
      <c r="BG1804">
        <v>6</v>
      </c>
      <c r="BH1804">
        <v>6</v>
      </c>
      <c r="BI1804">
        <v>6</v>
      </c>
      <c r="BJ1804">
        <v>6</v>
      </c>
      <c r="BK1804" s="4">
        <v>3654</v>
      </c>
      <c r="BL1804" s="4">
        <v>3835</v>
      </c>
      <c r="BM1804" s="4">
        <v>4019</v>
      </c>
      <c r="BN1804" s="4">
        <v>4200</v>
      </c>
      <c r="BR1804">
        <v>30377</v>
      </c>
      <c r="BT1804">
        <v>6</v>
      </c>
      <c r="BU1804">
        <v>0</v>
      </c>
      <c r="BV1804">
        <v>0</v>
      </c>
      <c r="BX1804">
        <v>1.03</v>
      </c>
      <c r="BZ1804">
        <v>0.93</v>
      </c>
      <c r="CK1804" t="s">
        <v>360</v>
      </c>
      <c r="CM1804">
        <v>1911</v>
      </c>
    </row>
    <row r="1805" spans="1:91" x14ac:dyDescent="0.3">
      <c r="A1805" t="s">
        <v>2712</v>
      </c>
      <c r="B1805">
        <v>40954</v>
      </c>
      <c r="D1805">
        <v>12</v>
      </c>
      <c r="I1805">
        <v>139373</v>
      </c>
      <c r="U1805">
        <v>1</v>
      </c>
      <c r="Y1805">
        <v>1</v>
      </c>
      <c r="AA1805">
        <v>1.5</v>
      </c>
      <c r="AC1805" s="3">
        <v>1.56</v>
      </c>
      <c r="AE1805" s="3">
        <v>1.4</v>
      </c>
      <c r="AI1805">
        <v>1.56</v>
      </c>
      <c r="AK1805" s="3"/>
      <c r="AX1805" t="s">
        <v>823</v>
      </c>
      <c r="BB1805" t="s">
        <v>823</v>
      </c>
      <c r="BG1805">
        <v>20</v>
      </c>
      <c r="BH1805">
        <v>10</v>
      </c>
      <c r="BI1805">
        <v>15</v>
      </c>
      <c r="BJ1805">
        <v>10</v>
      </c>
      <c r="BK1805" s="4">
        <v>3744</v>
      </c>
      <c r="BL1805" s="4">
        <v>3866</v>
      </c>
      <c r="BM1805" s="4">
        <v>4109</v>
      </c>
      <c r="BN1805" s="4">
        <v>4231</v>
      </c>
      <c r="BR1805">
        <v>79630</v>
      </c>
      <c r="BT1805">
        <v>8</v>
      </c>
      <c r="BU1805">
        <v>0</v>
      </c>
      <c r="BV1805">
        <v>0</v>
      </c>
      <c r="BX1805">
        <v>1.84</v>
      </c>
      <c r="BZ1805">
        <v>1.31</v>
      </c>
      <c r="CK1805" t="s">
        <v>360</v>
      </c>
      <c r="CM1805">
        <v>1911</v>
      </c>
    </row>
    <row r="1806" spans="1:91" x14ac:dyDescent="0.3">
      <c r="A1806" t="s">
        <v>2713</v>
      </c>
      <c r="B1806">
        <v>40951</v>
      </c>
      <c r="D1806">
        <v>12</v>
      </c>
      <c r="I1806">
        <v>83080</v>
      </c>
      <c r="U1806">
        <v>1</v>
      </c>
      <c r="Y1806">
        <v>1</v>
      </c>
      <c r="AA1806">
        <v>1</v>
      </c>
      <c r="AC1806" s="3">
        <v>1.1200000000000001</v>
      </c>
      <c r="AE1806" s="3">
        <v>1</v>
      </c>
      <c r="AI1806">
        <v>1.1200000000000001</v>
      </c>
      <c r="AK1806" s="3"/>
      <c r="AV1806" t="s">
        <v>815</v>
      </c>
      <c r="AX1806" t="s">
        <v>815</v>
      </c>
      <c r="AZ1806" t="s">
        <v>815</v>
      </c>
      <c r="BB1806" t="s">
        <v>815</v>
      </c>
      <c r="BG1806">
        <v>6</v>
      </c>
      <c r="BH1806">
        <v>8</v>
      </c>
      <c r="BI1806">
        <v>8</v>
      </c>
      <c r="BJ1806">
        <v>8</v>
      </c>
      <c r="BK1806" s="4">
        <v>3014</v>
      </c>
      <c r="BL1806" s="4">
        <v>3379</v>
      </c>
      <c r="BM1806" s="4">
        <v>3744</v>
      </c>
      <c r="BN1806" s="4">
        <v>4109</v>
      </c>
      <c r="BR1806">
        <v>36103</v>
      </c>
      <c r="BT1806">
        <v>7</v>
      </c>
      <c r="BU1806">
        <v>2</v>
      </c>
      <c r="BV1806">
        <v>3</v>
      </c>
      <c r="BX1806">
        <v>1.1499999999999999</v>
      </c>
      <c r="BZ1806">
        <v>0.93</v>
      </c>
      <c r="CK1806" t="s">
        <v>360</v>
      </c>
      <c r="CM1806">
        <v>1911</v>
      </c>
    </row>
    <row r="1807" spans="1:91" x14ac:dyDescent="0.3">
      <c r="A1807" t="s">
        <v>2714</v>
      </c>
      <c r="B1807">
        <v>40956</v>
      </c>
      <c r="D1807">
        <v>12</v>
      </c>
      <c r="I1807">
        <v>107833</v>
      </c>
      <c r="U1807">
        <v>1</v>
      </c>
      <c r="Y1807">
        <v>1</v>
      </c>
      <c r="AA1807">
        <v>1.31</v>
      </c>
      <c r="AB1807" t="s">
        <v>379</v>
      </c>
      <c r="AC1807" s="3">
        <v>1.31</v>
      </c>
      <c r="AE1807" s="3">
        <v>1.25</v>
      </c>
      <c r="AI1807">
        <v>1.25</v>
      </c>
      <c r="AK1807" s="3"/>
      <c r="AV1807" t="s">
        <v>823</v>
      </c>
      <c r="AZ1807" t="s">
        <v>823</v>
      </c>
      <c r="BG1807">
        <v>6</v>
      </c>
      <c r="BH1807">
        <v>14</v>
      </c>
      <c r="BI1807">
        <v>6</v>
      </c>
      <c r="BJ1807">
        <v>14</v>
      </c>
      <c r="BK1807" s="4">
        <v>3774</v>
      </c>
      <c r="BL1807" s="4">
        <v>3958</v>
      </c>
      <c r="BM1807" s="4">
        <v>4139</v>
      </c>
      <c r="BN1807" s="4">
        <v>4323</v>
      </c>
      <c r="BR1807">
        <v>32553</v>
      </c>
      <c r="BT1807">
        <v>8</v>
      </c>
      <c r="BU1807">
        <v>0</v>
      </c>
      <c r="BV1807">
        <v>0</v>
      </c>
      <c r="BX1807">
        <v>1.37</v>
      </c>
      <c r="BZ1807">
        <v>1.18</v>
      </c>
      <c r="CM1807">
        <v>1911</v>
      </c>
    </row>
    <row r="1808" spans="1:91" x14ac:dyDescent="0.3">
      <c r="A1808" t="s">
        <v>2715</v>
      </c>
      <c r="B1808">
        <v>40972</v>
      </c>
      <c r="D1808">
        <v>12</v>
      </c>
      <c r="I1808">
        <v>166667</v>
      </c>
      <c r="U1808">
        <v>1</v>
      </c>
      <c r="Y1808">
        <v>1</v>
      </c>
      <c r="AA1808">
        <v>1.56</v>
      </c>
      <c r="AC1808" s="3">
        <v>1.56</v>
      </c>
      <c r="AE1808" s="3">
        <v>1.56</v>
      </c>
      <c r="AI1808">
        <v>1.56</v>
      </c>
      <c r="AK1808" s="3"/>
      <c r="AX1808" t="s">
        <v>823</v>
      </c>
      <c r="BB1808" t="s">
        <v>823</v>
      </c>
      <c r="BG1808">
        <v>12.5</v>
      </c>
      <c r="BH1808">
        <v>7.5</v>
      </c>
      <c r="BI1808">
        <v>12.5</v>
      </c>
      <c r="BJ1808">
        <v>7.5</v>
      </c>
      <c r="BK1808" s="4">
        <v>3774</v>
      </c>
      <c r="BL1808" s="4">
        <v>3958</v>
      </c>
      <c r="BM1808" s="4">
        <v>4139</v>
      </c>
      <c r="BN1808" s="4">
        <v>4323</v>
      </c>
      <c r="BR1808">
        <v>69964</v>
      </c>
      <c r="BS1808" t="s">
        <v>2716</v>
      </c>
      <c r="BT1808">
        <v>6</v>
      </c>
      <c r="BU1808">
        <v>8</v>
      </c>
      <c r="BV1808">
        <v>0</v>
      </c>
      <c r="BX1808">
        <v>1.56</v>
      </c>
      <c r="BZ1808">
        <v>1.46</v>
      </c>
      <c r="CM1808">
        <v>1911</v>
      </c>
    </row>
    <row r="1809" spans="1:91" x14ac:dyDescent="0.3">
      <c r="A1809" t="s">
        <v>2715</v>
      </c>
      <c r="B1809">
        <v>40973</v>
      </c>
      <c r="C1809" t="s">
        <v>803</v>
      </c>
      <c r="D1809">
        <v>12</v>
      </c>
      <c r="I1809">
        <v>20000</v>
      </c>
      <c r="U1809">
        <v>5</v>
      </c>
      <c r="Y1809">
        <v>5</v>
      </c>
      <c r="AA1809">
        <v>5.75</v>
      </c>
      <c r="AC1809" s="3">
        <v>5.75</v>
      </c>
      <c r="AE1809" s="3">
        <v>5.75</v>
      </c>
      <c r="AI1809">
        <v>5.75</v>
      </c>
      <c r="AK1809" s="3"/>
      <c r="AV1809" t="s">
        <v>366</v>
      </c>
      <c r="AX1809" t="s">
        <v>366</v>
      </c>
      <c r="AZ1809" t="s">
        <v>366</v>
      </c>
      <c r="BB1809" t="s">
        <v>366</v>
      </c>
      <c r="BO1809" t="s">
        <v>367</v>
      </c>
      <c r="BR1809">
        <v>69964</v>
      </c>
      <c r="BS1809" t="s">
        <v>2716</v>
      </c>
      <c r="BT1809">
        <v>5</v>
      </c>
      <c r="BU1809">
        <v>4</v>
      </c>
      <c r="BV1809">
        <v>3</v>
      </c>
      <c r="BX1809">
        <v>6.12</v>
      </c>
      <c r="BZ1809">
        <v>5.68</v>
      </c>
      <c r="CM1809">
        <v>1911</v>
      </c>
    </row>
    <row r="1810" spans="1:91" x14ac:dyDescent="0.3">
      <c r="A1810" t="s">
        <v>2717</v>
      </c>
      <c r="B1810">
        <v>40993</v>
      </c>
      <c r="D1810">
        <v>12</v>
      </c>
      <c r="I1810">
        <v>25000</v>
      </c>
      <c r="U1810">
        <v>10</v>
      </c>
      <c r="Y1810">
        <v>10</v>
      </c>
      <c r="AA1810">
        <v>7.75</v>
      </c>
      <c r="AC1810" s="3">
        <v>7.75</v>
      </c>
      <c r="AE1810" s="3">
        <v>7.56</v>
      </c>
      <c r="AI1810">
        <v>7.75</v>
      </c>
      <c r="AK1810" s="3"/>
      <c r="AV1810" t="s">
        <v>536</v>
      </c>
      <c r="AX1810" t="s">
        <v>536</v>
      </c>
      <c r="AZ1810" t="s">
        <v>536</v>
      </c>
      <c r="BB1810" t="s">
        <v>536</v>
      </c>
      <c r="BO1810" t="s">
        <v>367</v>
      </c>
      <c r="BR1810">
        <v>136852</v>
      </c>
      <c r="BS1810" t="s">
        <v>2718</v>
      </c>
      <c r="BT1810">
        <v>6</v>
      </c>
      <c r="BU1810">
        <v>9</v>
      </c>
      <c r="BV1810">
        <v>0</v>
      </c>
      <c r="BX1810">
        <v>8.25</v>
      </c>
      <c r="BZ1810">
        <v>7.56</v>
      </c>
      <c r="CK1810" t="s">
        <v>360</v>
      </c>
      <c r="CM1810">
        <v>1911</v>
      </c>
    </row>
    <row r="1811" spans="1:91" x14ac:dyDescent="0.3">
      <c r="A1811" t="s">
        <v>2717</v>
      </c>
      <c r="B1811">
        <v>40994</v>
      </c>
      <c r="C1811" t="s">
        <v>974</v>
      </c>
      <c r="D1811">
        <v>12</v>
      </c>
      <c r="I1811">
        <v>160000</v>
      </c>
      <c r="J1811" t="s">
        <v>800</v>
      </c>
      <c r="V1811" t="s">
        <v>350</v>
      </c>
      <c r="Y1811">
        <v>100</v>
      </c>
      <c r="AA1811">
        <v>93.5</v>
      </c>
      <c r="AC1811" s="3">
        <v>93.5</v>
      </c>
      <c r="AE1811" s="3">
        <v>93.5</v>
      </c>
      <c r="AI1811">
        <v>93.5</v>
      </c>
      <c r="AK1811" s="3"/>
      <c r="AV1811" t="s">
        <v>373</v>
      </c>
      <c r="AX1811" t="s">
        <v>373</v>
      </c>
      <c r="AZ1811" t="s">
        <v>373</v>
      </c>
      <c r="BB1811" t="s">
        <v>373</v>
      </c>
      <c r="BO1811" t="s">
        <v>367</v>
      </c>
      <c r="BR1811">
        <v>136852</v>
      </c>
      <c r="BS1811" t="s">
        <v>2718</v>
      </c>
      <c r="BT1811">
        <v>4</v>
      </c>
      <c r="BU1811">
        <v>6</v>
      </c>
      <c r="BV1811">
        <v>6</v>
      </c>
      <c r="BX1811">
        <v>96.5</v>
      </c>
      <c r="BZ1811">
        <v>92.25</v>
      </c>
      <c r="CM1811">
        <v>1911</v>
      </c>
    </row>
    <row r="1812" spans="1:91" x14ac:dyDescent="0.3">
      <c r="A1812" t="s">
        <v>2719</v>
      </c>
      <c r="B1812">
        <v>41022</v>
      </c>
      <c r="D1812">
        <v>12</v>
      </c>
      <c r="I1812">
        <v>29173</v>
      </c>
      <c r="U1812">
        <v>10</v>
      </c>
      <c r="Y1812">
        <v>10</v>
      </c>
      <c r="AA1812">
        <v>12.12</v>
      </c>
      <c r="AC1812" s="3">
        <v>12.25</v>
      </c>
      <c r="AE1812" s="3">
        <v>11.87</v>
      </c>
      <c r="AI1812">
        <v>12.25</v>
      </c>
      <c r="AK1812" s="3"/>
      <c r="AX1812" t="s">
        <v>823</v>
      </c>
      <c r="BB1812" t="s">
        <v>823</v>
      </c>
      <c r="BG1812">
        <v>6</v>
      </c>
      <c r="BH1812">
        <v>6</v>
      </c>
      <c r="BI1812">
        <v>6</v>
      </c>
      <c r="BJ1812">
        <v>6</v>
      </c>
      <c r="BK1812" s="4">
        <v>3685</v>
      </c>
      <c r="BL1812" s="4">
        <v>3866</v>
      </c>
      <c r="BM1812" s="4">
        <v>4050</v>
      </c>
      <c r="BN1812" s="4">
        <v>4231</v>
      </c>
      <c r="BR1812">
        <v>8828</v>
      </c>
      <c r="BS1812" t="s">
        <v>2720</v>
      </c>
      <c r="BT1812">
        <v>4</v>
      </c>
      <c r="BU1812">
        <v>18</v>
      </c>
      <c r="BV1812">
        <v>0</v>
      </c>
      <c r="BX1812">
        <v>12.75</v>
      </c>
      <c r="BZ1812">
        <v>11.87</v>
      </c>
      <c r="CK1812" t="s">
        <v>360</v>
      </c>
      <c r="CM1812">
        <v>1911</v>
      </c>
    </row>
    <row r="1813" spans="1:91" x14ac:dyDescent="0.3">
      <c r="A1813" t="s">
        <v>2719</v>
      </c>
      <c r="B1813">
        <v>41024</v>
      </c>
      <c r="C1813" t="s">
        <v>1632</v>
      </c>
      <c r="D1813">
        <v>12</v>
      </c>
      <c r="I1813">
        <v>15000</v>
      </c>
      <c r="U1813">
        <v>10</v>
      </c>
      <c r="Y1813">
        <v>10</v>
      </c>
      <c r="AA1813">
        <v>33</v>
      </c>
      <c r="AC1813" s="3">
        <v>33</v>
      </c>
      <c r="AE1813" s="3">
        <v>32</v>
      </c>
      <c r="AI1813">
        <v>32</v>
      </c>
      <c r="AK1813" s="3"/>
      <c r="AX1813" t="s">
        <v>815</v>
      </c>
      <c r="AZ1813" t="s">
        <v>823</v>
      </c>
      <c r="BG1813">
        <v>24</v>
      </c>
      <c r="BH1813">
        <v>10</v>
      </c>
      <c r="BI1813">
        <v>6</v>
      </c>
      <c r="BJ1813">
        <v>24</v>
      </c>
      <c r="BK1813" s="4">
        <v>3379</v>
      </c>
      <c r="BL1813" s="4">
        <v>3744</v>
      </c>
      <c r="BM1813" s="4">
        <v>3927</v>
      </c>
      <c r="BN1813" s="4">
        <v>4109</v>
      </c>
      <c r="BR1813">
        <v>8828</v>
      </c>
      <c r="BS1813" t="s">
        <v>2720</v>
      </c>
      <c r="BT1813">
        <v>4</v>
      </c>
      <c r="BU1813">
        <v>13</v>
      </c>
      <c r="BV1813">
        <v>9</v>
      </c>
      <c r="BX1813">
        <v>33</v>
      </c>
      <c r="BZ1813">
        <v>27.5</v>
      </c>
      <c r="CM1813">
        <v>1911</v>
      </c>
    </row>
    <row r="1814" spans="1:91" x14ac:dyDescent="0.3">
      <c r="A1814" t="s">
        <v>2719</v>
      </c>
      <c r="B1814">
        <v>41025</v>
      </c>
      <c r="C1814" t="s">
        <v>979</v>
      </c>
      <c r="D1814">
        <v>12</v>
      </c>
      <c r="I1814">
        <v>176600</v>
      </c>
      <c r="J1814" t="s">
        <v>800</v>
      </c>
      <c r="U1814">
        <v>100</v>
      </c>
      <c r="Y1814">
        <v>100</v>
      </c>
      <c r="AA1814">
        <v>100</v>
      </c>
      <c r="AC1814" s="3">
        <v>101</v>
      </c>
      <c r="AE1814" s="3">
        <v>100</v>
      </c>
      <c r="AI1814">
        <v>101</v>
      </c>
      <c r="AK1814" s="3"/>
      <c r="AV1814" t="s">
        <v>370</v>
      </c>
      <c r="AX1814" t="s">
        <v>370</v>
      </c>
      <c r="AZ1814" t="s">
        <v>370</v>
      </c>
      <c r="BB1814" t="s">
        <v>370</v>
      </c>
      <c r="BO1814" t="s">
        <v>367</v>
      </c>
      <c r="BR1814">
        <v>8828</v>
      </c>
      <c r="BS1814" t="s">
        <v>2720</v>
      </c>
      <c r="BT1814">
        <v>4</v>
      </c>
      <c r="BU1814">
        <v>10</v>
      </c>
      <c r="BV1814">
        <v>0</v>
      </c>
      <c r="BX1814">
        <v>101.75</v>
      </c>
      <c r="BZ1814">
        <v>98.37</v>
      </c>
      <c r="CM1814">
        <v>1911</v>
      </c>
    </row>
    <row r="1815" spans="1:91" x14ac:dyDescent="0.3">
      <c r="A1815" t="s">
        <v>2721</v>
      </c>
      <c r="B1815">
        <v>41074</v>
      </c>
      <c r="D1815">
        <v>12</v>
      </c>
      <c r="I1815">
        <v>10000</v>
      </c>
      <c r="U1815">
        <v>10</v>
      </c>
      <c r="Y1815">
        <v>10</v>
      </c>
      <c r="AA1815">
        <v>26</v>
      </c>
      <c r="AC1815" s="3">
        <v>26</v>
      </c>
      <c r="AE1815" s="3">
        <v>26</v>
      </c>
      <c r="AI1815">
        <v>26</v>
      </c>
      <c r="AK1815" s="3"/>
      <c r="AX1815" t="s">
        <v>823</v>
      </c>
      <c r="BB1815" t="s">
        <v>823</v>
      </c>
      <c r="BG1815">
        <v>22.5</v>
      </c>
      <c r="BH1815">
        <v>7.5</v>
      </c>
      <c r="BI1815">
        <v>22.5</v>
      </c>
      <c r="BJ1815">
        <v>7.5</v>
      </c>
      <c r="BK1815" s="4">
        <v>3685</v>
      </c>
      <c r="BL1815" s="4">
        <v>3866</v>
      </c>
      <c r="BM1815" s="4">
        <v>4050</v>
      </c>
      <c r="BN1815" s="4">
        <v>4231</v>
      </c>
      <c r="BR1815">
        <v>205087</v>
      </c>
      <c r="BS1815" t="s">
        <v>2722</v>
      </c>
      <c r="BT1815">
        <v>5</v>
      </c>
      <c r="BU1815">
        <v>15</v>
      </c>
      <c r="BV1815">
        <v>6</v>
      </c>
      <c r="BX1815">
        <v>26.25</v>
      </c>
      <c r="BZ1815">
        <v>24.25</v>
      </c>
      <c r="CK1815" t="s">
        <v>393</v>
      </c>
      <c r="CM1815">
        <v>1911</v>
      </c>
    </row>
    <row r="1816" spans="1:91" x14ac:dyDescent="0.3">
      <c r="A1816" t="s">
        <v>2721</v>
      </c>
      <c r="B1816">
        <v>41075</v>
      </c>
      <c r="C1816" t="s">
        <v>998</v>
      </c>
      <c r="D1816">
        <v>12</v>
      </c>
      <c r="I1816">
        <v>10000</v>
      </c>
      <c r="U1816">
        <v>10</v>
      </c>
      <c r="Y1816">
        <v>10</v>
      </c>
      <c r="AA1816">
        <v>12.87</v>
      </c>
      <c r="AC1816" s="3">
        <v>12.87</v>
      </c>
      <c r="AE1816" s="3">
        <v>12.5</v>
      </c>
      <c r="AI1816">
        <v>12.5</v>
      </c>
      <c r="AK1816" s="3"/>
      <c r="AV1816" t="s">
        <v>506</v>
      </c>
      <c r="AX1816" t="s">
        <v>506</v>
      </c>
      <c r="AZ1816" t="s">
        <v>506</v>
      </c>
      <c r="BB1816" t="s">
        <v>506</v>
      </c>
      <c r="BO1816" t="s">
        <v>367</v>
      </c>
      <c r="BR1816">
        <v>205087</v>
      </c>
      <c r="BS1816" t="s">
        <v>2722</v>
      </c>
      <c r="BT1816">
        <v>4</v>
      </c>
      <c r="BU1816">
        <v>16</v>
      </c>
      <c r="BV1816">
        <v>0</v>
      </c>
      <c r="BX1816">
        <v>13.87</v>
      </c>
      <c r="BZ1816">
        <v>12.5</v>
      </c>
      <c r="CM1816">
        <v>1911</v>
      </c>
    </row>
    <row r="1817" spans="1:91" x14ac:dyDescent="0.3">
      <c r="A1817" t="s">
        <v>2723</v>
      </c>
      <c r="B1817">
        <v>41101</v>
      </c>
      <c r="D1817">
        <v>12</v>
      </c>
      <c r="I1817">
        <v>766982</v>
      </c>
      <c r="U1817">
        <v>1</v>
      </c>
      <c r="Y1817">
        <v>1</v>
      </c>
      <c r="AA1817">
        <v>2.4300000000000002</v>
      </c>
      <c r="AC1817" s="3">
        <v>2.4300000000000002</v>
      </c>
      <c r="AE1817" s="3">
        <v>2.37</v>
      </c>
      <c r="AI1817">
        <v>2.4300000000000002</v>
      </c>
      <c r="AK1817" s="3"/>
      <c r="AV1817" t="s">
        <v>823</v>
      </c>
      <c r="AZ1817" t="s">
        <v>823</v>
      </c>
      <c r="BG1817">
        <v>10</v>
      </c>
      <c r="BH1817">
        <v>20</v>
      </c>
      <c r="BI1817">
        <v>10</v>
      </c>
      <c r="BJ1817">
        <v>20</v>
      </c>
      <c r="BK1817" s="4">
        <v>3379</v>
      </c>
      <c r="BL1817" s="4">
        <v>3744</v>
      </c>
      <c r="BM1817" s="4">
        <v>3927</v>
      </c>
      <c r="BN1817" s="4">
        <v>4109</v>
      </c>
      <c r="BR1817">
        <v>295436</v>
      </c>
      <c r="BT1817">
        <v>6</v>
      </c>
      <c r="BU1817">
        <v>3</v>
      </c>
      <c r="BV1817">
        <v>3</v>
      </c>
      <c r="BX1817">
        <v>2.84</v>
      </c>
      <c r="BZ1817">
        <v>2.34</v>
      </c>
      <c r="CK1817" t="s">
        <v>393</v>
      </c>
      <c r="CM1817">
        <v>1911</v>
      </c>
    </row>
    <row r="1818" spans="1:91" x14ac:dyDescent="0.3">
      <c r="A1818" t="s">
        <v>2723</v>
      </c>
      <c r="B1818">
        <v>41106</v>
      </c>
      <c r="C1818" t="s">
        <v>859</v>
      </c>
      <c r="D1818">
        <v>12</v>
      </c>
      <c r="I1818">
        <v>40630</v>
      </c>
      <c r="U1818">
        <v>5</v>
      </c>
      <c r="Y1818">
        <v>5</v>
      </c>
      <c r="AA1818">
        <v>5.5</v>
      </c>
      <c r="AC1818" s="3">
        <v>5.62</v>
      </c>
      <c r="AE1818" s="3">
        <v>5.5</v>
      </c>
      <c r="AI1818">
        <v>5.62</v>
      </c>
      <c r="AK1818" s="3"/>
      <c r="AV1818" t="s">
        <v>536</v>
      </c>
      <c r="AX1818" t="s">
        <v>536</v>
      </c>
      <c r="AZ1818" t="s">
        <v>536</v>
      </c>
      <c r="BB1818" t="s">
        <v>536</v>
      </c>
      <c r="BO1818" t="s">
        <v>367</v>
      </c>
      <c r="BS1818" t="s">
        <v>385</v>
      </c>
      <c r="BT1818">
        <v>4</v>
      </c>
      <c r="BU1818">
        <v>9</v>
      </c>
      <c r="BV1818">
        <v>0</v>
      </c>
      <c r="BX1818">
        <v>5.87</v>
      </c>
      <c r="BZ1818">
        <v>5.31</v>
      </c>
      <c r="CM1818">
        <v>1911</v>
      </c>
    </row>
    <row r="1819" spans="1:91" x14ac:dyDescent="0.3">
      <c r="A1819" t="s">
        <v>2724</v>
      </c>
      <c r="B1819">
        <v>41164</v>
      </c>
      <c r="D1819">
        <v>12</v>
      </c>
      <c r="I1819">
        <v>205000</v>
      </c>
      <c r="U1819">
        <v>1</v>
      </c>
      <c r="Y1819">
        <v>1</v>
      </c>
      <c r="AA1819">
        <v>1.25</v>
      </c>
      <c r="AC1819" s="3">
        <v>1.25</v>
      </c>
      <c r="AE1819" s="3">
        <v>1.25</v>
      </c>
      <c r="AI1819">
        <v>1.25</v>
      </c>
      <c r="AK1819" s="3"/>
      <c r="AV1819" t="s">
        <v>815</v>
      </c>
      <c r="AX1819" t="s">
        <v>815</v>
      </c>
      <c r="AZ1819" t="s">
        <v>815</v>
      </c>
      <c r="BB1819" t="s">
        <v>815</v>
      </c>
      <c r="BG1819">
        <v>6</v>
      </c>
      <c r="BH1819">
        <v>6</v>
      </c>
      <c r="BI1819">
        <v>6</v>
      </c>
      <c r="BJ1819">
        <v>6</v>
      </c>
      <c r="BK1819" s="4">
        <v>3197</v>
      </c>
      <c r="BL1819" s="4">
        <v>3562</v>
      </c>
      <c r="BM1819" s="4">
        <v>3927</v>
      </c>
      <c r="BN1819" s="4">
        <v>4292</v>
      </c>
      <c r="BR1819">
        <v>21925</v>
      </c>
      <c r="BT1819">
        <v>5</v>
      </c>
      <c r="BU1819">
        <v>4</v>
      </c>
      <c r="BV1819">
        <v>0</v>
      </c>
      <c r="BX1819">
        <v>1.56</v>
      </c>
      <c r="BZ1819">
        <v>1.25</v>
      </c>
      <c r="CK1819" t="s">
        <v>399</v>
      </c>
      <c r="CM1819">
        <v>1911</v>
      </c>
    </row>
    <row r="1820" spans="1:91" x14ac:dyDescent="0.3">
      <c r="A1820" t="s">
        <v>2725</v>
      </c>
      <c r="B1820">
        <v>41176</v>
      </c>
      <c r="D1820">
        <v>12</v>
      </c>
      <c r="I1820" s="2">
        <v>2289100</v>
      </c>
      <c r="U1820">
        <v>1</v>
      </c>
      <c r="Y1820">
        <v>1</v>
      </c>
      <c r="AA1820">
        <v>0.84</v>
      </c>
      <c r="AC1820" s="3">
        <v>0.84</v>
      </c>
      <c r="AE1820" s="3">
        <v>0.81</v>
      </c>
      <c r="AI1820">
        <v>0.81</v>
      </c>
      <c r="AK1820" s="3"/>
      <c r="AX1820" t="s">
        <v>823</v>
      </c>
      <c r="BB1820" t="s">
        <v>823</v>
      </c>
      <c r="BG1820">
        <v>5</v>
      </c>
      <c r="BH1820">
        <v>4</v>
      </c>
      <c r="BI1820">
        <v>5</v>
      </c>
      <c r="BJ1820">
        <v>4</v>
      </c>
      <c r="BK1820" s="4">
        <v>3774</v>
      </c>
      <c r="BL1820" s="4">
        <v>3958</v>
      </c>
      <c r="BM1820" s="4">
        <v>4139</v>
      </c>
      <c r="BN1820" s="4">
        <v>4323</v>
      </c>
      <c r="BR1820">
        <v>969232</v>
      </c>
      <c r="BS1820" t="s">
        <v>2726</v>
      </c>
      <c r="BT1820">
        <v>5</v>
      </c>
      <c r="BU1820">
        <v>10</v>
      </c>
      <c r="BV1820">
        <v>9</v>
      </c>
      <c r="BX1820">
        <v>0.84</v>
      </c>
      <c r="BZ1820">
        <v>0.68</v>
      </c>
      <c r="CK1820" t="s">
        <v>2727</v>
      </c>
      <c r="CM1820">
        <v>1911</v>
      </c>
    </row>
    <row r="1821" spans="1:91" x14ac:dyDescent="0.3">
      <c r="A1821" t="s">
        <v>2728</v>
      </c>
      <c r="B1821">
        <v>41174</v>
      </c>
      <c r="C1821" t="s">
        <v>921</v>
      </c>
      <c r="D1821">
        <v>12</v>
      </c>
      <c r="I1821" s="2">
        <v>2281000</v>
      </c>
      <c r="U1821">
        <v>1</v>
      </c>
      <c r="Y1821">
        <v>1</v>
      </c>
      <c r="AA1821">
        <v>1.1200000000000001</v>
      </c>
      <c r="AC1821" s="3">
        <v>1.1200000000000001</v>
      </c>
      <c r="AE1821" s="3">
        <v>1.1200000000000001</v>
      </c>
      <c r="AI1821">
        <v>1.1200000000000001</v>
      </c>
      <c r="AK1821" s="3"/>
      <c r="BG1821">
        <v>5.5</v>
      </c>
      <c r="BH1821">
        <v>5.5</v>
      </c>
      <c r="BI1821">
        <v>5.5</v>
      </c>
      <c r="BJ1821">
        <v>5.5</v>
      </c>
      <c r="BK1821" s="4">
        <v>3685</v>
      </c>
      <c r="BL1821" s="4">
        <v>3866</v>
      </c>
      <c r="BM1821" s="4">
        <v>4050</v>
      </c>
      <c r="BN1821" s="4">
        <v>4231</v>
      </c>
      <c r="BR1821">
        <v>969232</v>
      </c>
      <c r="BS1821" t="s">
        <v>2726</v>
      </c>
      <c r="BT1821">
        <v>4</v>
      </c>
      <c r="BU1821">
        <v>17</v>
      </c>
      <c r="BV1821">
        <v>9</v>
      </c>
      <c r="BX1821">
        <v>1.18</v>
      </c>
      <c r="BZ1821">
        <v>1.1200000000000001</v>
      </c>
      <c r="CM1821">
        <v>1911</v>
      </c>
    </row>
    <row r="1822" spans="1:91" x14ac:dyDescent="0.3">
      <c r="A1822" t="s">
        <v>2728</v>
      </c>
      <c r="B1822">
        <v>41175</v>
      </c>
      <c r="C1822" t="s">
        <v>2729</v>
      </c>
      <c r="D1822">
        <v>12</v>
      </c>
      <c r="I1822" s="2">
        <v>2250000</v>
      </c>
      <c r="J1822" t="s">
        <v>800</v>
      </c>
      <c r="V1822" t="s">
        <v>350</v>
      </c>
      <c r="Y1822">
        <v>100</v>
      </c>
      <c r="AA1822">
        <v>105.5</v>
      </c>
      <c r="AC1822" s="3">
        <v>106.87</v>
      </c>
      <c r="AE1822" s="3">
        <v>105.5</v>
      </c>
      <c r="AI1822">
        <v>106.87</v>
      </c>
      <c r="AK1822" s="3"/>
      <c r="AV1822" t="s">
        <v>536</v>
      </c>
      <c r="AX1822" t="s">
        <v>536</v>
      </c>
      <c r="AZ1822" t="s">
        <v>536</v>
      </c>
      <c r="BB1822" t="s">
        <v>536</v>
      </c>
      <c r="BO1822" t="s">
        <v>367</v>
      </c>
      <c r="BR1822">
        <v>969232</v>
      </c>
      <c r="BS1822" t="s">
        <v>2726</v>
      </c>
      <c r="BT1822">
        <v>4</v>
      </c>
      <c r="BU1822">
        <v>5</v>
      </c>
      <c r="BV1822">
        <v>6</v>
      </c>
      <c r="BX1822">
        <v>106.87</v>
      </c>
      <c r="BZ1822">
        <v>103.5</v>
      </c>
      <c r="CM1822">
        <v>1911</v>
      </c>
    </row>
    <row r="1823" spans="1:91" x14ac:dyDescent="0.3">
      <c r="A1823" t="s">
        <v>2730</v>
      </c>
      <c r="B1823">
        <v>41197</v>
      </c>
      <c r="D1823">
        <v>12</v>
      </c>
      <c r="I1823">
        <v>40000</v>
      </c>
      <c r="U1823">
        <v>5</v>
      </c>
      <c r="Y1823">
        <v>5</v>
      </c>
      <c r="AA1823">
        <v>2</v>
      </c>
      <c r="AC1823" s="3">
        <v>2</v>
      </c>
      <c r="AE1823" s="3">
        <v>2</v>
      </c>
      <c r="AI1823">
        <v>2</v>
      </c>
      <c r="AJ1823" t="s">
        <v>379</v>
      </c>
      <c r="AK1823" s="3"/>
      <c r="AV1823" t="s">
        <v>823</v>
      </c>
      <c r="AZ1823" t="s">
        <v>823</v>
      </c>
      <c r="BG1823">
        <v>3</v>
      </c>
      <c r="BH1823">
        <v>3</v>
      </c>
      <c r="BI1823">
        <v>3</v>
      </c>
      <c r="BJ1823">
        <v>3</v>
      </c>
      <c r="BK1823" s="4">
        <v>3654</v>
      </c>
      <c r="BL1823" s="4">
        <v>3835</v>
      </c>
      <c r="BM1823" s="4">
        <v>4019</v>
      </c>
      <c r="BN1823" s="4">
        <v>4200</v>
      </c>
      <c r="BR1823">
        <v>26584</v>
      </c>
      <c r="BS1823" t="s">
        <v>2731</v>
      </c>
      <c r="BT1823">
        <v>7</v>
      </c>
      <c r="BU1823">
        <v>10</v>
      </c>
      <c r="BV1823">
        <v>0</v>
      </c>
      <c r="BX1823">
        <v>2.4300000000000002</v>
      </c>
      <c r="BZ1823">
        <v>1.81</v>
      </c>
      <c r="CK1823" t="s">
        <v>360</v>
      </c>
      <c r="CM1823">
        <v>1911</v>
      </c>
    </row>
    <row r="1824" spans="1:91" x14ac:dyDescent="0.3">
      <c r="A1824" t="s">
        <v>2730</v>
      </c>
      <c r="B1824">
        <v>41199</v>
      </c>
      <c r="C1824" t="s">
        <v>549</v>
      </c>
      <c r="D1824">
        <v>12</v>
      </c>
      <c r="I1824">
        <v>20000</v>
      </c>
      <c r="U1824">
        <v>5</v>
      </c>
      <c r="Y1824">
        <v>4</v>
      </c>
      <c r="AA1824">
        <v>1.5</v>
      </c>
      <c r="AC1824" s="3">
        <v>1.5</v>
      </c>
      <c r="AE1824" s="3">
        <v>1.5</v>
      </c>
      <c r="AI1824">
        <v>1.5</v>
      </c>
      <c r="AJ1824" t="s">
        <v>379</v>
      </c>
      <c r="AK1824" s="3"/>
      <c r="AV1824" t="s">
        <v>823</v>
      </c>
      <c r="AZ1824" t="s">
        <v>823</v>
      </c>
      <c r="BG1824">
        <v>3</v>
      </c>
      <c r="BH1824">
        <v>3</v>
      </c>
      <c r="BI1824">
        <v>3</v>
      </c>
      <c r="BJ1824">
        <v>3</v>
      </c>
      <c r="BK1824" s="4">
        <v>3654</v>
      </c>
      <c r="BL1824" s="4">
        <v>3835</v>
      </c>
      <c r="BM1824" s="4">
        <v>4019</v>
      </c>
      <c r="BN1824" s="4">
        <v>4200</v>
      </c>
      <c r="BR1824">
        <v>26584</v>
      </c>
      <c r="BS1824" t="s">
        <v>2731</v>
      </c>
      <c r="BT1824">
        <v>6</v>
      </c>
      <c r="BU1824">
        <v>0</v>
      </c>
      <c r="BV1824">
        <v>0</v>
      </c>
      <c r="BX1824">
        <v>1.75</v>
      </c>
      <c r="BZ1824">
        <v>1.25</v>
      </c>
      <c r="CM1824">
        <v>1911</v>
      </c>
    </row>
    <row r="1825" spans="1:91" x14ac:dyDescent="0.3">
      <c r="A1825" t="s">
        <v>2730</v>
      </c>
      <c r="B1825">
        <v>41198</v>
      </c>
      <c r="C1825" t="s">
        <v>2102</v>
      </c>
      <c r="D1825">
        <v>12</v>
      </c>
      <c r="I1825">
        <v>20000</v>
      </c>
      <c r="U1825">
        <v>5</v>
      </c>
      <c r="Y1825">
        <v>5</v>
      </c>
      <c r="AA1825">
        <v>3</v>
      </c>
      <c r="AC1825" s="3">
        <v>3</v>
      </c>
      <c r="AE1825" s="3">
        <v>2.75</v>
      </c>
      <c r="AI1825">
        <v>2.87</v>
      </c>
      <c r="AJ1825" t="s">
        <v>379</v>
      </c>
      <c r="AK1825" s="3"/>
      <c r="AV1825" t="s">
        <v>370</v>
      </c>
      <c r="AX1825" t="s">
        <v>370</v>
      </c>
      <c r="AZ1825" t="s">
        <v>370</v>
      </c>
      <c r="BB1825" t="s">
        <v>370</v>
      </c>
      <c r="BO1825" t="s">
        <v>367</v>
      </c>
      <c r="BR1825">
        <v>26584</v>
      </c>
      <c r="BS1825" t="s">
        <v>2731</v>
      </c>
      <c r="BT1825">
        <v>8</v>
      </c>
      <c r="BU1825">
        <v>14</v>
      </c>
      <c r="BV1825">
        <v>0</v>
      </c>
      <c r="BX1825">
        <v>3.37</v>
      </c>
      <c r="BZ1825">
        <v>2.75</v>
      </c>
      <c r="CM1825">
        <v>1911</v>
      </c>
    </row>
    <row r="1826" spans="1:91" x14ac:dyDescent="0.3">
      <c r="A1826" t="s">
        <v>2732</v>
      </c>
      <c r="B1826">
        <v>41232</v>
      </c>
      <c r="D1826">
        <v>12</v>
      </c>
      <c r="I1826">
        <v>90000</v>
      </c>
      <c r="U1826">
        <v>5</v>
      </c>
      <c r="Y1826">
        <v>5</v>
      </c>
      <c r="AA1826">
        <v>5.87</v>
      </c>
      <c r="AC1826" s="3">
        <v>5.87</v>
      </c>
      <c r="AE1826" s="3">
        <v>5.78</v>
      </c>
      <c r="AI1826">
        <v>5.87</v>
      </c>
      <c r="AK1826" s="3"/>
      <c r="AV1826" t="s">
        <v>366</v>
      </c>
      <c r="AX1826" t="s">
        <v>366</v>
      </c>
      <c r="AZ1826" t="s">
        <v>366</v>
      </c>
      <c r="BB1826" t="s">
        <v>366</v>
      </c>
      <c r="BO1826" t="s">
        <v>367</v>
      </c>
      <c r="BR1826">
        <v>526052</v>
      </c>
      <c r="BS1826" t="s">
        <v>2733</v>
      </c>
      <c r="BT1826">
        <v>5</v>
      </c>
      <c r="BU1826">
        <v>2</v>
      </c>
      <c r="BV1826">
        <v>0</v>
      </c>
      <c r="BX1826">
        <v>6.12</v>
      </c>
      <c r="BZ1826">
        <v>5.68</v>
      </c>
      <c r="CK1826" t="s">
        <v>360</v>
      </c>
      <c r="CM1826">
        <v>1911</v>
      </c>
    </row>
    <row r="1827" spans="1:91" x14ac:dyDescent="0.3">
      <c r="A1827" t="s">
        <v>2734</v>
      </c>
      <c r="B1827">
        <v>41233</v>
      </c>
      <c r="C1827" t="s">
        <v>2735</v>
      </c>
      <c r="D1827">
        <v>12</v>
      </c>
      <c r="I1827">
        <v>900000</v>
      </c>
      <c r="U1827">
        <v>1</v>
      </c>
      <c r="Y1827">
        <v>1</v>
      </c>
      <c r="AA1827">
        <v>1.93</v>
      </c>
      <c r="AC1827" s="3">
        <v>1.96</v>
      </c>
      <c r="AE1827" s="3">
        <v>1.87</v>
      </c>
      <c r="AI1827">
        <v>1.93</v>
      </c>
      <c r="AK1827" s="3"/>
      <c r="AX1827" t="s">
        <v>823</v>
      </c>
      <c r="BB1827" t="s">
        <v>823</v>
      </c>
      <c r="BG1827">
        <v>5</v>
      </c>
      <c r="BH1827">
        <v>10</v>
      </c>
      <c r="BI1827">
        <v>15</v>
      </c>
      <c r="BJ1827">
        <v>10</v>
      </c>
      <c r="BK1827" s="4">
        <v>3713</v>
      </c>
      <c r="BL1827" s="4">
        <v>3958</v>
      </c>
      <c r="BM1827" s="4">
        <v>4078</v>
      </c>
      <c r="BN1827" s="4">
        <v>4323</v>
      </c>
      <c r="BR1827">
        <v>526052</v>
      </c>
      <c r="BS1827" t="s">
        <v>2733</v>
      </c>
      <c r="BT1827">
        <v>6</v>
      </c>
      <c r="BU1827">
        <v>9</v>
      </c>
      <c r="BV1827">
        <v>0</v>
      </c>
      <c r="BX1827">
        <v>2.09</v>
      </c>
      <c r="BZ1827">
        <v>1.81</v>
      </c>
      <c r="CM1827">
        <v>1911</v>
      </c>
    </row>
    <row r="1828" spans="1:91" x14ac:dyDescent="0.3">
      <c r="A1828" t="s">
        <v>2734</v>
      </c>
      <c r="B1828">
        <v>41228</v>
      </c>
      <c r="C1828" t="s">
        <v>864</v>
      </c>
      <c r="D1828">
        <v>12</v>
      </c>
      <c r="I1828">
        <v>80000</v>
      </c>
      <c r="U1828">
        <v>10</v>
      </c>
      <c r="Y1828">
        <v>10</v>
      </c>
      <c r="AA1828">
        <v>12</v>
      </c>
      <c r="AC1828" s="3">
        <v>12.06</v>
      </c>
      <c r="AE1828" s="3">
        <v>11.75</v>
      </c>
      <c r="AI1828">
        <v>12</v>
      </c>
      <c r="AK1828" s="3"/>
      <c r="AV1828" t="s">
        <v>366</v>
      </c>
      <c r="AX1828" t="s">
        <v>366</v>
      </c>
      <c r="AZ1828" t="s">
        <v>366</v>
      </c>
      <c r="BB1828" t="s">
        <v>366</v>
      </c>
      <c r="BO1828" t="s">
        <v>367</v>
      </c>
      <c r="BR1828">
        <v>526052</v>
      </c>
      <c r="BS1828" t="s">
        <v>2733</v>
      </c>
      <c r="BT1828">
        <v>4</v>
      </c>
      <c r="BU1828">
        <v>11</v>
      </c>
      <c r="BV1828">
        <v>9</v>
      </c>
      <c r="BX1828">
        <v>12.75</v>
      </c>
      <c r="BZ1828">
        <v>11.5</v>
      </c>
      <c r="CM1828">
        <v>1911</v>
      </c>
    </row>
    <row r="1829" spans="1:91" x14ac:dyDescent="0.3">
      <c r="A1829" t="s">
        <v>2734</v>
      </c>
      <c r="B1829">
        <v>41229</v>
      </c>
      <c r="C1829" t="s">
        <v>2076</v>
      </c>
      <c r="D1829">
        <v>12</v>
      </c>
      <c r="I1829" s="2">
        <v>1000000</v>
      </c>
      <c r="J1829" t="s">
        <v>800</v>
      </c>
      <c r="V1829" t="s">
        <v>350</v>
      </c>
      <c r="Y1829">
        <v>100</v>
      </c>
      <c r="AA1829">
        <v>108</v>
      </c>
      <c r="AC1829" s="3">
        <v>108.25</v>
      </c>
      <c r="AE1829" s="3">
        <v>106</v>
      </c>
      <c r="AI1829">
        <v>106</v>
      </c>
      <c r="AJ1829" t="s">
        <v>379</v>
      </c>
      <c r="AK1829" s="3"/>
      <c r="AV1829" t="s">
        <v>370</v>
      </c>
      <c r="AX1829" t="s">
        <v>370</v>
      </c>
      <c r="AZ1829" t="s">
        <v>370</v>
      </c>
      <c r="BB1829" t="s">
        <v>370</v>
      </c>
      <c r="BO1829" t="s">
        <v>367</v>
      </c>
      <c r="BR1829">
        <v>526052</v>
      </c>
      <c r="BS1829" t="s">
        <v>2733</v>
      </c>
      <c r="BT1829">
        <v>4</v>
      </c>
      <c r="BU1829">
        <v>5</v>
      </c>
      <c r="BV1829">
        <v>0</v>
      </c>
      <c r="BX1829">
        <v>110</v>
      </c>
      <c r="BZ1829">
        <v>105.5</v>
      </c>
      <c r="CM1829">
        <v>1911</v>
      </c>
    </row>
    <row r="1830" spans="1:91" x14ac:dyDescent="0.3">
      <c r="A1830" t="s">
        <v>2734</v>
      </c>
      <c r="B1830">
        <v>41231</v>
      </c>
      <c r="C1830" t="s">
        <v>2736</v>
      </c>
      <c r="D1830">
        <v>12</v>
      </c>
      <c r="I1830">
        <v>400000</v>
      </c>
      <c r="J1830" t="s">
        <v>800</v>
      </c>
      <c r="V1830" t="s">
        <v>350</v>
      </c>
      <c r="Y1830">
        <v>100</v>
      </c>
      <c r="AA1830">
        <v>106.5</v>
      </c>
      <c r="AC1830" s="3">
        <v>108.5</v>
      </c>
      <c r="AE1830" s="3">
        <v>106.5</v>
      </c>
      <c r="AI1830">
        <v>107.5</v>
      </c>
      <c r="AK1830" s="3"/>
      <c r="AV1830" t="s">
        <v>366</v>
      </c>
      <c r="AX1830" t="s">
        <v>366</v>
      </c>
      <c r="AZ1830" t="s">
        <v>366</v>
      </c>
      <c r="BB1830" t="s">
        <v>366</v>
      </c>
      <c r="BO1830" t="s">
        <v>367</v>
      </c>
      <c r="BR1830">
        <v>526052</v>
      </c>
      <c r="BS1830" t="s">
        <v>2733</v>
      </c>
      <c r="BT1830">
        <v>4</v>
      </c>
      <c r="BU1830">
        <v>14</v>
      </c>
      <c r="BV1830">
        <v>0</v>
      </c>
      <c r="BX1830">
        <v>109</v>
      </c>
      <c r="BZ1830">
        <v>105.37</v>
      </c>
      <c r="CM1830">
        <v>1911</v>
      </c>
    </row>
    <row r="1831" spans="1:91" x14ac:dyDescent="0.3">
      <c r="A1831" t="s">
        <v>2737</v>
      </c>
      <c r="B1831">
        <v>41277</v>
      </c>
      <c r="D1831">
        <v>12</v>
      </c>
      <c r="I1831">
        <v>750000</v>
      </c>
      <c r="U1831">
        <v>1</v>
      </c>
      <c r="Y1831">
        <v>1</v>
      </c>
      <c r="AA1831">
        <v>1.0900000000000001</v>
      </c>
      <c r="AC1831" s="3">
        <v>1.1200000000000001</v>
      </c>
      <c r="AE1831" s="3">
        <v>1.06</v>
      </c>
      <c r="AI1831">
        <v>1.1200000000000001</v>
      </c>
      <c r="AK1831" s="3"/>
      <c r="AX1831" t="s">
        <v>823</v>
      </c>
      <c r="BB1831" t="s">
        <v>823</v>
      </c>
      <c r="BG1831">
        <v>7</v>
      </c>
      <c r="BH1831">
        <v>7</v>
      </c>
      <c r="BI1831">
        <v>7</v>
      </c>
      <c r="BJ1831">
        <v>7</v>
      </c>
      <c r="BK1831" s="4">
        <v>3713</v>
      </c>
      <c r="BL1831" s="4">
        <v>3897</v>
      </c>
      <c r="BM1831" s="4">
        <v>4078</v>
      </c>
      <c r="BN1831" s="4">
        <v>4262</v>
      </c>
      <c r="BR1831">
        <v>201990</v>
      </c>
      <c r="BS1831" t="s">
        <v>2738</v>
      </c>
      <c r="BT1831">
        <v>6</v>
      </c>
      <c r="BU1831">
        <v>4</v>
      </c>
      <c r="BV1831">
        <v>6</v>
      </c>
      <c r="BX1831">
        <v>1.1200000000000001</v>
      </c>
      <c r="BZ1831">
        <v>1.03</v>
      </c>
      <c r="CK1831" t="s">
        <v>360</v>
      </c>
      <c r="CM1831">
        <v>1911</v>
      </c>
    </row>
    <row r="1832" spans="1:91" x14ac:dyDescent="0.3">
      <c r="A1832" t="s">
        <v>2739</v>
      </c>
      <c r="B1832">
        <v>41276</v>
      </c>
      <c r="C1832" t="s">
        <v>2301</v>
      </c>
      <c r="D1832">
        <v>12</v>
      </c>
      <c r="I1832">
        <v>750000</v>
      </c>
      <c r="U1832">
        <v>1</v>
      </c>
      <c r="Y1832">
        <v>1</v>
      </c>
      <c r="AA1832">
        <v>0.37</v>
      </c>
      <c r="AC1832" s="3">
        <v>0.37</v>
      </c>
      <c r="AE1832" s="3">
        <v>0.37</v>
      </c>
      <c r="AI1832">
        <v>0.37</v>
      </c>
      <c r="AK1832" s="3"/>
      <c r="AV1832" t="s">
        <v>815</v>
      </c>
      <c r="AX1832" t="s">
        <v>815</v>
      </c>
      <c r="AZ1832" t="s">
        <v>815</v>
      </c>
      <c r="BB1832" t="s">
        <v>815</v>
      </c>
      <c r="BG1832">
        <v>2</v>
      </c>
      <c r="BH1832">
        <v>2</v>
      </c>
      <c r="BI1832">
        <v>2</v>
      </c>
      <c r="BJ1832">
        <v>2</v>
      </c>
      <c r="BK1832" s="4">
        <v>2983</v>
      </c>
      <c r="BL1832" s="4">
        <v>3348</v>
      </c>
      <c r="BM1832" s="4">
        <v>3713</v>
      </c>
      <c r="BN1832" s="4">
        <v>4078</v>
      </c>
      <c r="BR1832">
        <v>201990</v>
      </c>
      <c r="BS1832" t="s">
        <v>2738</v>
      </c>
      <c r="BT1832">
        <v>5</v>
      </c>
      <c r="BU1832">
        <v>6</v>
      </c>
      <c r="BV1832">
        <v>9</v>
      </c>
      <c r="BX1832">
        <v>0.37</v>
      </c>
      <c r="BZ1832">
        <v>0.21</v>
      </c>
      <c r="CM1832">
        <v>1911</v>
      </c>
    </row>
    <row r="1833" spans="1:91" x14ac:dyDescent="0.3">
      <c r="A1833" t="s">
        <v>2739</v>
      </c>
      <c r="B1833">
        <v>41275</v>
      </c>
      <c r="C1833" t="s">
        <v>2740</v>
      </c>
      <c r="D1833">
        <v>12</v>
      </c>
      <c r="I1833">
        <v>500000</v>
      </c>
      <c r="U1833">
        <v>1</v>
      </c>
      <c r="Y1833">
        <v>1</v>
      </c>
      <c r="AA1833">
        <v>1.0900000000000001</v>
      </c>
      <c r="AC1833" s="3">
        <v>1.1200000000000001</v>
      </c>
      <c r="AE1833" s="3">
        <v>1.0900000000000001</v>
      </c>
      <c r="AI1833">
        <v>1.1200000000000001</v>
      </c>
      <c r="AK1833" s="3"/>
      <c r="AV1833" t="s">
        <v>506</v>
      </c>
      <c r="AX1833" t="s">
        <v>506</v>
      </c>
      <c r="AZ1833" t="s">
        <v>506</v>
      </c>
      <c r="BB1833" t="s">
        <v>506</v>
      </c>
      <c r="BO1833" t="s">
        <v>367</v>
      </c>
      <c r="BR1833">
        <v>201990</v>
      </c>
      <c r="BS1833" t="s">
        <v>2738</v>
      </c>
      <c r="BT1833">
        <v>4</v>
      </c>
      <c r="BU1833">
        <v>17</v>
      </c>
      <c r="BV1833">
        <v>9</v>
      </c>
      <c r="BX1833">
        <v>1.1200000000000001</v>
      </c>
      <c r="BZ1833">
        <v>1.03</v>
      </c>
      <c r="CM1833">
        <v>1911</v>
      </c>
    </row>
    <row r="1834" spans="1:91" x14ac:dyDescent="0.3">
      <c r="A1834" t="s">
        <v>2739</v>
      </c>
      <c r="B1834">
        <v>41274</v>
      </c>
      <c r="C1834" t="s">
        <v>2076</v>
      </c>
      <c r="D1834">
        <v>12</v>
      </c>
      <c r="I1834">
        <v>500000</v>
      </c>
      <c r="J1834" t="s">
        <v>800</v>
      </c>
      <c r="V1834" t="s">
        <v>350</v>
      </c>
      <c r="Y1834">
        <v>100</v>
      </c>
      <c r="AA1834">
        <v>101.5</v>
      </c>
      <c r="AC1834" s="3">
        <v>102.37</v>
      </c>
      <c r="AE1834" s="3">
        <v>101.5</v>
      </c>
      <c r="AI1834">
        <v>101</v>
      </c>
      <c r="AJ1834" t="s">
        <v>379</v>
      </c>
      <c r="AK1834" s="3"/>
      <c r="AV1834" t="s">
        <v>370</v>
      </c>
      <c r="AX1834" t="s">
        <v>370</v>
      </c>
      <c r="AZ1834" t="s">
        <v>370</v>
      </c>
      <c r="BB1834" t="s">
        <v>370</v>
      </c>
      <c r="BO1834" t="s">
        <v>367</v>
      </c>
      <c r="BR1834">
        <v>201990</v>
      </c>
      <c r="BS1834" t="s">
        <v>2738</v>
      </c>
      <c r="BT1834">
        <v>4</v>
      </c>
      <c r="BU1834">
        <v>9</v>
      </c>
      <c r="BV1834">
        <v>0</v>
      </c>
      <c r="BX1834">
        <v>103.5</v>
      </c>
      <c r="BZ1834">
        <v>100</v>
      </c>
      <c r="CM1834">
        <v>1911</v>
      </c>
    </row>
    <row r="1835" spans="1:91" x14ac:dyDescent="0.3">
      <c r="A1835" t="s">
        <v>2741</v>
      </c>
      <c r="B1835">
        <v>41288</v>
      </c>
      <c r="D1835">
        <v>12</v>
      </c>
      <c r="I1835">
        <v>20000</v>
      </c>
      <c r="U1835">
        <v>10</v>
      </c>
      <c r="Y1835">
        <v>9</v>
      </c>
      <c r="AA1835">
        <v>11</v>
      </c>
      <c r="AC1835" s="3">
        <v>11</v>
      </c>
      <c r="AE1835" s="3">
        <v>11</v>
      </c>
      <c r="AI1835">
        <v>11</v>
      </c>
      <c r="AK1835" s="3"/>
      <c r="AU1835" t="s">
        <v>2742</v>
      </c>
      <c r="AV1835" t="s">
        <v>2743</v>
      </c>
      <c r="AW1835" t="s">
        <v>2744</v>
      </c>
      <c r="AX1835" s="5">
        <v>40709</v>
      </c>
      <c r="AY1835" t="s">
        <v>2742</v>
      </c>
      <c r="AZ1835" t="s">
        <v>2743</v>
      </c>
      <c r="BA1835" t="s">
        <v>2744</v>
      </c>
      <c r="BB1835" s="5">
        <v>40709</v>
      </c>
      <c r="BC1835">
        <v>30</v>
      </c>
      <c r="BD1835">
        <v>186</v>
      </c>
      <c r="BE1835">
        <v>30</v>
      </c>
      <c r="BF1835">
        <v>186</v>
      </c>
      <c r="BK1835" s="4">
        <v>3685</v>
      </c>
      <c r="BL1835" s="4">
        <v>3866</v>
      </c>
      <c r="BM1835" s="4">
        <v>4050</v>
      </c>
      <c r="BN1835" s="4">
        <v>4231</v>
      </c>
      <c r="BR1835">
        <v>77302</v>
      </c>
      <c r="BS1835" t="s">
        <v>2745</v>
      </c>
      <c r="BT1835">
        <v>8</v>
      </c>
      <c r="BU1835">
        <v>3</v>
      </c>
      <c r="BV1835">
        <v>6</v>
      </c>
      <c r="BX1835">
        <v>11</v>
      </c>
      <c r="BZ1835">
        <v>11</v>
      </c>
      <c r="CK1835" t="s">
        <v>360</v>
      </c>
      <c r="CL1835" t="s">
        <v>457</v>
      </c>
      <c r="CM1835">
        <v>1911</v>
      </c>
    </row>
    <row r="1836" spans="1:91" x14ac:dyDescent="0.3">
      <c r="A1836" t="s">
        <v>2741</v>
      </c>
      <c r="B1836">
        <v>41289</v>
      </c>
      <c r="C1836" t="s">
        <v>2746</v>
      </c>
      <c r="D1836">
        <v>12</v>
      </c>
      <c r="I1836">
        <v>2500</v>
      </c>
      <c r="U1836">
        <v>10</v>
      </c>
      <c r="Y1836">
        <v>10</v>
      </c>
      <c r="AA1836">
        <v>12</v>
      </c>
      <c r="AC1836" s="3">
        <v>12</v>
      </c>
      <c r="AE1836" s="3">
        <v>12</v>
      </c>
      <c r="AI1836">
        <v>12</v>
      </c>
      <c r="AK1836" s="3"/>
      <c r="AV1836" t="s">
        <v>506</v>
      </c>
      <c r="AX1836" t="s">
        <v>506</v>
      </c>
      <c r="AZ1836" t="s">
        <v>506</v>
      </c>
      <c r="BB1836" t="s">
        <v>506</v>
      </c>
      <c r="BO1836" t="s">
        <v>367</v>
      </c>
      <c r="BR1836">
        <v>77302</v>
      </c>
      <c r="BS1836" t="s">
        <v>2745</v>
      </c>
      <c r="BT1836">
        <v>5</v>
      </c>
      <c r="BU1836">
        <v>16</v>
      </c>
      <c r="BV1836">
        <v>9</v>
      </c>
      <c r="BX1836">
        <v>12</v>
      </c>
      <c r="BZ1836">
        <v>12</v>
      </c>
      <c r="CM1836">
        <v>1911</v>
      </c>
    </row>
    <row r="1837" spans="1:91" x14ac:dyDescent="0.3">
      <c r="A1837" t="s">
        <v>2747</v>
      </c>
      <c r="B1837">
        <v>41293</v>
      </c>
      <c r="D1837">
        <v>12</v>
      </c>
      <c r="I1837">
        <v>33000</v>
      </c>
      <c r="U1837">
        <v>10</v>
      </c>
      <c r="Y1837">
        <v>8</v>
      </c>
      <c r="AA1837">
        <v>8.25</v>
      </c>
      <c r="AC1837" s="3">
        <v>8.25</v>
      </c>
      <c r="AE1837" s="3">
        <v>8.25</v>
      </c>
      <c r="AI1837">
        <v>8.25</v>
      </c>
      <c r="AK1837" s="3"/>
      <c r="AX1837" t="s">
        <v>823</v>
      </c>
      <c r="BB1837" t="s">
        <v>823</v>
      </c>
      <c r="BG1837">
        <v>6</v>
      </c>
      <c r="BH1837">
        <v>6</v>
      </c>
      <c r="BI1837">
        <v>6</v>
      </c>
      <c r="BJ1837">
        <v>6</v>
      </c>
      <c r="BK1837" s="4">
        <v>3685</v>
      </c>
      <c r="BL1837" s="4">
        <v>3835</v>
      </c>
      <c r="BM1837" s="4">
        <v>4050</v>
      </c>
      <c r="BN1837" s="4">
        <v>4200</v>
      </c>
      <c r="BR1837">
        <v>118101</v>
      </c>
      <c r="BS1837" t="s">
        <v>2748</v>
      </c>
      <c r="BT1837">
        <v>5</v>
      </c>
      <c r="BU1837">
        <v>16</v>
      </c>
      <c r="BV1837">
        <v>3</v>
      </c>
      <c r="BX1837">
        <v>8.6199999999999992</v>
      </c>
      <c r="BZ1837">
        <v>8</v>
      </c>
      <c r="CK1837" t="s">
        <v>360</v>
      </c>
      <c r="CM1837">
        <v>1911</v>
      </c>
    </row>
    <row r="1838" spans="1:91" x14ac:dyDescent="0.3">
      <c r="A1838" t="s">
        <v>2747</v>
      </c>
      <c r="B1838">
        <v>41294</v>
      </c>
      <c r="C1838" t="s">
        <v>850</v>
      </c>
      <c r="D1838">
        <v>12</v>
      </c>
      <c r="I1838">
        <v>10000</v>
      </c>
      <c r="U1838">
        <v>10</v>
      </c>
      <c r="Y1838">
        <v>10</v>
      </c>
      <c r="AA1838">
        <v>9.25</v>
      </c>
      <c r="AC1838" s="3">
        <v>9.6199999999999992</v>
      </c>
      <c r="AE1838" s="3">
        <v>9.25</v>
      </c>
      <c r="AI1838">
        <v>9.25</v>
      </c>
      <c r="AK1838" s="3"/>
      <c r="AV1838" t="s">
        <v>370</v>
      </c>
      <c r="AX1838" t="s">
        <v>370</v>
      </c>
      <c r="AZ1838" t="s">
        <v>370</v>
      </c>
      <c r="BB1838" t="s">
        <v>370</v>
      </c>
      <c r="BO1838" t="s">
        <v>367</v>
      </c>
      <c r="BR1838">
        <v>118101</v>
      </c>
      <c r="BS1838" t="s">
        <v>2748</v>
      </c>
      <c r="BT1838">
        <v>5</v>
      </c>
      <c r="BU1838">
        <v>8</v>
      </c>
      <c r="BV1838">
        <v>0</v>
      </c>
      <c r="BX1838">
        <v>9.6199999999999992</v>
      </c>
      <c r="BZ1838">
        <v>8.8699999999999992</v>
      </c>
      <c r="CM1838">
        <v>1911</v>
      </c>
    </row>
    <row r="1839" spans="1:91" x14ac:dyDescent="0.3">
      <c r="A1839" t="s">
        <v>2749</v>
      </c>
      <c r="B1839">
        <v>41309</v>
      </c>
      <c r="D1839">
        <v>12</v>
      </c>
      <c r="I1839">
        <v>100000</v>
      </c>
      <c r="U1839">
        <v>1</v>
      </c>
      <c r="Y1839">
        <v>1</v>
      </c>
      <c r="AA1839">
        <v>0.84</v>
      </c>
      <c r="AC1839" s="3">
        <v>0.84</v>
      </c>
      <c r="AE1839" s="3">
        <v>0.84</v>
      </c>
      <c r="AI1839">
        <v>0.84</v>
      </c>
      <c r="AK1839" s="3"/>
      <c r="BG1839">
        <v>5.5</v>
      </c>
      <c r="BH1839">
        <v>5.5</v>
      </c>
      <c r="BI1839">
        <v>5.5</v>
      </c>
      <c r="BJ1839">
        <v>5.5</v>
      </c>
      <c r="BK1839" s="4">
        <v>3744</v>
      </c>
      <c r="BL1839" s="4">
        <v>3927</v>
      </c>
      <c r="BM1839" s="4">
        <v>4109</v>
      </c>
      <c r="BN1839" s="4">
        <v>4292</v>
      </c>
      <c r="BR1839">
        <v>18356</v>
      </c>
      <c r="BT1839">
        <v>6</v>
      </c>
      <c r="BU1839">
        <v>10</v>
      </c>
      <c r="BV1839">
        <v>6</v>
      </c>
      <c r="BX1839">
        <v>0.84</v>
      </c>
      <c r="BZ1839">
        <v>0.81</v>
      </c>
      <c r="CK1839" t="s">
        <v>2750</v>
      </c>
      <c r="CM1839">
        <v>1911</v>
      </c>
    </row>
    <row r="1840" spans="1:91" x14ac:dyDescent="0.3">
      <c r="A1840" t="s">
        <v>2751</v>
      </c>
      <c r="B1840">
        <v>41310</v>
      </c>
      <c r="D1840">
        <v>12</v>
      </c>
      <c r="I1840" s="2">
        <v>1356480</v>
      </c>
      <c r="U1840">
        <v>1</v>
      </c>
      <c r="Y1840">
        <v>1</v>
      </c>
      <c r="AA1840">
        <v>1</v>
      </c>
      <c r="AC1840" s="3">
        <v>1.03</v>
      </c>
      <c r="AE1840" s="3">
        <v>1</v>
      </c>
      <c r="AI1840">
        <v>1</v>
      </c>
      <c r="AK1840" s="3"/>
      <c r="AX1840" t="s">
        <v>823</v>
      </c>
      <c r="BB1840" t="s">
        <v>823</v>
      </c>
      <c r="BG1840">
        <v>5</v>
      </c>
      <c r="BH1840">
        <v>5</v>
      </c>
      <c r="BI1840">
        <v>5</v>
      </c>
      <c r="BJ1840">
        <v>5</v>
      </c>
      <c r="BK1840" s="4">
        <v>3713</v>
      </c>
      <c r="BL1840" s="4">
        <v>3897</v>
      </c>
      <c r="BM1840" s="4">
        <v>4078</v>
      </c>
      <c r="BN1840" s="4">
        <v>4262</v>
      </c>
      <c r="BR1840">
        <v>459359</v>
      </c>
      <c r="BS1840" t="s">
        <v>2752</v>
      </c>
      <c r="BT1840">
        <v>5</v>
      </c>
      <c r="BU1840">
        <v>0</v>
      </c>
      <c r="BV1840">
        <v>0</v>
      </c>
      <c r="BX1840">
        <v>1.1200000000000001</v>
      </c>
      <c r="BZ1840">
        <v>1</v>
      </c>
      <c r="CK1840" t="s">
        <v>2750</v>
      </c>
      <c r="CM1840">
        <v>1911</v>
      </c>
    </row>
    <row r="1841" spans="1:91" x14ac:dyDescent="0.3">
      <c r="A1841" t="s">
        <v>2751</v>
      </c>
      <c r="B1841">
        <v>41314</v>
      </c>
      <c r="C1841" t="s">
        <v>2093</v>
      </c>
      <c r="D1841">
        <v>12</v>
      </c>
      <c r="I1841" s="2">
        <v>2500000</v>
      </c>
      <c r="U1841">
        <v>1</v>
      </c>
      <c r="Y1841">
        <v>1</v>
      </c>
      <c r="AA1841">
        <v>1.06</v>
      </c>
      <c r="AC1841" s="3">
        <v>1.06</v>
      </c>
      <c r="AE1841" s="3">
        <v>1.03</v>
      </c>
      <c r="AI1841">
        <v>1.03</v>
      </c>
      <c r="AJ1841" t="s">
        <v>379</v>
      </c>
      <c r="AK1841" s="3"/>
      <c r="AV1841" t="s">
        <v>370</v>
      </c>
      <c r="AX1841" t="s">
        <v>370</v>
      </c>
      <c r="AZ1841" t="s">
        <v>370</v>
      </c>
      <c r="BB1841" t="s">
        <v>370</v>
      </c>
      <c r="BO1841" t="s">
        <v>367</v>
      </c>
      <c r="BR1841">
        <v>459359</v>
      </c>
      <c r="BS1841" t="s">
        <v>2752</v>
      </c>
      <c r="BT1841">
        <v>4</v>
      </c>
      <c r="BU1841">
        <v>17</v>
      </c>
      <c r="BV1841">
        <v>0</v>
      </c>
      <c r="BX1841">
        <v>1.0900000000000001</v>
      </c>
      <c r="BZ1841">
        <v>1.03</v>
      </c>
      <c r="CM1841">
        <v>1911</v>
      </c>
    </row>
    <row r="1842" spans="1:91" x14ac:dyDescent="0.3">
      <c r="A1842" t="s">
        <v>2751</v>
      </c>
      <c r="B1842">
        <v>41315</v>
      </c>
      <c r="C1842" t="s">
        <v>860</v>
      </c>
      <c r="D1842">
        <v>12</v>
      </c>
      <c r="I1842" s="2">
        <v>1453750</v>
      </c>
      <c r="J1842" t="s">
        <v>800</v>
      </c>
      <c r="V1842" t="s">
        <v>350</v>
      </c>
      <c r="Y1842">
        <v>100</v>
      </c>
      <c r="AA1842">
        <v>100.5</v>
      </c>
      <c r="AC1842" s="3">
        <v>100.5</v>
      </c>
      <c r="AE1842" s="3">
        <v>98.5</v>
      </c>
      <c r="AI1842">
        <v>98.5</v>
      </c>
      <c r="AJ1842" t="s">
        <v>379</v>
      </c>
      <c r="AK1842" s="3"/>
      <c r="AV1842" t="s">
        <v>370</v>
      </c>
      <c r="AX1842" t="s">
        <v>370</v>
      </c>
      <c r="AZ1842" t="s">
        <v>370</v>
      </c>
      <c r="BB1842" t="s">
        <v>370</v>
      </c>
      <c r="BO1842" t="s">
        <v>367</v>
      </c>
      <c r="BR1842">
        <v>459359</v>
      </c>
      <c r="BS1842" t="s">
        <v>2752</v>
      </c>
      <c r="BT1842">
        <v>4</v>
      </c>
      <c r="BU1842">
        <v>1</v>
      </c>
      <c r="BV1842">
        <v>3</v>
      </c>
      <c r="BX1842">
        <v>102</v>
      </c>
      <c r="BZ1842">
        <v>98.5</v>
      </c>
      <c r="CM1842">
        <v>1911</v>
      </c>
    </row>
    <row r="1843" spans="1:91" x14ac:dyDescent="0.3">
      <c r="A1843" t="s">
        <v>2753</v>
      </c>
      <c r="B1843">
        <v>41456</v>
      </c>
      <c r="D1843">
        <v>12</v>
      </c>
      <c r="I1843">
        <v>50000</v>
      </c>
      <c r="U1843">
        <v>10</v>
      </c>
      <c r="Y1843">
        <v>3</v>
      </c>
      <c r="AA1843">
        <v>4.12</v>
      </c>
      <c r="AC1843" s="3">
        <v>4.12</v>
      </c>
      <c r="AE1843" s="3">
        <v>4.12</v>
      </c>
      <c r="AI1843">
        <v>4.12</v>
      </c>
      <c r="AK1843" s="3"/>
      <c r="AX1843" t="s">
        <v>823</v>
      </c>
      <c r="BB1843" t="s">
        <v>823</v>
      </c>
      <c r="BG1843">
        <v>10</v>
      </c>
      <c r="BH1843">
        <v>10</v>
      </c>
      <c r="BI1843">
        <v>10</v>
      </c>
      <c r="BJ1843">
        <v>10</v>
      </c>
      <c r="BK1843" s="4">
        <v>3685</v>
      </c>
      <c r="BL1843" s="4">
        <v>3866</v>
      </c>
      <c r="BM1843" s="4">
        <v>4050</v>
      </c>
      <c r="BN1843" s="4">
        <v>4231</v>
      </c>
      <c r="BR1843">
        <v>51651</v>
      </c>
      <c r="BT1843">
        <v>7</v>
      </c>
      <c r="BU1843">
        <v>5</v>
      </c>
      <c r="BV1843">
        <v>6</v>
      </c>
      <c r="BX1843">
        <v>4.87</v>
      </c>
      <c r="BZ1843">
        <v>4.12</v>
      </c>
      <c r="CK1843" t="s">
        <v>2754</v>
      </c>
      <c r="CM1843">
        <v>1911</v>
      </c>
    </row>
    <row r="1844" spans="1:91" x14ac:dyDescent="0.3">
      <c r="A1844" t="s">
        <v>2755</v>
      </c>
      <c r="B1844">
        <v>41538</v>
      </c>
      <c r="D1844">
        <v>12</v>
      </c>
      <c r="I1844">
        <v>600620</v>
      </c>
      <c r="U1844">
        <v>1</v>
      </c>
      <c r="Y1844">
        <v>1</v>
      </c>
      <c r="AA1844">
        <v>0.25</v>
      </c>
      <c r="AC1844" s="3">
        <v>0.25</v>
      </c>
      <c r="AE1844" s="3">
        <v>0.25</v>
      </c>
      <c r="AI1844">
        <v>0.25</v>
      </c>
      <c r="AK1844" s="3"/>
      <c r="AV1844" t="s">
        <v>385</v>
      </c>
      <c r="AX1844" t="s">
        <v>385</v>
      </c>
      <c r="AZ1844" t="s">
        <v>385</v>
      </c>
      <c r="BB1844" t="s">
        <v>385</v>
      </c>
      <c r="BS1844" t="s">
        <v>385</v>
      </c>
      <c r="BW1844" t="s">
        <v>802</v>
      </c>
      <c r="BX1844">
        <v>0.62</v>
      </c>
      <c r="BZ1844">
        <v>0.21</v>
      </c>
      <c r="CK1844" t="s">
        <v>360</v>
      </c>
      <c r="CM1844">
        <v>1911</v>
      </c>
    </row>
    <row r="1845" spans="1:91" x14ac:dyDescent="0.3">
      <c r="A1845" t="s">
        <v>2755</v>
      </c>
      <c r="B1845">
        <v>41546</v>
      </c>
      <c r="C1845" t="s">
        <v>2756</v>
      </c>
      <c r="D1845">
        <v>12</v>
      </c>
      <c r="I1845">
        <v>299570</v>
      </c>
      <c r="U1845">
        <v>1</v>
      </c>
      <c r="Y1845">
        <v>1</v>
      </c>
      <c r="AA1845">
        <v>0.37</v>
      </c>
      <c r="AC1845" s="3">
        <v>0.43</v>
      </c>
      <c r="AE1845" s="3">
        <v>0.37</v>
      </c>
      <c r="AI1845">
        <v>0.43</v>
      </c>
      <c r="AK1845" s="3"/>
      <c r="AV1845" t="s">
        <v>385</v>
      </c>
      <c r="AX1845" t="s">
        <v>385</v>
      </c>
      <c r="AZ1845" t="s">
        <v>385</v>
      </c>
      <c r="BB1845" t="s">
        <v>385</v>
      </c>
      <c r="BS1845" t="s">
        <v>385</v>
      </c>
      <c r="BW1845" t="s">
        <v>802</v>
      </c>
      <c r="BX1845">
        <v>0.87</v>
      </c>
      <c r="BZ1845">
        <v>0.37</v>
      </c>
      <c r="CM1845">
        <v>1911</v>
      </c>
    </row>
    <row r="1846" spans="1:91" x14ac:dyDescent="0.3">
      <c r="A1846" t="s">
        <v>2755</v>
      </c>
      <c r="B1846">
        <v>41545</v>
      </c>
      <c r="C1846" t="s">
        <v>2757</v>
      </c>
      <c r="D1846">
        <v>12</v>
      </c>
      <c r="I1846">
        <v>800000</v>
      </c>
      <c r="J1846" t="s">
        <v>800</v>
      </c>
      <c r="U1846">
        <v>100</v>
      </c>
      <c r="Y1846">
        <v>100</v>
      </c>
      <c r="AA1846">
        <v>90.5</v>
      </c>
      <c r="AC1846" s="3">
        <v>91.5</v>
      </c>
      <c r="AE1846" s="3">
        <v>90.5</v>
      </c>
      <c r="AI1846">
        <v>90.5</v>
      </c>
      <c r="AK1846" s="3"/>
      <c r="AV1846" t="s">
        <v>506</v>
      </c>
      <c r="AX1846" t="s">
        <v>506</v>
      </c>
      <c r="AZ1846" t="s">
        <v>506</v>
      </c>
      <c r="BB1846" t="s">
        <v>506</v>
      </c>
      <c r="BO1846" t="s">
        <v>367</v>
      </c>
      <c r="BS1846" t="s">
        <v>385</v>
      </c>
      <c r="BT1846">
        <v>5</v>
      </c>
      <c r="BU1846">
        <v>12</v>
      </c>
      <c r="BV1846">
        <v>6</v>
      </c>
      <c r="BX1846">
        <v>96.5</v>
      </c>
      <c r="BZ1846">
        <v>90.5</v>
      </c>
      <c r="CM1846">
        <v>1911</v>
      </c>
    </row>
    <row r="1847" spans="1:91" x14ac:dyDescent="0.3">
      <c r="A1847" t="s">
        <v>2755</v>
      </c>
      <c r="B1847">
        <v>41547</v>
      </c>
      <c r="C1847" t="s">
        <v>2758</v>
      </c>
      <c r="D1847">
        <v>12</v>
      </c>
      <c r="I1847">
        <v>717270</v>
      </c>
      <c r="J1847" t="s">
        <v>800</v>
      </c>
      <c r="V1847" t="s">
        <v>350</v>
      </c>
      <c r="Y1847">
        <v>100</v>
      </c>
      <c r="AA1847">
        <v>78</v>
      </c>
      <c r="AC1847" s="3">
        <v>78</v>
      </c>
      <c r="AE1847" s="3">
        <v>75.87</v>
      </c>
      <c r="AI1847">
        <v>77.5</v>
      </c>
      <c r="AK1847" s="3"/>
      <c r="AV1847" t="s">
        <v>385</v>
      </c>
      <c r="AX1847" t="s">
        <v>385</v>
      </c>
      <c r="AZ1847" t="s">
        <v>385</v>
      </c>
      <c r="BB1847" t="s">
        <v>385</v>
      </c>
      <c r="BS1847" t="s">
        <v>385</v>
      </c>
      <c r="BW1847" t="s">
        <v>385</v>
      </c>
      <c r="BX1847">
        <v>88</v>
      </c>
      <c r="BZ1847">
        <v>75.25</v>
      </c>
      <c r="CM1847">
        <v>1911</v>
      </c>
    </row>
    <row r="1848" spans="1:91" x14ac:dyDescent="0.3">
      <c r="A1848" t="s">
        <v>2759</v>
      </c>
      <c r="B1848">
        <v>41576</v>
      </c>
      <c r="D1848">
        <v>12</v>
      </c>
      <c r="I1848">
        <v>400000</v>
      </c>
      <c r="U1848">
        <v>1</v>
      </c>
      <c r="Y1848">
        <v>1</v>
      </c>
      <c r="AA1848">
        <v>0.75</v>
      </c>
      <c r="AB1848" t="s">
        <v>379</v>
      </c>
      <c r="AC1848" s="3">
        <v>0.75</v>
      </c>
      <c r="AE1848" s="3">
        <v>0.68</v>
      </c>
      <c r="AI1848">
        <v>0.71</v>
      </c>
      <c r="AK1848" s="3"/>
      <c r="AV1848" t="s">
        <v>815</v>
      </c>
      <c r="AX1848" t="s">
        <v>815</v>
      </c>
      <c r="AZ1848" t="s">
        <v>823</v>
      </c>
      <c r="BG1848">
        <v>5</v>
      </c>
      <c r="BH1848">
        <v>5</v>
      </c>
      <c r="BI1848">
        <v>5</v>
      </c>
      <c r="BJ1848">
        <v>5</v>
      </c>
      <c r="BK1848" s="4">
        <v>3409</v>
      </c>
      <c r="BL1848" s="4">
        <v>3958</v>
      </c>
      <c r="BM1848" s="4">
        <v>4139</v>
      </c>
      <c r="BN1848" s="4">
        <v>4323</v>
      </c>
      <c r="BR1848">
        <v>39515</v>
      </c>
      <c r="BT1848">
        <v>6</v>
      </c>
      <c r="BU1848">
        <v>19</v>
      </c>
      <c r="BV1848">
        <v>3</v>
      </c>
      <c r="BX1848">
        <v>1</v>
      </c>
      <c r="BZ1848">
        <v>0.68</v>
      </c>
      <c r="CM1848">
        <v>1911</v>
      </c>
    </row>
    <row r="1849" spans="1:91" x14ac:dyDescent="0.3">
      <c r="A1849" t="s">
        <v>2760</v>
      </c>
      <c r="B1849">
        <v>41599</v>
      </c>
      <c r="D1849">
        <v>12</v>
      </c>
      <c r="I1849" s="2">
        <v>1271680</v>
      </c>
      <c r="U1849">
        <v>1</v>
      </c>
      <c r="Y1849">
        <v>1</v>
      </c>
      <c r="AA1849">
        <v>0.18</v>
      </c>
      <c r="AC1849" s="3">
        <v>0.21</v>
      </c>
      <c r="AE1849" s="3">
        <v>0.18</v>
      </c>
      <c r="AI1849">
        <v>0.21</v>
      </c>
      <c r="AK1849" s="3"/>
      <c r="AV1849" t="s">
        <v>815</v>
      </c>
      <c r="AX1849" t="s">
        <v>815</v>
      </c>
      <c r="AZ1849" t="s">
        <v>815</v>
      </c>
      <c r="BB1849" t="s">
        <v>815</v>
      </c>
      <c r="BG1849">
        <v>2.5</v>
      </c>
      <c r="BH1849">
        <v>2</v>
      </c>
      <c r="BI1849">
        <v>2.5</v>
      </c>
      <c r="BJ1849">
        <v>2</v>
      </c>
      <c r="BK1849" s="4">
        <v>2313</v>
      </c>
      <c r="BL1849" s="4">
        <v>3044</v>
      </c>
      <c r="BM1849" s="4">
        <v>3774</v>
      </c>
      <c r="BN1849" s="4">
        <v>4139</v>
      </c>
      <c r="BR1849">
        <v>121530</v>
      </c>
      <c r="BS1849" t="s">
        <v>2761</v>
      </c>
      <c r="BT1849">
        <v>9</v>
      </c>
      <c r="BU1849">
        <v>2</v>
      </c>
      <c r="BV1849">
        <v>9</v>
      </c>
      <c r="BX1849">
        <v>0.31</v>
      </c>
      <c r="CA1849" t="s">
        <v>385</v>
      </c>
      <c r="CM1849">
        <v>1911</v>
      </c>
    </row>
    <row r="1850" spans="1:91" x14ac:dyDescent="0.3">
      <c r="A1850" t="s">
        <v>2760</v>
      </c>
      <c r="B1850">
        <v>41600</v>
      </c>
      <c r="C1850" t="s">
        <v>860</v>
      </c>
      <c r="D1850">
        <v>12</v>
      </c>
      <c r="I1850">
        <v>620000</v>
      </c>
      <c r="J1850" t="s">
        <v>800</v>
      </c>
      <c r="V1850" t="s">
        <v>350</v>
      </c>
      <c r="Y1850">
        <v>100</v>
      </c>
      <c r="AA1850">
        <v>69</v>
      </c>
      <c r="AC1850" s="3">
        <v>69</v>
      </c>
      <c r="AE1850" s="3">
        <v>66.25</v>
      </c>
      <c r="AI1850">
        <v>66.25</v>
      </c>
      <c r="AJ1850" t="s">
        <v>379</v>
      </c>
      <c r="AK1850" s="3"/>
      <c r="BG1850">
        <v>4</v>
      </c>
      <c r="BH1850">
        <v>4</v>
      </c>
      <c r="BI1850">
        <v>4</v>
      </c>
      <c r="BJ1850">
        <v>4</v>
      </c>
      <c r="BK1850" s="4">
        <v>3623</v>
      </c>
      <c r="BL1850" s="4">
        <v>3805</v>
      </c>
      <c r="BM1850" s="4">
        <v>3988</v>
      </c>
      <c r="BN1850" s="4">
        <v>4170</v>
      </c>
      <c r="BR1850">
        <v>121530</v>
      </c>
      <c r="BS1850" t="s">
        <v>2761</v>
      </c>
      <c r="BT1850">
        <v>6</v>
      </c>
      <c r="BU1850">
        <v>0</v>
      </c>
      <c r="BV1850">
        <v>9</v>
      </c>
      <c r="BX1850">
        <v>74</v>
      </c>
      <c r="BZ1850">
        <v>66.25</v>
      </c>
      <c r="CM1850">
        <v>1911</v>
      </c>
    </row>
    <row r="1851" spans="1:91" x14ac:dyDescent="0.3">
      <c r="A1851" t="s">
        <v>2762</v>
      </c>
      <c r="B1851">
        <v>41647</v>
      </c>
      <c r="D1851">
        <v>12</v>
      </c>
      <c r="I1851">
        <v>100000</v>
      </c>
      <c r="U1851">
        <v>5</v>
      </c>
      <c r="Y1851">
        <v>5</v>
      </c>
      <c r="AA1851">
        <v>7</v>
      </c>
      <c r="AC1851" s="3">
        <v>7</v>
      </c>
      <c r="AE1851" s="3">
        <v>6.75</v>
      </c>
      <c r="AI1851">
        <v>6.87</v>
      </c>
      <c r="AK1851" s="3"/>
      <c r="AX1851" t="s">
        <v>823</v>
      </c>
      <c r="BB1851" t="s">
        <v>823</v>
      </c>
      <c r="BG1851">
        <v>12</v>
      </c>
      <c r="BH1851">
        <v>8</v>
      </c>
      <c r="BI1851">
        <v>12</v>
      </c>
      <c r="BJ1851">
        <v>8</v>
      </c>
      <c r="BK1851" s="4">
        <v>3713</v>
      </c>
      <c r="BL1851" s="4">
        <v>3897</v>
      </c>
      <c r="BM1851" s="4">
        <v>4078</v>
      </c>
      <c r="BN1851" s="4">
        <v>4262</v>
      </c>
      <c r="BR1851">
        <v>242320</v>
      </c>
      <c r="BS1851" t="s">
        <v>2763</v>
      </c>
      <c r="BT1851">
        <v>7</v>
      </c>
      <c r="BU1851">
        <v>5</v>
      </c>
      <c r="BV1851">
        <v>6</v>
      </c>
      <c r="BX1851">
        <v>7.37</v>
      </c>
      <c r="BZ1851">
        <v>6.75</v>
      </c>
      <c r="CK1851" t="s">
        <v>2764</v>
      </c>
      <c r="CM1851">
        <v>1911</v>
      </c>
    </row>
    <row r="1852" spans="1:91" x14ac:dyDescent="0.3">
      <c r="A1852" t="s">
        <v>2762</v>
      </c>
      <c r="B1852">
        <v>41651</v>
      </c>
      <c r="C1852" t="s">
        <v>2096</v>
      </c>
      <c r="D1852">
        <v>12</v>
      </c>
      <c r="I1852">
        <v>100000</v>
      </c>
      <c r="U1852">
        <v>5</v>
      </c>
      <c r="Y1852">
        <v>5</v>
      </c>
      <c r="AA1852">
        <v>6</v>
      </c>
      <c r="AC1852" s="3">
        <v>6</v>
      </c>
      <c r="AE1852" s="3">
        <v>6</v>
      </c>
      <c r="AI1852">
        <v>6</v>
      </c>
      <c r="AK1852" s="3"/>
      <c r="AV1852" t="s">
        <v>370</v>
      </c>
      <c r="AX1852" t="s">
        <v>370</v>
      </c>
      <c r="AZ1852" t="s">
        <v>370</v>
      </c>
      <c r="BB1852" t="s">
        <v>370</v>
      </c>
      <c r="BO1852" t="s">
        <v>367</v>
      </c>
      <c r="BR1852">
        <v>242320</v>
      </c>
      <c r="BS1852" t="s">
        <v>2763</v>
      </c>
      <c r="BT1852">
        <v>5</v>
      </c>
      <c r="BU1852">
        <v>0</v>
      </c>
      <c r="BV1852">
        <v>0</v>
      </c>
      <c r="BX1852">
        <v>6.5</v>
      </c>
      <c r="BZ1852">
        <v>5.75</v>
      </c>
      <c r="CM1852">
        <v>1911</v>
      </c>
    </row>
    <row r="1853" spans="1:91" x14ac:dyDescent="0.3">
      <c r="A1853" t="s">
        <v>50</v>
      </c>
      <c r="B1853">
        <v>41650</v>
      </c>
      <c r="C1853" t="s">
        <v>2765</v>
      </c>
      <c r="D1853">
        <v>12</v>
      </c>
      <c r="I1853">
        <v>500000</v>
      </c>
      <c r="J1853" t="s">
        <v>800</v>
      </c>
      <c r="V1853" t="s">
        <v>350</v>
      </c>
      <c r="Y1853">
        <v>100</v>
      </c>
      <c r="AA1853">
        <v>103</v>
      </c>
      <c r="AC1853" s="3">
        <v>103</v>
      </c>
      <c r="AE1853" s="3">
        <v>102</v>
      </c>
      <c r="AI1853">
        <v>102</v>
      </c>
      <c r="AJ1853" t="s">
        <v>379</v>
      </c>
      <c r="AK1853" s="3"/>
      <c r="AV1853" t="s">
        <v>370</v>
      </c>
      <c r="AX1853" t="s">
        <v>370</v>
      </c>
      <c r="AZ1853" t="s">
        <v>370</v>
      </c>
      <c r="BB1853" t="s">
        <v>370</v>
      </c>
      <c r="BO1853" t="s">
        <v>367</v>
      </c>
      <c r="BR1853">
        <v>242320</v>
      </c>
      <c r="BS1853" t="s">
        <v>2763</v>
      </c>
      <c r="BT1853">
        <v>4</v>
      </c>
      <c r="BU1853">
        <v>8</v>
      </c>
      <c r="BV1853">
        <v>3</v>
      </c>
      <c r="BX1853">
        <v>105.5</v>
      </c>
      <c r="BZ1853">
        <v>100.5</v>
      </c>
      <c r="CM1853">
        <v>1911</v>
      </c>
    </row>
    <row r="1854" spans="1:91" x14ac:dyDescent="0.3">
      <c r="A1854" t="s">
        <v>50</v>
      </c>
      <c r="B1854">
        <v>41652</v>
      </c>
      <c r="C1854" t="s">
        <v>2766</v>
      </c>
      <c r="D1854">
        <v>12</v>
      </c>
      <c r="I1854">
        <v>200000</v>
      </c>
      <c r="J1854" t="s">
        <v>800</v>
      </c>
      <c r="V1854" t="s">
        <v>350</v>
      </c>
      <c r="Y1854">
        <v>100</v>
      </c>
      <c r="AA1854">
        <v>105</v>
      </c>
      <c r="AC1854" s="3">
        <v>105</v>
      </c>
      <c r="AE1854" s="3">
        <v>103</v>
      </c>
      <c r="AI1854">
        <v>103</v>
      </c>
      <c r="AJ1854" t="s">
        <v>379</v>
      </c>
      <c r="AK1854" s="3"/>
      <c r="AV1854" t="s">
        <v>385</v>
      </c>
      <c r="AX1854" t="s">
        <v>385</v>
      </c>
      <c r="AZ1854" t="s">
        <v>385</v>
      </c>
      <c r="BB1854" t="s">
        <v>385</v>
      </c>
      <c r="BS1854" t="s">
        <v>385</v>
      </c>
      <c r="BW1854" t="s">
        <v>385</v>
      </c>
      <c r="BY1854" t="s">
        <v>385</v>
      </c>
      <c r="CA1854" t="s">
        <v>385</v>
      </c>
      <c r="CM1854">
        <v>1911</v>
      </c>
    </row>
    <row r="1855" spans="1:91" x14ac:dyDescent="0.3">
      <c r="A1855" t="s">
        <v>2767</v>
      </c>
      <c r="B1855">
        <v>41675</v>
      </c>
      <c r="D1855">
        <v>12</v>
      </c>
      <c r="I1855">
        <v>90000</v>
      </c>
      <c r="U1855">
        <v>1</v>
      </c>
      <c r="Y1855">
        <v>1</v>
      </c>
      <c r="AA1855">
        <v>0.5</v>
      </c>
      <c r="AC1855" s="3">
        <v>0.5</v>
      </c>
      <c r="AE1855" s="3">
        <v>0.4</v>
      </c>
      <c r="AI1855">
        <v>0.5</v>
      </c>
      <c r="AK1855" s="3"/>
      <c r="AV1855" t="s">
        <v>815</v>
      </c>
      <c r="AX1855" t="s">
        <v>815</v>
      </c>
      <c r="AZ1855" t="s">
        <v>815</v>
      </c>
      <c r="BB1855" t="s">
        <v>815</v>
      </c>
      <c r="BG1855">
        <v>6</v>
      </c>
      <c r="BH1855">
        <v>5</v>
      </c>
      <c r="BI1855">
        <v>5</v>
      </c>
      <c r="BJ1855">
        <v>5</v>
      </c>
      <c r="BK1855" s="4">
        <v>3014</v>
      </c>
      <c r="BL1855" s="4">
        <v>3379</v>
      </c>
      <c r="BM1855" s="4">
        <v>3744</v>
      </c>
      <c r="BN1855" s="4">
        <v>4170</v>
      </c>
      <c r="BR1855">
        <v>66165</v>
      </c>
      <c r="BS1855" t="s">
        <v>2768</v>
      </c>
      <c r="BT1855">
        <v>10</v>
      </c>
      <c r="BU1855">
        <v>0</v>
      </c>
      <c r="BV1855">
        <v>0</v>
      </c>
      <c r="BX1855">
        <v>0.5</v>
      </c>
      <c r="BZ1855">
        <v>0.37</v>
      </c>
      <c r="CK1855" t="s">
        <v>360</v>
      </c>
      <c r="CM1855">
        <v>1911</v>
      </c>
    </row>
    <row r="1856" spans="1:91" x14ac:dyDescent="0.3">
      <c r="A1856" t="s">
        <v>2767</v>
      </c>
      <c r="B1856">
        <v>41676</v>
      </c>
      <c r="C1856" t="s">
        <v>943</v>
      </c>
      <c r="D1856">
        <v>12</v>
      </c>
      <c r="I1856">
        <v>90000</v>
      </c>
      <c r="U1856">
        <v>1</v>
      </c>
      <c r="Y1856">
        <v>1</v>
      </c>
      <c r="AA1856">
        <v>0.62</v>
      </c>
      <c r="AC1856" s="3">
        <v>0.62</v>
      </c>
      <c r="AE1856" s="3">
        <v>0.62</v>
      </c>
      <c r="AI1856">
        <v>0.62</v>
      </c>
      <c r="AK1856" s="3"/>
      <c r="BG1856">
        <v>6</v>
      </c>
      <c r="BH1856">
        <v>6</v>
      </c>
      <c r="BI1856">
        <v>6</v>
      </c>
      <c r="BJ1856">
        <v>6</v>
      </c>
      <c r="BK1856" s="4">
        <v>3744</v>
      </c>
      <c r="BL1856" s="4">
        <v>3927</v>
      </c>
      <c r="BM1856" s="4">
        <v>4109</v>
      </c>
      <c r="BN1856" s="4">
        <v>4292</v>
      </c>
      <c r="BR1856">
        <v>66165</v>
      </c>
      <c r="BS1856" t="s">
        <v>2768</v>
      </c>
      <c r="BT1856">
        <v>9</v>
      </c>
      <c r="BU1856">
        <v>12</v>
      </c>
      <c r="BV1856">
        <v>0</v>
      </c>
      <c r="BX1856">
        <v>0.68</v>
      </c>
      <c r="BZ1856">
        <v>0.5</v>
      </c>
      <c r="CM1856">
        <v>1911</v>
      </c>
    </row>
    <row r="1857" spans="1:91" x14ac:dyDescent="0.3">
      <c r="A1857" t="s">
        <v>2769</v>
      </c>
      <c r="B1857">
        <v>41687</v>
      </c>
      <c r="D1857">
        <v>12</v>
      </c>
      <c r="I1857">
        <v>600000</v>
      </c>
      <c r="U1857">
        <v>1</v>
      </c>
      <c r="Y1857">
        <v>1</v>
      </c>
      <c r="AA1857">
        <v>0.93</v>
      </c>
      <c r="AC1857" s="3">
        <v>0.93</v>
      </c>
      <c r="AE1857" s="3">
        <v>0.93</v>
      </c>
      <c r="AI1857">
        <v>0.93</v>
      </c>
      <c r="AK1857" s="3"/>
      <c r="AV1857" t="s">
        <v>815</v>
      </c>
      <c r="AX1857" t="s">
        <v>815</v>
      </c>
      <c r="AZ1857" t="s">
        <v>815</v>
      </c>
      <c r="BB1857" t="s">
        <v>815</v>
      </c>
      <c r="BG1857">
        <v>6</v>
      </c>
      <c r="BH1857">
        <v>4</v>
      </c>
      <c r="BI1857">
        <v>8</v>
      </c>
      <c r="BJ1857">
        <v>8</v>
      </c>
      <c r="BK1857" s="4">
        <v>2954</v>
      </c>
      <c r="BL1857" s="4">
        <v>3320</v>
      </c>
      <c r="BM1857" s="4">
        <v>3685</v>
      </c>
      <c r="BN1857" s="4">
        <v>4050</v>
      </c>
      <c r="BR1857">
        <v>313517</v>
      </c>
      <c r="BS1857" t="s">
        <v>2770</v>
      </c>
      <c r="BT1857">
        <v>8</v>
      </c>
      <c r="BU1857">
        <v>10</v>
      </c>
      <c r="BV1857">
        <v>9</v>
      </c>
      <c r="BX1857">
        <v>1.03</v>
      </c>
      <c r="BZ1857">
        <v>0.84</v>
      </c>
      <c r="CK1857" t="s">
        <v>360</v>
      </c>
      <c r="CM1857">
        <v>1911</v>
      </c>
    </row>
    <row r="1858" spans="1:91" x14ac:dyDescent="0.3">
      <c r="A1858" t="s">
        <v>2771</v>
      </c>
      <c r="B1858">
        <v>41688</v>
      </c>
      <c r="D1858">
        <v>12</v>
      </c>
      <c r="I1858">
        <v>600000</v>
      </c>
      <c r="U1858">
        <v>1</v>
      </c>
      <c r="Y1858">
        <v>1</v>
      </c>
      <c r="AA1858">
        <v>1.03</v>
      </c>
      <c r="AC1858" s="3">
        <v>1.06</v>
      </c>
      <c r="AE1858" s="3">
        <v>1.03</v>
      </c>
      <c r="AI1858">
        <v>1.03</v>
      </c>
      <c r="AJ1858" t="s">
        <v>379</v>
      </c>
      <c r="AK1858" s="3"/>
      <c r="AV1858" t="s">
        <v>370</v>
      </c>
      <c r="AX1858" t="s">
        <v>370</v>
      </c>
      <c r="AZ1858" t="s">
        <v>370</v>
      </c>
      <c r="BB1858" t="s">
        <v>370</v>
      </c>
      <c r="BO1858" t="s">
        <v>367</v>
      </c>
      <c r="BR1858">
        <v>313517</v>
      </c>
      <c r="BS1858" t="s">
        <v>2770</v>
      </c>
      <c r="BT1858">
        <v>5</v>
      </c>
      <c r="BU1858">
        <v>6</v>
      </c>
      <c r="BV1858">
        <v>9</v>
      </c>
      <c r="BX1858">
        <v>1.06</v>
      </c>
      <c r="BZ1858">
        <v>0.96</v>
      </c>
      <c r="CM1858">
        <v>1911</v>
      </c>
    </row>
    <row r="1859" spans="1:91" x14ac:dyDescent="0.3">
      <c r="A1859" t="s">
        <v>2771</v>
      </c>
      <c r="B1859">
        <v>41686</v>
      </c>
      <c r="C1859" t="s">
        <v>2772</v>
      </c>
      <c r="D1859">
        <v>12</v>
      </c>
      <c r="I1859">
        <v>550000</v>
      </c>
      <c r="J1859" t="s">
        <v>800</v>
      </c>
      <c r="V1859" t="s">
        <v>350</v>
      </c>
      <c r="Y1859">
        <v>100</v>
      </c>
      <c r="AA1859">
        <v>92.5</v>
      </c>
      <c r="AC1859" s="3">
        <v>94.25</v>
      </c>
      <c r="AE1859" s="3">
        <v>92.5</v>
      </c>
      <c r="AI1859">
        <v>92.5</v>
      </c>
      <c r="AJ1859" t="s">
        <v>379</v>
      </c>
      <c r="AK1859" s="3"/>
      <c r="AV1859" t="s">
        <v>370</v>
      </c>
      <c r="AX1859" t="s">
        <v>370</v>
      </c>
      <c r="AZ1859" t="s">
        <v>370</v>
      </c>
      <c r="BB1859" t="s">
        <v>370</v>
      </c>
      <c r="BO1859" t="s">
        <v>367</v>
      </c>
      <c r="BR1859">
        <v>313517</v>
      </c>
      <c r="BS1859" t="s">
        <v>2770</v>
      </c>
      <c r="BT1859">
        <v>4</v>
      </c>
      <c r="BU1859">
        <v>13</v>
      </c>
      <c r="BV1859">
        <v>0</v>
      </c>
      <c r="BX1859">
        <v>96.75</v>
      </c>
      <c r="BZ1859">
        <v>91.5</v>
      </c>
      <c r="CM1859">
        <v>1911</v>
      </c>
    </row>
    <row r="1860" spans="1:91" x14ac:dyDescent="0.3">
      <c r="A1860" t="s">
        <v>2773</v>
      </c>
      <c r="B1860">
        <v>41722</v>
      </c>
      <c r="D1860">
        <v>12</v>
      </c>
      <c r="I1860">
        <v>40000</v>
      </c>
      <c r="U1860">
        <v>20</v>
      </c>
      <c r="Y1860">
        <v>3</v>
      </c>
      <c r="AA1860">
        <v>7</v>
      </c>
      <c r="AC1860" s="3">
        <v>7</v>
      </c>
      <c r="AE1860" s="3">
        <v>7</v>
      </c>
      <c r="AI1860">
        <v>7</v>
      </c>
      <c r="AK1860" s="3"/>
      <c r="AX1860" t="s">
        <v>823</v>
      </c>
      <c r="BB1860" t="s">
        <v>823</v>
      </c>
      <c r="BG1860">
        <v>16.66</v>
      </c>
      <c r="BH1860">
        <v>13.33</v>
      </c>
      <c r="BI1860">
        <v>13.33</v>
      </c>
      <c r="BJ1860">
        <v>13.33</v>
      </c>
      <c r="BK1860" s="4">
        <v>3685</v>
      </c>
      <c r="BL1860" s="4">
        <v>3866</v>
      </c>
      <c r="BM1860" s="4">
        <v>4050</v>
      </c>
      <c r="BN1860" s="4">
        <v>4231</v>
      </c>
      <c r="BR1860">
        <v>140476</v>
      </c>
      <c r="BT1860">
        <v>5</v>
      </c>
      <c r="BU1860">
        <v>14</v>
      </c>
      <c r="BV1860">
        <v>3</v>
      </c>
      <c r="BX1860">
        <v>7.5</v>
      </c>
      <c r="BZ1860">
        <v>6.75</v>
      </c>
      <c r="CK1860" t="s">
        <v>541</v>
      </c>
      <c r="CM1860">
        <v>1911</v>
      </c>
    </row>
    <row r="1861" spans="1:91" x14ac:dyDescent="0.3">
      <c r="A1861" t="s">
        <v>2774</v>
      </c>
      <c r="B1861">
        <v>41725</v>
      </c>
      <c r="D1861">
        <v>12</v>
      </c>
      <c r="I1861">
        <v>500000</v>
      </c>
      <c r="U1861">
        <v>3</v>
      </c>
      <c r="Y1861">
        <v>3</v>
      </c>
      <c r="AA1861">
        <v>0.37</v>
      </c>
      <c r="AC1861" s="3">
        <v>0.37</v>
      </c>
      <c r="AE1861" s="3">
        <v>0.28000000000000003</v>
      </c>
      <c r="AI1861">
        <v>0.37</v>
      </c>
      <c r="AK1861" s="3"/>
      <c r="BB1861" t="s">
        <v>810</v>
      </c>
      <c r="BG1861">
        <v>6</v>
      </c>
      <c r="BH1861">
        <v>6</v>
      </c>
      <c r="BI1861">
        <v>6</v>
      </c>
      <c r="BK1861" s="4">
        <v>1066</v>
      </c>
      <c r="BL1861" s="4">
        <v>1217</v>
      </c>
      <c r="BM1861" s="4">
        <v>1493</v>
      </c>
      <c r="BR1861">
        <v>5117</v>
      </c>
      <c r="BS1861" t="s">
        <v>2775</v>
      </c>
      <c r="BW1861" t="s">
        <v>802</v>
      </c>
      <c r="BX1861">
        <v>0.56000000000000005</v>
      </c>
      <c r="BZ1861">
        <v>0.18</v>
      </c>
      <c r="CK1861" t="s">
        <v>360</v>
      </c>
      <c r="CM1861">
        <v>1911</v>
      </c>
    </row>
    <row r="1862" spans="1:91" x14ac:dyDescent="0.3">
      <c r="A1862" t="s">
        <v>2776</v>
      </c>
      <c r="B1862">
        <v>41726</v>
      </c>
      <c r="D1862">
        <v>12</v>
      </c>
      <c r="I1862" s="2">
        <v>1241350</v>
      </c>
      <c r="J1862" t="s">
        <v>800</v>
      </c>
      <c r="V1862" t="s">
        <v>350</v>
      </c>
      <c r="Y1862">
        <v>100</v>
      </c>
      <c r="AA1862">
        <v>58.5</v>
      </c>
      <c r="AC1862" s="3">
        <v>58.5</v>
      </c>
      <c r="AE1862" s="3">
        <v>55.5</v>
      </c>
      <c r="AI1862">
        <v>55.5</v>
      </c>
      <c r="AJ1862" t="s">
        <v>379</v>
      </c>
      <c r="AK1862" s="3"/>
      <c r="AV1862" t="s">
        <v>370</v>
      </c>
      <c r="AX1862" t="s">
        <v>370</v>
      </c>
      <c r="AZ1862" t="s">
        <v>370</v>
      </c>
      <c r="BB1862" t="s">
        <v>370</v>
      </c>
      <c r="BO1862" t="s">
        <v>367</v>
      </c>
      <c r="BR1862">
        <v>5117</v>
      </c>
      <c r="BS1862" t="s">
        <v>2775</v>
      </c>
      <c r="BT1862">
        <v>7</v>
      </c>
      <c r="BU1862">
        <v>4</v>
      </c>
      <c r="BV1862">
        <v>3</v>
      </c>
      <c r="BX1862">
        <v>64</v>
      </c>
      <c r="BZ1862">
        <v>55</v>
      </c>
      <c r="CM1862">
        <v>1911</v>
      </c>
    </row>
    <row r="1863" spans="1:91" x14ac:dyDescent="0.3">
      <c r="A1863" t="s">
        <v>2777</v>
      </c>
      <c r="B1863">
        <v>41756</v>
      </c>
      <c r="D1863">
        <v>12</v>
      </c>
      <c r="I1863">
        <v>150000</v>
      </c>
      <c r="U1863">
        <v>1</v>
      </c>
      <c r="Y1863">
        <v>1</v>
      </c>
      <c r="AA1863">
        <v>1.87</v>
      </c>
      <c r="AC1863" s="3">
        <v>1.9</v>
      </c>
      <c r="AE1863" s="3">
        <v>1.87</v>
      </c>
      <c r="AI1863">
        <v>1.87</v>
      </c>
      <c r="AJ1863" t="s">
        <v>379</v>
      </c>
      <c r="AK1863" s="3"/>
      <c r="AV1863" t="s">
        <v>823</v>
      </c>
      <c r="AZ1863" t="s">
        <v>823</v>
      </c>
      <c r="BG1863">
        <v>10</v>
      </c>
      <c r="BH1863">
        <v>10</v>
      </c>
      <c r="BI1863">
        <v>10</v>
      </c>
      <c r="BJ1863">
        <v>10</v>
      </c>
      <c r="BK1863" s="4">
        <v>3623</v>
      </c>
      <c r="BL1863" s="4">
        <v>3835</v>
      </c>
      <c r="BM1863" s="4">
        <v>3988</v>
      </c>
      <c r="BN1863" s="4">
        <v>4200</v>
      </c>
      <c r="BR1863">
        <v>145470</v>
      </c>
      <c r="BT1863">
        <v>5</v>
      </c>
      <c r="BU1863">
        <v>6</v>
      </c>
      <c r="BV1863">
        <v>9</v>
      </c>
      <c r="BX1863">
        <v>2</v>
      </c>
      <c r="BZ1863">
        <v>1.75</v>
      </c>
      <c r="CK1863" t="s">
        <v>360</v>
      </c>
      <c r="CM1863">
        <v>1911</v>
      </c>
    </row>
    <row r="1864" spans="1:91" x14ac:dyDescent="0.3">
      <c r="A1864" t="s">
        <v>2778</v>
      </c>
      <c r="B1864">
        <v>41759</v>
      </c>
      <c r="D1864">
        <v>12</v>
      </c>
      <c r="I1864">
        <v>8000</v>
      </c>
      <c r="U1864">
        <v>50</v>
      </c>
      <c r="Y1864">
        <v>25</v>
      </c>
      <c r="AA1864">
        <v>17.25</v>
      </c>
      <c r="AC1864" s="3">
        <v>17.25</v>
      </c>
      <c r="AE1864" s="3">
        <v>17.25</v>
      </c>
      <c r="AI1864">
        <v>17.25</v>
      </c>
      <c r="AK1864" s="3"/>
      <c r="BG1864">
        <v>5</v>
      </c>
      <c r="BH1864">
        <v>5</v>
      </c>
      <c r="BI1864">
        <v>5</v>
      </c>
      <c r="BJ1864">
        <v>5</v>
      </c>
      <c r="BK1864" t="s">
        <v>1729</v>
      </c>
      <c r="BL1864" t="s">
        <v>1260</v>
      </c>
      <c r="BM1864" t="s">
        <v>1261</v>
      </c>
      <c r="BN1864" t="s">
        <v>1262</v>
      </c>
      <c r="BR1864">
        <v>189085</v>
      </c>
      <c r="BT1864">
        <v>7</v>
      </c>
      <c r="BU1864">
        <v>0</v>
      </c>
      <c r="BV1864">
        <v>9</v>
      </c>
      <c r="BX1864">
        <v>19.5</v>
      </c>
      <c r="BZ1864">
        <v>17.25</v>
      </c>
      <c r="CK1864" t="s">
        <v>388</v>
      </c>
      <c r="CM1864">
        <v>1911</v>
      </c>
    </row>
    <row r="1865" spans="1:91" x14ac:dyDescent="0.3">
      <c r="A1865" t="s">
        <v>2779</v>
      </c>
      <c r="B1865">
        <v>41788</v>
      </c>
      <c r="D1865">
        <v>12</v>
      </c>
      <c r="I1865" s="2">
        <v>1962870</v>
      </c>
      <c r="U1865">
        <v>1</v>
      </c>
      <c r="Y1865">
        <v>1</v>
      </c>
      <c r="AA1865">
        <v>5</v>
      </c>
      <c r="AC1865" s="3">
        <v>5.03</v>
      </c>
      <c r="AE1865" s="3">
        <v>4.9000000000000004</v>
      </c>
      <c r="AI1865">
        <v>5</v>
      </c>
      <c r="AK1865" s="3"/>
      <c r="AX1865" t="s">
        <v>823</v>
      </c>
      <c r="BB1865" t="s">
        <v>823</v>
      </c>
      <c r="BG1865">
        <v>30</v>
      </c>
      <c r="BH1865">
        <v>25</v>
      </c>
      <c r="BI1865">
        <v>30</v>
      </c>
      <c r="BJ1865">
        <v>25</v>
      </c>
      <c r="BK1865" s="4">
        <v>3805</v>
      </c>
      <c r="BL1865" s="4">
        <v>3988</v>
      </c>
      <c r="BM1865" s="4">
        <v>4170</v>
      </c>
      <c r="BN1865" s="4">
        <v>4353</v>
      </c>
      <c r="BR1865">
        <v>939176</v>
      </c>
      <c r="BS1865" t="s">
        <v>2780</v>
      </c>
      <c r="BT1865">
        <v>5</v>
      </c>
      <c r="BU1865">
        <v>10</v>
      </c>
      <c r="BV1865">
        <v>0</v>
      </c>
      <c r="BX1865">
        <v>5.18</v>
      </c>
      <c r="BZ1865">
        <v>4.78</v>
      </c>
      <c r="CK1865" t="s">
        <v>616</v>
      </c>
      <c r="CM1865">
        <v>1911</v>
      </c>
    </row>
    <row r="1866" spans="1:91" x14ac:dyDescent="0.3">
      <c r="A1866" t="s">
        <v>2779</v>
      </c>
      <c r="B1866">
        <v>41789</v>
      </c>
      <c r="C1866" t="s">
        <v>905</v>
      </c>
      <c r="D1866">
        <v>12</v>
      </c>
      <c r="I1866">
        <v>82678</v>
      </c>
      <c r="U1866">
        <v>10</v>
      </c>
      <c r="Y1866">
        <v>10</v>
      </c>
      <c r="AA1866">
        <v>16.75</v>
      </c>
      <c r="AC1866" s="3">
        <v>16.75</v>
      </c>
      <c r="AE1866" s="3">
        <v>16.5</v>
      </c>
      <c r="AI1866">
        <v>16.75</v>
      </c>
      <c r="AK1866" s="3"/>
      <c r="AV1866" t="s">
        <v>421</v>
      </c>
      <c r="AX1866" t="s">
        <v>421</v>
      </c>
      <c r="AZ1866" t="s">
        <v>421</v>
      </c>
      <c r="BB1866" t="s">
        <v>421</v>
      </c>
      <c r="BO1866" t="s">
        <v>367</v>
      </c>
      <c r="BR1866">
        <v>939176</v>
      </c>
      <c r="BS1866" t="s">
        <v>2780</v>
      </c>
      <c r="BT1866">
        <v>4</v>
      </c>
      <c r="BU1866">
        <v>3</v>
      </c>
      <c r="BV1866">
        <v>6</v>
      </c>
      <c r="BX1866">
        <v>17.25</v>
      </c>
      <c r="BZ1866">
        <v>16.25</v>
      </c>
      <c r="CM1866">
        <v>1911</v>
      </c>
    </row>
    <row r="1867" spans="1:91" x14ac:dyDescent="0.3">
      <c r="A1867" t="s">
        <v>2781</v>
      </c>
      <c r="B1867">
        <v>41812</v>
      </c>
      <c r="D1867">
        <v>12</v>
      </c>
      <c r="I1867">
        <v>96000</v>
      </c>
      <c r="U1867">
        <v>5</v>
      </c>
      <c r="Y1867">
        <v>5</v>
      </c>
      <c r="AA1867">
        <v>12.81</v>
      </c>
      <c r="AC1867" s="3">
        <v>12.87</v>
      </c>
      <c r="AE1867" s="3">
        <v>12.62</v>
      </c>
      <c r="AI1867">
        <v>12.81</v>
      </c>
      <c r="AK1867" s="3"/>
      <c r="AV1867" t="s">
        <v>366</v>
      </c>
      <c r="AX1867" t="s">
        <v>366</v>
      </c>
      <c r="AZ1867" t="s">
        <v>366</v>
      </c>
      <c r="BB1867" t="s">
        <v>366</v>
      </c>
      <c r="BO1867" t="s">
        <v>367</v>
      </c>
      <c r="BR1867">
        <v>341197</v>
      </c>
      <c r="BS1867" t="s">
        <v>2782</v>
      </c>
      <c r="BT1867">
        <v>5</v>
      </c>
      <c r="BU1867">
        <v>9</v>
      </c>
      <c r="BV1867">
        <v>3</v>
      </c>
      <c r="BX1867">
        <v>13.37</v>
      </c>
      <c r="BZ1867">
        <v>12.56</v>
      </c>
      <c r="CK1867" t="s">
        <v>360</v>
      </c>
      <c r="CM1867">
        <v>1911</v>
      </c>
    </row>
    <row r="1868" spans="1:91" x14ac:dyDescent="0.3">
      <c r="A1868" t="s">
        <v>2783</v>
      </c>
      <c r="B1868">
        <v>41816</v>
      </c>
      <c r="C1868" t="s">
        <v>2301</v>
      </c>
      <c r="D1868">
        <v>12</v>
      </c>
      <c r="I1868">
        <v>400000</v>
      </c>
      <c r="U1868">
        <v>1</v>
      </c>
      <c r="Y1868">
        <v>1</v>
      </c>
      <c r="AA1868">
        <v>1.1200000000000001</v>
      </c>
      <c r="AC1868" s="3">
        <v>1.1200000000000001</v>
      </c>
      <c r="AE1868" s="3">
        <v>1.1200000000000001</v>
      </c>
      <c r="AI1868">
        <v>1.1200000000000001</v>
      </c>
      <c r="AK1868" s="3"/>
      <c r="BG1868">
        <v>6</v>
      </c>
      <c r="BH1868">
        <v>6</v>
      </c>
      <c r="BI1868">
        <v>6</v>
      </c>
      <c r="BJ1868">
        <v>6</v>
      </c>
      <c r="BK1868" s="4">
        <v>3409</v>
      </c>
      <c r="BL1868" s="4">
        <v>3958</v>
      </c>
      <c r="BM1868" s="4">
        <v>4139</v>
      </c>
      <c r="BN1868" s="4">
        <v>4323</v>
      </c>
      <c r="BR1868">
        <v>341197</v>
      </c>
      <c r="BS1868" t="s">
        <v>2782</v>
      </c>
      <c r="BT1868">
        <v>5</v>
      </c>
      <c r="BU1868">
        <v>7</v>
      </c>
      <c r="BV1868">
        <v>3</v>
      </c>
      <c r="BX1868">
        <v>1.18</v>
      </c>
      <c r="BZ1868">
        <v>1.1200000000000001</v>
      </c>
      <c r="CM1868">
        <v>1911</v>
      </c>
    </row>
    <row r="1869" spans="1:91" x14ac:dyDescent="0.3">
      <c r="A1869" t="s">
        <v>2781</v>
      </c>
      <c r="B1869">
        <v>41813</v>
      </c>
      <c r="C1869" t="s">
        <v>2784</v>
      </c>
      <c r="D1869">
        <v>12</v>
      </c>
      <c r="I1869">
        <v>250000</v>
      </c>
      <c r="J1869" t="s">
        <v>800</v>
      </c>
      <c r="V1869" t="s">
        <v>350</v>
      </c>
      <c r="Y1869">
        <v>100</v>
      </c>
      <c r="AA1869">
        <v>100</v>
      </c>
      <c r="AC1869" s="3">
        <v>100.25</v>
      </c>
      <c r="AE1869" s="3">
        <v>99</v>
      </c>
      <c r="AI1869">
        <v>99</v>
      </c>
      <c r="AJ1869" t="s">
        <v>379</v>
      </c>
      <c r="AK1869" s="3"/>
      <c r="AV1869" t="s">
        <v>421</v>
      </c>
      <c r="AX1869" t="s">
        <v>421</v>
      </c>
      <c r="AZ1869" t="s">
        <v>421</v>
      </c>
      <c r="BB1869" t="s">
        <v>421</v>
      </c>
      <c r="BO1869" t="s">
        <v>367</v>
      </c>
      <c r="BR1869">
        <v>341197</v>
      </c>
      <c r="BS1869" t="s">
        <v>2782</v>
      </c>
      <c r="BT1869">
        <v>4</v>
      </c>
      <c r="BU1869">
        <v>0</v>
      </c>
      <c r="BV1869">
        <v>9</v>
      </c>
      <c r="BX1869">
        <v>100.25</v>
      </c>
      <c r="BZ1869">
        <v>98</v>
      </c>
      <c r="CM1869">
        <v>1911</v>
      </c>
    </row>
    <row r="1870" spans="1:91" x14ac:dyDescent="0.3">
      <c r="A1870" t="s">
        <v>2785</v>
      </c>
      <c r="B1870">
        <v>41825</v>
      </c>
      <c r="D1870">
        <v>12</v>
      </c>
      <c r="I1870">
        <v>80000</v>
      </c>
      <c r="U1870">
        <v>5</v>
      </c>
      <c r="Y1870">
        <v>5</v>
      </c>
      <c r="AA1870">
        <v>0.87</v>
      </c>
      <c r="AC1870" s="3">
        <v>1</v>
      </c>
      <c r="AE1870" s="3">
        <v>0.87</v>
      </c>
      <c r="AI1870">
        <v>1</v>
      </c>
      <c r="AK1870" s="3"/>
      <c r="AV1870" t="s">
        <v>823</v>
      </c>
      <c r="AZ1870" t="s">
        <v>815</v>
      </c>
      <c r="BB1870" t="s">
        <v>810</v>
      </c>
      <c r="BG1870">
        <v>4</v>
      </c>
      <c r="BH1870">
        <v>4</v>
      </c>
      <c r="BI1870">
        <v>4</v>
      </c>
      <c r="BK1870" s="4">
        <v>2648</v>
      </c>
      <c r="BL1870" s="4">
        <v>2862</v>
      </c>
      <c r="BM1870" s="4">
        <v>3228</v>
      </c>
      <c r="BR1870">
        <v>41129</v>
      </c>
      <c r="BS1870" t="s">
        <v>2786</v>
      </c>
      <c r="BW1870" t="s">
        <v>802</v>
      </c>
      <c r="BX1870">
        <v>1.5</v>
      </c>
      <c r="BZ1870">
        <v>0.87</v>
      </c>
      <c r="CK1870" t="s">
        <v>360</v>
      </c>
      <c r="CM1870">
        <v>1911</v>
      </c>
    </row>
    <row r="1871" spans="1:91" x14ac:dyDescent="0.3">
      <c r="A1871" t="s">
        <v>2785</v>
      </c>
      <c r="B1871">
        <v>41826</v>
      </c>
      <c r="C1871" t="s">
        <v>943</v>
      </c>
      <c r="D1871">
        <v>12</v>
      </c>
      <c r="I1871">
        <v>60000</v>
      </c>
      <c r="U1871">
        <v>5</v>
      </c>
      <c r="Y1871">
        <v>5</v>
      </c>
      <c r="AA1871">
        <v>3.25</v>
      </c>
      <c r="AB1871" t="s">
        <v>379</v>
      </c>
      <c r="AC1871" s="3">
        <v>3.25</v>
      </c>
      <c r="AE1871" s="3">
        <v>3</v>
      </c>
      <c r="AI1871">
        <v>3.25</v>
      </c>
      <c r="AK1871" s="3"/>
      <c r="BG1871">
        <v>6</v>
      </c>
      <c r="BH1871">
        <v>6</v>
      </c>
      <c r="BI1871">
        <v>6</v>
      </c>
      <c r="BJ1871">
        <v>6</v>
      </c>
      <c r="BK1871" s="4">
        <v>3744</v>
      </c>
      <c r="BL1871" s="4">
        <v>3988</v>
      </c>
      <c r="BM1871" s="4">
        <v>4109</v>
      </c>
      <c r="BN1871" s="4">
        <v>4323</v>
      </c>
      <c r="BR1871">
        <v>41129</v>
      </c>
      <c r="BS1871" t="s">
        <v>2786</v>
      </c>
      <c r="BT1871">
        <v>9</v>
      </c>
      <c r="BU1871">
        <v>4</v>
      </c>
      <c r="BV1871">
        <v>6</v>
      </c>
      <c r="BX1871">
        <v>4.25</v>
      </c>
      <c r="BZ1871">
        <v>3</v>
      </c>
      <c r="CM1871">
        <v>1911</v>
      </c>
    </row>
    <row r="1872" spans="1:91" x14ac:dyDescent="0.3">
      <c r="A1872" t="s">
        <v>2787</v>
      </c>
      <c r="B1872">
        <v>41868</v>
      </c>
      <c r="D1872">
        <v>12</v>
      </c>
      <c r="I1872">
        <v>105000</v>
      </c>
      <c r="U1872">
        <v>1</v>
      </c>
      <c r="Y1872">
        <v>1</v>
      </c>
      <c r="AA1872">
        <v>1.37</v>
      </c>
      <c r="AC1872" s="3">
        <v>1.37</v>
      </c>
      <c r="AE1872" s="3">
        <v>1.31</v>
      </c>
      <c r="AI1872">
        <v>1.31</v>
      </c>
      <c r="AK1872" s="3"/>
      <c r="AV1872" t="s">
        <v>823</v>
      </c>
      <c r="AZ1872" t="s">
        <v>823</v>
      </c>
      <c r="BG1872">
        <v>10</v>
      </c>
      <c r="BH1872">
        <v>10</v>
      </c>
      <c r="BI1872">
        <v>10</v>
      </c>
      <c r="BJ1872">
        <v>10</v>
      </c>
      <c r="BK1872" s="4">
        <v>3409</v>
      </c>
      <c r="BL1872" s="4">
        <v>3958</v>
      </c>
      <c r="BM1872" s="4">
        <v>4139</v>
      </c>
      <c r="BN1872" s="4">
        <v>4323</v>
      </c>
      <c r="BR1872">
        <v>92101</v>
      </c>
      <c r="BS1872" t="s">
        <v>2788</v>
      </c>
      <c r="BT1872">
        <v>7</v>
      </c>
      <c r="BU1872">
        <v>12</v>
      </c>
      <c r="BV1872">
        <v>6</v>
      </c>
      <c r="BX1872">
        <v>1.5</v>
      </c>
      <c r="BZ1872">
        <v>1.25</v>
      </c>
      <c r="CM1872">
        <v>1911</v>
      </c>
    </row>
    <row r="1873" spans="1:91" x14ac:dyDescent="0.3">
      <c r="A1873" t="s">
        <v>2787</v>
      </c>
      <c r="B1873">
        <v>41870</v>
      </c>
      <c r="C1873" t="s">
        <v>864</v>
      </c>
      <c r="D1873">
        <v>12</v>
      </c>
      <c r="I1873">
        <v>195000</v>
      </c>
      <c r="U1873">
        <v>1</v>
      </c>
      <c r="Y1873">
        <v>1</v>
      </c>
      <c r="AA1873">
        <v>1</v>
      </c>
      <c r="AC1873" s="3">
        <v>1</v>
      </c>
      <c r="AE1873" s="3">
        <v>0.93</v>
      </c>
      <c r="AI1873">
        <v>1</v>
      </c>
      <c r="AK1873" s="3"/>
      <c r="AV1873" t="s">
        <v>366</v>
      </c>
      <c r="AX1873" t="s">
        <v>366</v>
      </c>
      <c r="AZ1873" t="s">
        <v>366</v>
      </c>
      <c r="BB1873" t="s">
        <v>366</v>
      </c>
      <c r="BO1873" t="s">
        <v>367</v>
      </c>
      <c r="BR1873">
        <v>92101</v>
      </c>
      <c r="BS1873" t="s">
        <v>2788</v>
      </c>
      <c r="BT1873">
        <v>5</v>
      </c>
      <c r="BU1873">
        <v>10</v>
      </c>
      <c r="BV1873">
        <v>0</v>
      </c>
      <c r="BX1873">
        <v>1.06</v>
      </c>
      <c r="BZ1873">
        <v>0.93</v>
      </c>
      <c r="CM1873">
        <v>1911</v>
      </c>
    </row>
    <row r="1874" spans="1:91" x14ac:dyDescent="0.3">
      <c r="A1874" t="s">
        <v>2789</v>
      </c>
      <c r="B1874">
        <v>41892</v>
      </c>
      <c r="D1874">
        <v>12</v>
      </c>
      <c r="I1874">
        <v>60000</v>
      </c>
      <c r="U1874">
        <v>5</v>
      </c>
      <c r="Y1874">
        <v>5</v>
      </c>
      <c r="AA1874">
        <v>5.56</v>
      </c>
      <c r="AC1874" s="3">
        <v>5.56</v>
      </c>
      <c r="AE1874" s="3">
        <v>5.12</v>
      </c>
      <c r="AI1874">
        <v>5.12</v>
      </c>
      <c r="AK1874" s="3"/>
      <c r="AX1874" t="s">
        <v>823</v>
      </c>
      <c r="BB1874" t="s">
        <v>823</v>
      </c>
      <c r="BG1874">
        <v>10</v>
      </c>
      <c r="BH1874">
        <v>7</v>
      </c>
      <c r="BI1874">
        <v>10</v>
      </c>
      <c r="BJ1874">
        <v>7</v>
      </c>
      <c r="BK1874" s="4">
        <v>3805</v>
      </c>
      <c r="BL1874" s="4">
        <v>3988</v>
      </c>
      <c r="BM1874" s="4">
        <v>4170</v>
      </c>
      <c r="BN1874" s="4">
        <v>4353</v>
      </c>
      <c r="BR1874">
        <v>185384</v>
      </c>
      <c r="BS1874" t="s">
        <v>2790</v>
      </c>
      <c r="BT1874">
        <v>8</v>
      </c>
      <c r="BU1874">
        <v>5</v>
      </c>
      <c r="BV1874">
        <v>9</v>
      </c>
      <c r="BX1874">
        <v>6</v>
      </c>
      <c r="BZ1874">
        <v>5.12</v>
      </c>
      <c r="CK1874" t="s">
        <v>2791</v>
      </c>
      <c r="CM1874">
        <v>1911</v>
      </c>
    </row>
    <row r="1875" spans="1:91" x14ac:dyDescent="0.3">
      <c r="A1875" t="s">
        <v>2792</v>
      </c>
      <c r="B1875">
        <v>41893</v>
      </c>
      <c r="C1875" t="s">
        <v>844</v>
      </c>
      <c r="D1875">
        <v>12</v>
      </c>
      <c r="I1875">
        <v>60000</v>
      </c>
      <c r="U1875">
        <v>5</v>
      </c>
      <c r="Y1875">
        <v>5</v>
      </c>
      <c r="AA1875">
        <v>5.43</v>
      </c>
      <c r="AC1875" s="3">
        <v>5.43</v>
      </c>
      <c r="AE1875" s="3">
        <v>5.12</v>
      </c>
      <c r="AI1875">
        <v>5.12</v>
      </c>
      <c r="AK1875" s="3"/>
      <c r="AV1875" t="s">
        <v>421</v>
      </c>
      <c r="AX1875" t="s">
        <v>421</v>
      </c>
      <c r="AZ1875" t="s">
        <v>421</v>
      </c>
      <c r="BB1875" t="s">
        <v>421</v>
      </c>
      <c r="BO1875" t="s">
        <v>367</v>
      </c>
      <c r="BR1875">
        <v>185384</v>
      </c>
      <c r="BS1875" t="s">
        <v>2790</v>
      </c>
      <c r="BT1875">
        <v>5</v>
      </c>
      <c r="BU1875">
        <v>17</v>
      </c>
      <c r="BV1875">
        <v>0</v>
      </c>
      <c r="BX1875">
        <v>5.87</v>
      </c>
      <c r="BZ1875">
        <v>5.0599999999999996</v>
      </c>
      <c r="CM1875">
        <v>1911</v>
      </c>
    </row>
    <row r="1876" spans="1:91" x14ac:dyDescent="0.3">
      <c r="A1876" t="s">
        <v>2789</v>
      </c>
      <c r="B1876">
        <v>41895</v>
      </c>
      <c r="C1876" t="s">
        <v>2793</v>
      </c>
      <c r="D1876">
        <v>12</v>
      </c>
      <c r="I1876">
        <v>50000</v>
      </c>
      <c r="U1876">
        <v>10</v>
      </c>
      <c r="Y1876">
        <v>10</v>
      </c>
      <c r="AA1876">
        <v>11.25</v>
      </c>
      <c r="AC1876" s="3">
        <v>11.43</v>
      </c>
      <c r="AE1876" s="3">
        <v>11.12</v>
      </c>
      <c r="AI1876">
        <v>11.31</v>
      </c>
      <c r="AK1876" s="3"/>
      <c r="AV1876" t="s">
        <v>366</v>
      </c>
      <c r="AX1876" t="s">
        <v>366</v>
      </c>
      <c r="AZ1876" t="s">
        <v>366</v>
      </c>
      <c r="BB1876" t="s">
        <v>366</v>
      </c>
      <c r="BO1876" t="s">
        <v>367</v>
      </c>
      <c r="BR1876">
        <v>185384</v>
      </c>
      <c r="BS1876" t="s">
        <v>2790</v>
      </c>
      <c r="BT1876">
        <v>5</v>
      </c>
      <c r="BU1876">
        <v>6</v>
      </c>
      <c r="BV1876">
        <v>0</v>
      </c>
      <c r="BX1876">
        <v>12.5</v>
      </c>
      <c r="BZ1876">
        <v>11.12</v>
      </c>
      <c r="CM1876">
        <v>1911</v>
      </c>
    </row>
    <row r="1877" spans="1:91" x14ac:dyDescent="0.3">
      <c r="A1877" t="s">
        <v>2794</v>
      </c>
      <c r="B1877">
        <v>41897</v>
      </c>
      <c r="D1877">
        <v>12</v>
      </c>
      <c r="I1877">
        <v>60000</v>
      </c>
      <c r="U1877">
        <v>1</v>
      </c>
      <c r="Y1877">
        <v>1</v>
      </c>
      <c r="AA1877">
        <v>0.31</v>
      </c>
      <c r="AC1877" s="3">
        <v>0.31</v>
      </c>
      <c r="AE1877" s="3">
        <v>0.31</v>
      </c>
      <c r="AI1877">
        <v>0.31</v>
      </c>
      <c r="AK1877" s="3"/>
      <c r="AV1877" t="s">
        <v>823</v>
      </c>
      <c r="AZ1877" t="s">
        <v>823</v>
      </c>
      <c r="BB1877" t="s">
        <v>810</v>
      </c>
      <c r="BG1877">
        <v>5</v>
      </c>
      <c r="BH1877">
        <v>7</v>
      </c>
      <c r="BI1877">
        <v>5</v>
      </c>
      <c r="BK1877" s="4">
        <v>3136</v>
      </c>
      <c r="BL1877" s="4">
        <v>3320</v>
      </c>
      <c r="BM1877" s="4">
        <v>3501</v>
      </c>
      <c r="BR1877">
        <v>339</v>
      </c>
      <c r="BS1877" t="s">
        <v>2795</v>
      </c>
      <c r="BW1877" t="s">
        <v>802</v>
      </c>
      <c r="BX1877">
        <v>0.43</v>
      </c>
      <c r="BZ1877">
        <v>0.31</v>
      </c>
      <c r="CK1877" t="s">
        <v>360</v>
      </c>
      <c r="CM1877">
        <v>1911</v>
      </c>
    </row>
    <row r="1878" spans="1:91" x14ac:dyDescent="0.3">
      <c r="A1878" t="s">
        <v>2794</v>
      </c>
      <c r="B1878">
        <v>41899</v>
      </c>
      <c r="C1878" t="s">
        <v>850</v>
      </c>
      <c r="D1878">
        <v>12</v>
      </c>
      <c r="I1878">
        <v>75000</v>
      </c>
      <c r="U1878">
        <v>1</v>
      </c>
      <c r="Y1878">
        <v>1</v>
      </c>
      <c r="AA1878">
        <v>0.5</v>
      </c>
      <c r="AC1878" s="3">
        <v>0.5</v>
      </c>
      <c r="AE1878" s="3">
        <v>0.43</v>
      </c>
      <c r="AI1878">
        <v>0.43</v>
      </c>
      <c r="AJ1878" t="s">
        <v>379</v>
      </c>
      <c r="AK1878" s="3"/>
      <c r="BG1878">
        <v>5</v>
      </c>
      <c r="BH1878">
        <v>5</v>
      </c>
      <c r="BI1878">
        <v>5</v>
      </c>
      <c r="BJ1878">
        <v>5</v>
      </c>
      <c r="BK1878" s="4">
        <v>3654</v>
      </c>
      <c r="BL1878" s="4">
        <v>3835</v>
      </c>
      <c r="BM1878" s="4">
        <v>4019</v>
      </c>
      <c r="BN1878" s="4">
        <v>4200</v>
      </c>
      <c r="BR1878">
        <v>339</v>
      </c>
      <c r="BS1878" t="s">
        <v>2795</v>
      </c>
      <c r="BT1878">
        <v>11</v>
      </c>
      <c r="BU1878">
        <v>8</v>
      </c>
      <c r="BV1878">
        <v>6</v>
      </c>
      <c r="BX1878">
        <v>0.62</v>
      </c>
      <c r="BZ1878">
        <v>0.37</v>
      </c>
      <c r="CM1878">
        <v>1911</v>
      </c>
    </row>
    <row r="1879" spans="1:91" x14ac:dyDescent="0.3">
      <c r="A1879" t="s">
        <v>2794</v>
      </c>
      <c r="B1879">
        <v>41898</v>
      </c>
      <c r="C1879" t="s">
        <v>974</v>
      </c>
      <c r="D1879">
        <v>12</v>
      </c>
      <c r="I1879">
        <v>150000</v>
      </c>
      <c r="J1879" t="s">
        <v>800</v>
      </c>
      <c r="V1879" t="s">
        <v>350</v>
      </c>
      <c r="Y1879">
        <v>100</v>
      </c>
      <c r="AA1879">
        <v>81</v>
      </c>
      <c r="AC1879" s="3">
        <v>82</v>
      </c>
      <c r="AE1879" s="3">
        <v>81</v>
      </c>
      <c r="AI1879">
        <v>81</v>
      </c>
      <c r="AJ1879" t="s">
        <v>379</v>
      </c>
      <c r="AK1879" s="3"/>
      <c r="AV1879" t="s">
        <v>370</v>
      </c>
      <c r="AX1879" t="s">
        <v>370</v>
      </c>
      <c r="AZ1879" t="s">
        <v>370</v>
      </c>
      <c r="BB1879" t="s">
        <v>370</v>
      </c>
      <c r="BO1879" t="s">
        <v>367</v>
      </c>
      <c r="BR1879">
        <v>339</v>
      </c>
      <c r="BS1879" t="s">
        <v>2795</v>
      </c>
      <c r="BT1879">
        <v>4</v>
      </c>
      <c r="BU1879">
        <v>18</v>
      </c>
      <c r="BV1879">
        <v>9</v>
      </c>
      <c r="BX1879">
        <v>82</v>
      </c>
      <c r="BZ1879">
        <v>79</v>
      </c>
      <c r="CM1879">
        <v>1911</v>
      </c>
    </row>
    <row r="1880" spans="1:91" x14ac:dyDescent="0.3">
      <c r="A1880" t="s">
        <v>2796</v>
      </c>
      <c r="B1880">
        <v>41917</v>
      </c>
      <c r="D1880">
        <v>12</v>
      </c>
      <c r="I1880">
        <v>25000</v>
      </c>
      <c r="U1880">
        <v>5</v>
      </c>
      <c r="Y1880">
        <v>5</v>
      </c>
      <c r="AA1880">
        <v>3.5</v>
      </c>
      <c r="AC1880" s="3">
        <v>3.68</v>
      </c>
      <c r="AE1880" s="3">
        <v>3.5</v>
      </c>
      <c r="AI1880">
        <v>3.62</v>
      </c>
      <c r="AK1880" s="3"/>
      <c r="BG1880">
        <v>5</v>
      </c>
      <c r="BH1880">
        <v>5</v>
      </c>
      <c r="BI1880">
        <v>5</v>
      </c>
      <c r="BJ1880">
        <v>5</v>
      </c>
      <c r="BK1880" s="4">
        <v>3744</v>
      </c>
      <c r="BL1880" s="4">
        <v>3927</v>
      </c>
      <c r="BM1880" s="4">
        <v>4109</v>
      </c>
      <c r="BN1880" s="4">
        <v>4292</v>
      </c>
      <c r="BR1880">
        <v>46710</v>
      </c>
      <c r="BS1880" t="s">
        <v>2797</v>
      </c>
      <c r="BT1880">
        <v>6</v>
      </c>
      <c r="BU1880">
        <v>18</v>
      </c>
      <c r="BV1880">
        <v>0</v>
      </c>
      <c r="BX1880">
        <v>4</v>
      </c>
      <c r="BZ1880">
        <v>3</v>
      </c>
      <c r="CK1880" t="s">
        <v>360</v>
      </c>
      <c r="CM1880">
        <v>1911</v>
      </c>
    </row>
    <row r="1881" spans="1:91" x14ac:dyDescent="0.3">
      <c r="A1881" t="s">
        <v>2796</v>
      </c>
      <c r="B1881">
        <v>41918</v>
      </c>
      <c r="C1881" t="s">
        <v>1071</v>
      </c>
      <c r="D1881">
        <v>12</v>
      </c>
      <c r="I1881">
        <v>125000</v>
      </c>
      <c r="J1881" t="s">
        <v>800</v>
      </c>
      <c r="V1881" t="s">
        <v>350</v>
      </c>
      <c r="Y1881">
        <v>100</v>
      </c>
      <c r="AA1881">
        <v>74.5</v>
      </c>
      <c r="AC1881" s="3">
        <v>74.5</v>
      </c>
      <c r="AE1881" s="3">
        <v>74.5</v>
      </c>
      <c r="AI1881">
        <v>74.5</v>
      </c>
      <c r="AK1881" s="3"/>
      <c r="AV1881" t="s">
        <v>536</v>
      </c>
      <c r="AX1881" t="s">
        <v>536</v>
      </c>
      <c r="AZ1881" t="s">
        <v>536</v>
      </c>
      <c r="BB1881" t="s">
        <v>536</v>
      </c>
      <c r="BO1881" t="s">
        <v>367</v>
      </c>
      <c r="BR1881">
        <v>46710</v>
      </c>
      <c r="BS1881" t="s">
        <v>2797</v>
      </c>
      <c r="BT1881">
        <v>5</v>
      </c>
      <c r="BU1881">
        <v>7</v>
      </c>
      <c r="BV1881">
        <v>9</v>
      </c>
      <c r="BX1881">
        <v>75.5</v>
      </c>
      <c r="BZ1881">
        <v>70.5</v>
      </c>
      <c r="CM1881">
        <v>1911</v>
      </c>
    </row>
    <row r="1882" spans="1:91" x14ac:dyDescent="0.3">
      <c r="A1882" t="s">
        <v>2798</v>
      </c>
      <c r="B1882">
        <v>41932</v>
      </c>
      <c r="D1882">
        <v>12</v>
      </c>
      <c r="I1882">
        <v>46778</v>
      </c>
      <c r="U1882">
        <v>10</v>
      </c>
      <c r="Y1882">
        <v>10</v>
      </c>
      <c r="AA1882">
        <v>6.12</v>
      </c>
      <c r="AC1882" s="3">
        <v>6.12</v>
      </c>
      <c r="AE1882" s="3">
        <v>6</v>
      </c>
      <c r="AI1882">
        <v>6</v>
      </c>
      <c r="AK1882" s="3"/>
      <c r="AV1882" t="s">
        <v>823</v>
      </c>
      <c r="AZ1882" t="s">
        <v>823</v>
      </c>
      <c r="BG1882">
        <v>4</v>
      </c>
      <c r="BH1882">
        <v>4</v>
      </c>
      <c r="BI1882">
        <v>4</v>
      </c>
      <c r="BJ1882">
        <v>4</v>
      </c>
      <c r="BK1882" s="4">
        <v>3744</v>
      </c>
      <c r="BL1882" s="4">
        <v>3927</v>
      </c>
      <c r="BM1882" s="4">
        <v>4078</v>
      </c>
      <c r="BN1882" s="4">
        <v>4262</v>
      </c>
      <c r="BR1882">
        <v>68739</v>
      </c>
      <c r="BS1882" t="s">
        <v>2799</v>
      </c>
      <c r="BT1882">
        <v>6</v>
      </c>
      <c r="BU1882">
        <v>13</v>
      </c>
      <c r="BV1882">
        <v>3</v>
      </c>
      <c r="BX1882">
        <v>6.5</v>
      </c>
      <c r="BZ1882">
        <v>6</v>
      </c>
      <c r="CK1882" t="s">
        <v>2800</v>
      </c>
      <c r="CL1882" t="s">
        <v>457</v>
      </c>
      <c r="CM1882">
        <v>1911</v>
      </c>
    </row>
    <row r="1883" spans="1:91" x14ac:dyDescent="0.3">
      <c r="A1883" t="s">
        <v>2798</v>
      </c>
      <c r="B1883">
        <v>41933</v>
      </c>
      <c r="C1883" t="s">
        <v>2801</v>
      </c>
      <c r="D1883">
        <v>12</v>
      </c>
      <c r="I1883">
        <v>155600</v>
      </c>
      <c r="J1883" t="s">
        <v>800</v>
      </c>
      <c r="U1883">
        <v>100</v>
      </c>
      <c r="Y1883">
        <v>100</v>
      </c>
      <c r="AA1883">
        <v>94</v>
      </c>
      <c r="AC1883" s="3">
        <v>94</v>
      </c>
      <c r="AE1883" s="3">
        <v>94</v>
      </c>
      <c r="AI1883">
        <v>94</v>
      </c>
      <c r="AK1883" s="3"/>
      <c r="AV1883" t="s">
        <v>370</v>
      </c>
      <c r="AX1883" t="s">
        <v>370</v>
      </c>
      <c r="AZ1883" t="s">
        <v>370</v>
      </c>
      <c r="BB1883" t="s">
        <v>370</v>
      </c>
      <c r="BO1883" t="s">
        <v>367</v>
      </c>
      <c r="BR1883">
        <v>68739</v>
      </c>
      <c r="BS1883" t="s">
        <v>2799</v>
      </c>
      <c r="BT1883">
        <v>5</v>
      </c>
      <c r="BU1883">
        <v>8</v>
      </c>
      <c r="BV1883">
        <v>9</v>
      </c>
      <c r="BX1883">
        <v>94.5</v>
      </c>
      <c r="BZ1883">
        <v>90</v>
      </c>
      <c r="CM1883">
        <v>1911</v>
      </c>
    </row>
    <row r="1884" spans="1:91" x14ac:dyDescent="0.3">
      <c r="A1884" t="s">
        <v>2802</v>
      </c>
      <c r="B1884">
        <v>41994</v>
      </c>
      <c r="D1884">
        <v>12</v>
      </c>
      <c r="I1884" s="2">
        <v>2010740</v>
      </c>
      <c r="U1884">
        <v>1</v>
      </c>
      <c r="Y1884">
        <v>1</v>
      </c>
      <c r="AA1884">
        <v>0.65</v>
      </c>
      <c r="AC1884" s="3">
        <v>0.65</v>
      </c>
      <c r="AE1884" s="3">
        <v>0.59</v>
      </c>
      <c r="AI1884">
        <v>0.62</v>
      </c>
      <c r="AK1884" s="3"/>
      <c r="AV1884" t="s">
        <v>815</v>
      </c>
      <c r="AX1884" t="s">
        <v>815</v>
      </c>
      <c r="AZ1884" t="s">
        <v>815</v>
      </c>
      <c r="BB1884" t="s">
        <v>815</v>
      </c>
      <c r="BG1884">
        <v>4</v>
      </c>
      <c r="BH1884">
        <v>6.25</v>
      </c>
      <c r="BI1884">
        <v>2.5</v>
      </c>
      <c r="BJ1884">
        <v>3.75</v>
      </c>
      <c r="BK1884" s="4">
        <v>2436</v>
      </c>
      <c r="BL1884" s="4">
        <v>2801</v>
      </c>
      <c r="BM1884" s="4">
        <v>3897</v>
      </c>
      <c r="BN1884" s="4">
        <v>4262</v>
      </c>
      <c r="BR1884">
        <v>801102</v>
      </c>
      <c r="BS1884" t="s">
        <v>2803</v>
      </c>
      <c r="BT1884">
        <v>6</v>
      </c>
      <c r="BU1884">
        <v>0</v>
      </c>
      <c r="BV1884">
        <v>0</v>
      </c>
      <c r="BX1884">
        <v>0.84</v>
      </c>
      <c r="BZ1884">
        <v>0.59</v>
      </c>
      <c r="CK1884" t="s">
        <v>2804</v>
      </c>
      <c r="CM1884">
        <v>1911</v>
      </c>
    </row>
    <row r="1885" spans="1:91" x14ac:dyDescent="0.3">
      <c r="A1885" t="s">
        <v>2802</v>
      </c>
      <c r="B1885">
        <v>41997</v>
      </c>
      <c r="C1885" t="s">
        <v>817</v>
      </c>
      <c r="D1885">
        <v>12</v>
      </c>
      <c r="I1885" s="2">
        <v>3016100</v>
      </c>
      <c r="U1885">
        <v>1</v>
      </c>
      <c r="Y1885">
        <v>1</v>
      </c>
      <c r="AA1885">
        <v>0.9</v>
      </c>
      <c r="AC1885" s="3">
        <v>0.9</v>
      </c>
      <c r="AE1885" s="3">
        <v>0.87</v>
      </c>
      <c r="AI1885">
        <v>0.9</v>
      </c>
      <c r="AK1885" s="3"/>
      <c r="AV1885" t="s">
        <v>823</v>
      </c>
      <c r="AZ1885" t="s">
        <v>823</v>
      </c>
      <c r="BG1885">
        <v>5</v>
      </c>
      <c r="BH1885">
        <v>5</v>
      </c>
      <c r="BI1885">
        <v>5</v>
      </c>
      <c r="BJ1885">
        <v>5</v>
      </c>
      <c r="BK1885" s="4">
        <v>3713</v>
      </c>
      <c r="BL1885" s="4">
        <v>3897</v>
      </c>
      <c r="BM1885" s="4">
        <v>4078</v>
      </c>
      <c r="BN1885" s="4">
        <v>4262</v>
      </c>
      <c r="BR1885">
        <v>801102</v>
      </c>
      <c r="BS1885" t="s">
        <v>2803</v>
      </c>
      <c r="BT1885">
        <v>5</v>
      </c>
      <c r="BU1885">
        <v>10</v>
      </c>
      <c r="BV1885">
        <v>6</v>
      </c>
      <c r="BX1885">
        <v>0.96</v>
      </c>
      <c r="BZ1885">
        <v>0.87</v>
      </c>
      <c r="CM1885">
        <v>1911</v>
      </c>
    </row>
    <row r="1886" spans="1:91" x14ac:dyDescent="0.3">
      <c r="A1886" t="s">
        <v>2802</v>
      </c>
      <c r="B1886">
        <v>41995</v>
      </c>
      <c r="C1886" t="s">
        <v>818</v>
      </c>
      <c r="D1886">
        <v>12</v>
      </c>
      <c r="I1886" s="2">
        <v>3200000</v>
      </c>
      <c r="J1886" t="s">
        <v>800</v>
      </c>
      <c r="V1886" t="s">
        <v>350</v>
      </c>
      <c r="Y1886">
        <v>100</v>
      </c>
      <c r="AA1886">
        <v>94</v>
      </c>
      <c r="AC1886" s="3">
        <v>95.5</v>
      </c>
      <c r="AE1886" s="3">
        <v>94.25</v>
      </c>
      <c r="AI1886">
        <v>94.25</v>
      </c>
      <c r="AK1886" s="3"/>
      <c r="AV1886" t="s">
        <v>506</v>
      </c>
      <c r="AX1886" t="s">
        <v>506</v>
      </c>
      <c r="AZ1886" t="s">
        <v>506</v>
      </c>
      <c r="BB1886" t="s">
        <v>506</v>
      </c>
      <c r="BO1886" t="s">
        <v>367</v>
      </c>
      <c r="BR1886">
        <v>801102</v>
      </c>
      <c r="BS1886" t="s">
        <v>2803</v>
      </c>
      <c r="BT1886">
        <v>4</v>
      </c>
      <c r="BU1886">
        <v>5</v>
      </c>
      <c r="BV1886">
        <v>6</v>
      </c>
      <c r="BX1886">
        <v>96.5</v>
      </c>
      <c r="BZ1886">
        <v>92</v>
      </c>
      <c r="CM1886">
        <v>1911</v>
      </c>
    </row>
    <row r="1887" spans="1:91" x14ac:dyDescent="0.3">
      <c r="A1887" t="s">
        <v>2805</v>
      </c>
      <c r="B1887">
        <v>41988</v>
      </c>
      <c r="D1887">
        <v>12</v>
      </c>
      <c r="I1887">
        <v>80000</v>
      </c>
      <c r="U1887">
        <v>1</v>
      </c>
      <c r="Y1887">
        <v>1</v>
      </c>
      <c r="AA1887">
        <v>0.56000000000000005</v>
      </c>
      <c r="AC1887" s="3">
        <v>0.56000000000000005</v>
      </c>
      <c r="AE1887" s="3">
        <v>0.56000000000000005</v>
      </c>
      <c r="AI1887">
        <v>0.56000000000000005</v>
      </c>
      <c r="AK1887" s="3"/>
      <c r="AV1887" t="s">
        <v>815</v>
      </c>
      <c r="AX1887" t="s">
        <v>815</v>
      </c>
      <c r="AZ1887" t="s">
        <v>815</v>
      </c>
      <c r="BB1887" t="s">
        <v>815</v>
      </c>
      <c r="BG1887">
        <v>5</v>
      </c>
      <c r="BH1887">
        <v>5</v>
      </c>
      <c r="BI1887">
        <v>5</v>
      </c>
      <c r="BJ1887">
        <v>5</v>
      </c>
      <c r="BK1887" s="4">
        <v>3258</v>
      </c>
      <c r="BL1887" s="4">
        <v>3623</v>
      </c>
      <c r="BM1887" s="4">
        <v>3988</v>
      </c>
      <c r="BN1887" s="4">
        <v>4353</v>
      </c>
      <c r="BR1887">
        <v>29203</v>
      </c>
      <c r="BS1887" t="s">
        <v>2806</v>
      </c>
      <c r="BT1887">
        <v>8</v>
      </c>
      <c r="BU1887">
        <v>17</v>
      </c>
      <c r="BV1887">
        <v>9</v>
      </c>
      <c r="BX1887">
        <v>0.68</v>
      </c>
      <c r="BZ1887">
        <v>0.5</v>
      </c>
      <c r="CK1887" t="s">
        <v>360</v>
      </c>
      <c r="CM1887">
        <v>1911</v>
      </c>
    </row>
    <row r="1888" spans="1:91" x14ac:dyDescent="0.3">
      <c r="A1888" t="s">
        <v>2807</v>
      </c>
      <c r="B1888">
        <v>41989</v>
      </c>
      <c r="C1888" t="s">
        <v>2808</v>
      </c>
      <c r="D1888">
        <v>12</v>
      </c>
      <c r="I1888">
        <v>140000</v>
      </c>
      <c r="U1888">
        <v>1</v>
      </c>
      <c r="Y1888">
        <v>1</v>
      </c>
      <c r="AA1888">
        <v>0.75</v>
      </c>
      <c r="AC1888" s="3">
        <v>0.78</v>
      </c>
      <c r="AE1888" s="3">
        <v>0.75</v>
      </c>
      <c r="AI1888">
        <v>0.78</v>
      </c>
      <c r="AK1888" s="3"/>
      <c r="AV1888" t="s">
        <v>2651</v>
      </c>
      <c r="AX1888" t="s">
        <v>2651</v>
      </c>
      <c r="AZ1888" t="s">
        <v>2651</v>
      </c>
      <c r="BB1888" t="s">
        <v>2651</v>
      </c>
      <c r="BO1888" t="s">
        <v>367</v>
      </c>
      <c r="BR1888">
        <v>29203</v>
      </c>
      <c r="BS1888" t="s">
        <v>2806</v>
      </c>
      <c r="BT1888">
        <v>7</v>
      </c>
      <c r="BU1888">
        <v>0</v>
      </c>
      <c r="BV1888">
        <v>9</v>
      </c>
      <c r="BX1888">
        <v>0.84</v>
      </c>
      <c r="BZ1888">
        <v>0.71</v>
      </c>
      <c r="CM1888">
        <v>1911</v>
      </c>
    </row>
    <row r="1889" spans="1:91" x14ac:dyDescent="0.3">
      <c r="A1889" t="s">
        <v>2809</v>
      </c>
      <c r="B1889">
        <v>42006</v>
      </c>
      <c r="D1889">
        <v>12</v>
      </c>
      <c r="I1889">
        <v>35000</v>
      </c>
      <c r="U1889">
        <v>5</v>
      </c>
      <c r="Y1889">
        <v>5</v>
      </c>
      <c r="AA1889">
        <v>9.3699999999999992</v>
      </c>
      <c r="AC1889" s="3">
        <v>9.3699999999999992</v>
      </c>
      <c r="AE1889" s="3">
        <v>9.3699999999999992</v>
      </c>
      <c r="AI1889">
        <v>9.3699999999999992</v>
      </c>
      <c r="AK1889" s="3"/>
      <c r="AV1889" t="s">
        <v>823</v>
      </c>
      <c r="AZ1889" t="s">
        <v>823</v>
      </c>
      <c r="BG1889">
        <v>10</v>
      </c>
      <c r="BH1889">
        <v>20</v>
      </c>
      <c r="BI1889">
        <v>10</v>
      </c>
      <c r="BJ1889">
        <v>20</v>
      </c>
      <c r="BK1889" s="4">
        <v>3593</v>
      </c>
      <c r="BL1889" s="4">
        <v>3774</v>
      </c>
      <c r="BM1889" s="4">
        <v>3958</v>
      </c>
      <c r="BN1889" s="4">
        <v>4139</v>
      </c>
      <c r="BR1889">
        <v>140073</v>
      </c>
      <c r="BS1889" t="s">
        <v>2810</v>
      </c>
      <c r="BT1889">
        <v>8</v>
      </c>
      <c r="BU1889">
        <v>0</v>
      </c>
      <c r="BV1889">
        <v>0</v>
      </c>
      <c r="BX1889">
        <v>9.75</v>
      </c>
      <c r="BZ1889">
        <v>8.81</v>
      </c>
      <c r="CK1889" t="s">
        <v>360</v>
      </c>
      <c r="CM1889">
        <v>1911</v>
      </c>
    </row>
    <row r="1890" spans="1:91" x14ac:dyDescent="0.3">
      <c r="A1890" t="s">
        <v>2809</v>
      </c>
      <c r="B1890">
        <v>42007</v>
      </c>
      <c r="C1890" t="s">
        <v>850</v>
      </c>
      <c r="D1890">
        <v>12</v>
      </c>
      <c r="I1890">
        <v>40000</v>
      </c>
      <c r="U1890">
        <v>5</v>
      </c>
      <c r="Y1890">
        <v>5</v>
      </c>
      <c r="AA1890">
        <v>5.12</v>
      </c>
      <c r="AC1890" s="3">
        <v>5.12</v>
      </c>
      <c r="AE1890" s="3">
        <v>5.12</v>
      </c>
      <c r="AI1890">
        <v>5.12</v>
      </c>
      <c r="AK1890" s="3"/>
      <c r="AV1890" t="s">
        <v>421</v>
      </c>
      <c r="AX1890" t="s">
        <v>421</v>
      </c>
      <c r="AZ1890" t="s">
        <v>421</v>
      </c>
      <c r="BB1890" t="s">
        <v>421</v>
      </c>
      <c r="BO1890" t="s">
        <v>367</v>
      </c>
      <c r="BR1890">
        <v>140073</v>
      </c>
      <c r="BS1890" t="s">
        <v>2810</v>
      </c>
      <c r="BT1890">
        <v>4</v>
      </c>
      <c r="BU1890">
        <v>17</v>
      </c>
      <c r="BV1890">
        <v>6</v>
      </c>
      <c r="BX1890">
        <v>5.18</v>
      </c>
      <c r="BZ1890">
        <v>4.8099999999999996</v>
      </c>
      <c r="CM1890">
        <v>1911</v>
      </c>
    </row>
    <row r="1891" spans="1:91" x14ac:dyDescent="0.3">
      <c r="A1891" t="s">
        <v>2809</v>
      </c>
      <c r="B1891">
        <v>42008</v>
      </c>
      <c r="C1891" t="s">
        <v>839</v>
      </c>
      <c r="D1891">
        <v>12</v>
      </c>
      <c r="I1891">
        <v>300000</v>
      </c>
      <c r="J1891" t="s">
        <v>800</v>
      </c>
      <c r="V1891" t="s">
        <v>350</v>
      </c>
      <c r="Y1891">
        <v>100</v>
      </c>
      <c r="AA1891">
        <v>102</v>
      </c>
      <c r="AC1891" s="3">
        <v>102</v>
      </c>
      <c r="AE1891" s="3">
        <v>100</v>
      </c>
      <c r="AI1891">
        <v>100</v>
      </c>
      <c r="AJ1891" t="s">
        <v>379</v>
      </c>
      <c r="AK1891" s="3"/>
      <c r="AV1891" t="s">
        <v>421</v>
      </c>
      <c r="AX1891" t="s">
        <v>421</v>
      </c>
      <c r="AZ1891" t="s">
        <v>421</v>
      </c>
      <c r="BB1891" t="s">
        <v>421</v>
      </c>
      <c r="BO1891" t="s">
        <v>367</v>
      </c>
      <c r="BR1891">
        <v>140073</v>
      </c>
      <c r="BS1891" t="s">
        <v>2810</v>
      </c>
      <c r="BT1891">
        <v>4</v>
      </c>
      <c r="BU1891">
        <v>10</v>
      </c>
      <c r="BV1891">
        <v>0</v>
      </c>
      <c r="BX1891">
        <v>104</v>
      </c>
      <c r="BZ1891">
        <v>100</v>
      </c>
      <c r="CM1891">
        <v>1911</v>
      </c>
    </row>
    <row r="1892" spans="1:91" x14ac:dyDescent="0.3">
      <c r="A1892" t="s">
        <v>2811</v>
      </c>
      <c r="B1892">
        <v>42056</v>
      </c>
      <c r="D1892">
        <v>12</v>
      </c>
      <c r="I1892">
        <v>60000</v>
      </c>
      <c r="U1892">
        <v>1</v>
      </c>
      <c r="Y1892">
        <v>1</v>
      </c>
      <c r="AA1892">
        <v>2</v>
      </c>
      <c r="AC1892" s="3">
        <v>2.25</v>
      </c>
      <c r="AE1892" s="3">
        <v>2</v>
      </c>
      <c r="AI1892">
        <v>2.25</v>
      </c>
      <c r="AK1892" s="3"/>
      <c r="AX1892" t="s">
        <v>823</v>
      </c>
      <c r="BB1892" t="s">
        <v>823</v>
      </c>
      <c r="BG1892">
        <v>60</v>
      </c>
      <c r="BH1892">
        <v>10</v>
      </c>
      <c r="BI1892">
        <v>35</v>
      </c>
      <c r="BJ1892">
        <v>10</v>
      </c>
      <c r="BK1892" s="4">
        <v>3654</v>
      </c>
      <c r="BL1892" s="4">
        <v>3835</v>
      </c>
      <c r="BM1892" s="4">
        <v>4019</v>
      </c>
      <c r="BN1892" s="4">
        <v>4200</v>
      </c>
      <c r="BR1892">
        <v>85105</v>
      </c>
      <c r="BT1892">
        <v>10</v>
      </c>
      <c r="BU1892">
        <v>0</v>
      </c>
      <c r="BV1892">
        <v>0</v>
      </c>
      <c r="BX1892">
        <v>2.25</v>
      </c>
      <c r="BZ1892">
        <v>2</v>
      </c>
      <c r="CK1892" t="s">
        <v>360</v>
      </c>
      <c r="CL1892" t="s">
        <v>457</v>
      </c>
      <c r="CM1892">
        <v>1911</v>
      </c>
    </row>
    <row r="1893" spans="1:91" x14ac:dyDescent="0.3">
      <c r="A1893" t="s">
        <v>2812</v>
      </c>
      <c r="B1893">
        <v>42070</v>
      </c>
      <c r="D1893">
        <v>12</v>
      </c>
      <c r="I1893" s="2">
        <v>13500000</v>
      </c>
      <c r="J1893" t="s">
        <v>773</v>
      </c>
      <c r="U1893">
        <v>100</v>
      </c>
      <c r="V1893" t="s">
        <v>773</v>
      </c>
      <c r="Y1893">
        <v>100</v>
      </c>
      <c r="Z1893" t="s">
        <v>773</v>
      </c>
      <c r="AA1893">
        <v>28.5</v>
      </c>
      <c r="AC1893" s="3">
        <v>29.25</v>
      </c>
      <c r="AE1893" s="3">
        <v>27.75</v>
      </c>
      <c r="AI1893">
        <v>29</v>
      </c>
      <c r="AK1893" s="3"/>
      <c r="AV1893" t="s">
        <v>385</v>
      </c>
      <c r="AX1893" t="s">
        <v>385</v>
      </c>
      <c r="AZ1893" t="s">
        <v>385</v>
      </c>
      <c r="BB1893" t="s">
        <v>385</v>
      </c>
      <c r="BS1893" t="s">
        <v>385</v>
      </c>
      <c r="BW1893" t="s">
        <v>385</v>
      </c>
      <c r="BY1893" t="s">
        <v>385</v>
      </c>
      <c r="CA1893" t="s">
        <v>385</v>
      </c>
      <c r="CM1893">
        <v>1911</v>
      </c>
    </row>
    <row r="1894" spans="1:91" x14ac:dyDescent="0.3">
      <c r="A1894" t="s">
        <v>2812</v>
      </c>
      <c r="B1894">
        <v>42071</v>
      </c>
      <c r="C1894" t="s">
        <v>2813</v>
      </c>
      <c r="D1894">
        <v>12</v>
      </c>
      <c r="I1894" s="2">
        <v>1175000</v>
      </c>
      <c r="J1894" t="s">
        <v>773</v>
      </c>
      <c r="U1894">
        <v>100</v>
      </c>
      <c r="V1894" t="s">
        <v>773</v>
      </c>
      <c r="Y1894">
        <v>100</v>
      </c>
      <c r="Z1894" t="s">
        <v>773</v>
      </c>
      <c r="AA1894">
        <v>92</v>
      </c>
      <c r="AC1894" s="3">
        <v>92.5</v>
      </c>
      <c r="AE1894" s="3">
        <v>90</v>
      </c>
      <c r="AI1894">
        <v>91.5</v>
      </c>
      <c r="AK1894" s="3"/>
      <c r="BG1894">
        <v>7</v>
      </c>
      <c r="BH1894">
        <v>7</v>
      </c>
      <c r="BI1894">
        <v>7</v>
      </c>
      <c r="BJ1894">
        <v>7</v>
      </c>
      <c r="BK1894" s="4">
        <v>4050</v>
      </c>
      <c r="BL1894" s="4">
        <v>4139</v>
      </c>
      <c r="BM1894" s="4">
        <v>4415</v>
      </c>
      <c r="BN1894" s="4">
        <v>4505</v>
      </c>
      <c r="BS1894" t="s">
        <v>385</v>
      </c>
      <c r="BT1894">
        <v>7</v>
      </c>
      <c r="BU1894">
        <v>15</v>
      </c>
      <c r="BV1894">
        <v>3</v>
      </c>
      <c r="BY1894" t="s">
        <v>385</v>
      </c>
      <c r="CA1894" t="s">
        <v>385</v>
      </c>
      <c r="CM1894">
        <v>1911</v>
      </c>
    </row>
    <row r="1895" spans="1:91" x14ac:dyDescent="0.3">
      <c r="A1895" t="s">
        <v>2814</v>
      </c>
      <c r="B1895">
        <v>42083</v>
      </c>
      <c r="D1895">
        <v>12</v>
      </c>
      <c r="I1895" s="2">
        <v>3500000</v>
      </c>
      <c r="J1895" t="s">
        <v>773</v>
      </c>
      <c r="U1895">
        <v>100</v>
      </c>
      <c r="V1895" t="s">
        <v>773</v>
      </c>
      <c r="Y1895">
        <v>100</v>
      </c>
      <c r="Z1895" t="s">
        <v>773</v>
      </c>
      <c r="AA1895">
        <v>67</v>
      </c>
      <c r="AC1895" s="3">
        <v>68.25</v>
      </c>
      <c r="AE1895" s="3">
        <v>62.5</v>
      </c>
      <c r="AI1895">
        <v>64.5</v>
      </c>
      <c r="AK1895" s="3"/>
      <c r="AV1895" t="s">
        <v>385</v>
      </c>
      <c r="AX1895" t="s">
        <v>385</v>
      </c>
      <c r="AZ1895" t="s">
        <v>815</v>
      </c>
      <c r="BB1895" t="s">
        <v>815</v>
      </c>
      <c r="BI1895">
        <v>2</v>
      </c>
      <c r="BJ1895">
        <v>4</v>
      </c>
      <c r="BL1895" t="s">
        <v>811</v>
      </c>
      <c r="BM1895" s="4">
        <v>3988</v>
      </c>
      <c r="BN1895" s="4">
        <v>4353</v>
      </c>
      <c r="BR1895">
        <v>155288</v>
      </c>
      <c r="BS1895" t="s">
        <v>2815</v>
      </c>
      <c r="BT1895">
        <v>6</v>
      </c>
      <c r="BU1895">
        <v>4</v>
      </c>
      <c r="BV1895">
        <v>0</v>
      </c>
      <c r="BY1895" t="s">
        <v>385</v>
      </c>
      <c r="CA1895" t="s">
        <v>385</v>
      </c>
      <c r="CM1895">
        <v>1911</v>
      </c>
    </row>
    <row r="1896" spans="1:91" x14ac:dyDescent="0.3">
      <c r="A1896" t="s">
        <v>2814</v>
      </c>
      <c r="B1896">
        <v>42084</v>
      </c>
      <c r="C1896" t="s">
        <v>2816</v>
      </c>
      <c r="D1896">
        <v>12</v>
      </c>
      <c r="I1896" s="2">
        <v>5000000</v>
      </c>
      <c r="J1896" t="s">
        <v>773</v>
      </c>
      <c r="U1896">
        <v>100</v>
      </c>
      <c r="V1896" t="s">
        <v>773</v>
      </c>
      <c r="Y1896">
        <v>100</v>
      </c>
      <c r="Z1896" t="s">
        <v>773</v>
      </c>
      <c r="AA1896">
        <v>108</v>
      </c>
      <c r="AC1896" s="3">
        <v>109.5</v>
      </c>
      <c r="AE1896" s="3">
        <v>106</v>
      </c>
      <c r="AI1896">
        <v>106</v>
      </c>
      <c r="AJ1896" t="s">
        <v>379</v>
      </c>
      <c r="AK1896" s="3"/>
      <c r="BG1896">
        <v>7</v>
      </c>
      <c r="BH1896">
        <v>7</v>
      </c>
      <c r="BI1896">
        <v>7</v>
      </c>
      <c r="BJ1896">
        <v>7</v>
      </c>
      <c r="BK1896" s="4">
        <v>4078</v>
      </c>
      <c r="BL1896" s="4">
        <v>4170</v>
      </c>
      <c r="BM1896" s="4">
        <v>4262</v>
      </c>
      <c r="BN1896" s="4">
        <v>4353</v>
      </c>
      <c r="BR1896">
        <v>155288</v>
      </c>
      <c r="BS1896" t="s">
        <v>2815</v>
      </c>
      <c r="BT1896">
        <v>6</v>
      </c>
      <c r="BU1896">
        <v>12</v>
      </c>
      <c r="BV1896">
        <v>0</v>
      </c>
      <c r="BX1896">
        <v>111</v>
      </c>
      <c r="BZ1896">
        <v>102.5</v>
      </c>
      <c r="CM1896">
        <v>1911</v>
      </c>
    </row>
    <row r="1897" spans="1:91" x14ac:dyDescent="0.3">
      <c r="A1897" t="s">
        <v>2817</v>
      </c>
      <c r="B1897">
        <v>42096</v>
      </c>
      <c r="D1897">
        <v>12</v>
      </c>
      <c r="I1897" s="2">
        <v>1500000</v>
      </c>
      <c r="J1897" t="s">
        <v>800</v>
      </c>
      <c r="V1897" t="s">
        <v>350</v>
      </c>
      <c r="Y1897">
        <v>100</v>
      </c>
      <c r="AA1897">
        <v>83.5</v>
      </c>
      <c r="AC1897" s="3">
        <v>85.37</v>
      </c>
      <c r="AE1897" s="3">
        <v>83.5</v>
      </c>
      <c r="AI1897">
        <v>84.5</v>
      </c>
      <c r="AK1897" s="3"/>
      <c r="AV1897" t="s">
        <v>536</v>
      </c>
      <c r="AX1897" t="s">
        <v>536</v>
      </c>
      <c r="AZ1897" t="s">
        <v>536</v>
      </c>
      <c r="BB1897" t="s">
        <v>536</v>
      </c>
      <c r="BO1897" t="s">
        <v>367</v>
      </c>
      <c r="BS1897" t="s">
        <v>385</v>
      </c>
      <c r="BT1897">
        <v>6</v>
      </c>
      <c r="BU1897">
        <v>0</v>
      </c>
      <c r="BV1897">
        <v>6</v>
      </c>
      <c r="BX1897">
        <v>92.37</v>
      </c>
      <c r="BZ1897">
        <v>82.5</v>
      </c>
      <c r="CM1897">
        <v>1911</v>
      </c>
    </row>
    <row r="1898" spans="1:91" x14ac:dyDescent="0.3">
      <c r="A1898" t="s">
        <v>2818</v>
      </c>
      <c r="B1898">
        <v>42100</v>
      </c>
      <c r="D1898">
        <v>12</v>
      </c>
      <c r="I1898">
        <v>21250</v>
      </c>
      <c r="U1898">
        <v>5</v>
      </c>
      <c r="Y1898">
        <v>4</v>
      </c>
      <c r="AA1898">
        <v>6.25</v>
      </c>
      <c r="AC1898" s="3">
        <v>6.25</v>
      </c>
      <c r="AE1898" s="3">
        <v>6.25</v>
      </c>
      <c r="AI1898">
        <v>6.25</v>
      </c>
      <c r="AK1898" s="3"/>
      <c r="AX1898" t="s">
        <v>823</v>
      </c>
      <c r="BB1898" t="s">
        <v>823</v>
      </c>
      <c r="BG1898">
        <v>9</v>
      </c>
      <c r="BH1898">
        <v>9</v>
      </c>
      <c r="BI1898">
        <v>9</v>
      </c>
      <c r="BJ1898">
        <v>9</v>
      </c>
      <c r="BK1898" s="4">
        <v>3713</v>
      </c>
      <c r="BL1898" s="4">
        <v>3897</v>
      </c>
      <c r="BM1898" s="4">
        <v>4078</v>
      </c>
      <c r="BN1898" s="4">
        <v>4262</v>
      </c>
      <c r="BR1898">
        <v>14797</v>
      </c>
      <c r="BT1898">
        <v>5</v>
      </c>
      <c r="BU1898">
        <v>15</v>
      </c>
      <c r="BV1898">
        <v>3</v>
      </c>
      <c r="BX1898">
        <v>7</v>
      </c>
      <c r="BZ1898">
        <v>6.25</v>
      </c>
      <c r="CK1898" t="s">
        <v>1179</v>
      </c>
      <c r="CM1898">
        <v>1911</v>
      </c>
    </row>
    <row r="1899" spans="1:91" x14ac:dyDescent="0.3">
      <c r="A1899" t="s">
        <v>2819</v>
      </c>
      <c r="B1899">
        <v>42153</v>
      </c>
      <c r="D1899">
        <v>12</v>
      </c>
      <c r="I1899">
        <v>200000</v>
      </c>
      <c r="U1899">
        <v>1</v>
      </c>
      <c r="Y1899">
        <v>1</v>
      </c>
      <c r="AA1899">
        <v>0.75</v>
      </c>
      <c r="AC1899" s="3">
        <v>0.75</v>
      </c>
      <c r="AE1899" s="3">
        <v>0.75</v>
      </c>
      <c r="AI1899">
        <v>0.75</v>
      </c>
      <c r="AK1899" s="3"/>
      <c r="AV1899" t="s">
        <v>823</v>
      </c>
      <c r="AZ1899" t="s">
        <v>823</v>
      </c>
      <c r="BG1899">
        <v>6</v>
      </c>
      <c r="BH1899">
        <v>8</v>
      </c>
      <c r="BI1899">
        <v>7</v>
      </c>
      <c r="BJ1899">
        <v>8</v>
      </c>
      <c r="BK1899" s="4">
        <v>3774</v>
      </c>
      <c r="BL1899" s="4">
        <v>3958</v>
      </c>
      <c r="BM1899" s="4">
        <v>4139</v>
      </c>
      <c r="BN1899" s="4">
        <v>4323</v>
      </c>
      <c r="BR1899">
        <v>159195</v>
      </c>
      <c r="BS1899" t="s">
        <v>2820</v>
      </c>
      <c r="BT1899">
        <v>10</v>
      </c>
      <c r="BU1899">
        <v>0</v>
      </c>
      <c r="BV1899">
        <v>0</v>
      </c>
      <c r="BX1899">
        <v>1.03</v>
      </c>
      <c r="BZ1899">
        <v>0.75</v>
      </c>
      <c r="CK1899" t="s">
        <v>360</v>
      </c>
      <c r="CM1899">
        <v>1911</v>
      </c>
    </row>
    <row r="1900" spans="1:91" x14ac:dyDescent="0.3">
      <c r="A1900" t="s">
        <v>2819</v>
      </c>
      <c r="B1900">
        <v>42151</v>
      </c>
      <c r="C1900" t="s">
        <v>921</v>
      </c>
      <c r="D1900">
        <v>12</v>
      </c>
      <c r="I1900">
        <v>20000</v>
      </c>
      <c r="U1900">
        <v>10</v>
      </c>
      <c r="Y1900">
        <v>10</v>
      </c>
      <c r="AA1900">
        <v>8</v>
      </c>
      <c r="AC1900" s="3">
        <v>8.25</v>
      </c>
      <c r="AE1900" s="3">
        <v>8</v>
      </c>
      <c r="AI1900">
        <v>8.1199999999999992</v>
      </c>
      <c r="AK1900" s="3"/>
      <c r="AV1900" t="s">
        <v>366</v>
      </c>
      <c r="AX1900" t="s">
        <v>366</v>
      </c>
      <c r="AZ1900" t="s">
        <v>366</v>
      </c>
      <c r="BB1900" t="s">
        <v>366</v>
      </c>
      <c r="BO1900" t="s">
        <v>367</v>
      </c>
      <c r="BR1900">
        <v>159195</v>
      </c>
      <c r="BS1900" t="s">
        <v>2820</v>
      </c>
      <c r="BT1900">
        <v>6</v>
      </c>
      <c r="BU1900">
        <v>15</v>
      </c>
      <c r="BV1900">
        <v>3</v>
      </c>
      <c r="BX1900">
        <v>9.25</v>
      </c>
      <c r="BZ1900">
        <v>7.75</v>
      </c>
      <c r="CM1900">
        <v>1911</v>
      </c>
    </row>
    <row r="1901" spans="1:91" x14ac:dyDescent="0.3">
      <c r="A1901" t="s">
        <v>2819</v>
      </c>
      <c r="B1901">
        <v>42154</v>
      </c>
      <c r="C1901" t="s">
        <v>1046</v>
      </c>
      <c r="D1901">
        <v>12</v>
      </c>
      <c r="I1901">
        <v>273237</v>
      </c>
      <c r="J1901" t="s">
        <v>800</v>
      </c>
      <c r="V1901" t="s">
        <v>350</v>
      </c>
      <c r="Y1901">
        <v>100</v>
      </c>
      <c r="AA1901">
        <v>87</v>
      </c>
      <c r="AC1901" s="3">
        <v>87</v>
      </c>
      <c r="AE1901" s="3">
        <v>86</v>
      </c>
      <c r="AI1901">
        <v>87</v>
      </c>
      <c r="AK1901" s="3"/>
      <c r="AV1901" t="s">
        <v>376</v>
      </c>
      <c r="AX1901" t="s">
        <v>376</v>
      </c>
      <c r="AZ1901" t="s">
        <v>376</v>
      </c>
      <c r="BB1901" t="s">
        <v>376</v>
      </c>
      <c r="BO1901" t="s">
        <v>367</v>
      </c>
      <c r="BR1901">
        <v>159195</v>
      </c>
      <c r="BS1901" t="s">
        <v>2820</v>
      </c>
      <c r="BT1901">
        <v>4</v>
      </c>
      <c r="BU1901">
        <v>13</v>
      </c>
      <c r="BV1901">
        <v>3</v>
      </c>
      <c r="BX1901">
        <v>91</v>
      </c>
      <c r="BZ1901">
        <v>86</v>
      </c>
      <c r="CM1901">
        <v>1911</v>
      </c>
    </row>
    <row r="1902" spans="1:91" x14ac:dyDescent="0.3">
      <c r="A1902" t="s">
        <v>2819</v>
      </c>
      <c r="B1902">
        <v>42152</v>
      </c>
      <c r="C1902" t="s">
        <v>839</v>
      </c>
      <c r="D1902">
        <v>12</v>
      </c>
      <c r="I1902">
        <v>275640</v>
      </c>
      <c r="J1902" t="s">
        <v>800</v>
      </c>
      <c r="V1902" t="s">
        <v>350</v>
      </c>
      <c r="Y1902">
        <v>100</v>
      </c>
      <c r="AA1902">
        <v>88.5</v>
      </c>
      <c r="AC1902" s="3">
        <v>88.5</v>
      </c>
      <c r="AE1902" s="3">
        <v>88.5</v>
      </c>
      <c r="AI1902">
        <v>88.5</v>
      </c>
      <c r="AK1902" s="3"/>
      <c r="AV1902" t="s">
        <v>2821</v>
      </c>
      <c r="AX1902" t="s">
        <v>2821</v>
      </c>
      <c r="AZ1902" t="s">
        <v>2821</v>
      </c>
      <c r="BB1902" t="s">
        <v>2821</v>
      </c>
      <c r="BO1902" t="s">
        <v>367</v>
      </c>
      <c r="BR1902">
        <v>159195</v>
      </c>
      <c r="BS1902" t="s">
        <v>2820</v>
      </c>
      <c r="BT1902">
        <v>5</v>
      </c>
      <c r="BU1902">
        <v>4</v>
      </c>
      <c r="BV1902">
        <v>0</v>
      </c>
      <c r="BX1902">
        <v>93.25</v>
      </c>
      <c r="BZ1902">
        <v>87</v>
      </c>
      <c r="CM1902">
        <v>1911</v>
      </c>
    </row>
    <row r="1903" spans="1:91" x14ac:dyDescent="0.3">
      <c r="A1903" t="s">
        <v>2822</v>
      </c>
      <c r="B1903">
        <v>42171</v>
      </c>
      <c r="D1903">
        <v>12</v>
      </c>
      <c r="I1903">
        <v>39774</v>
      </c>
      <c r="U1903">
        <v>10</v>
      </c>
      <c r="Y1903">
        <v>10</v>
      </c>
      <c r="AA1903">
        <v>4.5</v>
      </c>
      <c r="AC1903" s="3">
        <v>4.5</v>
      </c>
      <c r="AE1903" s="3">
        <v>4.5</v>
      </c>
      <c r="AI1903">
        <v>4.5</v>
      </c>
      <c r="AK1903" s="3"/>
      <c r="AX1903" t="s">
        <v>815</v>
      </c>
      <c r="AZ1903" t="s">
        <v>815</v>
      </c>
      <c r="BB1903" t="s">
        <v>815</v>
      </c>
      <c r="BG1903">
        <v>4</v>
      </c>
      <c r="BH1903">
        <v>2</v>
      </c>
      <c r="BI1903">
        <v>2</v>
      </c>
      <c r="BJ1903">
        <v>2.5</v>
      </c>
      <c r="BK1903" s="4">
        <v>1887</v>
      </c>
      <c r="BL1903" s="4">
        <v>3348</v>
      </c>
      <c r="BM1903" s="4">
        <v>3713</v>
      </c>
      <c r="BN1903" s="4">
        <v>4078</v>
      </c>
      <c r="BR1903">
        <v>16127</v>
      </c>
      <c r="BT1903">
        <v>5</v>
      </c>
      <c r="BU1903">
        <v>11</v>
      </c>
      <c r="BV1903">
        <v>0</v>
      </c>
      <c r="BX1903">
        <v>4.75</v>
      </c>
      <c r="BZ1903">
        <v>3.93</v>
      </c>
      <c r="CK1903" t="s">
        <v>360</v>
      </c>
      <c r="CM1903">
        <v>1911</v>
      </c>
    </row>
    <row r="1904" spans="1:91" x14ac:dyDescent="0.3">
      <c r="A1904" t="s">
        <v>2823</v>
      </c>
      <c r="B1904">
        <v>42178</v>
      </c>
      <c r="D1904">
        <v>12</v>
      </c>
      <c r="I1904">
        <v>352500</v>
      </c>
      <c r="V1904" t="s">
        <v>1548</v>
      </c>
      <c r="Z1904" t="s">
        <v>1548</v>
      </c>
      <c r="AA1904">
        <v>2.37</v>
      </c>
      <c r="AC1904" s="3">
        <v>2.5</v>
      </c>
      <c r="AE1904" s="3">
        <v>2.2799999999999998</v>
      </c>
      <c r="AI1904">
        <v>2.2799999999999998</v>
      </c>
      <c r="AK1904" s="3"/>
      <c r="AV1904" t="s">
        <v>823</v>
      </c>
      <c r="AZ1904" t="s">
        <v>823</v>
      </c>
      <c r="BG1904">
        <v>40</v>
      </c>
      <c r="BH1904">
        <v>80</v>
      </c>
      <c r="BI1904">
        <v>40</v>
      </c>
      <c r="BJ1904">
        <v>100</v>
      </c>
      <c r="BK1904" s="4">
        <v>3805</v>
      </c>
      <c r="BL1904" s="4">
        <v>3988</v>
      </c>
      <c r="BM1904" s="4">
        <v>4200</v>
      </c>
      <c r="BN1904" s="4">
        <v>4353</v>
      </c>
      <c r="BR1904">
        <v>96783</v>
      </c>
      <c r="BT1904">
        <v>7</v>
      </c>
      <c r="BU1904">
        <v>13</v>
      </c>
      <c r="BV1904">
        <v>6</v>
      </c>
      <c r="BX1904">
        <v>2.5</v>
      </c>
      <c r="BZ1904">
        <v>1.93</v>
      </c>
      <c r="CM1904">
        <v>1911</v>
      </c>
    </row>
    <row r="1905" spans="1:91" x14ac:dyDescent="0.3">
      <c r="A1905" t="s">
        <v>2824</v>
      </c>
      <c r="B1905">
        <v>42181</v>
      </c>
      <c r="D1905">
        <v>12</v>
      </c>
      <c r="I1905">
        <v>450000</v>
      </c>
      <c r="U1905">
        <v>1</v>
      </c>
      <c r="Y1905">
        <v>1</v>
      </c>
      <c r="AA1905">
        <v>3.62</v>
      </c>
      <c r="AB1905" t="s">
        <v>379</v>
      </c>
      <c r="AC1905" s="3">
        <v>3.75</v>
      </c>
      <c r="AE1905" s="3">
        <v>3.53</v>
      </c>
      <c r="AI1905">
        <v>3.68</v>
      </c>
      <c r="AK1905" s="3"/>
      <c r="AV1905" t="s">
        <v>823</v>
      </c>
      <c r="AZ1905" t="s">
        <v>823</v>
      </c>
      <c r="BG1905">
        <v>12.5</v>
      </c>
      <c r="BH1905">
        <v>22.5</v>
      </c>
      <c r="BI1905">
        <v>15</v>
      </c>
      <c r="BJ1905">
        <v>25</v>
      </c>
      <c r="BK1905" s="4">
        <v>3774</v>
      </c>
      <c r="BL1905" s="4">
        <v>3958</v>
      </c>
      <c r="BM1905" s="4">
        <v>4139</v>
      </c>
      <c r="BN1905" s="4">
        <v>4323</v>
      </c>
      <c r="BR1905">
        <v>434222</v>
      </c>
      <c r="BS1905" t="s">
        <v>2825</v>
      </c>
      <c r="BT1905">
        <v>5</v>
      </c>
      <c r="BU1905">
        <v>8</v>
      </c>
      <c r="BV1905">
        <v>5</v>
      </c>
      <c r="BX1905">
        <v>3.75</v>
      </c>
      <c r="BZ1905">
        <v>3.06</v>
      </c>
      <c r="CK1905" t="s">
        <v>360</v>
      </c>
      <c r="CM1905">
        <v>1911</v>
      </c>
    </row>
    <row r="1906" spans="1:91" x14ac:dyDescent="0.3">
      <c r="A1906" t="s">
        <v>2824</v>
      </c>
      <c r="B1906">
        <v>42182</v>
      </c>
      <c r="C1906" t="s">
        <v>2088</v>
      </c>
      <c r="D1906">
        <v>12</v>
      </c>
      <c r="I1906">
        <v>196082</v>
      </c>
      <c r="J1906" t="s">
        <v>800</v>
      </c>
      <c r="V1906" t="s">
        <v>350</v>
      </c>
      <c r="Y1906">
        <v>100</v>
      </c>
      <c r="AA1906">
        <v>106</v>
      </c>
      <c r="AC1906" s="3">
        <v>106.5</v>
      </c>
      <c r="AE1906" s="3">
        <v>105.12</v>
      </c>
      <c r="AI1906">
        <v>106</v>
      </c>
      <c r="AK1906" s="3"/>
      <c r="BG1906">
        <v>4.5</v>
      </c>
      <c r="BH1906">
        <v>4.5</v>
      </c>
      <c r="BI1906">
        <v>4.5</v>
      </c>
      <c r="BJ1906">
        <v>4.5</v>
      </c>
      <c r="BK1906" s="4">
        <v>3685</v>
      </c>
      <c r="BL1906" s="4">
        <v>3866</v>
      </c>
      <c r="BM1906" s="4">
        <v>4050</v>
      </c>
      <c r="BN1906" s="4">
        <v>4231</v>
      </c>
      <c r="BR1906">
        <v>434222</v>
      </c>
      <c r="BS1906" t="s">
        <v>2825</v>
      </c>
      <c r="BT1906">
        <v>4</v>
      </c>
      <c r="BU1906">
        <v>6</v>
      </c>
      <c r="BV1906">
        <v>6</v>
      </c>
      <c r="BX1906">
        <v>106.5</v>
      </c>
      <c r="BZ1906">
        <v>103</v>
      </c>
      <c r="CM1906">
        <v>1911</v>
      </c>
    </row>
    <row r="1907" spans="1:91" x14ac:dyDescent="0.3">
      <c r="A1907" t="s">
        <v>2826</v>
      </c>
      <c r="B1907">
        <v>42190</v>
      </c>
      <c r="D1907">
        <v>12</v>
      </c>
      <c r="I1907">
        <v>20461</v>
      </c>
      <c r="U1907">
        <v>10</v>
      </c>
      <c r="Y1907">
        <v>10</v>
      </c>
      <c r="AA1907">
        <v>5.25</v>
      </c>
      <c r="AC1907" s="3">
        <v>5.25</v>
      </c>
      <c r="AE1907" s="3">
        <v>5.25</v>
      </c>
      <c r="AI1907">
        <v>5.25</v>
      </c>
      <c r="AK1907" s="3"/>
      <c r="BG1907">
        <v>5</v>
      </c>
      <c r="BH1907">
        <v>5</v>
      </c>
      <c r="BI1907">
        <v>5</v>
      </c>
      <c r="BJ1907">
        <v>5</v>
      </c>
      <c r="BK1907" s="4">
        <v>3744</v>
      </c>
      <c r="BL1907" s="4">
        <v>3927</v>
      </c>
      <c r="BM1907" s="4">
        <v>4109</v>
      </c>
      <c r="BN1907" s="4">
        <v>4292</v>
      </c>
      <c r="BS1907" t="s">
        <v>385</v>
      </c>
      <c r="BT1907">
        <v>9</v>
      </c>
      <c r="BU1907">
        <v>10</v>
      </c>
      <c r="BV1907">
        <v>6</v>
      </c>
      <c r="BX1907">
        <v>5.9</v>
      </c>
      <c r="BZ1907">
        <v>4.87</v>
      </c>
      <c r="CK1907" t="s">
        <v>360</v>
      </c>
      <c r="CM1907">
        <v>1911</v>
      </c>
    </row>
    <row r="1908" spans="1:91" x14ac:dyDescent="0.3">
      <c r="A1908" t="s">
        <v>2827</v>
      </c>
      <c r="B1908">
        <v>42239</v>
      </c>
      <c r="D1908">
        <v>12</v>
      </c>
      <c r="I1908">
        <v>10000</v>
      </c>
      <c r="U1908">
        <v>5</v>
      </c>
      <c r="Y1908">
        <v>2</v>
      </c>
      <c r="AA1908">
        <v>2.4300000000000002</v>
      </c>
      <c r="AC1908" s="3">
        <v>2.4300000000000002</v>
      </c>
      <c r="AE1908" s="3">
        <v>2.4300000000000002</v>
      </c>
      <c r="AI1908">
        <v>2.4300000000000002</v>
      </c>
      <c r="AK1908" s="3"/>
      <c r="AU1908" t="s">
        <v>1717</v>
      </c>
      <c r="AV1908" t="s">
        <v>1718</v>
      </c>
      <c r="AW1908" t="s">
        <v>1717</v>
      </c>
      <c r="AX1908" t="s">
        <v>1719</v>
      </c>
      <c r="AY1908" t="s">
        <v>1717</v>
      </c>
      <c r="AZ1908" t="s">
        <v>1718</v>
      </c>
      <c r="BA1908" t="s">
        <v>1717</v>
      </c>
      <c r="BB1908" t="s">
        <v>1719</v>
      </c>
      <c r="BC1908">
        <v>12</v>
      </c>
      <c r="BD1908">
        <v>12</v>
      </c>
      <c r="BE1908">
        <v>12</v>
      </c>
      <c r="BF1908">
        <v>12</v>
      </c>
      <c r="BK1908" s="4">
        <v>3835</v>
      </c>
      <c r="BL1908" s="4">
        <v>3927</v>
      </c>
      <c r="BM1908" s="4">
        <v>4019</v>
      </c>
      <c r="BN1908" s="4">
        <v>4109</v>
      </c>
      <c r="BR1908">
        <v>2012</v>
      </c>
      <c r="BT1908">
        <v>4</v>
      </c>
      <c r="BU1908">
        <v>2</v>
      </c>
      <c r="BV1908">
        <v>0</v>
      </c>
      <c r="BX1908">
        <v>2.46</v>
      </c>
      <c r="BZ1908">
        <v>2.31</v>
      </c>
      <c r="CK1908" t="s">
        <v>2828</v>
      </c>
      <c r="CM1908">
        <v>1911</v>
      </c>
    </row>
    <row r="1909" spans="1:91" x14ac:dyDescent="0.3">
      <c r="A1909" t="s">
        <v>2829</v>
      </c>
      <c r="B1909">
        <v>42272</v>
      </c>
      <c r="D1909">
        <v>12</v>
      </c>
      <c r="I1909">
        <v>60000</v>
      </c>
      <c r="U1909">
        <v>1</v>
      </c>
      <c r="Y1909">
        <v>1</v>
      </c>
      <c r="AA1909">
        <v>1.1200000000000001</v>
      </c>
      <c r="AC1909" s="3">
        <v>1.1200000000000001</v>
      </c>
      <c r="AE1909" s="3">
        <v>1.0900000000000001</v>
      </c>
      <c r="AI1909">
        <v>1.0900000000000001</v>
      </c>
      <c r="AJ1909" t="s">
        <v>379</v>
      </c>
      <c r="AK1909" s="3"/>
      <c r="AV1909" t="s">
        <v>823</v>
      </c>
      <c r="AZ1909" t="s">
        <v>823</v>
      </c>
      <c r="BG1909">
        <v>6</v>
      </c>
      <c r="BH1909">
        <v>10</v>
      </c>
      <c r="BI1909">
        <v>6</v>
      </c>
      <c r="BJ1909">
        <v>10</v>
      </c>
      <c r="BK1909" s="4">
        <v>3654</v>
      </c>
      <c r="BL1909" s="4">
        <v>3805</v>
      </c>
      <c r="BM1909" s="4">
        <v>4019</v>
      </c>
      <c r="BN1909" s="4">
        <v>4200</v>
      </c>
      <c r="BR1909">
        <v>5350</v>
      </c>
      <c r="BS1909" t="s">
        <v>2646</v>
      </c>
      <c r="BT1909">
        <v>7</v>
      </c>
      <c r="BU1909">
        <v>6</v>
      </c>
      <c r="BV1909">
        <v>3</v>
      </c>
      <c r="BX1909">
        <v>1.1200000000000001</v>
      </c>
      <c r="BZ1909">
        <v>1.06</v>
      </c>
      <c r="CK1909" t="s">
        <v>2830</v>
      </c>
      <c r="CM1909">
        <v>1911</v>
      </c>
    </row>
    <row r="1910" spans="1:91" x14ac:dyDescent="0.3">
      <c r="A1910" t="s">
        <v>2831</v>
      </c>
      <c r="B1910">
        <v>42285</v>
      </c>
      <c r="D1910">
        <v>12</v>
      </c>
      <c r="I1910">
        <v>75000</v>
      </c>
      <c r="U1910">
        <v>1</v>
      </c>
      <c r="Y1910">
        <v>1</v>
      </c>
      <c r="AA1910">
        <v>0.81</v>
      </c>
      <c r="AC1910" s="3">
        <v>0.81</v>
      </c>
      <c r="AE1910" s="3">
        <v>0.81</v>
      </c>
      <c r="AI1910">
        <v>0.81</v>
      </c>
      <c r="AK1910" s="3"/>
      <c r="BG1910">
        <v>5</v>
      </c>
      <c r="BH1910">
        <v>5</v>
      </c>
      <c r="BI1910">
        <v>5</v>
      </c>
      <c r="BJ1910">
        <v>5</v>
      </c>
      <c r="BK1910" s="4">
        <v>3744</v>
      </c>
      <c r="BL1910" s="4">
        <v>3927</v>
      </c>
      <c r="BM1910" s="4">
        <v>4109</v>
      </c>
      <c r="BN1910" s="4">
        <v>4292</v>
      </c>
      <c r="BR1910">
        <v>18727</v>
      </c>
      <c r="BT1910">
        <v>6</v>
      </c>
      <c r="BU1910">
        <v>3</v>
      </c>
      <c r="BV1910">
        <v>0</v>
      </c>
      <c r="BX1910">
        <v>0.81</v>
      </c>
      <c r="BZ1910">
        <v>0.71</v>
      </c>
      <c r="CK1910" t="s">
        <v>360</v>
      </c>
      <c r="CM1910">
        <v>1911</v>
      </c>
    </row>
    <row r="1911" spans="1:91" x14ac:dyDescent="0.3">
      <c r="A1911" t="s">
        <v>2832</v>
      </c>
      <c r="B1911">
        <v>42378</v>
      </c>
      <c r="D1911">
        <v>12</v>
      </c>
      <c r="I1911" s="2">
        <v>1000000</v>
      </c>
      <c r="U1911">
        <v>1</v>
      </c>
      <c r="Y1911">
        <v>1</v>
      </c>
      <c r="AA1911">
        <v>1.25</v>
      </c>
      <c r="AC1911" s="3">
        <v>1.37</v>
      </c>
      <c r="AE1911" s="3">
        <v>1.21</v>
      </c>
      <c r="AI1911">
        <v>1.37</v>
      </c>
      <c r="AK1911" s="3"/>
      <c r="AV1911" t="s">
        <v>823</v>
      </c>
      <c r="AZ1911" t="s">
        <v>823</v>
      </c>
      <c r="BG1911">
        <v>15</v>
      </c>
      <c r="BH1911">
        <v>15</v>
      </c>
      <c r="BI1911">
        <v>10</v>
      </c>
      <c r="BJ1911">
        <v>10</v>
      </c>
      <c r="BK1911" s="4">
        <v>3774</v>
      </c>
      <c r="BL1911" s="4">
        <v>3958</v>
      </c>
      <c r="BM1911" s="4">
        <v>4139</v>
      </c>
      <c r="BN1911" s="4">
        <v>4323</v>
      </c>
      <c r="BR1911">
        <v>274743</v>
      </c>
      <c r="BS1911" t="s">
        <v>2646</v>
      </c>
      <c r="BT1911">
        <v>7</v>
      </c>
      <c r="BU1911">
        <v>5</v>
      </c>
      <c r="BV1911">
        <v>6</v>
      </c>
      <c r="BX1911">
        <v>1.71</v>
      </c>
      <c r="BZ1911">
        <v>1.21</v>
      </c>
      <c r="CK1911" t="s">
        <v>360</v>
      </c>
      <c r="CM1911">
        <v>1911</v>
      </c>
    </row>
    <row r="1912" spans="1:91" x14ac:dyDescent="0.3">
      <c r="A1912" t="s">
        <v>2833</v>
      </c>
      <c r="B1912">
        <v>42379</v>
      </c>
      <c r="C1912" t="s">
        <v>2793</v>
      </c>
      <c r="D1912">
        <v>12</v>
      </c>
      <c r="I1912">
        <v>420000</v>
      </c>
      <c r="J1912" t="s">
        <v>800</v>
      </c>
      <c r="U1912">
        <v>100</v>
      </c>
      <c r="Y1912">
        <v>100</v>
      </c>
      <c r="AA1912">
        <v>102.5</v>
      </c>
      <c r="AC1912" s="3">
        <v>103.5</v>
      </c>
      <c r="AE1912" s="3">
        <v>102.5</v>
      </c>
      <c r="AI1912">
        <v>103</v>
      </c>
      <c r="AK1912" s="3"/>
      <c r="AV1912" t="s">
        <v>370</v>
      </c>
      <c r="AX1912" t="s">
        <v>370</v>
      </c>
      <c r="AZ1912" t="s">
        <v>370</v>
      </c>
      <c r="BB1912" t="s">
        <v>370</v>
      </c>
      <c r="BO1912" t="s">
        <v>367</v>
      </c>
      <c r="BS1912" t="s">
        <v>385</v>
      </c>
      <c r="BT1912">
        <v>5</v>
      </c>
      <c r="BU1912">
        <v>18</v>
      </c>
      <c r="BV1912">
        <v>3</v>
      </c>
      <c r="BX1912">
        <v>104.5</v>
      </c>
      <c r="BZ1912">
        <v>100.25</v>
      </c>
      <c r="CM1912">
        <v>1911</v>
      </c>
    </row>
    <row r="1913" spans="1:91" x14ac:dyDescent="0.3">
      <c r="A1913" t="s">
        <v>2834</v>
      </c>
      <c r="B1913">
        <v>42426</v>
      </c>
      <c r="D1913">
        <v>12</v>
      </c>
      <c r="I1913">
        <v>58500</v>
      </c>
      <c r="U1913">
        <v>5</v>
      </c>
      <c r="Y1913">
        <v>5</v>
      </c>
      <c r="AA1913">
        <v>4</v>
      </c>
      <c r="AC1913" s="3">
        <v>4</v>
      </c>
      <c r="AE1913" s="3">
        <v>4</v>
      </c>
      <c r="AI1913">
        <v>4</v>
      </c>
      <c r="AK1913" s="3"/>
      <c r="BG1913">
        <v>5.25</v>
      </c>
      <c r="BH1913">
        <v>5.25</v>
      </c>
      <c r="BI1913">
        <v>5.25</v>
      </c>
      <c r="BJ1913">
        <v>5.25</v>
      </c>
      <c r="BK1913" s="4">
        <v>3713</v>
      </c>
      <c r="BL1913" s="4">
        <v>3897</v>
      </c>
      <c r="BM1913" s="4">
        <v>4078</v>
      </c>
      <c r="BN1913" s="4">
        <v>4262</v>
      </c>
      <c r="BR1913">
        <v>51453</v>
      </c>
      <c r="BS1913" t="s">
        <v>2835</v>
      </c>
      <c r="BT1913">
        <v>6</v>
      </c>
      <c r="BU1913">
        <v>11</v>
      </c>
      <c r="BV1913">
        <v>3</v>
      </c>
      <c r="BX1913">
        <v>4.25</v>
      </c>
      <c r="BZ1913">
        <v>3.75</v>
      </c>
      <c r="CK1913" t="s">
        <v>360</v>
      </c>
      <c r="CM1913">
        <v>1911</v>
      </c>
    </row>
    <row r="1914" spans="1:91" x14ac:dyDescent="0.3">
      <c r="A1914" t="s">
        <v>2836</v>
      </c>
      <c r="B1914">
        <v>42430</v>
      </c>
      <c r="D1914">
        <v>12</v>
      </c>
      <c r="I1914">
        <v>585000</v>
      </c>
      <c r="J1914" t="s">
        <v>800</v>
      </c>
      <c r="V1914" t="s">
        <v>350</v>
      </c>
      <c r="Y1914">
        <v>100</v>
      </c>
      <c r="AA1914">
        <v>84.5</v>
      </c>
      <c r="AC1914" s="3">
        <v>84.5</v>
      </c>
      <c r="AE1914" s="3">
        <v>82.5</v>
      </c>
      <c r="AI1914">
        <v>82.5</v>
      </c>
      <c r="AJ1914" t="s">
        <v>379</v>
      </c>
      <c r="AK1914" s="3"/>
      <c r="AV1914" t="s">
        <v>370</v>
      </c>
      <c r="AX1914" t="s">
        <v>370</v>
      </c>
      <c r="AZ1914" t="s">
        <v>370</v>
      </c>
      <c r="BB1914" t="s">
        <v>370</v>
      </c>
      <c r="BO1914" t="s">
        <v>367</v>
      </c>
      <c r="BR1914">
        <v>51453</v>
      </c>
      <c r="BS1914" t="s">
        <v>2835</v>
      </c>
      <c r="BT1914">
        <v>4</v>
      </c>
      <c r="BU1914">
        <v>17</v>
      </c>
      <c r="BV1914">
        <v>0</v>
      </c>
      <c r="BX1914">
        <v>85</v>
      </c>
      <c r="BZ1914">
        <v>82.5</v>
      </c>
      <c r="CM1914">
        <v>1911</v>
      </c>
    </row>
    <row r="1915" spans="1:91" x14ac:dyDescent="0.3">
      <c r="A1915" t="s">
        <v>2837</v>
      </c>
      <c r="B1915">
        <v>42497</v>
      </c>
      <c r="D1915">
        <v>12</v>
      </c>
      <c r="I1915">
        <v>265616</v>
      </c>
      <c r="U1915">
        <v>2.5</v>
      </c>
      <c r="Y1915">
        <v>2.5</v>
      </c>
      <c r="AA1915">
        <v>4.87</v>
      </c>
      <c r="AB1915" t="s">
        <v>379</v>
      </c>
      <c r="AC1915" s="3">
        <v>5.12</v>
      </c>
      <c r="AE1915" s="3">
        <v>4.62</v>
      </c>
      <c r="AI1915">
        <v>5.12</v>
      </c>
      <c r="AK1915" s="3"/>
      <c r="AX1915" t="s">
        <v>823</v>
      </c>
      <c r="BB1915" t="s">
        <v>823</v>
      </c>
      <c r="BG1915">
        <v>10</v>
      </c>
      <c r="BH1915">
        <v>11</v>
      </c>
      <c r="BI1915">
        <v>11</v>
      </c>
      <c r="BJ1915">
        <v>11</v>
      </c>
      <c r="BK1915" s="4">
        <v>3805</v>
      </c>
      <c r="BL1915" s="4">
        <v>3988</v>
      </c>
      <c r="BM1915" s="4">
        <v>4170</v>
      </c>
      <c r="BN1915" s="4">
        <v>4353</v>
      </c>
      <c r="BR1915">
        <v>316971</v>
      </c>
      <c r="BS1915" t="s">
        <v>2838</v>
      </c>
      <c r="BT1915">
        <v>5</v>
      </c>
      <c r="BU1915">
        <v>7</v>
      </c>
      <c r="BV1915">
        <v>3</v>
      </c>
      <c r="BX1915">
        <v>5.37</v>
      </c>
      <c r="BZ1915">
        <v>4.37</v>
      </c>
      <c r="CK1915" t="s">
        <v>360</v>
      </c>
      <c r="CM1915">
        <v>1911</v>
      </c>
    </row>
    <row r="1916" spans="1:91" x14ac:dyDescent="0.3">
      <c r="A1916" t="s">
        <v>2839</v>
      </c>
      <c r="B1916">
        <v>42504</v>
      </c>
      <c r="C1916" t="s">
        <v>1423</v>
      </c>
      <c r="D1916">
        <v>12</v>
      </c>
      <c r="I1916">
        <v>87192</v>
      </c>
      <c r="U1916">
        <v>5</v>
      </c>
      <c r="Y1916">
        <v>5</v>
      </c>
      <c r="AA1916">
        <v>4.5</v>
      </c>
      <c r="AB1916" t="s">
        <v>379</v>
      </c>
      <c r="AC1916" s="3">
        <v>4.62</v>
      </c>
      <c r="AE1916" s="3">
        <v>4.5</v>
      </c>
      <c r="AI1916">
        <v>4.62</v>
      </c>
      <c r="AK1916" s="3"/>
      <c r="AV1916" t="s">
        <v>421</v>
      </c>
      <c r="AX1916" t="s">
        <v>421</v>
      </c>
      <c r="AZ1916" t="s">
        <v>421</v>
      </c>
      <c r="BB1916" t="s">
        <v>421</v>
      </c>
      <c r="BO1916" t="s">
        <v>367</v>
      </c>
      <c r="BR1916">
        <v>316971</v>
      </c>
      <c r="BS1916" t="s">
        <v>2838</v>
      </c>
      <c r="BT1916">
        <v>4</v>
      </c>
      <c r="BU1916">
        <v>6</v>
      </c>
      <c r="BV1916">
        <v>6</v>
      </c>
      <c r="BX1916">
        <v>5</v>
      </c>
      <c r="BZ1916">
        <v>4.5</v>
      </c>
      <c r="CM1916">
        <v>1911</v>
      </c>
    </row>
    <row r="1917" spans="1:91" x14ac:dyDescent="0.3">
      <c r="A1917" t="s">
        <v>2837</v>
      </c>
      <c r="B1917">
        <v>42500</v>
      </c>
      <c r="C1917" t="s">
        <v>2840</v>
      </c>
      <c r="D1917">
        <v>12</v>
      </c>
      <c r="I1917">
        <v>250000</v>
      </c>
      <c r="J1917" t="s">
        <v>800</v>
      </c>
      <c r="V1917" t="s">
        <v>350</v>
      </c>
      <c r="Y1917">
        <v>100</v>
      </c>
      <c r="AA1917">
        <v>89.5</v>
      </c>
      <c r="AC1917" s="3">
        <v>89.5</v>
      </c>
      <c r="AE1917" s="3">
        <v>89.5</v>
      </c>
      <c r="AI1917">
        <v>89.5</v>
      </c>
      <c r="AK1917" s="3"/>
      <c r="AV1917" t="s">
        <v>536</v>
      </c>
      <c r="AX1917" t="s">
        <v>536</v>
      </c>
      <c r="AZ1917" t="s">
        <v>536</v>
      </c>
      <c r="BB1917" t="s">
        <v>536</v>
      </c>
      <c r="BO1917" t="s">
        <v>367</v>
      </c>
      <c r="BR1917">
        <v>316971</v>
      </c>
      <c r="BS1917" t="s">
        <v>2838</v>
      </c>
      <c r="BT1917">
        <v>4</v>
      </c>
      <c r="BU1917">
        <v>5</v>
      </c>
      <c r="BV1917">
        <v>0</v>
      </c>
      <c r="BX1917">
        <v>91</v>
      </c>
      <c r="BZ1917">
        <v>89.5</v>
      </c>
      <c r="CM1917">
        <v>1911</v>
      </c>
    </row>
    <row r="1918" spans="1:91" x14ac:dyDescent="0.3">
      <c r="A1918" t="s">
        <v>2837</v>
      </c>
      <c r="B1918">
        <v>42502</v>
      </c>
      <c r="C1918" t="s">
        <v>2841</v>
      </c>
      <c r="D1918">
        <v>12</v>
      </c>
      <c r="I1918">
        <v>250000</v>
      </c>
      <c r="J1918" t="s">
        <v>800</v>
      </c>
      <c r="V1918" t="s">
        <v>350</v>
      </c>
      <c r="Y1918">
        <v>100</v>
      </c>
      <c r="AA1918">
        <v>72</v>
      </c>
      <c r="AC1918" s="3">
        <v>72</v>
      </c>
      <c r="AE1918" s="3">
        <v>72</v>
      </c>
      <c r="AI1918">
        <v>72</v>
      </c>
      <c r="AK1918" s="3"/>
      <c r="AV1918" t="s">
        <v>536</v>
      </c>
      <c r="AX1918" t="s">
        <v>536</v>
      </c>
      <c r="AZ1918" t="s">
        <v>536</v>
      </c>
      <c r="BB1918" t="s">
        <v>536</v>
      </c>
      <c r="BO1918" t="s">
        <v>367</v>
      </c>
      <c r="BR1918">
        <v>316971</v>
      </c>
      <c r="BS1918" t="s">
        <v>2838</v>
      </c>
      <c r="BT1918">
        <v>4</v>
      </c>
      <c r="BU1918">
        <v>4</v>
      </c>
      <c r="BV1918">
        <v>6</v>
      </c>
      <c r="BX1918">
        <v>73</v>
      </c>
      <c r="BZ1918">
        <v>72</v>
      </c>
      <c r="CM1918">
        <v>1911</v>
      </c>
    </row>
    <row r="1919" spans="1:91" x14ac:dyDescent="0.3">
      <c r="A1919" t="s">
        <v>2842</v>
      </c>
      <c r="B1919">
        <v>42463</v>
      </c>
      <c r="D1919">
        <v>12</v>
      </c>
      <c r="I1919">
        <v>30000</v>
      </c>
      <c r="U1919">
        <v>10</v>
      </c>
      <c r="Y1919">
        <v>10</v>
      </c>
      <c r="AA1919">
        <v>11.5</v>
      </c>
      <c r="AC1919" s="3">
        <v>11.5</v>
      </c>
      <c r="AE1919" s="3">
        <v>11.25</v>
      </c>
      <c r="AI1919">
        <v>11.25</v>
      </c>
      <c r="AK1919" s="3"/>
      <c r="AX1919" t="s">
        <v>823</v>
      </c>
      <c r="BB1919" t="s">
        <v>823</v>
      </c>
      <c r="BG1919">
        <v>9</v>
      </c>
      <c r="BH1919">
        <v>5</v>
      </c>
      <c r="BI1919">
        <v>9</v>
      </c>
      <c r="BJ1919">
        <v>6</v>
      </c>
      <c r="BK1919" s="4">
        <v>3774</v>
      </c>
      <c r="BL1919" s="4">
        <v>3958</v>
      </c>
      <c r="BM1919" s="4">
        <v>4139</v>
      </c>
      <c r="BN1919" s="4">
        <v>4323</v>
      </c>
      <c r="BR1919">
        <v>101702</v>
      </c>
      <c r="BS1919" t="s">
        <v>2843</v>
      </c>
      <c r="BT1919">
        <v>6</v>
      </c>
      <c r="BU1919">
        <v>13</v>
      </c>
      <c r="BV1919">
        <v>3</v>
      </c>
      <c r="BX1919">
        <v>11.87</v>
      </c>
      <c r="BZ1919">
        <v>10.18</v>
      </c>
      <c r="CK1919" t="s">
        <v>360</v>
      </c>
      <c r="CM1919">
        <v>1911</v>
      </c>
    </row>
    <row r="1920" spans="1:91" x14ac:dyDescent="0.3">
      <c r="A1920" t="s">
        <v>2842</v>
      </c>
      <c r="B1920">
        <v>42465</v>
      </c>
      <c r="C1920" t="s">
        <v>2844</v>
      </c>
      <c r="D1920">
        <v>12</v>
      </c>
      <c r="I1920">
        <v>20000</v>
      </c>
      <c r="U1920">
        <v>10</v>
      </c>
      <c r="Y1920">
        <v>10</v>
      </c>
      <c r="AA1920">
        <v>11.25</v>
      </c>
      <c r="AC1920" s="3">
        <v>11.25</v>
      </c>
      <c r="AE1920" s="3">
        <v>11.25</v>
      </c>
      <c r="AI1920">
        <v>11.25</v>
      </c>
      <c r="AK1920" s="3"/>
      <c r="AV1920" t="s">
        <v>366</v>
      </c>
      <c r="AX1920" t="s">
        <v>366</v>
      </c>
      <c r="AZ1920" t="s">
        <v>366</v>
      </c>
      <c r="BB1920" t="s">
        <v>366</v>
      </c>
      <c r="BO1920" t="s">
        <v>367</v>
      </c>
      <c r="BR1920">
        <v>101702</v>
      </c>
      <c r="BS1920" t="s">
        <v>2843</v>
      </c>
      <c r="BT1920">
        <v>5</v>
      </c>
      <c r="BU1920">
        <v>6</v>
      </c>
      <c r="BV1920">
        <v>9</v>
      </c>
      <c r="BX1920">
        <v>11.62</v>
      </c>
      <c r="BZ1920">
        <v>10.75</v>
      </c>
      <c r="CM1920">
        <v>1911</v>
      </c>
    </row>
    <row r="1921" spans="1:91" x14ac:dyDescent="0.3">
      <c r="A1921" t="s">
        <v>2842</v>
      </c>
      <c r="B1921">
        <v>42466</v>
      </c>
      <c r="C1921" t="s">
        <v>2845</v>
      </c>
      <c r="D1921">
        <v>12</v>
      </c>
      <c r="I1921">
        <v>157600</v>
      </c>
      <c r="J1921" t="s">
        <v>800</v>
      </c>
      <c r="U1921">
        <v>100</v>
      </c>
      <c r="Y1921">
        <v>100</v>
      </c>
      <c r="AA1921">
        <v>102</v>
      </c>
      <c r="AC1921" s="3">
        <v>103</v>
      </c>
      <c r="AE1921" s="3">
        <v>102</v>
      </c>
      <c r="AI1921">
        <v>103</v>
      </c>
      <c r="AK1921" s="3"/>
      <c r="AV1921" t="s">
        <v>370</v>
      </c>
      <c r="AX1921" t="s">
        <v>370</v>
      </c>
      <c r="AZ1921" t="s">
        <v>370</v>
      </c>
      <c r="BB1921" t="s">
        <v>370</v>
      </c>
      <c r="BO1921" t="s">
        <v>367</v>
      </c>
      <c r="BR1921">
        <v>101702</v>
      </c>
      <c r="BS1921" t="s">
        <v>2843</v>
      </c>
      <c r="BT1921">
        <v>4</v>
      </c>
      <c r="BU1921">
        <v>18</v>
      </c>
      <c r="BV1921">
        <v>0</v>
      </c>
      <c r="BX1921">
        <v>103</v>
      </c>
      <c r="BZ1921">
        <v>99</v>
      </c>
      <c r="CM1921">
        <v>1911</v>
      </c>
    </row>
    <row r="1922" spans="1:91" x14ac:dyDescent="0.3">
      <c r="A1922" t="s">
        <v>2846</v>
      </c>
      <c r="B1922">
        <v>42414</v>
      </c>
      <c r="D1922">
        <v>12</v>
      </c>
      <c r="I1922">
        <v>17000</v>
      </c>
      <c r="U1922">
        <v>12</v>
      </c>
      <c r="Y1922">
        <v>12</v>
      </c>
      <c r="AA1922">
        <v>7.25</v>
      </c>
      <c r="AC1922" s="3">
        <v>7.25</v>
      </c>
      <c r="AE1922" s="3">
        <v>7.25</v>
      </c>
      <c r="AI1922">
        <v>7.25</v>
      </c>
      <c r="AK1922" s="3"/>
      <c r="AU1922" t="s">
        <v>2847</v>
      </c>
      <c r="AV1922" s="5">
        <v>40698</v>
      </c>
      <c r="AW1922" t="s">
        <v>1463</v>
      </c>
      <c r="AX1922" t="s">
        <v>2125</v>
      </c>
      <c r="AY1922" t="s">
        <v>1463</v>
      </c>
      <c r="AZ1922" t="s">
        <v>1464</v>
      </c>
      <c r="BA1922" t="s">
        <v>1463</v>
      </c>
      <c r="BB1922" t="s">
        <v>2125</v>
      </c>
      <c r="BC1922">
        <v>54</v>
      </c>
      <c r="BD1922">
        <v>60</v>
      </c>
      <c r="BE1922">
        <v>60</v>
      </c>
      <c r="BF1922">
        <v>60</v>
      </c>
      <c r="BK1922" s="4">
        <v>3713</v>
      </c>
      <c r="BL1922" s="4">
        <v>3927</v>
      </c>
      <c r="BM1922" s="4">
        <v>4078</v>
      </c>
      <c r="BN1922" s="4">
        <v>4292</v>
      </c>
      <c r="BR1922">
        <v>170</v>
      </c>
      <c r="BS1922" t="s">
        <v>2848</v>
      </c>
      <c r="BT1922">
        <v>6</v>
      </c>
      <c r="BU1922">
        <v>18</v>
      </c>
      <c r="BV1922">
        <v>0</v>
      </c>
      <c r="BX1922">
        <v>7.75</v>
      </c>
      <c r="BZ1922">
        <v>7.12</v>
      </c>
      <c r="CK1922" t="s">
        <v>360</v>
      </c>
      <c r="CM1922">
        <v>1911</v>
      </c>
    </row>
    <row r="1923" spans="1:91" x14ac:dyDescent="0.3">
      <c r="A1923" t="s">
        <v>2846</v>
      </c>
      <c r="B1923">
        <v>42418</v>
      </c>
      <c r="C1923" t="s">
        <v>2849</v>
      </c>
      <c r="D1923">
        <v>12</v>
      </c>
      <c r="I1923">
        <v>93154</v>
      </c>
      <c r="J1923" t="s">
        <v>800</v>
      </c>
      <c r="V1923" t="s">
        <v>350</v>
      </c>
      <c r="Y1923">
        <v>100</v>
      </c>
      <c r="AA1923">
        <v>79.5</v>
      </c>
      <c r="AC1923" s="3">
        <v>79.5</v>
      </c>
      <c r="AE1923" s="3">
        <v>79.5</v>
      </c>
      <c r="AI1923">
        <v>79.5</v>
      </c>
      <c r="AK1923" s="3"/>
      <c r="AV1923" t="s">
        <v>370</v>
      </c>
      <c r="AX1923" t="s">
        <v>370</v>
      </c>
      <c r="AZ1923" t="s">
        <v>370</v>
      </c>
      <c r="BB1923" t="s">
        <v>370</v>
      </c>
      <c r="BO1923" t="s">
        <v>367</v>
      </c>
      <c r="BR1923">
        <v>170</v>
      </c>
      <c r="BS1923" t="s">
        <v>2848</v>
      </c>
      <c r="BT1923">
        <v>4</v>
      </c>
      <c r="BU1923">
        <v>10</v>
      </c>
      <c r="BV1923">
        <v>0</v>
      </c>
      <c r="BX1923">
        <v>82.5</v>
      </c>
      <c r="BZ1923">
        <v>79.5</v>
      </c>
      <c r="CM1923">
        <v>1911</v>
      </c>
    </row>
    <row r="1924" spans="1:91" x14ac:dyDescent="0.3">
      <c r="A1924" t="s">
        <v>2846</v>
      </c>
      <c r="B1924">
        <v>42419</v>
      </c>
      <c r="C1924" t="s">
        <v>2850</v>
      </c>
      <c r="D1924">
        <v>12</v>
      </c>
      <c r="I1924">
        <v>139960</v>
      </c>
      <c r="J1924" t="s">
        <v>800</v>
      </c>
      <c r="V1924" t="s">
        <v>350</v>
      </c>
      <c r="Y1924">
        <v>100</v>
      </c>
      <c r="AA1924">
        <v>64</v>
      </c>
      <c r="AC1924" s="3">
        <v>64</v>
      </c>
      <c r="AE1924" s="3">
        <v>60.5</v>
      </c>
      <c r="AI1924">
        <v>62.5</v>
      </c>
      <c r="AK1924" s="3"/>
      <c r="BG1924">
        <v>3</v>
      </c>
      <c r="BH1924">
        <v>3</v>
      </c>
      <c r="BI1924">
        <v>3</v>
      </c>
      <c r="BJ1924">
        <v>3</v>
      </c>
      <c r="BK1924" s="4">
        <v>3744</v>
      </c>
      <c r="BL1924" s="4">
        <v>3927</v>
      </c>
      <c r="BM1924" s="4">
        <v>4109</v>
      </c>
      <c r="BN1924" s="4">
        <v>4292</v>
      </c>
      <c r="BS1924" t="s">
        <v>385</v>
      </c>
      <c r="BT1924">
        <v>4</v>
      </c>
      <c r="BU1924">
        <v>17</v>
      </c>
      <c r="BV1924">
        <v>3</v>
      </c>
      <c r="BX1924">
        <v>64</v>
      </c>
      <c r="BZ1924">
        <v>59.25</v>
      </c>
      <c r="CM1924">
        <v>1911</v>
      </c>
    </row>
    <row r="1925" spans="1:91" x14ac:dyDescent="0.3">
      <c r="A1925" t="s">
        <v>2851</v>
      </c>
      <c r="B1925">
        <v>42535</v>
      </c>
      <c r="D1925">
        <v>12</v>
      </c>
      <c r="I1925">
        <v>17000</v>
      </c>
      <c r="U1925">
        <v>10</v>
      </c>
      <c r="Y1925">
        <v>10</v>
      </c>
      <c r="AA1925">
        <v>5.5</v>
      </c>
      <c r="AC1925" s="3">
        <v>5.5</v>
      </c>
      <c r="AE1925" s="3">
        <v>5.5</v>
      </c>
      <c r="AI1925">
        <v>5.5</v>
      </c>
      <c r="AK1925" s="3"/>
      <c r="BB1925" t="s">
        <v>810</v>
      </c>
      <c r="BG1925">
        <v>8</v>
      </c>
      <c r="BH1925">
        <v>8</v>
      </c>
      <c r="BI1925">
        <v>8</v>
      </c>
      <c r="BK1925" s="4">
        <v>3744</v>
      </c>
      <c r="BL1925" s="4">
        <v>3927</v>
      </c>
      <c r="BM1925" s="4">
        <v>4109</v>
      </c>
      <c r="BR1925">
        <v>172272</v>
      </c>
      <c r="BS1925" t="s">
        <v>2852</v>
      </c>
      <c r="BW1925" t="s">
        <v>802</v>
      </c>
      <c r="BX1925">
        <v>6</v>
      </c>
      <c r="BZ1925">
        <v>4.5</v>
      </c>
      <c r="CK1925" t="s">
        <v>360</v>
      </c>
      <c r="CM1925">
        <v>1911</v>
      </c>
    </row>
    <row r="1926" spans="1:91" x14ac:dyDescent="0.3">
      <c r="A1926" t="s">
        <v>2851</v>
      </c>
      <c r="B1926">
        <v>42536</v>
      </c>
      <c r="C1926" t="s">
        <v>2853</v>
      </c>
      <c r="D1926">
        <v>12</v>
      </c>
      <c r="I1926">
        <v>170000</v>
      </c>
      <c r="J1926" t="s">
        <v>800</v>
      </c>
      <c r="U1926">
        <v>100</v>
      </c>
      <c r="Y1926">
        <v>100</v>
      </c>
      <c r="AA1926">
        <v>77.5</v>
      </c>
      <c r="AC1926" s="3">
        <v>77.5</v>
      </c>
      <c r="AE1926" s="3">
        <v>76.5</v>
      </c>
      <c r="AI1926">
        <v>76.5</v>
      </c>
      <c r="AK1926" s="3"/>
      <c r="AV1926" t="s">
        <v>370</v>
      </c>
      <c r="AX1926" t="s">
        <v>370</v>
      </c>
      <c r="AZ1926" t="s">
        <v>370</v>
      </c>
      <c r="BB1926" t="s">
        <v>370</v>
      </c>
      <c r="BO1926" t="s">
        <v>367</v>
      </c>
      <c r="BR1926">
        <v>172272</v>
      </c>
      <c r="BS1926" t="s">
        <v>2852</v>
      </c>
      <c r="BT1926">
        <v>8</v>
      </c>
      <c r="BU1926">
        <v>0</v>
      </c>
      <c r="BV1926">
        <v>0</v>
      </c>
      <c r="BX1926">
        <v>77.5</v>
      </c>
      <c r="BZ1926">
        <v>65</v>
      </c>
      <c r="CM1926">
        <v>1911</v>
      </c>
    </row>
    <row r="1927" spans="1:91" x14ac:dyDescent="0.3">
      <c r="A1927" t="s">
        <v>2854</v>
      </c>
      <c r="B1927">
        <v>42568</v>
      </c>
      <c r="D1927">
        <v>12</v>
      </c>
      <c r="I1927" s="2">
        <v>4500000</v>
      </c>
      <c r="U1927">
        <v>1</v>
      </c>
      <c r="Y1927">
        <v>1</v>
      </c>
      <c r="AA1927">
        <v>11.25</v>
      </c>
      <c r="AC1927" s="3">
        <v>11.31</v>
      </c>
      <c r="AE1927" s="3">
        <v>10.37</v>
      </c>
      <c r="AI1927">
        <v>10.5</v>
      </c>
      <c r="AK1927" s="3"/>
      <c r="BG1927">
        <v>30</v>
      </c>
      <c r="BH1927">
        <v>30</v>
      </c>
      <c r="BI1927">
        <v>30</v>
      </c>
      <c r="BJ1927">
        <v>50</v>
      </c>
      <c r="BK1927" s="4">
        <v>4078</v>
      </c>
      <c r="BL1927" s="4">
        <v>4170</v>
      </c>
      <c r="BM1927" s="4">
        <v>4262</v>
      </c>
      <c r="BN1927" s="4">
        <v>4353</v>
      </c>
      <c r="BR1927" s="2">
        <v>7940160</v>
      </c>
      <c r="BS1927" t="s">
        <v>2855</v>
      </c>
      <c r="BT1927">
        <v>3</v>
      </c>
      <c r="BU1927">
        <v>16</v>
      </c>
      <c r="BV1927">
        <v>0</v>
      </c>
      <c r="BX1927">
        <v>12.25</v>
      </c>
      <c r="BZ1927">
        <v>10.37</v>
      </c>
      <c r="CK1927" t="s">
        <v>1606</v>
      </c>
      <c r="CM1927">
        <v>1911</v>
      </c>
    </row>
    <row r="1928" spans="1:91" x14ac:dyDescent="0.3">
      <c r="A1928" t="s">
        <v>2854</v>
      </c>
      <c r="B1928">
        <v>42569</v>
      </c>
      <c r="C1928" t="s">
        <v>2856</v>
      </c>
      <c r="D1928">
        <v>12</v>
      </c>
      <c r="I1928" s="2">
        <v>3000000</v>
      </c>
      <c r="J1928" t="s">
        <v>800</v>
      </c>
      <c r="V1928" t="s">
        <v>350</v>
      </c>
      <c r="Y1928">
        <v>100</v>
      </c>
      <c r="AA1928">
        <v>515</v>
      </c>
      <c r="AC1928" s="3">
        <v>515</v>
      </c>
      <c r="AE1928" s="3">
        <v>490</v>
      </c>
      <c r="AI1928">
        <v>500</v>
      </c>
      <c r="AK1928" s="3"/>
      <c r="BG1928">
        <v>20</v>
      </c>
      <c r="BH1928">
        <v>20</v>
      </c>
      <c r="BI1928">
        <v>20</v>
      </c>
      <c r="BJ1928">
        <v>20</v>
      </c>
      <c r="BK1928" s="4">
        <v>4078</v>
      </c>
      <c r="BL1928" s="4">
        <v>4170</v>
      </c>
      <c r="BM1928" s="4">
        <v>4262</v>
      </c>
      <c r="BN1928" s="4">
        <v>4353</v>
      </c>
      <c r="BR1928" s="2">
        <v>7940160</v>
      </c>
      <c r="BS1928" t="s">
        <v>2855</v>
      </c>
      <c r="BT1928">
        <v>4</v>
      </c>
      <c r="BU1928">
        <v>0</v>
      </c>
      <c r="BV1928">
        <v>0</v>
      </c>
      <c r="BX1928">
        <v>515</v>
      </c>
      <c r="BZ1928">
        <v>490</v>
      </c>
      <c r="CM1928">
        <v>1911</v>
      </c>
    </row>
    <row r="1929" spans="1:91" x14ac:dyDescent="0.3">
      <c r="A1929" t="s">
        <v>2854</v>
      </c>
      <c r="B1929">
        <v>42571</v>
      </c>
      <c r="C1929" t="s">
        <v>955</v>
      </c>
      <c r="D1929">
        <v>12</v>
      </c>
      <c r="I1929">
        <v>250000</v>
      </c>
      <c r="U1929">
        <v>10</v>
      </c>
      <c r="Y1929">
        <v>10</v>
      </c>
      <c r="AA1929">
        <v>16.25</v>
      </c>
      <c r="AC1929" s="3">
        <v>16.25</v>
      </c>
      <c r="AE1929" s="3">
        <v>15.75</v>
      </c>
      <c r="AI1929">
        <v>15.75</v>
      </c>
      <c r="AK1929" s="3"/>
      <c r="AV1929" t="s">
        <v>421</v>
      </c>
      <c r="AX1929" t="s">
        <v>421</v>
      </c>
      <c r="AZ1929" t="s">
        <v>421</v>
      </c>
      <c r="BB1929" t="s">
        <v>421</v>
      </c>
      <c r="BO1929" t="s">
        <v>367</v>
      </c>
      <c r="BR1929" s="2">
        <v>7940160</v>
      </c>
      <c r="BS1929" t="s">
        <v>2855</v>
      </c>
      <c r="BT1929">
        <v>3</v>
      </c>
      <c r="BU1929">
        <v>16</v>
      </c>
      <c r="BV1929">
        <v>3</v>
      </c>
      <c r="BX1929">
        <v>16.5</v>
      </c>
      <c r="BZ1929">
        <v>15.06</v>
      </c>
      <c r="CM1929">
        <v>1911</v>
      </c>
    </row>
    <row r="1930" spans="1:91" x14ac:dyDescent="0.3">
      <c r="A1930" t="s">
        <v>2857</v>
      </c>
      <c r="B1930">
        <v>42617</v>
      </c>
      <c r="D1930">
        <v>12</v>
      </c>
      <c r="I1930">
        <v>15000</v>
      </c>
      <c r="U1930">
        <v>5</v>
      </c>
      <c r="Y1930">
        <v>5</v>
      </c>
      <c r="AA1930">
        <v>4.75</v>
      </c>
      <c r="AC1930" s="3">
        <v>5</v>
      </c>
      <c r="AE1930" s="3">
        <v>4.75</v>
      </c>
      <c r="AI1930">
        <v>5</v>
      </c>
      <c r="AK1930" s="3"/>
      <c r="BG1930">
        <v>6</v>
      </c>
      <c r="BH1930">
        <v>6</v>
      </c>
      <c r="BI1930">
        <v>6</v>
      </c>
      <c r="BJ1930">
        <v>6</v>
      </c>
      <c r="BK1930" s="4">
        <v>3685</v>
      </c>
      <c r="BL1930" s="4">
        <v>3866</v>
      </c>
      <c r="BM1930" s="4">
        <v>4050</v>
      </c>
      <c r="BN1930" s="4">
        <v>4231</v>
      </c>
      <c r="BR1930">
        <v>37262</v>
      </c>
      <c r="BS1930" t="s">
        <v>2858</v>
      </c>
      <c r="BT1930">
        <v>6</v>
      </c>
      <c r="BU1930">
        <v>0</v>
      </c>
      <c r="BV1930">
        <v>0</v>
      </c>
      <c r="BX1930">
        <v>5</v>
      </c>
      <c r="BZ1930">
        <v>4.43</v>
      </c>
      <c r="CK1930" t="s">
        <v>360</v>
      </c>
      <c r="CM1930">
        <v>1911</v>
      </c>
    </row>
    <row r="1931" spans="1:91" x14ac:dyDescent="0.3">
      <c r="A1931" t="s">
        <v>2859</v>
      </c>
      <c r="B1931">
        <v>42619</v>
      </c>
      <c r="D1931">
        <v>12</v>
      </c>
      <c r="I1931">
        <v>100000</v>
      </c>
      <c r="J1931" t="s">
        <v>800</v>
      </c>
      <c r="U1931">
        <v>100</v>
      </c>
      <c r="Y1931">
        <v>100</v>
      </c>
      <c r="AA1931">
        <v>92</v>
      </c>
      <c r="AC1931" s="3">
        <v>92</v>
      </c>
      <c r="AE1931" s="3">
        <v>90.5</v>
      </c>
      <c r="AI1931">
        <v>90.5</v>
      </c>
      <c r="AJ1931" t="s">
        <v>379</v>
      </c>
      <c r="AK1931" s="3"/>
      <c r="AV1931" t="s">
        <v>370</v>
      </c>
      <c r="AX1931" t="s">
        <v>370</v>
      </c>
      <c r="AZ1931" t="s">
        <v>370</v>
      </c>
      <c r="BB1931" t="s">
        <v>370</v>
      </c>
      <c r="BO1931" t="s">
        <v>367</v>
      </c>
      <c r="BR1931">
        <v>37262</v>
      </c>
      <c r="BS1931" t="s">
        <v>2858</v>
      </c>
      <c r="BT1931">
        <v>4</v>
      </c>
      <c r="BU1931">
        <v>19</v>
      </c>
      <c r="BV1931">
        <v>6</v>
      </c>
      <c r="BX1931">
        <v>92</v>
      </c>
      <c r="BZ1931">
        <v>90</v>
      </c>
      <c r="CM1931">
        <v>1911</v>
      </c>
    </row>
    <row r="1932" spans="1:91" x14ac:dyDescent="0.3">
      <c r="A1932" t="s">
        <v>2860</v>
      </c>
      <c r="B1932">
        <v>42632</v>
      </c>
      <c r="D1932">
        <v>12</v>
      </c>
      <c r="I1932">
        <v>600000</v>
      </c>
      <c r="J1932" t="s">
        <v>800</v>
      </c>
      <c r="V1932" t="s">
        <v>350</v>
      </c>
      <c r="Y1932">
        <v>100</v>
      </c>
      <c r="AA1932">
        <v>81.5</v>
      </c>
      <c r="AB1932" t="s">
        <v>379</v>
      </c>
      <c r="AC1932" s="3">
        <v>83.5</v>
      </c>
      <c r="AE1932" s="3">
        <v>81.5</v>
      </c>
      <c r="AI1932">
        <v>83</v>
      </c>
      <c r="AK1932" s="3"/>
      <c r="AV1932" t="s">
        <v>385</v>
      </c>
      <c r="AX1932" t="s">
        <v>385</v>
      </c>
      <c r="AZ1932" t="s">
        <v>385</v>
      </c>
      <c r="BB1932" t="s">
        <v>385</v>
      </c>
      <c r="BS1932" t="s">
        <v>385</v>
      </c>
      <c r="BT1932">
        <v>6</v>
      </c>
      <c r="BU1932">
        <v>2</v>
      </c>
      <c r="BV1932">
        <v>9</v>
      </c>
      <c r="BX1932">
        <v>85</v>
      </c>
      <c r="BZ1932">
        <v>81.5</v>
      </c>
      <c r="CM1932">
        <v>1911</v>
      </c>
    </row>
    <row r="1933" spans="1:91" x14ac:dyDescent="0.3">
      <c r="A1933" t="s">
        <v>2861</v>
      </c>
      <c r="B1933">
        <v>42701</v>
      </c>
      <c r="D1933">
        <v>12</v>
      </c>
      <c r="I1933">
        <v>36000</v>
      </c>
      <c r="U1933">
        <v>5</v>
      </c>
      <c r="Y1933">
        <v>5</v>
      </c>
      <c r="AA1933">
        <v>2.37</v>
      </c>
      <c r="AC1933" s="3">
        <v>2.37</v>
      </c>
      <c r="AE1933" s="3">
        <v>2.37</v>
      </c>
      <c r="AI1933">
        <v>2.37</v>
      </c>
      <c r="AK1933" s="3"/>
      <c r="AZ1933" t="s">
        <v>969</v>
      </c>
      <c r="BB1933" t="s">
        <v>815</v>
      </c>
      <c r="BG1933">
        <v>5.25</v>
      </c>
      <c r="BH1933">
        <v>5.25</v>
      </c>
      <c r="BJ1933">
        <v>1.25</v>
      </c>
      <c r="BK1933" s="4">
        <v>3075</v>
      </c>
      <c r="BL1933" s="4">
        <v>3258</v>
      </c>
      <c r="BM1933" t="s">
        <v>811</v>
      </c>
      <c r="BN1933" s="4">
        <v>4170</v>
      </c>
      <c r="BR1933">
        <v>18083</v>
      </c>
      <c r="BS1933" t="s">
        <v>2862</v>
      </c>
      <c r="BT1933">
        <v>2</v>
      </c>
      <c r="BU1933">
        <v>12</v>
      </c>
      <c r="BV1933">
        <v>6</v>
      </c>
      <c r="BX1933">
        <v>2.75</v>
      </c>
      <c r="BZ1933">
        <v>1.87</v>
      </c>
      <c r="CK1933" t="s">
        <v>360</v>
      </c>
      <c r="CM1933">
        <v>1911</v>
      </c>
    </row>
    <row r="1934" spans="1:91" x14ac:dyDescent="0.3">
      <c r="A1934" t="s">
        <v>2861</v>
      </c>
      <c r="B1934">
        <v>42702</v>
      </c>
      <c r="C1934" t="s">
        <v>922</v>
      </c>
      <c r="D1934">
        <v>12</v>
      </c>
      <c r="I1934">
        <v>360000</v>
      </c>
      <c r="J1934" t="s">
        <v>800</v>
      </c>
      <c r="V1934" t="s">
        <v>350</v>
      </c>
      <c r="Y1934">
        <v>100</v>
      </c>
      <c r="AA1934">
        <v>73</v>
      </c>
      <c r="AC1934" s="3">
        <v>73</v>
      </c>
      <c r="AE1934" s="3">
        <v>73</v>
      </c>
      <c r="AI1934">
        <v>73</v>
      </c>
      <c r="AK1934" s="3"/>
      <c r="AV1934" t="s">
        <v>373</v>
      </c>
      <c r="AX1934" t="s">
        <v>373</v>
      </c>
      <c r="AZ1934" t="s">
        <v>373</v>
      </c>
      <c r="BB1934" t="s">
        <v>373</v>
      </c>
      <c r="BO1934" t="s">
        <v>367</v>
      </c>
      <c r="BR1934">
        <v>18083</v>
      </c>
      <c r="BS1934" t="s">
        <v>2862</v>
      </c>
      <c r="BT1934">
        <v>5</v>
      </c>
      <c r="BU1934">
        <v>10</v>
      </c>
      <c r="BV1934">
        <v>6</v>
      </c>
      <c r="BX1934">
        <v>75.5</v>
      </c>
      <c r="BZ1934">
        <v>66.5</v>
      </c>
      <c r="CM1934">
        <v>1911</v>
      </c>
    </row>
    <row r="1935" spans="1:91" x14ac:dyDescent="0.3">
      <c r="A1935" t="s">
        <v>2863</v>
      </c>
      <c r="B1935">
        <v>42727</v>
      </c>
      <c r="D1935">
        <v>12</v>
      </c>
      <c r="I1935">
        <v>150548</v>
      </c>
      <c r="U1935">
        <v>1</v>
      </c>
      <c r="Y1935">
        <v>1</v>
      </c>
      <c r="AA1935">
        <v>0.37</v>
      </c>
      <c r="AC1935" s="3">
        <v>0.37</v>
      </c>
      <c r="AE1935" s="3">
        <v>0.37</v>
      </c>
      <c r="AI1935">
        <v>0.37</v>
      </c>
      <c r="AK1935" s="3"/>
      <c r="AV1935" t="s">
        <v>823</v>
      </c>
      <c r="AZ1935" t="s">
        <v>823</v>
      </c>
      <c r="BG1935">
        <v>5</v>
      </c>
      <c r="BH1935">
        <v>5</v>
      </c>
      <c r="BI1935">
        <v>5</v>
      </c>
      <c r="BJ1935">
        <v>5</v>
      </c>
      <c r="BK1935" s="4">
        <v>3744</v>
      </c>
      <c r="BL1935" s="4">
        <v>3927</v>
      </c>
      <c r="BM1935" s="4">
        <v>4109</v>
      </c>
      <c r="BN1935" s="4">
        <v>4292</v>
      </c>
      <c r="BS1935" t="s">
        <v>385</v>
      </c>
      <c r="BT1935">
        <v>13</v>
      </c>
      <c r="BU1935">
        <v>2</v>
      </c>
      <c r="BV1935">
        <v>6</v>
      </c>
      <c r="BX1935">
        <v>1</v>
      </c>
      <c r="BZ1935">
        <v>0.37</v>
      </c>
      <c r="CM1935">
        <v>1911</v>
      </c>
    </row>
    <row r="1936" spans="1:91" x14ac:dyDescent="0.3">
      <c r="A1936" t="s">
        <v>2863</v>
      </c>
      <c r="B1936">
        <v>42728</v>
      </c>
      <c r="C1936" t="s">
        <v>1754</v>
      </c>
      <c r="D1936">
        <v>12</v>
      </c>
      <c r="I1936">
        <v>214195</v>
      </c>
      <c r="U1936">
        <v>1</v>
      </c>
      <c r="Y1936">
        <v>1</v>
      </c>
      <c r="AA1936">
        <v>0.81</v>
      </c>
      <c r="AC1936" s="3">
        <v>0.81</v>
      </c>
      <c r="AE1936" s="3">
        <v>0.81</v>
      </c>
      <c r="AI1936">
        <v>0.81</v>
      </c>
      <c r="AK1936" s="3"/>
      <c r="BG1936">
        <v>6</v>
      </c>
      <c r="BH1936">
        <v>6</v>
      </c>
      <c r="BI1936">
        <v>6</v>
      </c>
      <c r="BJ1936">
        <v>6</v>
      </c>
      <c r="BK1936" s="4">
        <v>3744</v>
      </c>
      <c r="BL1936" s="4">
        <v>3927</v>
      </c>
      <c r="BM1936" s="4">
        <v>4109</v>
      </c>
      <c r="BN1936" s="4">
        <v>4292</v>
      </c>
      <c r="BS1936" t="s">
        <v>385</v>
      </c>
      <c r="BT1936">
        <v>7</v>
      </c>
      <c r="BU1936">
        <v>7</v>
      </c>
      <c r="BV1936">
        <v>9</v>
      </c>
      <c r="BX1936">
        <v>0.9</v>
      </c>
      <c r="BZ1936">
        <v>0.71</v>
      </c>
      <c r="CM1936">
        <v>1911</v>
      </c>
    </row>
    <row r="1937" spans="1:91" x14ac:dyDescent="0.3">
      <c r="A1937" t="s">
        <v>2864</v>
      </c>
      <c r="B1937">
        <v>42740</v>
      </c>
      <c r="D1937">
        <v>12</v>
      </c>
      <c r="I1937">
        <v>10000</v>
      </c>
      <c r="U1937">
        <v>10</v>
      </c>
      <c r="Y1937">
        <v>10</v>
      </c>
      <c r="AA1937">
        <v>7</v>
      </c>
      <c r="AC1937" s="3">
        <v>7</v>
      </c>
      <c r="AE1937" s="3">
        <v>7</v>
      </c>
      <c r="AI1937">
        <v>7</v>
      </c>
      <c r="AK1937" s="3"/>
      <c r="AV1937" t="s">
        <v>506</v>
      </c>
      <c r="AX1937" t="s">
        <v>506</v>
      </c>
      <c r="AZ1937" t="s">
        <v>506</v>
      </c>
      <c r="BB1937" t="s">
        <v>506</v>
      </c>
      <c r="BO1937" t="s">
        <v>367</v>
      </c>
      <c r="BR1937">
        <v>7966</v>
      </c>
      <c r="BS1937" t="s">
        <v>2865</v>
      </c>
      <c r="BT1937">
        <v>7</v>
      </c>
      <c r="BU1937">
        <v>2</v>
      </c>
      <c r="BV1937">
        <v>9</v>
      </c>
      <c r="BX1937">
        <v>7</v>
      </c>
      <c r="BZ1937">
        <v>7</v>
      </c>
      <c r="CM1937">
        <v>1911</v>
      </c>
    </row>
    <row r="1938" spans="1:91" x14ac:dyDescent="0.3">
      <c r="A1938" t="s">
        <v>2864</v>
      </c>
      <c r="B1938">
        <v>42741</v>
      </c>
      <c r="C1938" t="s">
        <v>2866</v>
      </c>
      <c r="D1938">
        <v>12</v>
      </c>
      <c r="I1938">
        <v>100000</v>
      </c>
      <c r="J1938" t="s">
        <v>800</v>
      </c>
      <c r="V1938" t="s">
        <v>350</v>
      </c>
      <c r="Y1938">
        <v>100</v>
      </c>
      <c r="AA1938">
        <v>75</v>
      </c>
      <c r="AC1938" s="3">
        <v>75</v>
      </c>
      <c r="AE1938" s="3">
        <v>75</v>
      </c>
      <c r="AI1938">
        <v>75</v>
      </c>
      <c r="AJ1938" t="s">
        <v>379</v>
      </c>
      <c r="AK1938" s="3"/>
      <c r="AV1938" t="s">
        <v>421</v>
      </c>
      <c r="AX1938" t="s">
        <v>421</v>
      </c>
      <c r="AZ1938" t="s">
        <v>421</v>
      </c>
      <c r="BB1938" t="s">
        <v>421</v>
      </c>
      <c r="BO1938" t="s">
        <v>367</v>
      </c>
      <c r="BR1938">
        <v>7966</v>
      </c>
      <c r="BS1938" t="s">
        <v>2865</v>
      </c>
      <c r="BT1938">
        <v>5</v>
      </c>
      <c r="BU1938">
        <v>6</v>
      </c>
      <c r="BV1938">
        <v>9</v>
      </c>
      <c r="BX1938">
        <v>76</v>
      </c>
      <c r="BZ1938">
        <v>74.5</v>
      </c>
      <c r="CM1938">
        <v>1911</v>
      </c>
    </row>
    <row r="1939" spans="1:91" x14ac:dyDescent="0.3">
      <c r="A1939" t="s">
        <v>2867</v>
      </c>
      <c r="B1939">
        <v>42820</v>
      </c>
      <c r="D1939">
        <v>12</v>
      </c>
      <c r="I1939">
        <v>100000</v>
      </c>
      <c r="U1939">
        <v>1</v>
      </c>
      <c r="Y1939">
        <v>1</v>
      </c>
      <c r="AA1939">
        <v>0.75</v>
      </c>
      <c r="AC1939" s="3">
        <v>0.75</v>
      </c>
      <c r="AE1939" s="3">
        <v>0.75</v>
      </c>
      <c r="AI1939">
        <v>0.75</v>
      </c>
      <c r="AK1939" s="3"/>
      <c r="AX1939" t="s">
        <v>823</v>
      </c>
      <c r="BB1939" t="s">
        <v>823</v>
      </c>
      <c r="BG1939">
        <v>8</v>
      </c>
      <c r="BH1939">
        <v>6</v>
      </c>
      <c r="BI1939">
        <v>8</v>
      </c>
      <c r="BJ1939">
        <v>6</v>
      </c>
      <c r="BK1939" s="4">
        <v>3654</v>
      </c>
      <c r="BL1939" s="4">
        <v>3835</v>
      </c>
      <c r="BM1939" s="4">
        <v>4019</v>
      </c>
      <c r="BN1939" s="4">
        <v>4200</v>
      </c>
      <c r="BR1939">
        <v>20590</v>
      </c>
      <c r="BT1939">
        <v>9</v>
      </c>
      <c r="BU1939">
        <v>6</v>
      </c>
      <c r="BV1939">
        <v>9</v>
      </c>
      <c r="BX1939">
        <v>0.81</v>
      </c>
      <c r="BZ1939">
        <v>0.5</v>
      </c>
      <c r="CK1939" t="s">
        <v>360</v>
      </c>
      <c r="CM1939">
        <v>1911</v>
      </c>
    </row>
    <row r="1940" spans="1:91" x14ac:dyDescent="0.3">
      <c r="A1940" t="s">
        <v>2868</v>
      </c>
      <c r="B1940">
        <v>42851</v>
      </c>
      <c r="D1940">
        <v>12</v>
      </c>
      <c r="I1940">
        <v>40000</v>
      </c>
      <c r="U1940">
        <v>5</v>
      </c>
      <c r="Y1940">
        <v>5</v>
      </c>
      <c r="AA1940">
        <v>5.5</v>
      </c>
      <c r="AC1940" s="3">
        <v>5.65</v>
      </c>
      <c r="AE1940" s="3">
        <v>5.25</v>
      </c>
      <c r="AI1940">
        <v>5.5</v>
      </c>
      <c r="AK1940" s="3"/>
      <c r="AV1940" t="s">
        <v>536</v>
      </c>
      <c r="AX1940" t="s">
        <v>536</v>
      </c>
      <c r="AZ1940" t="s">
        <v>536</v>
      </c>
      <c r="BB1940" t="s">
        <v>536</v>
      </c>
      <c r="BO1940" t="s">
        <v>367</v>
      </c>
      <c r="BR1940">
        <v>120102</v>
      </c>
      <c r="BS1940" t="s">
        <v>2869</v>
      </c>
      <c r="BT1940">
        <v>5</v>
      </c>
      <c r="BU1940">
        <v>0</v>
      </c>
      <c r="BV1940">
        <v>0</v>
      </c>
      <c r="BX1940">
        <v>5.65</v>
      </c>
      <c r="BZ1940">
        <v>5</v>
      </c>
      <c r="CK1940" t="s">
        <v>360</v>
      </c>
      <c r="CM1940">
        <v>1911</v>
      </c>
    </row>
    <row r="1941" spans="1:91" x14ac:dyDescent="0.3">
      <c r="A1941" t="s">
        <v>2868</v>
      </c>
      <c r="B1941">
        <v>42852</v>
      </c>
      <c r="C1941" t="s">
        <v>805</v>
      </c>
      <c r="D1941">
        <v>12</v>
      </c>
      <c r="I1941">
        <v>191024</v>
      </c>
      <c r="J1941" t="s">
        <v>800</v>
      </c>
      <c r="V1941" t="s">
        <v>350</v>
      </c>
      <c r="Y1941">
        <v>100</v>
      </c>
      <c r="AA1941">
        <v>102</v>
      </c>
      <c r="AC1941" s="3">
        <v>102</v>
      </c>
      <c r="AE1941" s="3">
        <v>100</v>
      </c>
      <c r="AI1941">
        <v>100</v>
      </c>
      <c r="AJ1941" t="s">
        <v>379</v>
      </c>
      <c r="AK1941" s="3"/>
      <c r="AV1941" t="s">
        <v>370</v>
      </c>
      <c r="AX1941" t="s">
        <v>370</v>
      </c>
      <c r="AZ1941" t="s">
        <v>370</v>
      </c>
      <c r="BB1941" t="s">
        <v>370</v>
      </c>
      <c r="BO1941" t="s">
        <v>367</v>
      </c>
      <c r="BR1941">
        <v>120102</v>
      </c>
      <c r="BS1941" t="s">
        <v>2869</v>
      </c>
      <c r="BT1941">
        <v>4</v>
      </c>
      <c r="BU1941">
        <v>10</v>
      </c>
      <c r="BV1941">
        <v>0</v>
      </c>
      <c r="BX1941">
        <v>102</v>
      </c>
      <c r="BZ1941">
        <v>99.5</v>
      </c>
      <c r="CM1941">
        <v>1911</v>
      </c>
    </row>
    <row r="1942" spans="1:91" x14ac:dyDescent="0.3">
      <c r="A1942" t="s">
        <v>2870</v>
      </c>
      <c r="B1942">
        <v>42911</v>
      </c>
      <c r="D1942">
        <v>12</v>
      </c>
      <c r="I1942">
        <v>85000</v>
      </c>
      <c r="U1942">
        <v>1</v>
      </c>
      <c r="Y1942">
        <v>1</v>
      </c>
      <c r="AA1942">
        <v>0.75</v>
      </c>
      <c r="AC1942" s="3">
        <v>0.75</v>
      </c>
      <c r="AE1942" s="3">
        <v>0.68</v>
      </c>
      <c r="AI1942">
        <v>0.75</v>
      </c>
      <c r="AK1942" s="3"/>
      <c r="AX1942" t="s">
        <v>823</v>
      </c>
      <c r="BB1942" t="s">
        <v>823</v>
      </c>
      <c r="BG1942">
        <v>5</v>
      </c>
      <c r="BH1942">
        <v>5</v>
      </c>
      <c r="BI1942">
        <v>5</v>
      </c>
      <c r="BJ1942">
        <v>5</v>
      </c>
      <c r="BK1942" s="4">
        <v>3685</v>
      </c>
      <c r="BL1942" s="4">
        <v>3866</v>
      </c>
      <c r="BM1942" s="4">
        <v>4050</v>
      </c>
      <c r="BN1942" s="4">
        <v>4231</v>
      </c>
      <c r="BR1942">
        <v>25859</v>
      </c>
      <c r="BS1942" t="s">
        <v>2871</v>
      </c>
      <c r="BT1942">
        <v>6</v>
      </c>
      <c r="BU1942">
        <v>13</v>
      </c>
      <c r="BV1942">
        <v>3</v>
      </c>
      <c r="BX1942">
        <v>0.81</v>
      </c>
      <c r="BZ1942">
        <v>0.68</v>
      </c>
      <c r="CK1942" t="s">
        <v>360</v>
      </c>
      <c r="CM1942">
        <v>1911</v>
      </c>
    </row>
    <row r="1943" spans="1:91" x14ac:dyDescent="0.3">
      <c r="A1943" t="s">
        <v>2870</v>
      </c>
      <c r="B1943">
        <v>42913</v>
      </c>
      <c r="C1943" t="s">
        <v>1531</v>
      </c>
      <c r="D1943">
        <v>12</v>
      </c>
      <c r="I1943">
        <v>85000</v>
      </c>
      <c r="U1943">
        <v>1</v>
      </c>
      <c r="Y1943">
        <v>1</v>
      </c>
      <c r="AA1943">
        <v>0.81</v>
      </c>
      <c r="AC1943" s="3">
        <v>0.81</v>
      </c>
      <c r="AE1943" s="3">
        <v>0.81</v>
      </c>
      <c r="AI1943">
        <v>0.81</v>
      </c>
      <c r="AK1943" s="3"/>
      <c r="AV1943" t="s">
        <v>506</v>
      </c>
      <c r="AX1943" t="s">
        <v>506</v>
      </c>
      <c r="AZ1943" t="s">
        <v>506</v>
      </c>
      <c r="BB1943" t="s">
        <v>506</v>
      </c>
      <c r="BO1943" t="s">
        <v>367</v>
      </c>
      <c r="BR1943">
        <v>25859</v>
      </c>
      <c r="BS1943" t="s">
        <v>2871</v>
      </c>
      <c r="BT1943">
        <v>6</v>
      </c>
      <c r="BU1943">
        <v>3</v>
      </c>
      <c r="BV1943">
        <v>0</v>
      </c>
      <c r="BX1943">
        <v>0.87</v>
      </c>
      <c r="BZ1943">
        <v>0.81</v>
      </c>
      <c r="CM1943">
        <v>1911</v>
      </c>
    </row>
    <row r="1944" spans="1:91" x14ac:dyDescent="0.3">
      <c r="A1944" t="s">
        <v>2870</v>
      </c>
      <c r="B1944">
        <v>42912</v>
      </c>
      <c r="C1944" t="s">
        <v>922</v>
      </c>
      <c r="D1944">
        <v>12</v>
      </c>
      <c r="I1944">
        <v>100000</v>
      </c>
      <c r="J1944" t="s">
        <v>800</v>
      </c>
      <c r="V1944" t="s">
        <v>350</v>
      </c>
      <c r="Y1944">
        <v>100</v>
      </c>
      <c r="AA1944">
        <v>85</v>
      </c>
      <c r="AC1944" s="3">
        <v>85</v>
      </c>
      <c r="AE1944" s="3">
        <v>85</v>
      </c>
      <c r="AI1944">
        <v>85</v>
      </c>
      <c r="AK1944" s="3"/>
      <c r="AV1944" t="s">
        <v>370</v>
      </c>
      <c r="AX1944" t="s">
        <v>370</v>
      </c>
      <c r="AZ1944" t="s">
        <v>370</v>
      </c>
      <c r="BB1944" t="s">
        <v>370</v>
      </c>
      <c r="BO1944" t="s">
        <v>367</v>
      </c>
      <c r="BR1944">
        <v>25859</v>
      </c>
      <c r="BS1944" t="s">
        <v>2871</v>
      </c>
      <c r="BT1944">
        <v>4</v>
      </c>
      <c r="BU1944">
        <v>16</v>
      </c>
      <c r="BV1944">
        <v>0</v>
      </c>
      <c r="BX1944">
        <v>89</v>
      </c>
      <c r="BZ1944">
        <v>84</v>
      </c>
      <c r="CM1944">
        <v>1911</v>
      </c>
    </row>
    <row r="1945" spans="1:91" x14ac:dyDescent="0.3">
      <c r="A1945" t="s">
        <v>2872</v>
      </c>
      <c r="B1945">
        <v>42922</v>
      </c>
      <c r="D1945">
        <v>12</v>
      </c>
      <c r="I1945">
        <v>10000</v>
      </c>
      <c r="U1945">
        <v>5</v>
      </c>
      <c r="Y1945">
        <v>3</v>
      </c>
      <c r="AA1945">
        <v>1.9</v>
      </c>
      <c r="AC1945" s="3">
        <v>1.93</v>
      </c>
      <c r="AE1945" s="3">
        <v>1.9</v>
      </c>
      <c r="AI1945">
        <v>1.93</v>
      </c>
      <c r="AK1945" s="3"/>
      <c r="AV1945" t="s">
        <v>385</v>
      </c>
      <c r="AX1945" t="s">
        <v>385</v>
      </c>
      <c r="AZ1945" t="s">
        <v>810</v>
      </c>
      <c r="BL1945" t="s">
        <v>811</v>
      </c>
      <c r="BM1945" t="s">
        <v>811</v>
      </c>
      <c r="BN1945" s="4">
        <v>3289</v>
      </c>
      <c r="BS1945" t="s">
        <v>385</v>
      </c>
      <c r="BW1945" t="s">
        <v>802</v>
      </c>
      <c r="BX1945">
        <v>1.93</v>
      </c>
      <c r="BZ1945">
        <v>1.68</v>
      </c>
      <c r="CK1945" t="s">
        <v>2828</v>
      </c>
      <c r="CM1945">
        <v>1911</v>
      </c>
    </row>
    <row r="1946" spans="1:91" x14ac:dyDescent="0.3">
      <c r="A1946" t="s">
        <v>2873</v>
      </c>
      <c r="B1946">
        <v>42926</v>
      </c>
      <c r="D1946">
        <v>12</v>
      </c>
      <c r="I1946">
        <v>25000</v>
      </c>
      <c r="U1946">
        <v>10</v>
      </c>
      <c r="Y1946">
        <v>10</v>
      </c>
      <c r="AA1946">
        <v>10.25</v>
      </c>
      <c r="AC1946" s="3">
        <v>10.25</v>
      </c>
      <c r="AE1946" s="3">
        <v>10.25</v>
      </c>
      <c r="AI1946">
        <v>10.25</v>
      </c>
      <c r="AK1946" s="3"/>
      <c r="BG1946">
        <v>5</v>
      </c>
      <c r="BH1946">
        <v>5</v>
      </c>
      <c r="BI1946">
        <v>5</v>
      </c>
      <c r="BJ1946">
        <v>5</v>
      </c>
      <c r="BK1946" s="4">
        <v>3685</v>
      </c>
      <c r="BL1946" s="4">
        <v>3866</v>
      </c>
      <c r="BM1946" s="4">
        <v>4050</v>
      </c>
      <c r="BN1946" s="4">
        <v>4231</v>
      </c>
      <c r="BR1946">
        <v>46</v>
      </c>
      <c r="BS1946" t="s">
        <v>2874</v>
      </c>
      <c r="BT1946">
        <v>4</v>
      </c>
      <c r="BU1946">
        <v>17</v>
      </c>
      <c r="BV1946">
        <v>6</v>
      </c>
      <c r="BX1946">
        <v>10.25</v>
      </c>
      <c r="BZ1946">
        <v>9.8699999999999992</v>
      </c>
      <c r="CK1946" t="s">
        <v>2875</v>
      </c>
      <c r="CM1946">
        <v>1911</v>
      </c>
    </row>
    <row r="1947" spans="1:91" x14ac:dyDescent="0.3">
      <c r="A1947" t="s">
        <v>2876</v>
      </c>
      <c r="B1947">
        <v>42930</v>
      </c>
      <c r="C1947" t="s">
        <v>2877</v>
      </c>
      <c r="D1947">
        <v>12</v>
      </c>
      <c r="I1947">
        <v>150000</v>
      </c>
      <c r="J1947" t="s">
        <v>800</v>
      </c>
      <c r="V1947" t="s">
        <v>350</v>
      </c>
      <c r="Y1947">
        <v>100</v>
      </c>
      <c r="AA1947">
        <v>93</v>
      </c>
      <c r="AB1947" t="s">
        <v>379</v>
      </c>
      <c r="AC1947" s="3">
        <v>93</v>
      </c>
      <c r="AE1947" s="3">
        <v>93</v>
      </c>
      <c r="AI1947">
        <v>93</v>
      </c>
      <c r="AK1947" s="3"/>
      <c r="BG1947">
        <v>4.25</v>
      </c>
      <c r="BH1947">
        <v>4.25</v>
      </c>
      <c r="BI1947">
        <v>4.25</v>
      </c>
      <c r="BJ1947">
        <v>4.25</v>
      </c>
      <c r="BK1947" s="4">
        <v>3623</v>
      </c>
      <c r="BL1947" s="4">
        <v>3805</v>
      </c>
      <c r="BM1947" s="4">
        <v>3988</v>
      </c>
      <c r="BN1947" s="4">
        <v>4170</v>
      </c>
      <c r="BR1947">
        <v>46</v>
      </c>
      <c r="BS1947" t="s">
        <v>2874</v>
      </c>
      <c r="BT1947">
        <v>4</v>
      </c>
      <c r="BU1947">
        <v>11</v>
      </c>
      <c r="BV1947">
        <v>9</v>
      </c>
      <c r="BX1947">
        <v>96</v>
      </c>
      <c r="BZ1947">
        <v>93</v>
      </c>
      <c r="CM1947">
        <v>1911</v>
      </c>
    </row>
    <row r="1948" spans="1:91" x14ac:dyDescent="0.3">
      <c r="A1948" t="s">
        <v>2876</v>
      </c>
      <c r="B1948">
        <v>42929</v>
      </c>
      <c r="C1948" t="s">
        <v>2878</v>
      </c>
      <c r="D1948">
        <v>12</v>
      </c>
      <c r="I1948">
        <v>140000</v>
      </c>
      <c r="J1948" t="s">
        <v>800</v>
      </c>
      <c r="V1948" t="s">
        <v>350</v>
      </c>
      <c r="Y1948">
        <v>100</v>
      </c>
      <c r="AA1948">
        <v>93</v>
      </c>
      <c r="AC1948" s="3">
        <v>93</v>
      </c>
      <c r="AE1948" s="3">
        <v>93</v>
      </c>
      <c r="AI1948">
        <v>93</v>
      </c>
      <c r="AK1948" s="3"/>
      <c r="AV1948" t="s">
        <v>373</v>
      </c>
      <c r="AX1948" t="s">
        <v>373</v>
      </c>
      <c r="AZ1948" t="s">
        <v>373</v>
      </c>
      <c r="BB1948" t="s">
        <v>373</v>
      </c>
      <c r="BO1948" t="s">
        <v>367</v>
      </c>
      <c r="BR1948">
        <v>46</v>
      </c>
      <c r="BS1948" t="s">
        <v>2874</v>
      </c>
      <c r="BT1948">
        <v>4</v>
      </c>
      <c r="BU1948">
        <v>17</v>
      </c>
      <c r="BV1948">
        <v>6</v>
      </c>
      <c r="BX1948">
        <v>96</v>
      </c>
      <c r="BZ1948">
        <v>92</v>
      </c>
      <c r="CM1948">
        <v>1911</v>
      </c>
    </row>
    <row r="1949" spans="1:91" x14ac:dyDescent="0.3">
      <c r="A1949" t="s">
        <v>2879</v>
      </c>
      <c r="B1949">
        <v>42944</v>
      </c>
      <c r="D1949">
        <v>12</v>
      </c>
      <c r="I1949">
        <v>62500</v>
      </c>
      <c r="U1949">
        <v>10</v>
      </c>
      <c r="Y1949">
        <v>5</v>
      </c>
      <c r="AA1949">
        <v>14.62</v>
      </c>
      <c r="AC1949" s="3">
        <v>14.62</v>
      </c>
      <c r="AE1949" s="3">
        <v>14.56</v>
      </c>
      <c r="AI1949">
        <v>14.56</v>
      </c>
      <c r="AK1949" s="3"/>
      <c r="AX1949" t="s">
        <v>823</v>
      </c>
      <c r="BB1949" t="s">
        <v>823</v>
      </c>
      <c r="BG1949">
        <v>16</v>
      </c>
      <c r="BH1949">
        <v>16</v>
      </c>
      <c r="BI1949">
        <v>16</v>
      </c>
      <c r="BJ1949">
        <v>16</v>
      </c>
      <c r="BK1949" s="4">
        <v>3593</v>
      </c>
      <c r="BL1949" s="4">
        <v>3774</v>
      </c>
      <c r="BM1949" s="4">
        <v>3958</v>
      </c>
      <c r="BN1949" s="4">
        <v>4139</v>
      </c>
      <c r="BR1949">
        <v>1670</v>
      </c>
      <c r="BT1949">
        <v>5</v>
      </c>
      <c r="BU1949">
        <v>10</v>
      </c>
      <c r="BV1949">
        <v>6</v>
      </c>
      <c r="BX1949">
        <v>15.62</v>
      </c>
      <c r="BZ1949">
        <v>14.5</v>
      </c>
      <c r="CK1949" t="s">
        <v>399</v>
      </c>
      <c r="CM1949">
        <v>1911</v>
      </c>
    </row>
    <row r="1950" spans="1:91" x14ac:dyDescent="0.3">
      <c r="A1950" t="s">
        <v>2880</v>
      </c>
      <c r="B1950">
        <v>42923</v>
      </c>
      <c r="D1950">
        <v>12</v>
      </c>
      <c r="I1950">
        <v>118797</v>
      </c>
      <c r="U1950">
        <v>2</v>
      </c>
      <c r="Y1950">
        <v>2</v>
      </c>
      <c r="AA1950">
        <v>1.5</v>
      </c>
      <c r="AC1950" s="3">
        <v>1.5</v>
      </c>
      <c r="AE1950" s="3">
        <v>1.5</v>
      </c>
      <c r="AI1950">
        <v>1.5</v>
      </c>
      <c r="AK1950" s="3"/>
      <c r="AV1950" t="s">
        <v>815</v>
      </c>
      <c r="AX1950" t="s">
        <v>815</v>
      </c>
      <c r="AZ1950" t="s">
        <v>815</v>
      </c>
      <c r="BB1950" t="s">
        <v>815</v>
      </c>
      <c r="BG1950">
        <v>6.87</v>
      </c>
      <c r="BH1950">
        <v>2.5</v>
      </c>
      <c r="BI1950">
        <v>4.16</v>
      </c>
      <c r="BJ1950">
        <v>3.75</v>
      </c>
      <c r="BK1950" t="s">
        <v>1224</v>
      </c>
      <c r="BL1950" s="4">
        <v>3320</v>
      </c>
      <c r="BM1950" s="4">
        <v>3685</v>
      </c>
      <c r="BN1950" s="4">
        <v>4050</v>
      </c>
      <c r="BR1950">
        <v>200658</v>
      </c>
      <c r="BS1950" t="s">
        <v>2881</v>
      </c>
      <c r="BT1950">
        <v>5</v>
      </c>
      <c r="BU1950">
        <v>0</v>
      </c>
      <c r="BV1950">
        <v>0</v>
      </c>
      <c r="BX1950">
        <v>1.75</v>
      </c>
      <c r="BZ1950">
        <v>1.5</v>
      </c>
      <c r="CK1950" t="s">
        <v>901</v>
      </c>
      <c r="CM1950">
        <v>1911</v>
      </c>
    </row>
    <row r="1951" spans="1:91" x14ac:dyDescent="0.3">
      <c r="A1951" t="s">
        <v>2880</v>
      </c>
      <c r="B1951">
        <v>42924</v>
      </c>
      <c r="C1951" t="s">
        <v>1531</v>
      </c>
      <c r="D1951">
        <v>12</v>
      </c>
      <c r="I1951">
        <v>118797</v>
      </c>
      <c r="U1951">
        <v>5</v>
      </c>
      <c r="Y1951">
        <v>5</v>
      </c>
      <c r="AA1951">
        <v>4.5</v>
      </c>
      <c r="AC1951" s="3">
        <v>4.5</v>
      </c>
      <c r="AE1951" s="3">
        <v>4.5</v>
      </c>
      <c r="AI1951">
        <v>4.5</v>
      </c>
      <c r="AK1951" s="3"/>
      <c r="AX1951" t="s">
        <v>823</v>
      </c>
      <c r="BB1951" t="s">
        <v>823</v>
      </c>
      <c r="BG1951">
        <v>5</v>
      </c>
      <c r="BH1951">
        <v>5</v>
      </c>
      <c r="BI1951">
        <v>5</v>
      </c>
      <c r="BJ1951">
        <v>5</v>
      </c>
      <c r="BK1951" s="4">
        <v>3685</v>
      </c>
      <c r="BL1951" s="4">
        <v>3866</v>
      </c>
      <c r="BM1951" s="4">
        <v>4050</v>
      </c>
      <c r="BN1951" s="4">
        <v>4231</v>
      </c>
      <c r="BR1951">
        <v>200658</v>
      </c>
      <c r="BS1951" t="s">
        <v>2881</v>
      </c>
      <c r="BT1951">
        <v>5</v>
      </c>
      <c r="BU1951">
        <v>11</v>
      </c>
      <c r="BV1951">
        <v>0</v>
      </c>
      <c r="BX1951">
        <v>4.75</v>
      </c>
      <c r="BZ1951">
        <v>4.37</v>
      </c>
      <c r="CM1951">
        <v>1911</v>
      </c>
    </row>
    <row r="1952" spans="1:91" x14ac:dyDescent="0.3">
      <c r="A1952" t="s">
        <v>2882</v>
      </c>
      <c r="B1952">
        <v>42951</v>
      </c>
      <c r="D1952">
        <v>12</v>
      </c>
      <c r="I1952">
        <v>57031</v>
      </c>
      <c r="U1952">
        <v>10</v>
      </c>
      <c r="Y1952">
        <v>10</v>
      </c>
      <c r="AA1952">
        <v>8.6199999999999992</v>
      </c>
      <c r="AC1952" s="3">
        <v>6.62</v>
      </c>
      <c r="AE1952" s="3">
        <v>8.5</v>
      </c>
      <c r="AI1952">
        <v>8.5</v>
      </c>
      <c r="AK1952" s="3"/>
      <c r="AX1952" t="s">
        <v>823</v>
      </c>
      <c r="BB1952" t="s">
        <v>823</v>
      </c>
      <c r="BG1952">
        <v>5</v>
      </c>
      <c r="BH1952">
        <v>4</v>
      </c>
      <c r="BI1952">
        <v>6</v>
      </c>
      <c r="BJ1952">
        <v>4</v>
      </c>
      <c r="BK1952" s="4">
        <v>3713</v>
      </c>
      <c r="BL1952" s="4">
        <v>3897</v>
      </c>
      <c r="BM1952" s="4">
        <v>4078</v>
      </c>
      <c r="BN1952" s="4">
        <v>4262</v>
      </c>
      <c r="BR1952">
        <v>152618</v>
      </c>
      <c r="BS1952" t="s">
        <v>2883</v>
      </c>
      <c r="BT1952">
        <v>5</v>
      </c>
      <c r="BU1952">
        <v>17</v>
      </c>
      <c r="BV1952">
        <v>9</v>
      </c>
      <c r="BX1952">
        <v>10.25</v>
      </c>
      <c r="BZ1952">
        <v>8.5</v>
      </c>
      <c r="CK1952" t="s">
        <v>2884</v>
      </c>
      <c r="CM1952">
        <v>1911</v>
      </c>
    </row>
    <row r="1953" spans="1:91" x14ac:dyDescent="0.3">
      <c r="A1953" t="s">
        <v>2882</v>
      </c>
      <c r="B1953">
        <v>42950</v>
      </c>
      <c r="C1953" t="s">
        <v>817</v>
      </c>
      <c r="D1953">
        <v>12</v>
      </c>
      <c r="I1953">
        <v>40339</v>
      </c>
      <c r="U1953">
        <v>10</v>
      </c>
      <c r="Y1953">
        <v>10</v>
      </c>
      <c r="AA1953">
        <v>9.25</v>
      </c>
      <c r="AC1953" s="3">
        <v>9.25</v>
      </c>
      <c r="AE1953" s="3">
        <v>9.25</v>
      </c>
      <c r="AI1953">
        <v>9.25</v>
      </c>
      <c r="AK1953" s="3"/>
      <c r="AV1953" t="s">
        <v>373</v>
      </c>
      <c r="AX1953" t="s">
        <v>373</v>
      </c>
      <c r="AZ1953" t="s">
        <v>373</v>
      </c>
      <c r="BB1953" t="s">
        <v>373</v>
      </c>
      <c r="BO1953" t="s">
        <v>367</v>
      </c>
      <c r="BR1953">
        <v>152618</v>
      </c>
      <c r="BS1953" t="s">
        <v>2883</v>
      </c>
      <c r="BT1953">
        <v>5</v>
      </c>
      <c r="BU1953">
        <v>8</v>
      </c>
      <c r="BV1953">
        <v>0</v>
      </c>
      <c r="BX1953">
        <v>10.25</v>
      </c>
      <c r="BZ1953">
        <v>9</v>
      </c>
      <c r="CM1953">
        <v>1911</v>
      </c>
    </row>
    <row r="1954" spans="1:91" x14ac:dyDescent="0.3">
      <c r="A1954" t="s">
        <v>2885</v>
      </c>
      <c r="B1954">
        <v>42905</v>
      </c>
      <c r="D1954">
        <v>12</v>
      </c>
      <c r="I1954">
        <v>250000</v>
      </c>
      <c r="J1954" t="s">
        <v>800</v>
      </c>
      <c r="V1954" t="s">
        <v>350</v>
      </c>
      <c r="Y1954">
        <v>100</v>
      </c>
      <c r="AA1954">
        <v>73</v>
      </c>
      <c r="AC1954" s="3">
        <v>73</v>
      </c>
      <c r="AE1954" s="3">
        <v>73</v>
      </c>
      <c r="AI1954">
        <v>73</v>
      </c>
      <c r="AK1954" s="3"/>
      <c r="BB1954" t="s">
        <v>810</v>
      </c>
      <c r="BG1954">
        <v>3</v>
      </c>
      <c r="BH1954">
        <v>3</v>
      </c>
      <c r="BI1954">
        <v>3</v>
      </c>
      <c r="BK1954" s="4">
        <v>2374</v>
      </c>
      <c r="BL1954" s="4">
        <v>2954</v>
      </c>
      <c r="BM1954" s="4">
        <v>3167</v>
      </c>
      <c r="BS1954" t="s">
        <v>385</v>
      </c>
      <c r="BW1954" t="s">
        <v>802</v>
      </c>
      <c r="BX1954">
        <v>74</v>
      </c>
      <c r="BZ1954">
        <v>57</v>
      </c>
      <c r="CK1954" t="s">
        <v>360</v>
      </c>
      <c r="CM1954">
        <v>1911</v>
      </c>
    </row>
    <row r="1955" spans="1:91" x14ac:dyDescent="0.3">
      <c r="A1955" t="s">
        <v>2886</v>
      </c>
      <c r="B1955">
        <v>43010</v>
      </c>
      <c r="D1955">
        <v>12</v>
      </c>
      <c r="I1955">
        <v>453000</v>
      </c>
      <c r="J1955" t="s">
        <v>800</v>
      </c>
      <c r="V1955" t="s">
        <v>350</v>
      </c>
      <c r="Y1955">
        <v>100</v>
      </c>
      <c r="AA1955">
        <v>78</v>
      </c>
      <c r="AC1955" s="3">
        <v>80</v>
      </c>
      <c r="AE1955" s="3">
        <v>77</v>
      </c>
      <c r="AI1955">
        <v>80</v>
      </c>
      <c r="AK1955" s="3"/>
      <c r="BG1955">
        <v>4.25</v>
      </c>
      <c r="BH1955">
        <v>4.25</v>
      </c>
      <c r="BI1955">
        <v>4.25</v>
      </c>
      <c r="BJ1955">
        <v>4.25</v>
      </c>
      <c r="BK1955" s="4">
        <v>3774</v>
      </c>
      <c r="BL1955" s="4">
        <v>3958</v>
      </c>
      <c r="BM1955" s="4">
        <v>4139</v>
      </c>
      <c r="BN1955" s="4">
        <v>4323</v>
      </c>
      <c r="BR1955">
        <v>32631</v>
      </c>
      <c r="BT1955">
        <v>5</v>
      </c>
      <c r="BU1955">
        <v>7</v>
      </c>
      <c r="BV1955">
        <v>6</v>
      </c>
      <c r="BX1955">
        <v>81</v>
      </c>
      <c r="BZ1955">
        <v>74.87</v>
      </c>
      <c r="CK1955" t="s">
        <v>360</v>
      </c>
      <c r="CM1955">
        <v>1911</v>
      </c>
    </row>
    <row r="1956" spans="1:91" x14ac:dyDescent="0.3">
      <c r="A1956" t="s">
        <v>2887</v>
      </c>
      <c r="B1956">
        <v>43028</v>
      </c>
      <c r="D1956">
        <v>12</v>
      </c>
      <c r="I1956">
        <v>154000</v>
      </c>
      <c r="U1956">
        <v>20</v>
      </c>
      <c r="Y1956">
        <v>5</v>
      </c>
      <c r="AA1956">
        <v>6</v>
      </c>
      <c r="AB1956" t="s">
        <v>379</v>
      </c>
      <c r="AC1956" s="3">
        <v>6</v>
      </c>
      <c r="AE1956" s="3">
        <v>5.81</v>
      </c>
      <c r="AI1956">
        <v>6</v>
      </c>
      <c r="AK1956" s="3"/>
      <c r="AV1956" t="s">
        <v>823</v>
      </c>
      <c r="AZ1956" t="s">
        <v>823</v>
      </c>
      <c r="BG1956">
        <v>6</v>
      </c>
      <c r="BH1956">
        <v>10</v>
      </c>
      <c r="BI1956">
        <v>8</v>
      </c>
      <c r="BJ1956">
        <v>8</v>
      </c>
      <c r="BK1956" s="4">
        <v>3774</v>
      </c>
      <c r="BL1956" s="4">
        <v>3958</v>
      </c>
      <c r="BM1956" s="4">
        <v>4139</v>
      </c>
      <c r="BN1956" s="4">
        <v>4323</v>
      </c>
      <c r="BR1956">
        <v>521717</v>
      </c>
      <c r="BS1956" t="s">
        <v>2888</v>
      </c>
      <c r="BT1956">
        <v>6</v>
      </c>
      <c r="BU1956">
        <v>13</v>
      </c>
      <c r="BV1956">
        <v>3</v>
      </c>
      <c r="BX1956">
        <v>6.5</v>
      </c>
      <c r="BZ1956">
        <v>5.78</v>
      </c>
      <c r="CK1956" t="s">
        <v>558</v>
      </c>
      <c r="CM1956">
        <v>1911</v>
      </c>
    </row>
    <row r="1957" spans="1:91" x14ac:dyDescent="0.3">
      <c r="A1957" t="s">
        <v>2887</v>
      </c>
      <c r="B1957">
        <v>43033</v>
      </c>
      <c r="C1957" t="s">
        <v>2142</v>
      </c>
      <c r="D1957">
        <v>12</v>
      </c>
      <c r="I1957">
        <v>50000</v>
      </c>
      <c r="U1957">
        <v>10</v>
      </c>
      <c r="Y1957">
        <v>10</v>
      </c>
      <c r="AA1957">
        <v>10.87</v>
      </c>
      <c r="AC1957" s="3">
        <v>11</v>
      </c>
      <c r="AE1957" s="3">
        <v>10.87</v>
      </c>
      <c r="AI1957">
        <v>10.87</v>
      </c>
      <c r="AK1957" s="3"/>
      <c r="AV1957" t="s">
        <v>506</v>
      </c>
      <c r="AX1957" t="s">
        <v>506</v>
      </c>
      <c r="AZ1957" t="s">
        <v>506</v>
      </c>
      <c r="BB1957" t="s">
        <v>506</v>
      </c>
      <c r="BO1957" t="s">
        <v>367</v>
      </c>
      <c r="BR1957">
        <v>521717</v>
      </c>
      <c r="BS1957" t="s">
        <v>2888</v>
      </c>
      <c r="BT1957">
        <v>4</v>
      </c>
      <c r="BU1957">
        <v>12</v>
      </c>
      <c r="BV1957">
        <v>0</v>
      </c>
      <c r="BX1957">
        <v>11.06</v>
      </c>
      <c r="BZ1957">
        <v>10.56</v>
      </c>
      <c r="CM1957">
        <v>1911</v>
      </c>
    </row>
    <row r="1958" spans="1:91" x14ac:dyDescent="0.3">
      <c r="A1958" t="s">
        <v>2887</v>
      </c>
      <c r="B1958">
        <v>43029</v>
      </c>
      <c r="C1958" t="s">
        <v>1980</v>
      </c>
      <c r="D1958">
        <v>12</v>
      </c>
      <c r="I1958">
        <v>519459</v>
      </c>
      <c r="J1958" t="s">
        <v>800</v>
      </c>
      <c r="V1958" t="s">
        <v>350</v>
      </c>
      <c r="Y1958">
        <v>100</v>
      </c>
      <c r="AA1958">
        <v>106</v>
      </c>
      <c r="AC1958" s="3">
        <v>106</v>
      </c>
      <c r="AE1958" s="3">
        <v>104</v>
      </c>
      <c r="AI1958">
        <v>104</v>
      </c>
      <c r="AJ1958" t="s">
        <v>379</v>
      </c>
      <c r="AK1958" s="3"/>
      <c r="AV1958" t="s">
        <v>370</v>
      </c>
      <c r="AX1958" t="s">
        <v>370</v>
      </c>
      <c r="AZ1958" t="s">
        <v>370</v>
      </c>
      <c r="BB1958" t="s">
        <v>370</v>
      </c>
      <c r="BO1958" t="s">
        <v>367</v>
      </c>
      <c r="BR1958">
        <v>521717</v>
      </c>
      <c r="BS1958" t="s">
        <v>2888</v>
      </c>
      <c r="BT1958">
        <v>4</v>
      </c>
      <c r="BU1958">
        <v>6</v>
      </c>
      <c r="BV1958">
        <v>6</v>
      </c>
      <c r="BX1958">
        <v>108</v>
      </c>
      <c r="BZ1958">
        <v>104</v>
      </c>
      <c r="CM1958">
        <v>1911</v>
      </c>
    </row>
    <row r="1959" spans="1:91" x14ac:dyDescent="0.3">
      <c r="A1959" t="s">
        <v>2887</v>
      </c>
      <c r="B1959">
        <v>43030</v>
      </c>
      <c r="C1959" t="s">
        <v>2664</v>
      </c>
      <c r="D1959">
        <v>12</v>
      </c>
      <c r="I1959" s="2">
        <v>1780000</v>
      </c>
      <c r="J1959" t="s">
        <v>800</v>
      </c>
      <c r="U1959">
        <v>100</v>
      </c>
      <c r="Y1959">
        <v>100</v>
      </c>
      <c r="AA1959">
        <v>100</v>
      </c>
      <c r="AC1959" s="3">
        <v>101</v>
      </c>
      <c r="AE1959" s="3">
        <v>100</v>
      </c>
      <c r="AI1959">
        <v>101</v>
      </c>
      <c r="AK1959" s="3"/>
      <c r="AV1959" t="s">
        <v>366</v>
      </c>
      <c r="AX1959" t="s">
        <v>366</v>
      </c>
      <c r="AZ1959" t="s">
        <v>366</v>
      </c>
      <c r="BB1959" t="s">
        <v>366</v>
      </c>
      <c r="BO1959" t="s">
        <v>367</v>
      </c>
      <c r="BR1959">
        <v>521717</v>
      </c>
      <c r="BS1959" t="s">
        <v>2888</v>
      </c>
      <c r="BT1959">
        <v>4</v>
      </c>
      <c r="BU1959">
        <v>0</v>
      </c>
      <c r="BV1959">
        <v>0</v>
      </c>
      <c r="BX1959">
        <v>102.87</v>
      </c>
      <c r="BZ1959">
        <v>99</v>
      </c>
      <c r="CM1959">
        <v>1911</v>
      </c>
    </row>
    <row r="1960" spans="1:91" x14ac:dyDescent="0.3">
      <c r="A1960" t="s">
        <v>2889</v>
      </c>
      <c r="B1960">
        <v>43062</v>
      </c>
      <c r="D1960">
        <v>12</v>
      </c>
      <c r="I1960">
        <v>275000</v>
      </c>
      <c r="U1960">
        <v>1</v>
      </c>
      <c r="Y1960">
        <v>1</v>
      </c>
      <c r="AA1960">
        <v>0.93</v>
      </c>
      <c r="AC1960" s="3">
        <v>0.96</v>
      </c>
      <c r="AE1960" s="3">
        <v>0.87</v>
      </c>
      <c r="AI1960">
        <v>0.93</v>
      </c>
      <c r="AK1960" s="3"/>
      <c r="AV1960" t="s">
        <v>823</v>
      </c>
      <c r="AZ1960" t="s">
        <v>823</v>
      </c>
      <c r="BG1960">
        <v>7.5</v>
      </c>
      <c r="BH1960">
        <v>10</v>
      </c>
      <c r="BI1960">
        <v>7.5</v>
      </c>
      <c r="BJ1960">
        <v>10</v>
      </c>
      <c r="BK1960" s="4">
        <v>3805</v>
      </c>
      <c r="BL1960" s="4">
        <v>3988</v>
      </c>
      <c r="BM1960" s="4">
        <v>4170</v>
      </c>
      <c r="BN1960" s="4">
        <v>4353</v>
      </c>
      <c r="BR1960">
        <v>163750</v>
      </c>
      <c r="BS1960" t="s">
        <v>2890</v>
      </c>
      <c r="BT1960">
        <v>9</v>
      </c>
      <c r="BU1960">
        <v>6</v>
      </c>
      <c r="BV1960">
        <v>9</v>
      </c>
      <c r="BX1960">
        <v>1.1200000000000001</v>
      </c>
      <c r="BZ1960">
        <v>0.84</v>
      </c>
      <c r="CK1960" t="s">
        <v>360</v>
      </c>
      <c r="CM1960">
        <v>1911</v>
      </c>
    </row>
    <row r="1961" spans="1:91" x14ac:dyDescent="0.3">
      <c r="A1961" t="s">
        <v>2889</v>
      </c>
      <c r="B1961">
        <v>43063</v>
      </c>
      <c r="C1961" t="s">
        <v>2891</v>
      </c>
      <c r="D1961">
        <v>12</v>
      </c>
      <c r="I1961">
        <v>375000</v>
      </c>
      <c r="U1961">
        <v>1</v>
      </c>
      <c r="Y1961">
        <v>1</v>
      </c>
      <c r="AA1961">
        <v>0.93</v>
      </c>
      <c r="AC1961" s="3">
        <v>0.93</v>
      </c>
      <c r="AE1961" s="3">
        <v>0.87</v>
      </c>
      <c r="AI1961">
        <v>0.93</v>
      </c>
      <c r="AK1961" s="3"/>
      <c r="BG1961">
        <v>7</v>
      </c>
      <c r="BH1961">
        <v>7</v>
      </c>
      <c r="BI1961">
        <v>7</v>
      </c>
      <c r="BJ1961">
        <v>7</v>
      </c>
      <c r="BK1961" s="4">
        <v>3744</v>
      </c>
      <c r="BL1961" s="4">
        <v>3927</v>
      </c>
      <c r="BM1961" s="4">
        <v>4109</v>
      </c>
      <c r="BN1961" s="4">
        <v>4292</v>
      </c>
      <c r="BR1961">
        <v>163750</v>
      </c>
      <c r="BS1961" t="s">
        <v>2890</v>
      </c>
      <c r="BT1961">
        <v>7</v>
      </c>
      <c r="BU1961">
        <v>9</v>
      </c>
      <c r="BV1961">
        <v>3</v>
      </c>
      <c r="BX1961">
        <v>1</v>
      </c>
      <c r="BZ1961">
        <v>0.87</v>
      </c>
      <c r="CM1961">
        <v>1911</v>
      </c>
    </row>
    <row r="1962" spans="1:91" x14ac:dyDescent="0.3">
      <c r="A1962" t="s">
        <v>2892</v>
      </c>
      <c r="B1962">
        <v>43075</v>
      </c>
      <c r="D1962">
        <v>12</v>
      </c>
      <c r="I1962">
        <v>152000</v>
      </c>
      <c r="U1962">
        <v>1</v>
      </c>
      <c r="Y1962">
        <v>1</v>
      </c>
      <c r="AA1962">
        <v>0.28000000000000003</v>
      </c>
      <c r="AC1962" s="3">
        <v>0.31</v>
      </c>
      <c r="AE1962" s="3">
        <v>0.25</v>
      </c>
      <c r="AI1962">
        <v>0.28000000000000003</v>
      </c>
      <c r="AK1962" s="3"/>
      <c r="AX1962" t="s">
        <v>969</v>
      </c>
      <c r="BB1962" t="s">
        <v>810</v>
      </c>
      <c r="BG1962">
        <v>4</v>
      </c>
      <c r="BI1962">
        <v>2.5</v>
      </c>
      <c r="BK1962" s="4">
        <v>2617</v>
      </c>
      <c r="BL1962" t="s">
        <v>811</v>
      </c>
      <c r="BM1962" s="4">
        <v>3713</v>
      </c>
      <c r="BR1962">
        <v>7811</v>
      </c>
      <c r="BW1962" t="s">
        <v>802</v>
      </c>
      <c r="BX1962">
        <v>0.31</v>
      </c>
      <c r="BZ1962">
        <v>0.21</v>
      </c>
      <c r="CK1962" t="s">
        <v>360</v>
      </c>
      <c r="CM1962">
        <v>1911</v>
      </c>
    </row>
    <row r="1963" spans="1:91" x14ac:dyDescent="0.3">
      <c r="A1963" t="s">
        <v>2893</v>
      </c>
      <c r="B1963">
        <v>43104</v>
      </c>
      <c r="D1963">
        <v>12</v>
      </c>
      <c r="I1963">
        <v>25000</v>
      </c>
      <c r="U1963">
        <v>10</v>
      </c>
      <c r="Y1963">
        <v>10</v>
      </c>
      <c r="AA1963">
        <v>9.8699999999999992</v>
      </c>
      <c r="AC1963" s="3">
        <v>9.8699999999999992</v>
      </c>
      <c r="AE1963" s="3">
        <v>9.8699999999999992</v>
      </c>
      <c r="AI1963">
        <v>9.8699999999999992</v>
      </c>
      <c r="AK1963" s="3"/>
      <c r="AV1963" t="s">
        <v>370</v>
      </c>
      <c r="AX1963" t="s">
        <v>370</v>
      </c>
      <c r="AZ1963" t="s">
        <v>370</v>
      </c>
      <c r="BB1963" t="s">
        <v>370</v>
      </c>
      <c r="BO1963" t="s">
        <v>367</v>
      </c>
      <c r="BS1963" t="s">
        <v>385</v>
      </c>
      <c r="BT1963">
        <v>5</v>
      </c>
      <c r="BU1963">
        <v>1</v>
      </c>
      <c r="BV1963">
        <v>3</v>
      </c>
      <c r="BX1963">
        <v>10.06</v>
      </c>
      <c r="BZ1963">
        <v>9.3699999999999992</v>
      </c>
      <c r="CM1963">
        <v>1911</v>
      </c>
    </row>
    <row r="1964" spans="1:91" x14ac:dyDescent="0.3">
      <c r="A1964" t="s">
        <v>2894</v>
      </c>
      <c r="B1964">
        <v>43095</v>
      </c>
      <c r="D1964">
        <v>12</v>
      </c>
      <c r="I1964">
        <v>100000</v>
      </c>
      <c r="U1964">
        <v>1</v>
      </c>
      <c r="Y1964">
        <v>1</v>
      </c>
      <c r="AA1964">
        <v>0.46</v>
      </c>
      <c r="AC1964" s="3">
        <v>0.46</v>
      </c>
      <c r="AE1964" s="3">
        <v>0.46</v>
      </c>
      <c r="AI1964">
        <v>0.46</v>
      </c>
      <c r="AK1964" s="3"/>
      <c r="AV1964" t="s">
        <v>802</v>
      </c>
      <c r="AX1964" t="s">
        <v>823</v>
      </c>
      <c r="BB1964" t="s">
        <v>823</v>
      </c>
      <c r="BH1964">
        <v>3</v>
      </c>
      <c r="BI1964">
        <v>3</v>
      </c>
      <c r="BJ1964">
        <v>3</v>
      </c>
      <c r="BK1964" s="4">
        <v>3685</v>
      </c>
      <c r="BL1964" s="4">
        <v>3835</v>
      </c>
      <c r="BM1964" s="4">
        <v>4050</v>
      </c>
      <c r="BN1964" s="4">
        <v>4200</v>
      </c>
      <c r="BR1964">
        <v>16255</v>
      </c>
      <c r="BS1964" t="s">
        <v>2895</v>
      </c>
      <c r="BT1964">
        <v>6</v>
      </c>
      <c r="BU1964">
        <v>8</v>
      </c>
      <c r="BV1964">
        <v>6</v>
      </c>
      <c r="BX1964">
        <v>0.53</v>
      </c>
      <c r="BZ1964">
        <v>0.37</v>
      </c>
      <c r="CK1964" t="s">
        <v>360</v>
      </c>
      <c r="CM1964">
        <v>1911</v>
      </c>
    </row>
    <row r="1965" spans="1:91" x14ac:dyDescent="0.3">
      <c r="A1965" t="s">
        <v>2894</v>
      </c>
      <c r="B1965">
        <v>43097</v>
      </c>
      <c r="C1965" t="s">
        <v>817</v>
      </c>
      <c r="D1965">
        <v>12</v>
      </c>
      <c r="I1965">
        <v>145000</v>
      </c>
      <c r="U1965">
        <v>1</v>
      </c>
      <c r="Y1965">
        <v>1</v>
      </c>
      <c r="AA1965">
        <v>0.65</v>
      </c>
      <c r="AC1965" s="3">
        <v>0.65</v>
      </c>
      <c r="AE1965" s="3">
        <v>0.62</v>
      </c>
      <c r="AI1965">
        <v>0.62</v>
      </c>
      <c r="AJ1965" t="s">
        <v>379</v>
      </c>
      <c r="AK1965" s="3"/>
      <c r="BG1965">
        <v>5</v>
      </c>
      <c r="BH1965">
        <v>5</v>
      </c>
      <c r="BI1965">
        <v>5</v>
      </c>
      <c r="BJ1965">
        <v>5</v>
      </c>
      <c r="BK1965" s="4">
        <v>3654</v>
      </c>
      <c r="BL1965" s="4">
        <v>3835</v>
      </c>
      <c r="BM1965" s="4">
        <v>4019</v>
      </c>
      <c r="BN1965" s="4">
        <v>4200</v>
      </c>
      <c r="BR1965">
        <v>16255</v>
      </c>
      <c r="BS1965" t="s">
        <v>2895</v>
      </c>
      <c r="BT1965">
        <v>8</v>
      </c>
      <c r="BU1965">
        <v>0</v>
      </c>
      <c r="BV1965">
        <v>0</v>
      </c>
      <c r="BX1965">
        <v>0.65</v>
      </c>
      <c r="BZ1965">
        <v>0.59</v>
      </c>
      <c r="CM1965">
        <v>1911</v>
      </c>
    </row>
    <row r="1966" spans="1:91" x14ac:dyDescent="0.3">
      <c r="A1966" t="s">
        <v>2894</v>
      </c>
      <c r="B1966">
        <v>43096</v>
      </c>
      <c r="C1966" t="s">
        <v>1441</v>
      </c>
      <c r="D1966">
        <v>12</v>
      </c>
      <c r="I1966">
        <v>150000</v>
      </c>
      <c r="J1966" t="s">
        <v>800</v>
      </c>
      <c r="V1966" t="s">
        <v>350</v>
      </c>
      <c r="Y1966">
        <v>100</v>
      </c>
      <c r="AA1966">
        <v>91.5</v>
      </c>
      <c r="AC1966" s="3">
        <v>91.5</v>
      </c>
      <c r="AE1966" s="3">
        <v>90.5</v>
      </c>
      <c r="AI1966">
        <v>90.5</v>
      </c>
      <c r="AJ1966" t="s">
        <v>379</v>
      </c>
      <c r="AK1966" s="3"/>
      <c r="AV1966" t="s">
        <v>370</v>
      </c>
      <c r="AX1966" t="s">
        <v>370</v>
      </c>
      <c r="AZ1966" t="s">
        <v>370</v>
      </c>
      <c r="BB1966" t="s">
        <v>370</v>
      </c>
      <c r="BO1966" t="s">
        <v>367</v>
      </c>
      <c r="BR1966">
        <v>16255</v>
      </c>
      <c r="BS1966" t="s">
        <v>2895</v>
      </c>
      <c r="BT1966">
        <v>4</v>
      </c>
      <c r="BU1966">
        <v>8</v>
      </c>
      <c r="BV1966">
        <v>6</v>
      </c>
      <c r="BX1966">
        <v>93.5</v>
      </c>
      <c r="BZ1966">
        <v>90.5</v>
      </c>
      <c r="CM1966">
        <v>1911</v>
      </c>
    </row>
    <row r="1967" spans="1:91" x14ac:dyDescent="0.3">
      <c r="A1967" t="s">
        <v>2896</v>
      </c>
      <c r="B1967">
        <v>43159</v>
      </c>
      <c r="D1967">
        <v>12</v>
      </c>
      <c r="I1967">
        <v>20000</v>
      </c>
      <c r="U1967">
        <v>7</v>
      </c>
      <c r="Y1967">
        <v>7</v>
      </c>
      <c r="AA1967">
        <v>2</v>
      </c>
      <c r="AC1967" s="3">
        <v>2.0299999999999998</v>
      </c>
      <c r="AE1967" s="3">
        <v>2</v>
      </c>
      <c r="AI1967">
        <v>2</v>
      </c>
      <c r="AK1967" s="3"/>
      <c r="AV1967" t="s">
        <v>969</v>
      </c>
      <c r="AX1967" t="s">
        <v>815</v>
      </c>
      <c r="AZ1967" t="s">
        <v>815</v>
      </c>
      <c r="BB1967" t="s">
        <v>802</v>
      </c>
      <c r="BH1967">
        <v>1.5</v>
      </c>
      <c r="BI1967">
        <v>1.5</v>
      </c>
      <c r="BL1967" s="4">
        <v>3685</v>
      </c>
      <c r="BM1967" s="4">
        <v>3835</v>
      </c>
      <c r="BN1967" s="4">
        <v>4050</v>
      </c>
      <c r="BR1967">
        <v>13066</v>
      </c>
      <c r="BT1967">
        <v>5</v>
      </c>
      <c r="BU1967">
        <v>5</v>
      </c>
      <c r="BV1967">
        <v>0</v>
      </c>
      <c r="BX1967">
        <v>2.75</v>
      </c>
      <c r="BZ1967">
        <v>1.87</v>
      </c>
      <c r="CK1967" t="s">
        <v>360</v>
      </c>
      <c r="CL1967" t="s">
        <v>457</v>
      </c>
      <c r="CM1967">
        <v>1911</v>
      </c>
    </row>
    <row r="1968" spans="1:91" x14ac:dyDescent="0.3">
      <c r="A1968" t="s">
        <v>2897</v>
      </c>
      <c r="B1968">
        <v>43170</v>
      </c>
      <c r="D1968">
        <v>12</v>
      </c>
      <c r="I1968">
        <v>30000</v>
      </c>
      <c r="U1968">
        <v>10</v>
      </c>
      <c r="Y1968">
        <v>10</v>
      </c>
      <c r="AA1968">
        <v>9</v>
      </c>
      <c r="AC1968" s="3">
        <v>9</v>
      </c>
      <c r="AE1968" s="3">
        <v>8.75</v>
      </c>
      <c r="AI1968">
        <v>8.75</v>
      </c>
      <c r="AK1968" s="3"/>
      <c r="BG1968">
        <v>4.5</v>
      </c>
      <c r="BH1968">
        <v>4.5</v>
      </c>
      <c r="BI1968">
        <v>4.5</v>
      </c>
      <c r="BJ1968">
        <v>4.5</v>
      </c>
      <c r="BK1968" s="4">
        <v>3685</v>
      </c>
      <c r="BL1968" s="4">
        <v>3866</v>
      </c>
      <c r="BM1968" s="4">
        <v>4050</v>
      </c>
      <c r="BN1968" s="4">
        <v>4231</v>
      </c>
      <c r="BS1968" t="s">
        <v>385</v>
      </c>
      <c r="BT1968">
        <v>5</v>
      </c>
      <c r="BU1968">
        <v>2</v>
      </c>
      <c r="BV1968">
        <v>9</v>
      </c>
      <c r="BX1968">
        <v>9.75</v>
      </c>
      <c r="BZ1968">
        <v>8.75</v>
      </c>
      <c r="CK1968" t="s">
        <v>399</v>
      </c>
      <c r="CM1968">
        <v>1911</v>
      </c>
    </row>
    <row r="1969" spans="1:91" x14ac:dyDescent="0.3">
      <c r="A1969" t="s">
        <v>2898</v>
      </c>
      <c r="B1969">
        <v>43178</v>
      </c>
      <c r="D1969">
        <v>12</v>
      </c>
      <c r="I1969">
        <v>260000</v>
      </c>
      <c r="U1969">
        <v>1</v>
      </c>
      <c r="Y1969">
        <v>1</v>
      </c>
      <c r="AA1969">
        <v>0.81</v>
      </c>
      <c r="AC1969" s="3">
        <v>0.81</v>
      </c>
      <c r="AE1969" s="3">
        <v>0.81</v>
      </c>
      <c r="AI1969">
        <v>0.81</v>
      </c>
      <c r="AK1969" s="3"/>
      <c r="AV1969" t="s">
        <v>815</v>
      </c>
      <c r="AX1969" t="s">
        <v>815</v>
      </c>
      <c r="AZ1969" t="s">
        <v>815</v>
      </c>
      <c r="BB1969" t="s">
        <v>815</v>
      </c>
      <c r="BG1969">
        <v>10</v>
      </c>
      <c r="BH1969">
        <v>6</v>
      </c>
      <c r="BI1969">
        <v>5</v>
      </c>
      <c r="BJ1969">
        <v>5</v>
      </c>
      <c r="BK1969" t="s">
        <v>1729</v>
      </c>
      <c r="BL1969" t="s">
        <v>1260</v>
      </c>
      <c r="BM1969" t="s">
        <v>1261</v>
      </c>
      <c r="BN1969" t="s">
        <v>1262</v>
      </c>
      <c r="BR1969">
        <v>252892</v>
      </c>
      <c r="BS1969" t="s">
        <v>2899</v>
      </c>
      <c r="BT1969">
        <v>6</v>
      </c>
      <c r="BU1969">
        <v>3</v>
      </c>
      <c r="BV1969">
        <v>0</v>
      </c>
      <c r="BX1969">
        <v>1.06</v>
      </c>
      <c r="BZ1969">
        <v>0.81</v>
      </c>
      <c r="CK1969" t="s">
        <v>360</v>
      </c>
      <c r="CM1969">
        <v>1911</v>
      </c>
    </row>
    <row r="1970" spans="1:91" x14ac:dyDescent="0.3">
      <c r="A1970" t="s">
        <v>2898</v>
      </c>
      <c r="B1970">
        <v>43180</v>
      </c>
      <c r="C1970" t="s">
        <v>844</v>
      </c>
      <c r="D1970">
        <v>12</v>
      </c>
      <c r="I1970">
        <v>305000</v>
      </c>
      <c r="U1970">
        <v>1</v>
      </c>
      <c r="Y1970">
        <v>1</v>
      </c>
      <c r="AA1970">
        <v>1</v>
      </c>
      <c r="AC1970" s="3">
        <v>1</v>
      </c>
      <c r="AE1970" s="3">
        <v>0.93</v>
      </c>
      <c r="AI1970">
        <v>1</v>
      </c>
      <c r="AK1970" s="3"/>
      <c r="AV1970" t="s">
        <v>815</v>
      </c>
      <c r="AX1970" t="s">
        <v>815</v>
      </c>
      <c r="AZ1970" t="s">
        <v>815</v>
      </c>
      <c r="BB1970" t="s">
        <v>815</v>
      </c>
      <c r="BG1970">
        <v>6</v>
      </c>
      <c r="BH1970">
        <v>6</v>
      </c>
      <c r="BI1970">
        <v>6</v>
      </c>
      <c r="BJ1970">
        <v>6</v>
      </c>
      <c r="BK1970" t="s">
        <v>1729</v>
      </c>
      <c r="BL1970" t="s">
        <v>1260</v>
      </c>
      <c r="BM1970" t="s">
        <v>1261</v>
      </c>
      <c r="BN1970" t="s">
        <v>1262</v>
      </c>
      <c r="BR1970">
        <v>252892</v>
      </c>
      <c r="BS1970" t="s">
        <v>2899</v>
      </c>
      <c r="BT1970">
        <v>6</v>
      </c>
      <c r="BU1970">
        <v>0</v>
      </c>
      <c r="BV1970">
        <v>0</v>
      </c>
      <c r="BX1970">
        <v>1.0900000000000001</v>
      </c>
      <c r="BZ1970">
        <v>0.93</v>
      </c>
      <c r="CM1970">
        <v>1911</v>
      </c>
    </row>
    <row r="1971" spans="1:91" x14ac:dyDescent="0.3">
      <c r="A1971" t="s">
        <v>2898</v>
      </c>
      <c r="B1971">
        <v>43179</v>
      </c>
      <c r="C1971" t="s">
        <v>805</v>
      </c>
      <c r="D1971">
        <v>12</v>
      </c>
      <c r="I1971">
        <v>252630</v>
      </c>
      <c r="J1971" t="s">
        <v>800</v>
      </c>
      <c r="V1971" t="s">
        <v>350</v>
      </c>
      <c r="Y1971">
        <v>100</v>
      </c>
      <c r="AA1971">
        <v>96.5</v>
      </c>
      <c r="AC1971" s="3">
        <v>96.5</v>
      </c>
      <c r="AE1971" s="3">
        <v>94</v>
      </c>
      <c r="AI1971">
        <v>94</v>
      </c>
      <c r="AJ1971" t="s">
        <v>379</v>
      </c>
      <c r="AK1971" s="3"/>
      <c r="AV1971" t="s">
        <v>370</v>
      </c>
      <c r="AX1971" t="s">
        <v>370</v>
      </c>
      <c r="AZ1971" t="s">
        <v>370</v>
      </c>
      <c r="BB1971" t="s">
        <v>370</v>
      </c>
      <c r="BO1971" t="s">
        <v>367</v>
      </c>
      <c r="BR1971">
        <v>252892</v>
      </c>
      <c r="BS1971" t="s">
        <v>2899</v>
      </c>
      <c r="BT1971">
        <v>4</v>
      </c>
      <c r="BU1971">
        <v>15</v>
      </c>
      <c r="BV1971">
        <v>9</v>
      </c>
      <c r="BX1971">
        <v>100</v>
      </c>
      <c r="BZ1971">
        <v>94</v>
      </c>
      <c r="CM1971">
        <v>1911</v>
      </c>
    </row>
    <row r="1972" spans="1:91" x14ac:dyDescent="0.3">
      <c r="A1972" t="s">
        <v>2900</v>
      </c>
      <c r="B1972">
        <v>43175</v>
      </c>
      <c r="D1972">
        <v>12</v>
      </c>
      <c r="I1972">
        <v>325000</v>
      </c>
      <c r="U1972">
        <v>1</v>
      </c>
      <c r="Y1972">
        <v>1</v>
      </c>
      <c r="AA1972">
        <v>0.9</v>
      </c>
      <c r="AB1972" t="s">
        <v>379</v>
      </c>
      <c r="AC1972" s="3">
        <v>0.9</v>
      </c>
      <c r="AE1972" s="3">
        <v>0.9</v>
      </c>
      <c r="AI1972">
        <v>0.9</v>
      </c>
      <c r="AK1972" s="3"/>
      <c r="AV1972" t="s">
        <v>366</v>
      </c>
      <c r="AX1972" t="s">
        <v>366</v>
      </c>
      <c r="AZ1972" t="s">
        <v>366</v>
      </c>
      <c r="BB1972" t="s">
        <v>366</v>
      </c>
      <c r="BO1972" t="s">
        <v>367</v>
      </c>
      <c r="BR1972">
        <v>26399</v>
      </c>
      <c r="BT1972">
        <v>6</v>
      </c>
      <c r="BU1972">
        <v>1</v>
      </c>
      <c r="BV1972">
        <v>6</v>
      </c>
      <c r="BX1972">
        <v>1.0900000000000001</v>
      </c>
      <c r="BZ1972">
        <v>0.9</v>
      </c>
      <c r="CK1972" t="s">
        <v>360</v>
      </c>
      <c r="CM1972">
        <v>1911</v>
      </c>
    </row>
    <row r="1973" spans="1:91" x14ac:dyDescent="0.3">
      <c r="A1973" t="s">
        <v>2901</v>
      </c>
      <c r="B1973">
        <v>43181</v>
      </c>
      <c r="D1973">
        <v>12</v>
      </c>
      <c r="I1973">
        <v>50000</v>
      </c>
      <c r="U1973">
        <v>5</v>
      </c>
      <c r="Y1973">
        <v>5</v>
      </c>
      <c r="AA1973">
        <v>5.5</v>
      </c>
      <c r="AC1973" s="3">
        <v>5.5</v>
      </c>
      <c r="AE1973" s="3">
        <v>5.37</v>
      </c>
      <c r="AI1973">
        <v>5.5</v>
      </c>
      <c r="AK1973" s="3"/>
      <c r="AV1973" t="s">
        <v>536</v>
      </c>
      <c r="AX1973" t="s">
        <v>536</v>
      </c>
      <c r="AZ1973" t="s">
        <v>536</v>
      </c>
      <c r="BB1973" t="s">
        <v>536</v>
      </c>
      <c r="BO1973" t="s">
        <v>367</v>
      </c>
      <c r="BR1973">
        <v>210328</v>
      </c>
      <c r="BS1973" t="s">
        <v>2902</v>
      </c>
      <c r="BT1973">
        <v>4</v>
      </c>
      <c r="BU1973">
        <v>11</v>
      </c>
      <c r="BV1973">
        <v>0</v>
      </c>
      <c r="BX1973">
        <v>5.81</v>
      </c>
      <c r="BZ1973">
        <v>5.31</v>
      </c>
      <c r="CK1973" t="s">
        <v>360</v>
      </c>
      <c r="CM1973">
        <v>1911</v>
      </c>
    </row>
    <row r="1974" spans="1:91" x14ac:dyDescent="0.3">
      <c r="A1974" t="s">
        <v>2903</v>
      </c>
      <c r="B1974">
        <v>43186</v>
      </c>
      <c r="D1974">
        <v>12</v>
      </c>
      <c r="I1974">
        <v>200000</v>
      </c>
      <c r="J1974" t="s">
        <v>800</v>
      </c>
      <c r="V1974" t="s">
        <v>350</v>
      </c>
      <c r="Y1974">
        <v>100</v>
      </c>
      <c r="AA1974">
        <v>103.5</v>
      </c>
      <c r="AC1974" s="3">
        <v>103.5</v>
      </c>
      <c r="AE1974" s="3">
        <v>103.5</v>
      </c>
      <c r="AI1974">
        <v>103.5</v>
      </c>
      <c r="AK1974" s="3"/>
      <c r="AV1974" t="s">
        <v>506</v>
      </c>
      <c r="AX1974" t="s">
        <v>506</v>
      </c>
      <c r="AZ1974" t="s">
        <v>506</v>
      </c>
      <c r="BB1974" t="s">
        <v>506</v>
      </c>
      <c r="BO1974" t="s">
        <v>367</v>
      </c>
      <c r="BR1974">
        <v>165799</v>
      </c>
      <c r="BS1974" t="s">
        <v>2904</v>
      </c>
      <c r="BT1974">
        <v>4</v>
      </c>
      <c r="BU1974">
        <v>18</v>
      </c>
      <c r="BV1974">
        <v>9</v>
      </c>
      <c r="BX1974">
        <v>104</v>
      </c>
      <c r="BZ1974">
        <v>102</v>
      </c>
      <c r="CK1974" t="s">
        <v>360</v>
      </c>
      <c r="CM1974">
        <v>1911</v>
      </c>
    </row>
    <row r="1975" spans="1:91" x14ac:dyDescent="0.3">
      <c r="A1975" t="s">
        <v>2903</v>
      </c>
      <c r="B1975">
        <v>43187</v>
      </c>
      <c r="C1975" t="s">
        <v>2905</v>
      </c>
      <c r="D1975">
        <v>12</v>
      </c>
      <c r="I1975">
        <v>150000</v>
      </c>
      <c r="J1975" t="s">
        <v>800</v>
      </c>
      <c r="V1975" t="s">
        <v>350</v>
      </c>
      <c r="Y1975">
        <v>100</v>
      </c>
      <c r="AA1975">
        <v>103.5</v>
      </c>
      <c r="AC1975" s="3">
        <v>103.5</v>
      </c>
      <c r="AE1975" s="3">
        <v>103.5</v>
      </c>
      <c r="AI1975">
        <v>103.5</v>
      </c>
      <c r="AK1975" s="3"/>
      <c r="AV1975" t="s">
        <v>506</v>
      </c>
      <c r="AX1975" t="s">
        <v>506</v>
      </c>
      <c r="AZ1975" t="s">
        <v>506</v>
      </c>
      <c r="BB1975" t="s">
        <v>506</v>
      </c>
      <c r="BO1975" t="s">
        <v>367</v>
      </c>
      <c r="BR1975">
        <v>165799</v>
      </c>
      <c r="BS1975" t="s">
        <v>2904</v>
      </c>
      <c r="BT1975">
        <v>4</v>
      </c>
      <c r="BU1975">
        <v>18</v>
      </c>
      <c r="BV1975">
        <v>9</v>
      </c>
      <c r="BX1975">
        <v>104.5</v>
      </c>
      <c r="BZ1975">
        <v>101</v>
      </c>
      <c r="CM1975">
        <v>1911</v>
      </c>
    </row>
    <row r="1976" spans="1:91" x14ac:dyDescent="0.3">
      <c r="A1976" t="s">
        <v>2906</v>
      </c>
      <c r="B1976">
        <v>43214</v>
      </c>
      <c r="D1976">
        <v>12</v>
      </c>
      <c r="I1976">
        <v>147500</v>
      </c>
      <c r="U1976">
        <v>1</v>
      </c>
      <c r="Y1976">
        <v>1</v>
      </c>
      <c r="AA1976">
        <v>1</v>
      </c>
      <c r="AC1976" s="3">
        <v>1.06</v>
      </c>
      <c r="AE1976" s="3">
        <v>1</v>
      </c>
      <c r="AI1976">
        <v>1.03</v>
      </c>
      <c r="AJ1976" t="s">
        <v>379</v>
      </c>
      <c r="AK1976" s="3"/>
      <c r="AV1976" t="s">
        <v>823</v>
      </c>
      <c r="AZ1976" t="s">
        <v>823</v>
      </c>
      <c r="BG1976">
        <v>6</v>
      </c>
      <c r="BH1976">
        <v>14</v>
      </c>
      <c r="BI1976">
        <v>6</v>
      </c>
      <c r="BJ1976">
        <v>14</v>
      </c>
      <c r="BK1976" s="4">
        <v>3654</v>
      </c>
      <c r="BL1976" s="4">
        <v>3897</v>
      </c>
      <c r="BM1976" s="4">
        <v>4019</v>
      </c>
      <c r="BN1976" s="4">
        <v>4262</v>
      </c>
      <c r="BR1976">
        <v>18280</v>
      </c>
      <c r="BT1976">
        <v>9</v>
      </c>
      <c r="BU1976">
        <v>14</v>
      </c>
      <c r="BV1976">
        <v>0</v>
      </c>
      <c r="BX1976">
        <v>1.06</v>
      </c>
      <c r="BZ1976">
        <v>0.9</v>
      </c>
      <c r="CK1976" t="s">
        <v>360</v>
      </c>
      <c r="CM1976">
        <v>1911</v>
      </c>
    </row>
    <row r="1977" spans="1:91" x14ac:dyDescent="0.3">
      <c r="A1977" t="s">
        <v>2907</v>
      </c>
      <c r="B1977">
        <v>43227</v>
      </c>
      <c r="D1977">
        <v>12</v>
      </c>
      <c r="I1977">
        <v>800000</v>
      </c>
      <c r="J1977" t="s">
        <v>800</v>
      </c>
      <c r="V1977" t="s">
        <v>385</v>
      </c>
      <c r="Z1977" t="s">
        <v>385</v>
      </c>
      <c r="AA1977">
        <v>60</v>
      </c>
      <c r="AC1977" s="3">
        <v>77</v>
      </c>
      <c r="AE1977" s="3">
        <v>55.5</v>
      </c>
      <c r="AI1977">
        <v>70</v>
      </c>
      <c r="AK1977" s="3"/>
      <c r="AV1977" t="s">
        <v>370</v>
      </c>
      <c r="AX1977" t="s">
        <v>370</v>
      </c>
      <c r="AZ1977" t="s">
        <v>370</v>
      </c>
      <c r="BB1977" t="s">
        <v>370</v>
      </c>
      <c r="BO1977" t="s">
        <v>367</v>
      </c>
      <c r="BS1977" t="s">
        <v>385</v>
      </c>
      <c r="BT1977">
        <v>9</v>
      </c>
      <c r="BU1977">
        <v>1</v>
      </c>
      <c r="BV1977">
        <v>9</v>
      </c>
      <c r="BX1977">
        <v>100.5</v>
      </c>
      <c r="BZ1977">
        <v>55.5</v>
      </c>
      <c r="CM1977">
        <v>1911</v>
      </c>
    </row>
    <row r="1978" spans="1:91" x14ac:dyDescent="0.3">
      <c r="A1978" t="s">
        <v>2908</v>
      </c>
      <c r="B1978">
        <v>43260</v>
      </c>
      <c r="D1978">
        <v>12</v>
      </c>
      <c r="I1978">
        <v>350000</v>
      </c>
      <c r="U1978">
        <v>1</v>
      </c>
      <c r="Y1978">
        <v>1</v>
      </c>
      <c r="AA1978">
        <v>0.37</v>
      </c>
      <c r="AC1978" s="3">
        <v>0.37</v>
      </c>
      <c r="AE1978" s="3">
        <v>0.28000000000000003</v>
      </c>
      <c r="AI1978">
        <v>0.37</v>
      </c>
      <c r="AK1978" s="3"/>
      <c r="AX1978" t="s">
        <v>823</v>
      </c>
      <c r="BB1978" t="s">
        <v>810</v>
      </c>
      <c r="BG1978">
        <v>5</v>
      </c>
      <c r="BH1978">
        <v>5</v>
      </c>
      <c r="BI1978">
        <v>5</v>
      </c>
      <c r="BK1978" s="4">
        <v>3105</v>
      </c>
      <c r="BL1978" s="4">
        <v>3167</v>
      </c>
      <c r="BM1978" s="4">
        <v>3348</v>
      </c>
      <c r="BR1978">
        <v>21846</v>
      </c>
      <c r="BS1978" t="s">
        <v>2909</v>
      </c>
      <c r="BW1978" t="s">
        <v>802</v>
      </c>
      <c r="BX1978">
        <v>0.56000000000000005</v>
      </c>
      <c r="BZ1978">
        <v>0.28000000000000003</v>
      </c>
      <c r="CK1978" t="s">
        <v>360</v>
      </c>
      <c r="CM1978">
        <v>1911</v>
      </c>
    </row>
    <row r="1979" spans="1:91" x14ac:dyDescent="0.3">
      <c r="A1979" t="s">
        <v>2908</v>
      </c>
      <c r="B1979">
        <v>43258</v>
      </c>
      <c r="C1979" t="s">
        <v>840</v>
      </c>
      <c r="D1979">
        <v>12</v>
      </c>
      <c r="I1979">
        <v>350000</v>
      </c>
      <c r="V1979" t="s">
        <v>350</v>
      </c>
      <c r="Y1979">
        <v>100</v>
      </c>
      <c r="AA1979">
        <v>78.5</v>
      </c>
      <c r="AC1979" s="3">
        <v>78.5</v>
      </c>
      <c r="AE1979" s="3">
        <v>75</v>
      </c>
      <c r="AI1979">
        <v>77.5</v>
      </c>
      <c r="AK1979" s="3"/>
      <c r="AV1979" t="s">
        <v>370</v>
      </c>
      <c r="AX1979" t="s">
        <v>370</v>
      </c>
      <c r="AZ1979" t="s">
        <v>370</v>
      </c>
      <c r="BB1979" t="s">
        <v>370</v>
      </c>
      <c r="BO1979" t="s">
        <v>367</v>
      </c>
      <c r="BR1979">
        <v>21846</v>
      </c>
      <c r="BS1979" t="s">
        <v>2909</v>
      </c>
      <c r="BT1979">
        <v>5</v>
      </c>
      <c r="BU1979">
        <v>4</v>
      </c>
      <c r="BV1979">
        <v>6</v>
      </c>
      <c r="BX1979">
        <v>85</v>
      </c>
      <c r="BZ1979">
        <v>75</v>
      </c>
      <c r="CM1979">
        <v>1911</v>
      </c>
    </row>
    <row r="1980" spans="1:91" x14ac:dyDescent="0.3">
      <c r="A1980" t="s">
        <v>2910</v>
      </c>
      <c r="B1980">
        <v>43289</v>
      </c>
      <c r="D1980">
        <v>12</v>
      </c>
      <c r="I1980">
        <v>27036</v>
      </c>
      <c r="U1980">
        <v>10</v>
      </c>
      <c r="Y1980">
        <v>10</v>
      </c>
      <c r="AA1980">
        <v>10.75</v>
      </c>
      <c r="AC1980" s="3">
        <v>10.75</v>
      </c>
      <c r="AE1980" s="3">
        <v>10.75</v>
      </c>
      <c r="AI1980">
        <v>10.75</v>
      </c>
      <c r="AK1980" s="3"/>
      <c r="AX1980" t="s">
        <v>823</v>
      </c>
      <c r="BB1980" t="s">
        <v>823</v>
      </c>
      <c r="BG1980">
        <v>5</v>
      </c>
      <c r="BH1980">
        <v>5</v>
      </c>
      <c r="BI1980">
        <v>5</v>
      </c>
      <c r="BJ1980">
        <v>5</v>
      </c>
      <c r="BK1980" s="4">
        <v>3654</v>
      </c>
      <c r="BL1980" s="4">
        <v>3835</v>
      </c>
      <c r="BM1980" s="4">
        <v>4019</v>
      </c>
      <c r="BN1980" s="4">
        <v>4200</v>
      </c>
      <c r="BR1980">
        <v>170585</v>
      </c>
      <c r="BT1980">
        <v>4</v>
      </c>
      <c r="BU1980">
        <v>13</v>
      </c>
      <c r="BV1980">
        <v>0</v>
      </c>
      <c r="BX1980">
        <v>11</v>
      </c>
      <c r="BZ1980">
        <v>10.5</v>
      </c>
      <c r="CK1980" t="s">
        <v>1179</v>
      </c>
      <c r="CM1980">
        <v>1911</v>
      </c>
    </row>
    <row r="1981" spans="1:91" x14ac:dyDescent="0.3">
      <c r="A1981" t="s">
        <v>2911</v>
      </c>
      <c r="B1981">
        <v>43281</v>
      </c>
      <c r="D1981">
        <v>12</v>
      </c>
      <c r="I1981">
        <v>20000</v>
      </c>
      <c r="U1981">
        <v>10</v>
      </c>
      <c r="Y1981">
        <v>10</v>
      </c>
      <c r="AA1981">
        <v>4.12</v>
      </c>
      <c r="AC1981" s="3">
        <v>4.12</v>
      </c>
      <c r="AE1981" s="3">
        <v>4.12</v>
      </c>
      <c r="AI1981">
        <v>4.12</v>
      </c>
      <c r="AK1981" s="3"/>
      <c r="AU1981" t="s">
        <v>1582</v>
      </c>
      <c r="AV1981" t="s">
        <v>1760</v>
      </c>
      <c r="AW1981" t="s">
        <v>1582</v>
      </c>
      <c r="AX1981" t="s">
        <v>1760</v>
      </c>
      <c r="AY1981" t="s">
        <v>1582</v>
      </c>
      <c r="AZ1981" t="s">
        <v>1760</v>
      </c>
      <c r="BA1981" t="s">
        <v>1582</v>
      </c>
      <c r="BB1981" t="s">
        <v>1760</v>
      </c>
      <c r="BC1981">
        <v>24</v>
      </c>
      <c r="BD1981">
        <v>24</v>
      </c>
      <c r="BE1981">
        <v>24</v>
      </c>
      <c r="BF1981">
        <v>24</v>
      </c>
      <c r="BK1981" s="4">
        <v>3713</v>
      </c>
      <c r="BL1981" s="4">
        <v>3897</v>
      </c>
      <c r="BM1981" s="4">
        <v>4078</v>
      </c>
      <c r="BN1981" s="4">
        <v>4262</v>
      </c>
      <c r="BR1981">
        <v>33427</v>
      </c>
      <c r="BT1981">
        <v>4</v>
      </c>
      <c r="BU1981">
        <v>14</v>
      </c>
      <c r="BV1981">
        <v>0</v>
      </c>
      <c r="BX1981">
        <v>4.5599999999999996</v>
      </c>
      <c r="BZ1981">
        <v>4</v>
      </c>
      <c r="CK1981" t="s">
        <v>360</v>
      </c>
      <c r="CM1981">
        <v>1911</v>
      </c>
    </row>
    <row r="1982" spans="1:91" x14ac:dyDescent="0.3">
      <c r="A1982" t="s">
        <v>2912</v>
      </c>
      <c r="B1982">
        <v>43336</v>
      </c>
      <c r="D1982">
        <v>12</v>
      </c>
      <c r="I1982">
        <v>624995</v>
      </c>
      <c r="U1982">
        <v>1</v>
      </c>
      <c r="Y1982">
        <v>1</v>
      </c>
      <c r="AA1982">
        <v>0.9</v>
      </c>
      <c r="AC1982" s="3">
        <v>0.9</v>
      </c>
      <c r="AE1982" s="3">
        <v>0.75</v>
      </c>
      <c r="AI1982">
        <v>0.75</v>
      </c>
      <c r="AK1982" s="3"/>
      <c r="AX1982" t="s">
        <v>823</v>
      </c>
      <c r="BB1982" t="s">
        <v>815</v>
      </c>
      <c r="BG1982">
        <v>8</v>
      </c>
      <c r="BH1982">
        <v>8</v>
      </c>
      <c r="BI1982">
        <v>8</v>
      </c>
      <c r="BJ1982">
        <v>4</v>
      </c>
      <c r="BK1982" s="4">
        <v>3623</v>
      </c>
      <c r="BL1982" s="4">
        <v>3805</v>
      </c>
      <c r="BM1982" s="4">
        <v>3988</v>
      </c>
      <c r="BN1982" t="s">
        <v>1262</v>
      </c>
      <c r="BR1982">
        <v>69777</v>
      </c>
      <c r="BS1982" t="s">
        <v>2913</v>
      </c>
      <c r="BT1982">
        <v>5</v>
      </c>
      <c r="BU1982">
        <v>6</v>
      </c>
      <c r="BV1982">
        <v>9</v>
      </c>
      <c r="BX1982">
        <v>1.1200000000000001</v>
      </c>
      <c r="BZ1982">
        <v>0.75</v>
      </c>
      <c r="CK1982" t="s">
        <v>2914</v>
      </c>
      <c r="CM1982">
        <v>1911</v>
      </c>
    </row>
    <row r="1983" spans="1:91" x14ac:dyDescent="0.3">
      <c r="A1983" t="s">
        <v>2915</v>
      </c>
      <c r="B1983">
        <v>43338</v>
      </c>
      <c r="C1983" t="s">
        <v>2916</v>
      </c>
      <c r="D1983">
        <v>12</v>
      </c>
      <c r="I1983">
        <v>499962</v>
      </c>
      <c r="U1983">
        <v>1</v>
      </c>
      <c r="Y1983">
        <v>1</v>
      </c>
      <c r="AA1983">
        <v>0.75</v>
      </c>
      <c r="AC1983" s="3">
        <v>0.81</v>
      </c>
      <c r="AE1983" s="3">
        <v>0.56000000000000005</v>
      </c>
      <c r="AI1983">
        <v>0.59</v>
      </c>
      <c r="AK1983" s="3"/>
      <c r="AX1983" t="s">
        <v>823</v>
      </c>
      <c r="BB1983" t="s">
        <v>815</v>
      </c>
      <c r="BG1983">
        <v>10</v>
      </c>
      <c r="BH1983">
        <v>6</v>
      </c>
      <c r="BI1983">
        <v>10</v>
      </c>
      <c r="BJ1983">
        <v>3</v>
      </c>
      <c r="BK1983" s="4">
        <v>3623</v>
      </c>
      <c r="BL1983" s="4">
        <v>3805</v>
      </c>
      <c r="BM1983" s="4">
        <v>3988</v>
      </c>
      <c r="BN1983" t="s">
        <v>1262</v>
      </c>
      <c r="BR1983">
        <v>69777</v>
      </c>
      <c r="BS1983" t="s">
        <v>2913</v>
      </c>
      <c r="BT1983">
        <v>5</v>
      </c>
      <c r="BU1983">
        <v>1</v>
      </c>
      <c r="BV1983">
        <v>0</v>
      </c>
      <c r="BX1983">
        <v>1.18</v>
      </c>
      <c r="BZ1983">
        <v>0.56000000000000005</v>
      </c>
      <c r="CM1983">
        <v>1911</v>
      </c>
    </row>
    <row r="1984" spans="1:91" x14ac:dyDescent="0.3">
      <c r="A1984" t="s">
        <v>2912</v>
      </c>
      <c r="B1984">
        <v>43337</v>
      </c>
      <c r="C1984" t="s">
        <v>1531</v>
      </c>
      <c r="D1984">
        <v>12</v>
      </c>
      <c r="I1984">
        <v>994990</v>
      </c>
      <c r="U1984">
        <v>1</v>
      </c>
      <c r="Y1984">
        <v>1</v>
      </c>
      <c r="AA1984">
        <v>0.81</v>
      </c>
      <c r="AC1984" s="3">
        <v>0.81</v>
      </c>
      <c r="AE1984" s="3">
        <v>0.81</v>
      </c>
      <c r="AI1984">
        <v>0.81</v>
      </c>
      <c r="AJ1984" t="s">
        <v>379</v>
      </c>
      <c r="AK1984" s="3"/>
      <c r="AV1984" t="s">
        <v>823</v>
      </c>
      <c r="AZ1984" t="s">
        <v>823</v>
      </c>
      <c r="BG1984">
        <v>5</v>
      </c>
      <c r="BH1984">
        <v>5</v>
      </c>
      <c r="BI1984">
        <v>5</v>
      </c>
      <c r="BJ1984">
        <v>5</v>
      </c>
      <c r="BK1984" s="4">
        <v>3805</v>
      </c>
      <c r="BL1984" s="4">
        <v>3988</v>
      </c>
      <c r="BM1984" s="4">
        <v>4170</v>
      </c>
      <c r="BN1984" s="4">
        <v>4353</v>
      </c>
      <c r="BR1984">
        <v>69777</v>
      </c>
      <c r="BS1984" t="s">
        <v>2913</v>
      </c>
      <c r="BT1984">
        <v>6</v>
      </c>
      <c r="BU1984">
        <v>3</v>
      </c>
      <c r="BV1984">
        <v>0</v>
      </c>
      <c r="BX1984">
        <v>0.9</v>
      </c>
      <c r="BZ1984">
        <v>0.81</v>
      </c>
      <c r="CM1984">
        <v>1911</v>
      </c>
    </row>
    <row r="1985" spans="1:91" x14ac:dyDescent="0.3">
      <c r="A1985" t="s">
        <v>2917</v>
      </c>
      <c r="B1985">
        <v>40000</v>
      </c>
      <c r="D1985">
        <v>12</v>
      </c>
      <c r="I1985">
        <v>49500</v>
      </c>
      <c r="U1985">
        <v>1</v>
      </c>
      <c r="Y1985">
        <v>1</v>
      </c>
      <c r="AA1985">
        <v>2.4300000000000002</v>
      </c>
      <c r="AC1985" s="3">
        <v>2.4300000000000002</v>
      </c>
      <c r="AE1985" s="3">
        <v>2.34</v>
      </c>
      <c r="AI1985">
        <v>2.37</v>
      </c>
      <c r="AK1985" s="3"/>
      <c r="AX1985" t="s">
        <v>823</v>
      </c>
      <c r="BB1985" t="s">
        <v>823</v>
      </c>
      <c r="BG1985">
        <v>20</v>
      </c>
      <c r="BH1985">
        <v>10</v>
      </c>
      <c r="BI1985">
        <v>25</v>
      </c>
      <c r="BJ1985">
        <v>10</v>
      </c>
      <c r="BK1985" s="4">
        <v>3805</v>
      </c>
      <c r="BL1985" s="4">
        <v>4019</v>
      </c>
      <c r="BM1985" s="4">
        <v>4170</v>
      </c>
      <c r="BN1985" s="4">
        <v>4384</v>
      </c>
      <c r="BR1985">
        <v>18882</v>
      </c>
      <c r="BS1985" t="s">
        <v>2918</v>
      </c>
      <c r="BT1985">
        <v>7</v>
      </c>
      <c r="BU1985">
        <v>7</v>
      </c>
      <c r="BV1985">
        <v>3</v>
      </c>
      <c r="BX1985">
        <v>2.56</v>
      </c>
      <c r="BZ1985">
        <v>2.34</v>
      </c>
      <c r="CK1985" t="s">
        <v>360</v>
      </c>
      <c r="CM1985">
        <v>1911</v>
      </c>
    </row>
    <row r="1986" spans="1:91" x14ac:dyDescent="0.3">
      <c r="A1986" t="s">
        <v>2919</v>
      </c>
      <c r="B1986">
        <v>43378</v>
      </c>
      <c r="D1986">
        <v>12</v>
      </c>
      <c r="I1986">
        <v>200000</v>
      </c>
      <c r="U1986">
        <v>1</v>
      </c>
      <c r="Y1986">
        <v>1</v>
      </c>
      <c r="AA1986">
        <v>0.75</v>
      </c>
      <c r="AC1986" s="3">
        <v>0.75</v>
      </c>
      <c r="AE1986" s="3">
        <v>0.75</v>
      </c>
      <c r="AI1986">
        <v>0.75</v>
      </c>
      <c r="AK1986" s="3"/>
      <c r="AX1986" t="s">
        <v>815</v>
      </c>
      <c r="AZ1986" t="s">
        <v>815</v>
      </c>
      <c r="BB1986" t="s">
        <v>815</v>
      </c>
      <c r="BG1986">
        <v>5.5</v>
      </c>
      <c r="BH1986">
        <v>2.5</v>
      </c>
      <c r="BI1986">
        <v>2.5</v>
      </c>
      <c r="BJ1986">
        <v>5</v>
      </c>
      <c r="BK1986" s="4">
        <v>3289</v>
      </c>
      <c r="BL1986" s="4">
        <v>3654</v>
      </c>
      <c r="BM1986" s="4">
        <v>3835</v>
      </c>
      <c r="BN1986" s="4">
        <v>4019</v>
      </c>
      <c r="BR1986">
        <v>2339</v>
      </c>
      <c r="BT1986">
        <v>10</v>
      </c>
      <c r="BU1986">
        <v>0</v>
      </c>
      <c r="BV1986">
        <v>0</v>
      </c>
      <c r="BX1986">
        <v>0.75</v>
      </c>
      <c r="BZ1986">
        <v>0.56000000000000005</v>
      </c>
      <c r="CK1986" t="s">
        <v>360</v>
      </c>
      <c r="CM1986">
        <v>1911</v>
      </c>
    </row>
    <row r="1987" spans="1:91" x14ac:dyDescent="0.3">
      <c r="A1987" t="s">
        <v>2920</v>
      </c>
      <c r="B1987">
        <v>43489</v>
      </c>
      <c r="D1987">
        <v>12</v>
      </c>
      <c r="I1987">
        <v>195123</v>
      </c>
      <c r="U1987">
        <v>100</v>
      </c>
      <c r="V1987" t="s">
        <v>773</v>
      </c>
      <c r="Y1987">
        <v>100</v>
      </c>
      <c r="AA1987">
        <v>510</v>
      </c>
      <c r="AB1987" t="s">
        <v>379</v>
      </c>
      <c r="AC1987" s="3">
        <v>510</v>
      </c>
      <c r="AE1987" s="3">
        <v>493</v>
      </c>
      <c r="AI1987">
        <v>505</v>
      </c>
      <c r="AK1987" s="3"/>
      <c r="AV1987" t="s">
        <v>815</v>
      </c>
      <c r="AX1987" t="s">
        <v>815</v>
      </c>
      <c r="AZ1987" t="s">
        <v>815</v>
      </c>
      <c r="BB1987" t="s">
        <v>2921</v>
      </c>
      <c r="BG1987">
        <v>20</v>
      </c>
      <c r="BH1987">
        <v>30</v>
      </c>
      <c r="BI1987">
        <v>40</v>
      </c>
      <c r="BK1987" t="s">
        <v>1225</v>
      </c>
      <c r="BL1987" t="s">
        <v>913</v>
      </c>
      <c r="BM1987" t="s">
        <v>1226</v>
      </c>
      <c r="BO1987" t="s">
        <v>352</v>
      </c>
      <c r="BR1987" s="2">
        <v>3122040</v>
      </c>
      <c r="BS1987" t="s">
        <v>2922</v>
      </c>
      <c r="BT1987">
        <v>7</v>
      </c>
      <c r="BU1987">
        <v>18</v>
      </c>
      <c r="BV1987">
        <v>6</v>
      </c>
      <c r="BX1987">
        <v>535</v>
      </c>
      <c r="BZ1987">
        <v>424</v>
      </c>
      <c r="CK1987" t="s">
        <v>360</v>
      </c>
      <c r="CM1987">
        <v>1911</v>
      </c>
    </row>
    <row r="1988" spans="1:91" x14ac:dyDescent="0.3">
      <c r="A1988" t="s">
        <v>2920</v>
      </c>
      <c r="B1988">
        <v>43490</v>
      </c>
      <c r="C1988" t="s">
        <v>902</v>
      </c>
      <c r="D1988">
        <v>12</v>
      </c>
      <c r="I1988">
        <v>61657</v>
      </c>
      <c r="U1988">
        <v>100</v>
      </c>
      <c r="V1988" t="s">
        <v>773</v>
      </c>
      <c r="Y1988">
        <v>100</v>
      </c>
      <c r="AA1988">
        <v>120.5</v>
      </c>
      <c r="AC1988" s="3">
        <v>125</v>
      </c>
      <c r="AE1988" s="3">
        <v>120.5</v>
      </c>
      <c r="AI1988">
        <v>125</v>
      </c>
      <c r="AK1988" s="3"/>
      <c r="AV1988" t="s">
        <v>351</v>
      </c>
      <c r="AX1988" t="s">
        <v>351</v>
      </c>
      <c r="AZ1988" t="s">
        <v>351</v>
      </c>
      <c r="BB1988" t="s">
        <v>351</v>
      </c>
      <c r="BO1988" t="s">
        <v>352</v>
      </c>
      <c r="BR1988" s="2">
        <v>3122040</v>
      </c>
      <c r="BS1988" t="s">
        <v>2922</v>
      </c>
      <c r="BT1988">
        <v>4</v>
      </c>
      <c r="BU1988">
        <v>17</v>
      </c>
      <c r="BV1988">
        <v>6</v>
      </c>
      <c r="BX1988">
        <v>125.25</v>
      </c>
      <c r="BZ1988">
        <v>118</v>
      </c>
      <c r="CM1988">
        <v>1911</v>
      </c>
    </row>
    <row r="1989" spans="1:91" x14ac:dyDescent="0.3">
      <c r="A1989" t="s">
        <v>2923</v>
      </c>
      <c r="B1989">
        <v>43492</v>
      </c>
      <c r="D1989">
        <v>12</v>
      </c>
      <c r="I1989">
        <v>626320</v>
      </c>
      <c r="U1989">
        <v>1</v>
      </c>
      <c r="Y1989">
        <v>1</v>
      </c>
      <c r="AA1989">
        <v>1.03</v>
      </c>
      <c r="AC1989" s="3">
        <v>1.06</v>
      </c>
      <c r="AE1989" s="3">
        <v>1.03</v>
      </c>
      <c r="AI1989">
        <v>1.06</v>
      </c>
      <c r="AK1989" s="3"/>
      <c r="AV1989" t="s">
        <v>815</v>
      </c>
      <c r="AX1989" t="s">
        <v>815</v>
      </c>
      <c r="AZ1989" t="s">
        <v>815</v>
      </c>
      <c r="BB1989" t="s">
        <v>815</v>
      </c>
      <c r="BG1989">
        <v>6</v>
      </c>
      <c r="BH1989">
        <v>6</v>
      </c>
      <c r="BI1989">
        <v>10</v>
      </c>
      <c r="BJ1989">
        <v>8</v>
      </c>
      <c r="BK1989" s="4">
        <v>2983</v>
      </c>
      <c r="BL1989" s="4">
        <v>3348</v>
      </c>
      <c r="BM1989" s="4">
        <v>3713</v>
      </c>
      <c r="BN1989" s="4">
        <v>4078</v>
      </c>
      <c r="BR1989">
        <v>94775</v>
      </c>
      <c r="BS1989" t="s">
        <v>2924</v>
      </c>
      <c r="BT1989">
        <v>7</v>
      </c>
      <c r="BU1989">
        <v>10</v>
      </c>
      <c r="BV1989">
        <v>6</v>
      </c>
      <c r="BX1989">
        <v>1.06</v>
      </c>
      <c r="BZ1989">
        <v>0.87</v>
      </c>
      <c r="CK1989" t="s">
        <v>360</v>
      </c>
      <c r="CM1989">
        <v>1911</v>
      </c>
    </row>
    <row r="1990" spans="1:91" x14ac:dyDescent="0.3">
      <c r="A1990" t="s">
        <v>2923</v>
      </c>
      <c r="B1990">
        <v>43493</v>
      </c>
      <c r="C1990" t="s">
        <v>1031</v>
      </c>
      <c r="D1990">
        <v>12</v>
      </c>
      <c r="I1990">
        <v>500170</v>
      </c>
      <c r="U1990">
        <v>1</v>
      </c>
      <c r="Y1990">
        <v>1</v>
      </c>
      <c r="AA1990">
        <v>1.43</v>
      </c>
      <c r="AC1990" s="3">
        <v>1.43</v>
      </c>
      <c r="AE1990" s="3">
        <v>1.37</v>
      </c>
      <c r="AI1990">
        <v>1.4</v>
      </c>
      <c r="AJ1990" t="s">
        <v>379</v>
      </c>
      <c r="AK1990" s="3"/>
      <c r="BG1990">
        <v>8</v>
      </c>
      <c r="BH1990">
        <v>8</v>
      </c>
      <c r="BI1990">
        <v>8</v>
      </c>
      <c r="BJ1990">
        <v>8</v>
      </c>
      <c r="BK1990" s="4">
        <v>3654</v>
      </c>
      <c r="BL1990" s="4">
        <v>3835</v>
      </c>
      <c r="BM1990" s="4">
        <v>4019</v>
      </c>
      <c r="BN1990" s="4">
        <v>4200</v>
      </c>
      <c r="BR1990">
        <v>94775</v>
      </c>
      <c r="BS1990" t="s">
        <v>2924</v>
      </c>
      <c r="BT1990">
        <v>5</v>
      </c>
      <c r="BU1990">
        <v>13</v>
      </c>
      <c r="BV1990">
        <v>9</v>
      </c>
      <c r="BX1990">
        <v>1.5</v>
      </c>
      <c r="BZ1990">
        <v>1.37</v>
      </c>
      <c r="CM1990">
        <v>1911</v>
      </c>
    </row>
    <row r="1991" spans="1:91" x14ac:dyDescent="0.3">
      <c r="A1991" t="s">
        <v>2925</v>
      </c>
      <c r="B1991">
        <v>43569</v>
      </c>
      <c r="D1991">
        <v>12</v>
      </c>
      <c r="I1991">
        <v>99261</v>
      </c>
      <c r="U1991">
        <v>5</v>
      </c>
      <c r="Y1991">
        <v>3</v>
      </c>
      <c r="AA1991">
        <v>0.81</v>
      </c>
      <c r="AC1991" s="3">
        <v>0.96</v>
      </c>
      <c r="AE1991" s="3">
        <v>0.81</v>
      </c>
      <c r="AI1991">
        <v>0.9</v>
      </c>
      <c r="AK1991" s="3"/>
      <c r="BB1991" t="s">
        <v>810</v>
      </c>
      <c r="BG1991">
        <v>4.16</v>
      </c>
      <c r="BH1991">
        <v>4.16</v>
      </c>
      <c r="BI1991">
        <v>2.5</v>
      </c>
      <c r="BK1991" s="4">
        <v>2466</v>
      </c>
      <c r="BL1991" s="4">
        <v>2831</v>
      </c>
      <c r="BM1991" s="4">
        <v>3197</v>
      </c>
      <c r="BR1991">
        <v>43356</v>
      </c>
      <c r="BS1991" t="s">
        <v>2926</v>
      </c>
      <c r="BW1991" t="s">
        <v>802</v>
      </c>
      <c r="BX1991">
        <v>0.96</v>
      </c>
      <c r="BZ1991">
        <v>0.06</v>
      </c>
      <c r="CK1991" t="s">
        <v>360</v>
      </c>
      <c r="CM1991">
        <v>1911</v>
      </c>
    </row>
    <row r="1992" spans="1:91" x14ac:dyDescent="0.3">
      <c r="A1992" t="s">
        <v>2925</v>
      </c>
      <c r="B1992">
        <v>43570</v>
      </c>
      <c r="D1992">
        <v>12</v>
      </c>
      <c r="I1992">
        <v>17139</v>
      </c>
      <c r="U1992">
        <v>5</v>
      </c>
      <c r="Y1992">
        <v>5</v>
      </c>
      <c r="AA1992">
        <v>2.12</v>
      </c>
      <c r="AC1992" s="3">
        <v>2.12</v>
      </c>
      <c r="AE1992" s="3">
        <v>2.12</v>
      </c>
      <c r="AI1992">
        <v>2.12</v>
      </c>
      <c r="AK1992" s="3"/>
      <c r="BB1992" t="s">
        <v>810</v>
      </c>
      <c r="BG1992">
        <v>4.16</v>
      </c>
      <c r="BH1992">
        <v>4.16</v>
      </c>
      <c r="BI1992">
        <v>2.5</v>
      </c>
      <c r="BK1992" s="4">
        <v>2466</v>
      </c>
      <c r="BL1992" s="4">
        <v>2831</v>
      </c>
      <c r="BM1992" s="4">
        <v>3197</v>
      </c>
      <c r="BR1992">
        <v>43356</v>
      </c>
      <c r="BS1992" t="s">
        <v>2926</v>
      </c>
      <c r="BW1992" t="s">
        <v>802</v>
      </c>
      <c r="BX1992">
        <v>2.25</v>
      </c>
      <c r="BZ1992">
        <v>1.25</v>
      </c>
      <c r="CM1992">
        <v>1911</v>
      </c>
    </row>
    <row r="1993" spans="1:91" x14ac:dyDescent="0.3">
      <c r="A1993" t="s">
        <v>2925</v>
      </c>
      <c r="B1993">
        <v>43575</v>
      </c>
      <c r="C1993" t="s">
        <v>2784</v>
      </c>
      <c r="D1993">
        <v>12</v>
      </c>
      <c r="I1993">
        <v>307895</v>
      </c>
      <c r="J1993" t="s">
        <v>800</v>
      </c>
      <c r="V1993" t="s">
        <v>350</v>
      </c>
      <c r="Y1993">
        <v>100</v>
      </c>
      <c r="AA1993">
        <v>71</v>
      </c>
      <c r="AC1993" s="3">
        <v>73</v>
      </c>
      <c r="AE1993" s="3">
        <v>71.5</v>
      </c>
      <c r="AI1993">
        <v>72</v>
      </c>
      <c r="AJ1993" t="s">
        <v>379</v>
      </c>
      <c r="AK1993" s="3"/>
      <c r="AV1993" t="s">
        <v>421</v>
      </c>
      <c r="AX1993" t="s">
        <v>421</v>
      </c>
      <c r="AZ1993" t="s">
        <v>421</v>
      </c>
      <c r="BB1993" t="s">
        <v>421</v>
      </c>
      <c r="BO1993" t="s">
        <v>367</v>
      </c>
      <c r="BR1993">
        <v>43356</v>
      </c>
      <c r="BS1993" t="s">
        <v>2926</v>
      </c>
      <c r="BT1993">
        <v>5</v>
      </c>
      <c r="BU1993">
        <v>11</v>
      </c>
      <c r="BV1993">
        <v>0</v>
      </c>
      <c r="BX1993">
        <v>73</v>
      </c>
      <c r="BZ1993">
        <v>63.5</v>
      </c>
      <c r="CM1993">
        <v>1911</v>
      </c>
    </row>
    <row r="1994" spans="1:91" x14ac:dyDescent="0.3">
      <c r="A1994" t="s">
        <v>2927</v>
      </c>
      <c r="B1994">
        <v>43598</v>
      </c>
      <c r="D1994">
        <v>12</v>
      </c>
      <c r="I1994">
        <v>174700</v>
      </c>
      <c r="U1994">
        <v>1</v>
      </c>
      <c r="Y1994">
        <v>1</v>
      </c>
      <c r="AA1994">
        <v>1.18</v>
      </c>
      <c r="AC1994" s="3">
        <v>1.25</v>
      </c>
      <c r="AE1994" s="3">
        <v>1.1499999999999999</v>
      </c>
      <c r="AI1994">
        <v>1.25</v>
      </c>
      <c r="AK1994" s="3"/>
      <c r="AX1994" t="s">
        <v>823</v>
      </c>
      <c r="BB1994" t="s">
        <v>823</v>
      </c>
      <c r="BG1994">
        <v>8</v>
      </c>
      <c r="BH1994">
        <v>7</v>
      </c>
      <c r="BI1994">
        <v>9</v>
      </c>
      <c r="BJ1994">
        <v>8</v>
      </c>
      <c r="BK1994" s="4">
        <v>3744</v>
      </c>
      <c r="BL1994" s="4">
        <v>3866</v>
      </c>
      <c r="BM1994" s="4">
        <v>4109</v>
      </c>
      <c r="BN1994" s="4">
        <v>4292</v>
      </c>
      <c r="BR1994">
        <v>80089</v>
      </c>
      <c r="BS1994" t="s">
        <v>2902</v>
      </c>
      <c r="BT1994">
        <v>6</v>
      </c>
      <c r="BU1994">
        <v>16</v>
      </c>
      <c r="BV1994">
        <v>3</v>
      </c>
      <c r="BX1994">
        <v>1.31</v>
      </c>
      <c r="BZ1994">
        <v>1.1499999999999999</v>
      </c>
      <c r="CK1994" t="s">
        <v>360</v>
      </c>
      <c r="CM1994">
        <v>1911</v>
      </c>
    </row>
    <row r="1995" spans="1:91" x14ac:dyDescent="0.3">
      <c r="A1995" t="s">
        <v>2928</v>
      </c>
      <c r="B1995">
        <v>43600</v>
      </c>
      <c r="D1995">
        <v>12</v>
      </c>
      <c r="I1995">
        <v>500000</v>
      </c>
      <c r="U1995">
        <v>1</v>
      </c>
      <c r="Y1995">
        <v>1</v>
      </c>
      <c r="AA1995">
        <v>0.71</v>
      </c>
      <c r="AC1995" s="3">
        <v>0.84</v>
      </c>
      <c r="AE1995" s="3">
        <v>0.71</v>
      </c>
      <c r="AI1995">
        <v>0.78</v>
      </c>
      <c r="AJ1995" t="s">
        <v>379</v>
      </c>
      <c r="AK1995" s="3"/>
      <c r="AV1995" t="s">
        <v>823</v>
      </c>
      <c r="AZ1995" t="s">
        <v>969</v>
      </c>
      <c r="BB1995" t="s">
        <v>815</v>
      </c>
      <c r="BG1995">
        <v>5</v>
      </c>
      <c r="BH1995">
        <v>7.5</v>
      </c>
      <c r="BJ1995">
        <v>6</v>
      </c>
      <c r="BK1995" s="4">
        <v>3470</v>
      </c>
      <c r="BL1995" s="4">
        <v>3654</v>
      </c>
      <c r="BM1995" t="s">
        <v>811</v>
      </c>
      <c r="BN1995" s="4">
        <v>4384</v>
      </c>
      <c r="BR1995">
        <v>11058</v>
      </c>
      <c r="BS1995" t="s">
        <v>2929</v>
      </c>
      <c r="BT1995">
        <v>7</v>
      </c>
      <c r="BU1995">
        <v>13</v>
      </c>
      <c r="BV1995">
        <v>9</v>
      </c>
      <c r="BX1995">
        <v>0.93</v>
      </c>
      <c r="BZ1995">
        <v>0.68</v>
      </c>
      <c r="CK1995" t="s">
        <v>360</v>
      </c>
      <c r="CM1995">
        <v>1911</v>
      </c>
    </row>
    <row r="1996" spans="1:91" x14ac:dyDescent="0.3">
      <c r="A1996" t="s">
        <v>2930</v>
      </c>
      <c r="B1996">
        <v>43630</v>
      </c>
      <c r="D1996">
        <v>12</v>
      </c>
      <c r="I1996">
        <v>112100</v>
      </c>
      <c r="U1996">
        <v>2</v>
      </c>
      <c r="Y1996">
        <v>2</v>
      </c>
      <c r="AA1996">
        <v>0.62</v>
      </c>
      <c r="AC1996" s="3">
        <v>0.75</v>
      </c>
      <c r="AE1996" s="3">
        <v>0.62</v>
      </c>
      <c r="AI1996">
        <v>0.75</v>
      </c>
      <c r="AK1996" s="3"/>
      <c r="AV1996" t="s">
        <v>2931</v>
      </c>
      <c r="AZ1996" t="s">
        <v>969</v>
      </c>
      <c r="BB1996" t="s">
        <v>815</v>
      </c>
      <c r="BG1996">
        <v>4</v>
      </c>
      <c r="BJ1996">
        <v>2.5</v>
      </c>
      <c r="BL1996" s="4">
        <v>1644</v>
      </c>
      <c r="BM1996" t="s">
        <v>811</v>
      </c>
      <c r="BN1996" s="4">
        <v>4200</v>
      </c>
      <c r="BR1996">
        <v>31131</v>
      </c>
      <c r="BS1996" t="s">
        <v>2932</v>
      </c>
      <c r="BT1996">
        <v>6</v>
      </c>
      <c r="BU1996">
        <v>13</v>
      </c>
      <c r="BV1996">
        <v>3</v>
      </c>
      <c r="BX1996">
        <v>1.03</v>
      </c>
      <c r="BZ1996">
        <v>0.5</v>
      </c>
      <c r="CK1996" t="s">
        <v>360</v>
      </c>
      <c r="CM1996">
        <v>1911</v>
      </c>
    </row>
    <row r="1997" spans="1:91" x14ac:dyDescent="0.3">
      <c r="A1997" t="s">
        <v>2930</v>
      </c>
      <c r="B1997">
        <v>43631</v>
      </c>
      <c r="C1997" t="s">
        <v>1062</v>
      </c>
      <c r="D1997">
        <v>12</v>
      </c>
      <c r="I1997">
        <v>31390</v>
      </c>
      <c r="U1997">
        <v>2</v>
      </c>
      <c r="Y1997">
        <v>2</v>
      </c>
      <c r="AA1997">
        <v>1.5</v>
      </c>
      <c r="AC1997" s="3">
        <v>1.75</v>
      </c>
      <c r="AE1997" s="3">
        <v>1.5</v>
      </c>
      <c r="AI1997">
        <v>1.75</v>
      </c>
      <c r="AK1997" s="3"/>
      <c r="AZ1997" t="s">
        <v>815</v>
      </c>
      <c r="BB1997" t="s">
        <v>815</v>
      </c>
      <c r="BG1997">
        <v>7</v>
      </c>
      <c r="BH1997">
        <v>7</v>
      </c>
      <c r="BI1997">
        <v>7</v>
      </c>
      <c r="BJ1997">
        <v>7</v>
      </c>
      <c r="BK1997" s="4">
        <v>3289</v>
      </c>
      <c r="BL1997" s="4">
        <v>3470</v>
      </c>
      <c r="BM1997" s="4">
        <v>3835</v>
      </c>
      <c r="BN1997" s="4">
        <v>4200</v>
      </c>
      <c r="BR1997">
        <v>31131</v>
      </c>
      <c r="BS1997" t="s">
        <v>2932</v>
      </c>
      <c r="BT1997">
        <v>8</v>
      </c>
      <c r="BU1997">
        <v>0</v>
      </c>
      <c r="BV1997">
        <v>0</v>
      </c>
      <c r="BX1997">
        <v>2.06</v>
      </c>
      <c r="BZ1997">
        <v>1.5</v>
      </c>
      <c r="CM1997">
        <v>1911</v>
      </c>
    </row>
    <row r="1998" spans="1:91" x14ac:dyDescent="0.3">
      <c r="A1998" t="s">
        <v>2933</v>
      </c>
      <c r="B1998">
        <v>43643</v>
      </c>
      <c r="D1998">
        <v>12</v>
      </c>
      <c r="I1998">
        <v>25000</v>
      </c>
      <c r="U1998">
        <v>10</v>
      </c>
      <c r="Y1998">
        <v>10</v>
      </c>
      <c r="AA1998">
        <v>14.5</v>
      </c>
      <c r="AC1998" s="3">
        <v>17.87</v>
      </c>
      <c r="AE1998" s="3">
        <v>12.5</v>
      </c>
      <c r="AI1998">
        <v>17.5</v>
      </c>
      <c r="AK1998" s="3"/>
      <c r="AV1998" t="s">
        <v>815</v>
      </c>
      <c r="AX1998" t="s">
        <v>815</v>
      </c>
      <c r="AZ1998" t="s">
        <v>815</v>
      </c>
      <c r="BB1998" t="s">
        <v>815</v>
      </c>
      <c r="BG1998">
        <v>2.5</v>
      </c>
      <c r="BH1998">
        <v>3</v>
      </c>
      <c r="BI1998">
        <v>6</v>
      </c>
      <c r="BJ1998">
        <v>10</v>
      </c>
      <c r="BK1998" s="4">
        <v>2954</v>
      </c>
      <c r="BL1998" s="4">
        <v>3320</v>
      </c>
      <c r="BM1998" s="4">
        <v>3685</v>
      </c>
      <c r="BN1998" s="4">
        <v>4050</v>
      </c>
      <c r="BR1998">
        <v>76959</v>
      </c>
      <c r="BT1998">
        <v>5</v>
      </c>
      <c r="BU1998">
        <v>14</v>
      </c>
      <c r="BV1998">
        <v>3</v>
      </c>
      <c r="BX1998">
        <v>17.87</v>
      </c>
      <c r="BZ1998">
        <v>8.5</v>
      </c>
      <c r="CK1998" t="s">
        <v>360</v>
      </c>
      <c r="CM1998">
        <v>1911</v>
      </c>
    </row>
    <row r="1999" spans="1:91" x14ac:dyDescent="0.3">
      <c r="A1999" t="s">
        <v>2934</v>
      </c>
      <c r="B1999">
        <v>43603</v>
      </c>
      <c r="D1999">
        <v>12</v>
      </c>
      <c r="I1999">
        <v>286000</v>
      </c>
      <c r="U1999">
        <v>1</v>
      </c>
      <c r="Y1999">
        <v>1</v>
      </c>
      <c r="AA1999">
        <v>0.5</v>
      </c>
      <c r="AC1999" s="3">
        <v>0.5</v>
      </c>
      <c r="AE1999" s="3">
        <v>0.5</v>
      </c>
      <c r="AI1999">
        <v>0.5</v>
      </c>
      <c r="AK1999" s="3"/>
      <c r="AX1999" t="s">
        <v>823</v>
      </c>
      <c r="BB1999" t="s">
        <v>810</v>
      </c>
      <c r="BG1999">
        <v>6</v>
      </c>
      <c r="BH1999">
        <v>3</v>
      </c>
      <c r="BI1999">
        <v>5</v>
      </c>
      <c r="BK1999" s="4">
        <v>2923</v>
      </c>
      <c r="BL1999" s="4">
        <v>3105</v>
      </c>
      <c r="BM1999" s="4">
        <v>3289</v>
      </c>
      <c r="BR1999">
        <v>21343</v>
      </c>
      <c r="BW1999" t="s">
        <v>802</v>
      </c>
      <c r="BX1999">
        <v>0.53</v>
      </c>
      <c r="BZ1999">
        <v>0.31</v>
      </c>
      <c r="CK1999" t="s">
        <v>360</v>
      </c>
      <c r="CM1999">
        <v>1911</v>
      </c>
    </row>
    <row r="2000" spans="1:91" x14ac:dyDescent="0.3">
      <c r="A2000" t="s">
        <v>2935</v>
      </c>
      <c r="B2000">
        <v>43663</v>
      </c>
      <c r="D2000">
        <v>12</v>
      </c>
      <c r="I2000">
        <v>99977</v>
      </c>
      <c r="U2000">
        <v>1</v>
      </c>
      <c r="Y2000">
        <v>1</v>
      </c>
      <c r="AA2000">
        <v>0.71</v>
      </c>
      <c r="AC2000" s="3">
        <v>0.75</v>
      </c>
      <c r="AE2000" s="3">
        <v>0.62</v>
      </c>
      <c r="AI2000">
        <v>0.75</v>
      </c>
      <c r="AK2000" s="3"/>
      <c r="AV2000" t="s">
        <v>815</v>
      </c>
      <c r="AX2000" t="s">
        <v>815</v>
      </c>
      <c r="AZ2000" t="s">
        <v>815</v>
      </c>
      <c r="BB2000" t="s">
        <v>815</v>
      </c>
      <c r="BG2000">
        <v>5</v>
      </c>
      <c r="BH2000">
        <v>6</v>
      </c>
      <c r="BI2000">
        <v>5</v>
      </c>
      <c r="BJ2000">
        <v>5</v>
      </c>
      <c r="BK2000" s="4">
        <v>3197</v>
      </c>
      <c r="BL2000" s="4">
        <v>3562</v>
      </c>
      <c r="BM2000" s="4">
        <v>3927</v>
      </c>
      <c r="BN2000" s="4">
        <v>4292</v>
      </c>
      <c r="BR2000">
        <v>41298</v>
      </c>
      <c r="BT2000">
        <v>6</v>
      </c>
      <c r="BU2000">
        <v>13</v>
      </c>
      <c r="BV2000">
        <v>3</v>
      </c>
      <c r="BX2000">
        <v>0.93</v>
      </c>
      <c r="BZ2000">
        <v>0.65</v>
      </c>
      <c r="CM2000">
        <v>1911</v>
      </c>
    </row>
    <row r="2001" spans="1:91" x14ac:dyDescent="0.3">
      <c r="A2001" t="s">
        <v>114</v>
      </c>
      <c r="B2001">
        <v>43689</v>
      </c>
      <c r="D2001">
        <v>12</v>
      </c>
      <c r="I2001" s="2">
        <v>1000000</v>
      </c>
      <c r="U2001">
        <v>1</v>
      </c>
      <c r="Y2001">
        <v>1</v>
      </c>
      <c r="AA2001">
        <v>2.25</v>
      </c>
      <c r="AC2001" s="3">
        <v>2.25</v>
      </c>
      <c r="AE2001" s="3">
        <v>2.15</v>
      </c>
      <c r="AI2001">
        <v>2.1800000000000002</v>
      </c>
      <c r="AK2001" s="3"/>
      <c r="AV2001" t="s">
        <v>823</v>
      </c>
      <c r="AZ2001" t="s">
        <v>823</v>
      </c>
      <c r="BG2001">
        <v>5</v>
      </c>
      <c r="BH2001">
        <v>15</v>
      </c>
      <c r="BI2001">
        <v>5</v>
      </c>
      <c r="BJ2001">
        <v>15</v>
      </c>
      <c r="BK2001" s="4">
        <v>3685</v>
      </c>
      <c r="BL2001" s="4">
        <v>3866</v>
      </c>
      <c r="BM2001" s="4">
        <v>4050</v>
      </c>
      <c r="BN2001" s="4">
        <v>4231</v>
      </c>
      <c r="BR2001">
        <v>613147</v>
      </c>
      <c r="BS2001" t="s">
        <v>2936</v>
      </c>
      <c r="BT2001">
        <v>4</v>
      </c>
      <c r="BU2001">
        <v>11</v>
      </c>
      <c r="BV2001">
        <v>6</v>
      </c>
      <c r="BX2001">
        <v>2.59</v>
      </c>
      <c r="BZ2001">
        <v>2.12</v>
      </c>
      <c r="CK2001" t="s">
        <v>2937</v>
      </c>
      <c r="CM2001">
        <v>1911</v>
      </c>
    </row>
    <row r="2002" spans="1:91" x14ac:dyDescent="0.3">
      <c r="A2002" t="s">
        <v>114</v>
      </c>
      <c r="B2002">
        <v>43690</v>
      </c>
      <c r="C2002" t="s">
        <v>2938</v>
      </c>
      <c r="D2002">
        <v>12</v>
      </c>
      <c r="I2002" s="2">
        <v>1000000</v>
      </c>
      <c r="U2002">
        <v>1</v>
      </c>
      <c r="Y2002">
        <v>1</v>
      </c>
      <c r="AA2002">
        <v>1.1200000000000001</v>
      </c>
      <c r="AC2002" s="3">
        <v>1.1499999999999999</v>
      </c>
      <c r="AE2002" s="3">
        <v>1.1200000000000001</v>
      </c>
      <c r="AI2002">
        <v>1.1499999999999999</v>
      </c>
      <c r="AK2002" s="3"/>
      <c r="BG2002">
        <v>5</v>
      </c>
      <c r="BH2002">
        <v>5</v>
      </c>
      <c r="BI2002">
        <v>5</v>
      </c>
      <c r="BJ2002">
        <v>5</v>
      </c>
      <c r="BK2002" s="4">
        <v>3685</v>
      </c>
      <c r="BL2002" s="4">
        <v>3866</v>
      </c>
      <c r="BM2002" s="4">
        <v>4050</v>
      </c>
      <c r="BN2002" s="4">
        <v>4231</v>
      </c>
      <c r="BR2002">
        <v>613147</v>
      </c>
      <c r="BS2002" t="s">
        <v>2936</v>
      </c>
      <c r="BT2002">
        <v>4</v>
      </c>
      <c r="BU2002">
        <v>6</v>
      </c>
      <c r="BV2002">
        <v>6</v>
      </c>
      <c r="BX2002">
        <v>1.18</v>
      </c>
      <c r="BZ2002">
        <v>1</v>
      </c>
      <c r="CM2002">
        <v>1911</v>
      </c>
    </row>
    <row r="2003" spans="1:91" x14ac:dyDescent="0.3">
      <c r="A2003" t="s">
        <v>114</v>
      </c>
      <c r="B2003">
        <v>43693</v>
      </c>
      <c r="C2003" t="s">
        <v>1046</v>
      </c>
      <c r="D2003">
        <v>12</v>
      </c>
      <c r="I2003">
        <v>957694</v>
      </c>
      <c r="J2003" t="s">
        <v>800</v>
      </c>
      <c r="V2003" t="s">
        <v>350</v>
      </c>
      <c r="Y2003">
        <v>100</v>
      </c>
      <c r="AA2003">
        <v>101</v>
      </c>
      <c r="AC2003" s="3">
        <v>102</v>
      </c>
      <c r="AE2003" s="3">
        <v>100</v>
      </c>
      <c r="AI2003">
        <v>100</v>
      </c>
      <c r="AJ2003" t="s">
        <v>379</v>
      </c>
      <c r="AK2003" s="3"/>
      <c r="BG2003">
        <v>4</v>
      </c>
      <c r="BH2003">
        <v>4</v>
      </c>
      <c r="BI2003">
        <v>4</v>
      </c>
      <c r="BJ2003">
        <v>4</v>
      </c>
      <c r="BK2003" s="4">
        <v>3654</v>
      </c>
      <c r="BL2003" s="4">
        <v>3835</v>
      </c>
      <c r="BM2003" s="4">
        <v>4019</v>
      </c>
      <c r="BN2003" s="4">
        <v>4200</v>
      </c>
      <c r="BR2003">
        <v>613147</v>
      </c>
      <c r="BS2003" t="s">
        <v>2936</v>
      </c>
      <c r="BT2003">
        <v>4</v>
      </c>
      <c r="BU2003">
        <v>0</v>
      </c>
      <c r="BV2003">
        <v>0</v>
      </c>
      <c r="BX2003">
        <v>102</v>
      </c>
      <c r="BZ2003">
        <v>98</v>
      </c>
      <c r="CM2003">
        <v>1911</v>
      </c>
    </row>
    <row r="2004" spans="1:91" x14ac:dyDescent="0.3">
      <c r="A2004" t="s">
        <v>2939</v>
      </c>
      <c r="B2004">
        <v>43696</v>
      </c>
      <c r="D2004">
        <v>12</v>
      </c>
      <c r="I2004">
        <v>290083</v>
      </c>
      <c r="U2004">
        <v>1</v>
      </c>
      <c r="Y2004">
        <v>1</v>
      </c>
      <c r="AA2004">
        <v>1.06</v>
      </c>
      <c r="AC2004" s="3">
        <v>1.1200000000000001</v>
      </c>
      <c r="AE2004" s="3">
        <v>1.06</v>
      </c>
      <c r="AI2004">
        <v>1.1200000000000001</v>
      </c>
      <c r="AK2004" s="3"/>
      <c r="AX2004" t="s">
        <v>823</v>
      </c>
      <c r="BB2004" t="s">
        <v>823</v>
      </c>
      <c r="BG2004">
        <v>6</v>
      </c>
      <c r="BH2004">
        <v>6</v>
      </c>
      <c r="BI2004">
        <v>8</v>
      </c>
      <c r="BJ2004">
        <v>6</v>
      </c>
      <c r="BK2004" s="4">
        <v>3685</v>
      </c>
      <c r="BL2004" s="4">
        <v>3866</v>
      </c>
      <c r="BM2004" s="4">
        <v>4050</v>
      </c>
      <c r="BN2004" s="4">
        <v>4231</v>
      </c>
      <c r="BR2004">
        <v>61037</v>
      </c>
      <c r="BS2004" t="s">
        <v>2940</v>
      </c>
      <c r="BT2004">
        <v>6</v>
      </c>
      <c r="BU2004">
        <v>4</v>
      </c>
      <c r="BV2004">
        <v>6</v>
      </c>
      <c r="BX2004">
        <v>1.1200000000000001</v>
      </c>
      <c r="BZ2004">
        <v>1.03</v>
      </c>
      <c r="CK2004" t="s">
        <v>855</v>
      </c>
      <c r="CM2004">
        <v>1911</v>
      </c>
    </row>
    <row r="2005" spans="1:91" x14ac:dyDescent="0.3">
      <c r="A2005" t="s">
        <v>2939</v>
      </c>
      <c r="B2005">
        <v>43697</v>
      </c>
      <c r="C2005" t="s">
        <v>2938</v>
      </c>
      <c r="D2005">
        <v>12</v>
      </c>
      <c r="I2005">
        <v>211886</v>
      </c>
      <c r="U2005">
        <v>1</v>
      </c>
      <c r="Y2005">
        <v>1</v>
      </c>
      <c r="AA2005">
        <v>1.03</v>
      </c>
      <c r="AC2005" s="3">
        <v>1.03</v>
      </c>
      <c r="AE2005" s="3">
        <v>1.03</v>
      </c>
      <c r="AI2005">
        <v>1.03</v>
      </c>
      <c r="AK2005" s="3"/>
      <c r="BG2005">
        <v>5</v>
      </c>
      <c r="BH2005">
        <v>5</v>
      </c>
      <c r="BI2005">
        <v>5</v>
      </c>
      <c r="BJ2005">
        <v>5</v>
      </c>
      <c r="BK2005" s="4">
        <v>3685</v>
      </c>
      <c r="BL2005" s="4">
        <v>3866</v>
      </c>
      <c r="BM2005" s="4">
        <v>4050</v>
      </c>
      <c r="BN2005" s="4">
        <v>4231</v>
      </c>
      <c r="BR2005">
        <v>61037</v>
      </c>
      <c r="BS2005" t="s">
        <v>2940</v>
      </c>
      <c r="BT2005">
        <v>4</v>
      </c>
      <c r="BU2005">
        <v>17</v>
      </c>
      <c r="BV2005">
        <v>0</v>
      </c>
      <c r="BX2005">
        <v>1.06</v>
      </c>
      <c r="BZ2005">
        <v>1.03</v>
      </c>
      <c r="CM2005">
        <v>1911</v>
      </c>
    </row>
    <row r="2006" spans="1:91" x14ac:dyDescent="0.3">
      <c r="A2006" t="s">
        <v>2941</v>
      </c>
      <c r="B2006">
        <v>43717</v>
      </c>
      <c r="D2006">
        <v>12</v>
      </c>
      <c r="I2006">
        <v>100000</v>
      </c>
      <c r="U2006">
        <v>1</v>
      </c>
      <c r="Y2006">
        <v>1</v>
      </c>
      <c r="AA2006">
        <v>1.06</v>
      </c>
      <c r="AC2006" s="3">
        <v>1.06</v>
      </c>
      <c r="AE2006" s="3">
        <v>1.06</v>
      </c>
      <c r="AI2006">
        <v>1.06</v>
      </c>
      <c r="AK2006" s="3"/>
      <c r="AX2006" t="s">
        <v>823</v>
      </c>
      <c r="BB2006" t="s">
        <v>823</v>
      </c>
      <c r="BG2006">
        <v>7</v>
      </c>
      <c r="BH2006">
        <v>7</v>
      </c>
      <c r="BI2006">
        <v>7</v>
      </c>
      <c r="BJ2006">
        <v>7</v>
      </c>
      <c r="BK2006" s="4">
        <v>3744</v>
      </c>
      <c r="BL2006" s="4">
        <v>3927</v>
      </c>
      <c r="BM2006" s="4">
        <v>4109</v>
      </c>
      <c r="BN2006" s="4">
        <v>4292</v>
      </c>
      <c r="BR2006">
        <v>5940</v>
      </c>
      <c r="BT2006">
        <v>6</v>
      </c>
      <c r="BU2006">
        <v>11</v>
      </c>
      <c r="BV2006">
        <v>9</v>
      </c>
      <c r="BX2006">
        <v>1.18</v>
      </c>
      <c r="BZ2006">
        <v>1.06</v>
      </c>
      <c r="CK2006" t="s">
        <v>395</v>
      </c>
      <c r="CM2006">
        <v>1911</v>
      </c>
    </row>
    <row r="2007" spans="1:91" x14ac:dyDescent="0.3">
      <c r="A2007" t="s">
        <v>2942</v>
      </c>
      <c r="B2007">
        <v>43722</v>
      </c>
      <c r="D2007">
        <v>12</v>
      </c>
      <c r="I2007">
        <v>180194</v>
      </c>
      <c r="U2007">
        <v>1</v>
      </c>
      <c r="Y2007">
        <v>1</v>
      </c>
      <c r="AA2007">
        <v>2.5</v>
      </c>
      <c r="AC2007" s="3">
        <v>2.56</v>
      </c>
      <c r="AE2007" s="3">
        <v>2.4</v>
      </c>
      <c r="AI2007">
        <v>2.5</v>
      </c>
      <c r="AK2007" s="3"/>
      <c r="AX2007" t="s">
        <v>823</v>
      </c>
      <c r="BB2007" t="s">
        <v>823</v>
      </c>
      <c r="BG2007">
        <v>25</v>
      </c>
      <c r="BH2007">
        <v>10</v>
      </c>
      <c r="BI2007">
        <v>25</v>
      </c>
      <c r="BJ2007">
        <v>10</v>
      </c>
      <c r="BK2007" s="4">
        <v>3744</v>
      </c>
      <c r="BL2007" s="4">
        <v>3927</v>
      </c>
      <c r="BM2007" s="4">
        <v>4109</v>
      </c>
      <c r="BN2007" s="4">
        <v>4292</v>
      </c>
      <c r="BR2007">
        <v>178631</v>
      </c>
      <c r="BS2007" t="s">
        <v>2943</v>
      </c>
      <c r="BT2007">
        <v>7</v>
      </c>
      <c r="BU2007">
        <v>0</v>
      </c>
      <c r="BV2007">
        <v>0</v>
      </c>
      <c r="BX2007">
        <v>3.06</v>
      </c>
      <c r="BZ2007">
        <v>2.4</v>
      </c>
      <c r="CK2007" t="s">
        <v>360</v>
      </c>
      <c r="CM2007">
        <v>1911</v>
      </c>
    </row>
    <row r="2008" spans="1:91" x14ac:dyDescent="0.3">
      <c r="A2008" t="s">
        <v>2944</v>
      </c>
      <c r="B2008">
        <v>43723</v>
      </c>
      <c r="C2008" t="s">
        <v>1431</v>
      </c>
      <c r="D2008">
        <v>12</v>
      </c>
      <c r="I2008">
        <v>200000</v>
      </c>
      <c r="U2008">
        <v>1</v>
      </c>
      <c r="Y2008">
        <v>1</v>
      </c>
      <c r="AA2008">
        <v>1.21</v>
      </c>
      <c r="AC2008" s="3">
        <v>1.31</v>
      </c>
      <c r="AE2008" s="3">
        <v>1.21</v>
      </c>
      <c r="AI2008">
        <v>1.21</v>
      </c>
      <c r="AK2008" s="3"/>
      <c r="AV2008" t="s">
        <v>536</v>
      </c>
      <c r="AX2008" t="s">
        <v>536</v>
      </c>
      <c r="AZ2008" t="s">
        <v>536</v>
      </c>
      <c r="BB2008" t="s">
        <v>536</v>
      </c>
      <c r="BO2008" t="s">
        <v>367</v>
      </c>
      <c r="BR2008">
        <v>178631</v>
      </c>
      <c r="BS2008" t="s">
        <v>2943</v>
      </c>
      <c r="BT2008">
        <v>4</v>
      </c>
      <c r="BU2008">
        <v>18</v>
      </c>
      <c r="BV2008">
        <v>6</v>
      </c>
      <c r="BX2008">
        <v>1.37</v>
      </c>
      <c r="BZ2008">
        <v>1.18</v>
      </c>
      <c r="CM2008">
        <v>1911</v>
      </c>
    </row>
    <row r="2009" spans="1:91" x14ac:dyDescent="0.3">
      <c r="A2009" t="s">
        <v>2944</v>
      </c>
      <c r="B2009">
        <v>43726</v>
      </c>
      <c r="C2009" t="s">
        <v>2945</v>
      </c>
      <c r="D2009">
        <v>12</v>
      </c>
      <c r="I2009">
        <v>118740</v>
      </c>
      <c r="U2009">
        <v>1</v>
      </c>
      <c r="Y2009">
        <v>1</v>
      </c>
      <c r="AA2009">
        <v>1.68</v>
      </c>
      <c r="AC2009" s="3">
        <v>1.68</v>
      </c>
      <c r="AE2009" s="3">
        <v>1.68</v>
      </c>
      <c r="AI2009">
        <v>1.68</v>
      </c>
      <c r="AK2009" s="3"/>
      <c r="AU2009" t="s">
        <v>2946</v>
      </c>
      <c r="AV2009" s="5">
        <v>40848</v>
      </c>
      <c r="AW2009" t="s">
        <v>2947</v>
      </c>
      <c r="AX2009" t="s">
        <v>2948</v>
      </c>
      <c r="AY2009" t="s">
        <v>1582</v>
      </c>
      <c r="AZ2009" t="s">
        <v>1760</v>
      </c>
      <c r="BA2009" t="s">
        <v>2947</v>
      </c>
      <c r="BB2009" t="s">
        <v>2948</v>
      </c>
      <c r="BC2009">
        <v>23</v>
      </c>
      <c r="BD2009">
        <v>8</v>
      </c>
      <c r="BE2009">
        <v>24</v>
      </c>
      <c r="BF2009">
        <v>8</v>
      </c>
      <c r="BK2009" s="4">
        <v>3744</v>
      </c>
      <c r="BL2009" s="4">
        <v>3927</v>
      </c>
      <c r="BM2009" s="4">
        <v>4109</v>
      </c>
      <c r="BN2009" s="4">
        <v>4292</v>
      </c>
      <c r="BR2009">
        <v>162</v>
      </c>
      <c r="BT2009">
        <v>8</v>
      </c>
      <c r="BU2009">
        <v>0</v>
      </c>
      <c r="BV2009">
        <v>0</v>
      </c>
      <c r="BX2009">
        <v>2</v>
      </c>
      <c r="BZ2009">
        <v>1.46</v>
      </c>
      <c r="CK2009" t="s">
        <v>360</v>
      </c>
      <c r="CM2009">
        <v>1911</v>
      </c>
    </row>
    <row r="2010" spans="1:91" x14ac:dyDescent="0.3">
      <c r="A2010" t="s">
        <v>2949</v>
      </c>
      <c r="B2010">
        <v>43773</v>
      </c>
      <c r="D2010">
        <v>12</v>
      </c>
      <c r="I2010">
        <v>20000</v>
      </c>
      <c r="U2010">
        <v>10</v>
      </c>
      <c r="Y2010">
        <v>10</v>
      </c>
      <c r="AA2010">
        <v>11.5</v>
      </c>
      <c r="AC2010" s="3">
        <v>11.5</v>
      </c>
      <c r="AE2010" s="3">
        <v>11.5</v>
      </c>
      <c r="AI2010">
        <v>11.5</v>
      </c>
      <c r="AK2010" s="3"/>
      <c r="BG2010">
        <v>6</v>
      </c>
      <c r="BH2010">
        <v>6</v>
      </c>
      <c r="BI2010">
        <v>6</v>
      </c>
      <c r="BJ2010">
        <v>6</v>
      </c>
      <c r="BK2010" s="4">
        <v>3685</v>
      </c>
      <c r="BL2010" s="4">
        <v>3866</v>
      </c>
      <c r="BM2010" s="4">
        <v>4050</v>
      </c>
      <c r="BN2010" s="4">
        <v>4231</v>
      </c>
      <c r="BR2010">
        <v>64667</v>
      </c>
      <c r="BT2010">
        <v>5</v>
      </c>
      <c r="BU2010">
        <v>4</v>
      </c>
      <c r="BV2010">
        <v>3</v>
      </c>
      <c r="BX2010">
        <v>11.5</v>
      </c>
      <c r="BZ2010">
        <v>10</v>
      </c>
      <c r="CK2010" t="s">
        <v>360</v>
      </c>
      <c r="CM2010">
        <v>1911</v>
      </c>
    </row>
    <row r="2011" spans="1:91" x14ac:dyDescent="0.3">
      <c r="A2011" t="s">
        <v>2950</v>
      </c>
      <c r="B2011">
        <v>43781</v>
      </c>
      <c r="D2011">
        <v>12</v>
      </c>
      <c r="I2011">
        <v>66667</v>
      </c>
      <c r="U2011">
        <v>1</v>
      </c>
      <c r="Y2011">
        <v>1</v>
      </c>
      <c r="AA2011">
        <v>0.62</v>
      </c>
      <c r="AC2011" s="3">
        <v>0.62</v>
      </c>
      <c r="AE2011" s="3">
        <v>0.37</v>
      </c>
      <c r="AI2011">
        <v>0.62</v>
      </c>
      <c r="AK2011" s="3"/>
      <c r="BG2011">
        <v>5</v>
      </c>
      <c r="BH2011">
        <v>5</v>
      </c>
      <c r="BI2011">
        <v>4</v>
      </c>
      <c r="BJ2011">
        <v>5</v>
      </c>
      <c r="BK2011" s="4">
        <v>3685</v>
      </c>
      <c r="BL2011" s="4">
        <v>3835</v>
      </c>
      <c r="BM2011" s="4">
        <v>4050</v>
      </c>
      <c r="BN2011" s="4">
        <v>4200</v>
      </c>
      <c r="BR2011">
        <v>140</v>
      </c>
      <c r="BT2011">
        <v>7</v>
      </c>
      <c r="BU2011">
        <v>4</v>
      </c>
      <c r="BV2011">
        <v>0</v>
      </c>
      <c r="BX2011">
        <v>0.62</v>
      </c>
      <c r="BZ2011">
        <v>0.5</v>
      </c>
      <c r="CK2011" t="s">
        <v>1281</v>
      </c>
      <c r="CM2011">
        <v>1911</v>
      </c>
    </row>
    <row r="2012" spans="1:91" x14ac:dyDescent="0.3">
      <c r="A2012" t="s">
        <v>2951</v>
      </c>
      <c r="B2012">
        <v>43789</v>
      </c>
      <c r="D2012">
        <v>12</v>
      </c>
      <c r="I2012">
        <v>80000</v>
      </c>
      <c r="U2012">
        <v>1</v>
      </c>
      <c r="Y2012">
        <v>1</v>
      </c>
      <c r="AA2012">
        <v>0.25</v>
      </c>
      <c r="AC2012" s="3">
        <v>0.25</v>
      </c>
      <c r="AE2012" s="3">
        <v>0.25</v>
      </c>
      <c r="AI2012">
        <v>0.25</v>
      </c>
      <c r="AK2012" s="3"/>
      <c r="BB2012" t="s">
        <v>810</v>
      </c>
      <c r="BG2012">
        <v>6</v>
      </c>
      <c r="BH2012">
        <v>5</v>
      </c>
      <c r="BI2012">
        <v>2.5</v>
      </c>
      <c r="BK2012" s="4">
        <v>1614</v>
      </c>
      <c r="BL2012" s="4">
        <v>1979</v>
      </c>
      <c r="BM2012" s="4">
        <v>2344</v>
      </c>
      <c r="BS2012" t="s">
        <v>385</v>
      </c>
      <c r="BW2012" t="s">
        <v>802</v>
      </c>
      <c r="BX2012">
        <v>0.28000000000000003</v>
      </c>
      <c r="BZ2012">
        <v>0.18</v>
      </c>
      <c r="CK2012" t="s">
        <v>360</v>
      </c>
      <c r="CM2012">
        <v>1911</v>
      </c>
    </row>
    <row r="2013" spans="1:91" x14ac:dyDescent="0.3">
      <c r="A2013" t="s">
        <v>2951</v>
      </c>
      <c r="B2013">
        <v>43791</v>
      </c>
      <c r="C2013" t="s">
        <v>1062</v>
      </c>
      <c r="D2013">
        <v>12</v>
      </c>
      <c r="I2013">
        <v>80000</v>
      </c>
      <c r="U2013">
        <v>1</v>
      </c>
      <c r="Y2013">
        <v>1</v>
      </c>
      <c r="AA2013">
        <v>0.53</v>
      </c>
      <c r="AC2013" s="3">
        <v>0.53</v>
      </c>
      <c r="AE2013" s="3">
        <v>0.53</v>
      </c>
      <c r="AI2013">
        <v>0.53</v>
      </c>
      <c r="AK2013" s="3"/>
      <c r="BB2013" t="s">
        <v>810</v>
      </c>
      <c r="BG2013">
        <v>7</v>
      </c>
      <c r="BH2013">
        <v>7</v>
      </c>
      <c r="BI2013">
        <v>7</v>
      </c>
      <c r="BK2013" s="4">
        <v>1979</v>
      </c>
      <c r="BL2013" s="4">
        <v>2344</v>
      </c>
      <c r="BM2013" s="4">
        <v>2709</v>
      </c>
      <c r="BS2013" t="s">
        <v>385</v>
      </c>
      <c r="BW2013" t="s">
        <v>802</v>
      </c>
      <c r="BX2013">
        <v>0.62</v>
      </c>
      <c r="BZ2013">
        <v>0.37</v>
      </c>
      <c r="CM2013">
        <v>1911</v>
      </c>
    </row>
    <row r="2014" spans="1:91" x14ac:dyDescent="0.3">
      <c r="A2014" t="s">
        <v>2952</v>
      </c>
      <c r="B2014">
        <v>43806</v>
      </c>
      <c r="D2014">
        <v>12</v>
      </c>
      <c r="I2014" s="2">
        <v>2250000</v>
      </c>
      <c r="U2014">
        <v>1</v>
      </c>
      <c r="Y2014">
        <v>1</v>
      </c>
      <c r="AA2014">
        <v>1.56</v>
      </c>
      <c r="AB2014" t="s">
        <v>379</v>
      </c>
      <c r="AC2014" s="3">
        <v>1.56</v>
      </c>
      <c r="AE2014" s="3">
        <v>1.43</v>
      </c>
      <c r="AI2014">
        <v>1.5</v>
      </c>
      <c r="AK2014" s="3"/>
      <c r="AX2014" t="s">
        <v>823</v>
      </c>
      <c r="BB2014" t="s">
        <v>823</v>
      </c>
      <c r="BG2014">
        <v>10</v>
      </c>
      <c r="BH2014">
        <v>6</v>
      </c>
      <c r="BI2014">
        <v>10</v>
      </c>
      <c r="BJ2014">
        <v>6</v>
      </c>
      <c r="BK2014" s="4">
        <v>3805</v>
      </c>
      <c r="BL2014" s="4">
        <v>3988</v>
      </c>
      <c r="BM2014" s="4">
        <v>4170</v>
      </c>
      <c r="BN2014" s="4">
        <v>4353</v>
      </c>
      <c r="BR2014" s="2">
        <v>1397260</v>
      </c>
      <c r="BS2014" t="s">
        <v>2953</v>
      </c>
      <c r="BT2014">
        <v>5</v>
      </c>
      <c r="BU2014">
        <v>6</v>
      </c>
      <c r="BV2014">
        <v>9</v>
      </c>
      <c r="BX2014">
        <v>1.68</v>
      </c>
      <c r="BZ2014">
        <v>1.43</v>
      </c>
      <c r="CK2014" t="s">
        <v>2954</v>
      </c>
      <c r="CM2014">
        <v>1911</v>
      </c>
    </row>
    <row r="2015" spans="1:91" x14ac:dyDescent="0.3">
      <c r="A2015" t="s">
        <v>2955</v>
      </c>
      <c r="B2015">
        <v>43809</v>
      </c>
      <c r="D2015">
        <v>12</v>
      </c>
      <c r="I2015" s="2">
        <v>3000000</v>
      </c>
      <c r="U2015">
        <v>1</v>
      </c>
      <c r="Y2015">
        <v>1</v>
      </c>
      <c r="AA2015">
        <v>1.1200000000000001</v>
      </c>
      <c r="AB2015" t="s">
        <v>379</v>
      </c>
      <c r="AC2015" s="3">
        <v>1.1200000000000001</v>
      </c>
      <c r="AE2015" s="3">
        <v>1.06</v>
      </c>
      <c r="AI2015">
        <v>1.0900000000000001</v>
      </c>
      <c r="AK2015" s="3"/>
      <c r="AV2015" t="s">
        <v>421</v>
      </c>
      <c r="AX2015" t="s">
        <v>421</v>
      </c>
      <c r="AZ2015" t="s">
        <v>421</v>
      </c>
      <c r="BB2015" t="s">
        <v>421</v>
      </c>
      <c r="BO2015" t="s">
        <v>367</v>
      </c>
      <c r="BR2015" s="2">
        <v>1397260</v>
      </c>
      <c r="BS2015" t="s">
        <v>2953</v>
      </c>
      <c r="BT2015">
        <v>4</v>
      </c>
      <c r="BU2015">
        <v>11</v>
      </c>
      <c r="BV2015">
        <v>6</v>
      </c>
      <c r="BX2015">
        <v>1.18</v>
      </c>
      <c r="BZ2015">
        <v>1.06</v>
      </c>
      <c r="CM2015">
        <v>1911</v>
      </c>
    </row>
    <row r="2016" spans="1:91" x14ac:dyDescent="0.3">
      <c r="A2016" t="s">
        <v>2955</v>
      </c>
      <c r="B2016">
        <v>43811</v>
      </c>
      <c r="C2016" t="s">
        <v>2956</v>
      </c>
      <c r="D2016">
        <v>12</v>
      </c>
      <c r="I2016" s="2">
        <v>2000000</v>
      </c>
      <c r="J2016" t="s">
        <v>800</v>
      </c>
      <c r="V2016" t="s">
        <v>350</v>
      </c>
      <c r="Y2016">
        <v>100</v>
      </c>
      <c r="AA2016">
        <v>101</v>
      </c>
      <c r="AC2016" s="3">
        <v>102</v>
      </c>
      <c r="AE2016" s="3">
        <v>101</v>
      </c>
      <c r="AI2016">
        <v>102</v>
      </c>
      <c r="AK2016" s="3"/>
      <c r="AV2016" t="s">
        <v>536</v>
      </c>
      <c r="AX2016" t="s">
        <v>536</v>
      </c>
      <c r="AZ2016" t="s">
        <v>536</v>
      </c>
      <c r="BB2016" t="s">
        <v>536</v>
      </c>
      <c r="BO2016" t="s">
        <v>367</v>
      </c>
      <c r="BR2016" s="2">
        <v>1397260</v>
      </c>
      <c r="BS2016" t="s">
        <v>2953</v>
      </c>
      <c r="BT2016">
        <v>3</v>
      </c>
      <c r="BU2016">
        <v>19</v>
      </c>
      <c r="BV2016">
        <v>3</v>
      </c>
      <c r="BX2016">
        <v>103</v>
      </c>
      <c r="BZ2016">
        <v>99.5</v>
      </c>
      <c r="CM2016">
        <v>1911</v>
      </c>
    </row>
    <row r="2017" spans="1:91" x14ac:dyDescent="0.3">
      <c r="A2017" t="s">
        <v>2955</v>
      </c>
      <c r="B2017">
        <v>43810</v>
      </c>
      <c r="C2017" t="s">
        <v>2957</v>
      </c>
      <c r="D2017">
        <v>12</v>
      </c>
      <c r="I2017">
        <v>750000</v>
      </c>
      <c r="J2017" t="s">
        <v>800</v>
      </c>
      <c r="V2017" t="s">
        <v>350</v>
      </c>
      <c r="Y2017">
        <v>100</v>
      </c>
      <c r="AA2017">
        <v>99.5</v>
      </c>
      <c r="AC2017" s="3">
        <v>99.5</v>
      </c>
      <c r="AE2017" s="3">
        <v>99.5</v>
      </c>
      <c r="AI2017">
        <v>99.5</v>
      </c>
      <c r="AK2017" s="3"/>
      <c r="AV2017" t="s">
        <v>536</v>
      </c>
      <c r="AX2017" t="s">
        <v>536</v>
      </c>
      <c r="AZ2017" t="s">
        <v>536</v>
      </c>
      <c r="BB2017" t="s">
        <v>536</v>
      </c>
      <c r="BO2017" t="s">
        <v>367</v>
      </c>
      <c r="BR2017" s="2">
        <v>1397260</v>
      </c>
      <c r="BS2017" t="s">
        <v>2953</v>
      </c>
      <c r="BT2017">
        <v>4</v>
      </c>
      <c r="BU2017">
        <v>0</v>
      </c>
      <c r="BV2017">
        <v>9</v>
      </c>
      <c r="BX2017">
        <v>101</v>
      </c>
      <c r="BZ2017">
        <v>97.5</v>
      </c>
      <c r="CM2017">
        <v>1911</v>
      </c>
    </row>
    <row r="2018" spans="1:91" x14ac:dyDescent="0.3">
      <c r="A2018" t="s">
        <v>2958</v>
      </c>
      <c r="B2018">
        <v>43838</v>
      </c>
      <c r="D2018">
        <v>12</v>
      </c>
      <c r="I2018">
        <v>70000</v>
      </c>
      <c r="U2018">
        <v>1</v>
      </c>
      <c r="Y2018">
        <v>1</v>
      </c>
      <c r="AA2018">
        <v>0.62</v>
      </c>
      <c r="AC2018" s="3">
        <v>0.62</v>
      </c>
      <c r="AE2018" s="3">
        <v>0.62</v>
      </c>
      <c r="AI2018">
        <v>0.62</v>
      </c>
      <c r="AK2018" s="3"/>
      <c r="AX2018" t="s">
        <v>823</v>
      </c>
      <c r="BB2018" t="s">
        <v>823</v>
      </c>
      <c r="BG2018">
        <v>6</v>
      </c>
      <c r="BH2018">
        <v>4</v>
      </c>
      <c r="BI2018">
        <v>6</v>
      </c>
      <c r="BJ2018">
        <v>4</v>
      </c>
      <c r="BK2018" s="4">
        <v>3713</v>
      </c>
      <c r="BL2018" s="4">
        <v>3866</v>
      </c>
      <c r="BM2018" s="4">
        <v>4078</v>
      </c>
      <c r="BN2018" s="4">
        <v>4231</v>
      </c>
      <c r="BR2018">
        <v>7616</v>
      </c>
      <c r="BT2018">
        <v>8</v>
      </c>
      <c r="BU2018">
        <v>0</v>
      </c>
      <c r="BV2018">
        <v>0</v>
      </c>
      <c r="BX2018">
        <v>0.62</v>
      </c>
      <c r="BZ2018">
        <v>0.5</v>
      </c>
      <c r="CK2018" t="s">
        <v>360</v>
      </c>
      <c r="CL2018" t="s">
        <v>457</v>
      </c>
      <c r="CM2018">
        <v>1911</v>
      </c>
    </row>
    <row r="2019" spans="1:91" x14ac:dyDescent="0.3">
      <c r="A2019" t="s">
        <v>2959</v>
      </c>
      <c r="B2019">
        <v>43839</v>
      </c>
      <c r="D2019">
        <v>12</v>
      </c>
      <c r="I2019">
        <v>30000</v>
      </c>
      <c r="U2019">
        <v>14.5</v>
      </c>
      <c r="Y2019">
        <v>9.5</v>
      </c>
      <c r="AA2019">
        <v>4.5</v>
      </c>
      <c r="AC2019" s="3">
        <v>4.5</v>
      </c>
      <c r="AE2019" s="3">
        <v>4.5</v>
      </c>
      <c r="AI2019">
        <v>4.5</v>
      </c>
      <c r="AK2019" s="3"/>
      <c r="AU2019" t="s">
        <v>2960</v>
      </c>
      <c r="AV2019" t="s">
        <v>2961</v>
      </c>
      <c r="AW2019" t="s">
        <v>2962</v>
      </c>
      <c r="AX2019" s="5">
        <v>40699</v>
      </c>
      <c r="AY2019" t="s">
        <v>1582</v>
      </c>
      <c r="AZ2019" t="s">
        <v>1583</v>
      </c>
      <c r="BB2019" t="s">
        <v>810</v>
      </c>
      <c r="BC2019">
        <v>33</v>
      </c>
      <c r="BD2019">
        <v>66</v>
      </c>
      <c r="BE2019">
        <v>24</v>
      </c>
      <c r="BK2019" s="4">
        <v>2739</v>
      </c>
      <c r="BL2019" s="4">
        <v>2923</v>
      </c>
      <c r="BM2019" s="4">
        <v>3105</v>
      </c>
      <c r="BR2019">
        <v>12070</v>
      </c>
      <c r="BW2019" t="s">
        <v>802</v>
      </c>
      <c r="BX2019">
        <v>5.75</v>
      </c>
      <c r="BZ2019">
        <v>4</v>
      </c>
      <c r="CK2019" t="s">
        <v>360</v>
      </c>
      <c r="CM2019">
        <v>1911</v>
      </c>
    </row>
    <row r="2020" spans="1:91" x14ac:dyDescent="0.3">
      <c r="A2020" t="s">
        <v>2963</v>
      </c>
      <c r="B2020">
        <v>43885</v>
      </c>
      <c r="D2020">
        <v>12</v>
      </c>
      <c r="I2020">
        <v>20000</v>
      </c>
      <c r="U2020">
        <v>15</v>
      </c>
      <c r="Y2020">
        <v>10.5</v>
      </c>
      <c r="AA2020">
        <v>7.75</v>
      </c>
      <c r="AC2020" s="3">
        <v>7.75</v>
      </c>
      <c r="AE2020" s="3">
        <v>7.75</v>
      </c>
      <c r="AI2020">
        <v>7.75</v>
      </c>
      <c r="AK2020" s="3"/>
      <c r="AU2020" t="s">
        <v>2126</v>
      </c>
      <c r="AV2020" s="5">
        <v>40701</v>
      </c>
      <c r="AW2020" t="s">
        <v>1463</v>
      </c>
      <c r="AX2020" t="s">
        <v>2125</v>
      </c>
      <c r="AY2020" t="s">
        <v>1799</v>
      </c>
      <c r="AZ2020" t="s">
        <v>2964</v>
      </c>
      <c r="BA2020" t="s">
        <v>1463</v>
      </c>
      <c r="BB2020" t="s">
        <v>2125</v>
      </c>
      <c r="BC2020">
        <v>90</v>
      </c>
      <c r="BD2020">
        <v>60</v>
      </c>
      <c r="BE2020">
        <v>96</v>
      </c>
      <c r="BF2020">
        <v>60</v>
      </c>
      <c r="BK2020" s="4">
        <v>3685</v>
      </c>
      <c r="BL2020" s="4">
        <v>3835</v>
      </c>
      <c r="BM2020" s="4">
        <v>4050</v>
      </c>
      <c r="BN2020" s="4">
        <v>4200</v>
      </c>
      <c r="BR2020">
        <v>28911</v>
      </c>
      <c r="BT2020">
        <v>8</v>
      </c>
      <c r="BU2020">
        <v>8</v>
      </c>
      <c r="BV2020">
        <v>0</v>
      </c>
      <c r="BX2020">
        <v>9</v>
      </c>
      <c r="BZ2020">
        <v>7.25</v>
      </c>
      <c r="CK2020" t="s">
        <v>360</v>
      </c>
      <c r="CM2020">
        <v>1911</v>
      </c>
    </row>
    <row r="2021" spans="1:91" x14ac:dyDescent="0.3">
      <c r="A2021" t="s">
        <v>2965</v>
      </c>
      <c r="B2021">
        <v>43896</v>
      </c>
      <c r="D2021">
        <v>12</v>
      </c>
      <c r="I2021">
        <v>30000</v>
      </c>
      <c r="U2021">
        <v>5</v>
      </c>
      <c r="Y2021">
        <v>5</v>
      </c>
      <c r="AA2021">
        <v>4.62</v>
      </c>
      <c r="AC2021" s="3">
        <v>4.62</v>
      </c>
      <c r="AE2021" s="3">
        <v>4.62</v>
      </c>
      <c r="AI2021">
        <v>4.62</v>
      </c>
      <c r="AK2021" s="3"/>
      <c r="AV2021" t="s">
        <v>506</v>
      </c>
      <c r="AX2021" t="s">
        <v>506</v>
      </c>
      <c r="AZ2021" t="s">
        <v>506</v>
      </c>
      <c r="BB2021" t="s">
        <v>506</v>
      </c>
      <c r="BO2021" t="s">
        <v>367</v>
      </c>
      <c r="BR2021">
        <v>47052</v>
      </c>
      <c r="BS2021" t="s">
        <v>2966</v>
      </c>
      <c r="BT2021">
        <v>5</v>
      </c>
      <c r="BU2021">
        <v>19</v>
      </c>
      <c r="BV2021">
        <v>0</v>
      </c>
      <c r="BX2021">
        <v>4.87</v>
      </c>
      <c r="BZ2021">
        <v>4.62</v>
      </c>
      <c r="CK2021" t="s">
        <v>360</v>
      </c>
      <c r="CM2021">
        <v>1911</v>
      </c>
    </row>
    <row r="2022" spans="1:91" x14ac:dyDescent="0.3">
      <c r="A2022" t="s">
        <v>2965</v>
      </c>
      <c r="B2022">
        <v>43897</v>
      </c>
      <c r="C2022" t="s">
        <v>906</v>
      </c>
      <c r="D2022">
        <v>12</v>
      </c>
      <c r="I2022">
        <v>100000</v>
      </c>
      <c r="J2022" t="s">
        <v>800</v>
      </c>
      <c r="V2022" t="s">
        <v>350</v>
      </c>
      <c r="Y2022">
        <v>100</v>
      </c>
      <c r="AA2022">
        <v>88.5</v>
      </c>
      <c r="AC2022" s="3">
        <v>88.5</v>
      </c>
      <c r="AE2022" s="3">
        <v>86.5</v>
      </c>
      <c r="AI2022">
        <v>86.5</v>
      </c>
      <c r="AK2022" s="3"/>
      <c r="AV2022" t="s">
        <v>421</v>
      </c>
      <c r="AX2022" t="s">
        <v>421</v>
      </c>
      <c r="AZ2022" t="s">
        <v>421</v>
      </c>
      <c r="BB2022" t="s">
        <v>421</v>
      </c>
      <c r="BO2022" t="s">
        <v>367</v>
      </c>
      <c r="BR2022">
        <v>47052</v>
      </c>
      <c r="BS2022" t="s">
        <v>2966</v>
      </c>
      <c r="BT2022">
        <v>5</v>
      </c>
      <c r="BU2022">
        <v>5</v>
      </c>
      <c r="BV2022">
        <v>3</v>
      </c>
      <c r="BX2022">
        <v>89</v>
      </c>
      <c r="BZ2022">
        <v>86.5</v>
      </c>
      <c r="CM2022">
        <v>1911</v>
      </c>
    </row>
    <row r="2023" spans="1:91" x14ac:dyDescent="0.3">
      <c r="A2023" t="s">
        <v>2967</v>
      </c>
      <c r="B2023">
        <v>43902</v>
      </c>
      <c r="D2023">
        <v>12</v>
      </c>
      <c r="I2023">
        <v>15000</v>
      </c>
      <c r="U2023">
        <v>20</v>
      </c>
      <c r="Y2023">
        <v>20</v>
      </c>
      <c r="AA2023">
        <v>27</v>
      </c>
      <c r="AC2023" s="3">
        <v>27</v>
      </c>
      <c r="AE2023" s="3">
        <v>27</v>
      </c>
      <c r="AI2023">
        <v>27</v>
      </c>
      <c r="AK2023" s="3"/>
      <c r="AV2023" t="s">
        <v>823</v>
      </c>
      <c r="AZ2023" t="s">
        <v>823</v>
      </c>
      <c r="BG2023">
        <v>5</v>
      </c>
      <c r="BH2023">
        <v>11</v>
      </c>
      <c r="BI2023">
        <v>5</v>
      </c>
      <c r="BJ2023">
        <v>11</v>
      </c>
      <c r="BK2023" s="4">
        <v>3685</v>
      </c>
      <c r="BL2023" s="4">
        <v>3835</v>
      </c>
      <c r="BM2023" s="4">
        <v>4050</v>
      </c>
      <c r="BN2023" s="4">
        <v>4200</v>
      </c>
      <c r="BR2023">
        <v>37998</v>
      </c>
      <c r="BT2023">
        <v>5</v>
      </c>
      <c r="BU2023">
        <v>18</v>
      </c>
      <c r="BV2023">
        <v>6</v>
      </c>
      <c r="BX2023">
        <v>32</v>
      </c>
      <c r="BZ2023">
        <v>26.5</v>
      </c>
      <c r="CK2023" t="s">
        <v>541</v>
      </c>
      <c r="CM2023">
        <v>1911</v>
      </c>
    </row>
    <row r="2024" spans="1:91" x14ac:dyDescent="0.3">
      <c r="A2024" t="s">
        <v>2968</v>
      </c>
      <c r="B2024">
        <v>43917</v>
      </c>
      <c r="D2024">
        <v>12</v>
      </c>
      <c r="I2024">
        <v>50000</v>
      </c>
      <c r="U2024">
        <v>10</v>
      </c>
      <c r="Y2024">
        <v>10</v>
      </c>
      <c r="AA2024">
        <v>5.5</v>
      </c>
      <c r="AC2024" s="3">
        <v>5.5</v>
      </c>
      <c r="AE2024" s="3">
        <v>4.75</v>
      </c>
      <c r="AI2024">
        <v>5.25</v>
      </c>
      <c r="AK2024" s="3"/>
      <c r="BG2024">
        <v>5.5</v>
      </c>
      <c r="BH2024">
        <v>5.5</v>
      </c>
      <c r="BI2024">
        <v>5.5</v>
      </c>
      <c r="BJ2024">
        <v>5.5</v>
      </c>
      <c r="BK2024" s="4">
        <v>3685</v>
      </c>
      <c r="BL2024" s="4">
        <v>3835</v>
      </c>
      <c r="BM2024" s="4">
        <v>4050</v>
      </c>
      <c r="BN2024" s="4">
        <v>4200</v>
      </c>
      <c r="BR2024">
        <v>26494</v>
      </c>
      <c r="BS2024" t="s">
        <v>2969</v>
      </c>
      <c r="BT2024">
        <v>10</v>
      </c>
      <c r="BU2024">
        <v>9</v>
      </c>
      <c r="BV2024">
        <v>6</v>
      </c>
      <c r="BX2024">
        <v>7.12</v>
      </c>
      <c r="BZ2024">
        <v>4.75</v>
      </c>
      <c r="CK2024" t="s">
        <v>360</v>
      </c>
      <c r="CM2024">
        <v>1911</v>
      </c>
    </row>
    <row r="2025" spans="1:91" x14ac:dyDescent="0.3">
      <c r="A2025" t="s">
        <v>2968</v>
      </c>
      <c r="B2025">
        <v>43918</v>
      </c>
      <c r="C2025" t="s">
        <v>818</v>
      </c>
      <c r="D2025">
        <v>12</v>
      </c>
      <c r="I2025">
        <v>900000</v>
      </c>
      <c r="J2025" t="s">
        <v>800</v>
      </c>
      <c r="V2025" t="s">
        <v>350</v>
      </c>
      <c r="Y2025">
        <v>100</v>
      </c>
      <c r="AA2025">
        <v>66.5</v>
      </c>
      <c r="AC2025" s="3">
        <v>66.5</v>
      </c>
      <c r="AE2025" s="3">
        <v>64.5</v>
      </c>
      <c r="AI2025">
        <v>64.5</v>
      </c>
      <c r="AJ2025" t="s">
        <v>379</v>
      </c>
      <c r="AK2025" s="3"/>
      <c r="AV2025" t="s">
        <v>421</v>
      </c>
      <c r="AX2025" t="s">
        <v>421</v>
      </c>
      <c r="AZ2025" t="s">
        <v>421</v>
      </c>
      <c r="BB2025" t="s">
        <v>421</v>
      </c>
      <c r="BO2025" t="s">
        <v>367</v>
      </c>
      <c r="BR2025">
        <v>26494</v>
      </c>
      <c r="BS2025" t="s">
        <v>2969</v>
      </c>
      <c r="BT2025">
        <v>6</v>
      </c>
      <c r="BU2025">
        <v>4</v>
      </c>
      <c r="BV2025">
        <v>0</v>
      </c>
      <c r="BX2025">
        <v>73.5</v>
      </c>
      <c r="BZ2025">
        <v>64.5</v>
      </c>
      <c r="CM2025">
        <v>1911</v>
      </c>
    </row>
    <row r="2026" spans="1:91" x14ac:dyDescent="0.3">
      <c r="A2026" t="s">
        <v>2970</v>
      </c>
      <c r="B2026">
        <v>44048</v>
      </c>
      <c r="D2026">
        <v>12</v>
      </c>
      <c r="I2026">
        <v>25000</v>
      </c>
      <c r="U2026">
        <v>10</v>
      </c>
      <c r="Y2026">
        <v>10</v>
      </c>
      <c r="AA2026">
        <v>9.1199999999999992</v>
      </c>
      <c r="AC2026" s="3">
        <v>9.25</v>
      </c>
      <c r="AE2026" s="3">
        <v>9.1199999999999992</v>
      </c>
      <c r="AI2026">
        <v>9</v>
      </c>
      <c r="AJ2026" t="s">
        <v>379</v>
      </c>
      <c r="AK2026" s="3"/>
      <c r="AV2026" t="s">
        <v>370</v>
      </c>
      <c r="AX2026" t="s">
        <v>370</v>
      </c>
      <c r="AZ2026" t="s">
        <v>370</v>
      </c>
      <c r="BB2026" t="s">
        <v>370</v>
      </c>
      <c r="BO2026" t="s">
        <v>367</v>
      </c>
      <c r="BR2026">
        <v>122214</v>
      </c>
      <c r="BS2026" t="s">
        <v>2971</v>
      </c>
      <c r="BT2026">
        <v>5</v>
      </c>
      <c r="BU2026">
        <v>11</v>
      </c>
      <c r="BV2026">
        <v>0</v>
      </c>
      <c r="BX2026">
        <v>9.3699999999999992</v>
      </c>
      <c r="BZ2026">
        <v>8.06</v>
      </c>
      <c r="CK2026" t="s">
        <v>360</v>
      </c>
      <c r="CM2026">
        <v>1911</v>
      </c>
    </row>
    <row r="2027" spans="1:91" x14ac:dyDescent="0.3">
      <c r="A2027" t="s">
        <v>2970</v>
      </c>
      <c r="B2027">
        <v>44049</v>
      </c>
      <c r="C2027" t="s">
        <v>2972</v>
      </c>
      <c r="D2027">
        <v>12</v>
      </c>
      <c r="I2027">
        <v>200000</v>
      </c>
      <c r="J2027" t="s">
        <v>800</v>
      </c>
      <c r="V2027" t="s">
        <v>350</v>
      </c>
      <c r="Y2027">
        <v>100</v>
      </c>
      <c r="AA2027">
        <v>87.5</v>
      </c>
      <c r="AC2027" s="3">
        <v>87.5</v>
      </c>
      <c r="AE2027" s="3">
        <v>87.5</v>
      </c>
      <c r="AI2027">
        <v>87.5</v>
      </c>
      <c r="AK2027" s="3"/>
      <c r="AV2027" t="s">
        <v>536</v>
      </c>
      <c r="AX2027" t="s">
        <v>536</v>
      </c>
      <c r="AZ2027" t="s">
        <v>536</v>
      </c>
      <c r="BB2027" t="s">
        <v>536</v>
      </c>
      <c r="BO2027" t="s">
        <v>367</v>
      </c>
      <c r="BR2027">
        <v>122214</v>
      </c>
      <c r="BS2027" t="s">
        <v>2971</v>
      </c>
      <c r="BT2027">
        <v>4</v>
      </c>
      <c r="BU2027">
        <v>11</v>
      </c>
      <c r="BV2027">
        <v>9</v>
      </c>
      <c r="BX2027">
        <v>92.25</v>
      </c>
      <c r="BZ2027">
        <v>82</v>
      </c>
      <c r="CM2027">
        <v>1911</v>
      </c>
    </row>
    <row r="2028" spans="1:91" x14ac:dyDescent="0.3">
      <c r="A2028" t="s">
        <v>2973</v>
      </c>
      <c r="B2028">
        <v>44057</v>
      </c>
      <c r="D2028">
        <v>12</v>
      </c>
      <c r="I2028">
        <v>800000</v>
      </c>
      <c r="J2028" t="s">
        <v>800</v>
      </c>
      <c r="V2028" t="s">
        <v>350</v>
      </c>
      <c r="Y2028">
        <v>100</v>
      </c>
      <c r="AA2028">
        <v>55.5</v>
      </c>
      <c r="AC2028" s="3">
        <v>55.5</v>
      </c>
      <c r="AE2028" s="3">
        <v>52</v>
      </c>
      <c r="AI2028">
        <v>54.5</v>
      </c>
      <c r="AK2028" s="3"/>
      <c r="AX2028" t="s">
        <v>823</v>
      </c>
      <c r="BB2028" t="s">
        <v>823</v>
      </c>
      <c r="BG2028">
        <v>5</v>
      </c>
      <c r="BH2028">
        <v>4</v>
      </c>
      <c r="BI2028">
        <v>4</v>
      </c>
      <c r="BJ2028">
        <v>4</v>
      </c>
      <c r="BK2028" s="4">
        <v>3713</v>
      </c>
      <c r="BL2028" s="4">
        <v>3897</v>
      </c>
      <c r="BM2028" s="4">
        <v>4078</v>
      </c>
      <c r="BN2028" s="4">
        <v>4262</v>
      </c>
      <c r="BR2028">
        <v>179996</v>
      </c>
      <c r="BS2028" t="s">
        <v>2646</v>
      </c>
      <c r="BT2028">
        <v>7</v>
      </c>
      <c r="BU2028">
        <v>6</v>
      </c>
      <c r="BV2028">
        <v>9</v>
      </c>
      <c r="BX2028">
        <v>64.5</v>
      </c>
      <c r="BZ2028">
        <v>52</v>
      </c>
      <c r="CK2028" t="s">
        <v>360</v>
      </c>
      <c r="CM2028">
        <v>1911</v>
      </c>
    </row>
    <row r="2029" spans="1:91" x14ac:dyDescent="0.3">
      <c r="A2029" t="s">
        <v>2974</v>
      </c>
      <c r="B2029">
        <v>44078</v>
      </c>
      <c r="D2029">
        <v>12</v>
      </c>
      <c r="I2029">
        <v>928445</v>
      </c>
      <c r="V2029" t="s">
        <v>350</v>
      </c>
      <c r="Y2029">
        <v>100</v>
      </c>
      <c r="AA2029">
        <v>85</v>
      </c>
      <c r="AC2029" s="3">
        <v>85</v>
      </c>
      <c r="AE2029" s="3">
        <v>84.75</v>
      </c>
      <c r="AI2029">
        <v>84</v>
      </c>
      <c r="AJ2029" t="s">
        <v>379</v>
      </c>
      <c r="AK2029" s="3"/>
      <c r="AV2029" t="s">
        <v>351</v>
      </c>
      <c r="AX2029" t="s">
        <v>351</v>
      </c>
      <c r="AZ2029" t="s">
        <v>351</v>
      </c>
      <c r="BB2029" t="s">
        <v>351</v>
      </c>
      <c r="BO2029" t="s">
        <v>352</v>
      </c>
      <c r="BS2029" t="s">
        <v>385</v>
      </c>
      <c r="BT2029">
        <v>4</v>
      </c>
      <c r="BU2029">
        <v>15</v>
      </c>
      <c r="BV2029">
        <v>3</v>
      </c>
      <c r="BX2029">
        <v>89.25</v>
      </c>
      <c r="BZ2029">
        <v>84</v>
      </c>
      <c r="CK2029" t="s">
        <v>360</v>
      </c>
      <c r="CM2029">
        <v>1911</v>
      </c>
    </row>
    <row r="2030" spans="1:91" x14ac:dyDescent="0.3">
      <c r="A2030" t="s">
        <v>2975</v>
      </c>
      <c r="B2030">
        <v>44126</v>
      </c>
      <c r="D2030">
        <v>12</v>
      </c>
      <c r="I2030">
        <v>105000</v>
      </c>
      <c r="U2030">
        <v>1</v>
      </c>
      <c r="Y2030">
        <v>1</v>
      </c>
      <c r="AA2030">
        <v>0.93</v>
      </c>
      <c r="AC2030" s="3">
        <v>0.93</v>
      </c>
      <c r="AE2030" s="3">
        <v>0.9</v>
      </c>
      <c r="AI2030">
        <v>0.93</v>
      </c>
      <c r="AK2030" s="3"/>
      <c r="AX2030" t="s">
        <v>2976</v>
      </c>
      <c r="BB2030" t="s">
        <v>802</v>
      </c>
      <c r="BG2030">
        <v>5</v>
      </c>
      <c r="BI2030">
        <v>5</v>
      </c>
      <c r="BK2030" s="4">
        <v>3685</v>
      </c>
      <c r="BL2030" s="4">
        <v>3866</v>
      </c>
      <c r="BM2030" s="4">
        <v>4050</v>
      </c>
      <c r="BN2030" s="4">
        <v>4231</v>
      </c>
      <c r="BR2030">
        <v>11724</v>
      </c>
      <c r="BT2030">
        <v>2</v>
      </c>
      <c r="BU2030">
        <v>13</v>
      </c>
      <c r="BV2030">
        <v>3</v>
      </c>
      <c r="BX2030">
        <v>1</v>
      </c>
      <c r="BZ2030">
        <v>0.75</v>
      </c>
      <c r="CK2030" t="s">
        <v>465</v>
      </c>
      <c r="CM2030">
        <v>1911</v>
      </c>
    </row>
    <row r="2031" spans="1:91" x14ac:dyDescent="0.3">
      <c r="A2031" t="s">
        <v>2977</v>
      </c>
      <c r="B2031">
        <v>44129</v>
      </c>
      <c r="D2031">
        <v>12</v>
      </c>
      <c r="I2031">
        <v>1177</v>
      </c>
      <c r="U2031">
        <v>50</v>
      </c>
      <c r="Y2031">
        <v>50</v>
      </c>
      <c r="AA2031">
        <v>87.5</v>
      </c>
      <c r="AC2031" s="3">
        <v>87.5</v>
      </c>
      <c r="AE2031" s="3">
        <v>87.5</v>
      </c>
      <c r="AI2031">
        <v>87.5</v>
      </c>
      <c r="AK2031" s="3"/>
      <c r="AV2031" t="s">
        <v>823</v>
      </c>
      <c r="AW2031" t="s">
        <v>1592</v>
      </c>
      <c r="AX2031" t="s">
        <v>1593</v>
      </c>
      <c r="AY2031" t="s">
        <v>1950</v>
      </c>
      <c r="AZ2031" t="s">
        <v>1951</v>
      </c>
      <c r="BA2031" t="s">
        <v>1592</v>
      </c>
      <c r="BB2031" t="s">
        <v>1593</v>
      </c>
      <c r="BD2031">
        <v>720</v>
      </c>
      <c r="BE2031">
        <v>360</v>
      </c>
      <c r="BF2031">
        <v>720</v>
      </c>
      <c r="BG2031">
        <v>30</v>
      </c>
      <c r="BK2031" s="4">
        <v>3685</v>
      </c>
      <c r="BL2031" s="4">
        <v>3835</v>
      </c>
      <c r="BM2031" s="4">
        <v>4050</v>
      </c>
      <c r="BN2031" s="4">
        <v>4200</v>
      </c>
      <c r="BS2031" t="s">
        <v>385</v>
      </c>
      <c r="BT2031">
        <v>5</v>
      </c>
      <c r="BU2031">
        <v>2</v>
      </c>
      <c r="BV2031">
        <v>9</v>
      </c>
      <c r="BX2031">
        <v>92</v>
      </c>
      <c r="BZ2031">
        <v>87.5</v>
      </c>
      <c r="CK2031" t="s">
        <v>465</v>
      </c>
      <c r="CL2031" t="s">
        <v>457</v>
      </c>
      <c r="CM2031">
        <v>1911</v>
      </c>
    </row>
    <row r="2032" spans="1:91" x14ac:dyDescent="0.3">
      <c r="A2032" t="s">
        <v>2978</v>
      </c>
      <c r="B2032">
        <v>44134</v>
      </c>
      <c r="D2032">
        <v>12</v>
      </c>
      <c r="I2032">
        <v>15000</v>
      </c>
      <c r="U2032">
        <v>10</v>
      </c>
      <c r="Y2032">
        <v>10</v>
      </c>
      <c r="AA2032">
        <v>15</v>
      </c>
      <c r="AC2032" s="3">
        <v>15.25</v>
      </c>
      <c r="AE2032" s="3">
        <v>14.93</v>
      </c>
      <c r="AI2032">
        <v>15.25</v>
      </c>
      <c r="AK2032" s="3"/>
      <c r="AV2032" t="s">
        <v>815</v>
      </c>
      <c r="AX2032" t="s">
        <v>815</v>
      </c>
      <c r="AZ2032" t="s">
        <v>815</v>
      </c>
      <c r="BB2032" t="s">
        <v>815</v>
      </c>
      <c r="BG2032">
        <v>10</v>
      </c>
      <c r="BH2032">
        <v>8</v>
      </c>
      <c r="BI2032">
        <v>10</v>
      </c>
      <c r="BJ2032">
        <v>12.5</v>
      </c>
      <c r="BK2032" s="4">
        <v>3197</v>
      </c>
      <c r="BL2032" s="4">
        <v>3593</v>
      </c>
      <c r="BM2032" s="4">
        <v>3927</v>
      </c>
      <c r="BN2032" s="4">
        <v>4292</v>
      </c>
      <c r="BR2032">
        <v>16597</v>
      </c>
      <c r="BT2032">
        <v>8</v>
      </c>
      <c r="BU2032">
        <v>4</v>
      </c>
      <c r="BV2032">
        <v>9</v>
      </c>
      <c r="BX2032">
        <v>15.25</v>
      </c>
      <c r="BZ2032">
        <v>14</v>
      </c>
      <c r="CK2032" t="s">
        <v>465</v>
      </c>
      <c r="CM2032">
        <v>1911</v>
      </c>
    </row>
    <row r="2033" spans="1:91" x14ac:dyDescent="0.3">
      <c r="A2033" t="s">
        <v>2979</v>
      </c>
      <c r="B2033">
        <v>44144</v>
      </c>
      <c r="D2033">
        <v>12</v>
      </c>
      <c r="I2033">
        <v>30111</v>
      </c>
      <c r="U2033">
        <v>7</v>
      </c>
      <c r="Y2033">
        <v>7</v>
      </c>
      <c r="AA2033">
        <v>7.62</v>
      </c>
      <c r="AC2033" s="3">
        <v>7.87</v>
      </c>
      <c r="AE2033" s="3">
        <v>7.62</v>
      </c>
      <c r="AI2033">
        <v>7.87</v>
      </c>
      <c r="AK2033" s="3"/>
      <c r="AV2033" t="s">
        <v>823</v>
      </c>
      <c r="AZ2033" t="s">
        <v>823</v>
      </c>
      <c r="BB2033" t="s">
        <v>802</v>
      </c>
      <c r="BG2033">
        <v>5</v>
      </c>
      <c r="BH2033">
        <v>10</v>
      </c>
      <c r="BI2033">
        <v>5</v>
      </c>
      <c r="BK2033" s="4">
        <v>3713</v>
      </c>
      <c r="BL2033" s="4">
        <v>3866</v>
      </c>
      <c r="BM2033" s="4">
        <v>4078</v>
      </c>
      <c r="BN2033" s="4">
        <v>4262</v>
      </c>
      <c r="BR2033">
        <v>132134</v>
      </c>
      <c r="BT2033">
        <v>2</v>
      </c>
      <c r="BU2033">
        <v>4</v>
      </c>
      <c r="BV2033">
        <v>6</v>
      </c>
      <c r="BX2033">
        <v>9.25</v>
      </c>
      <c r="BZ2033">
        <v>6</v>
      </c>
      <c r="CK2033" t="s">
        <v>393</v>
      </c>
      <c r="CM2033">
        <v>1911</v>
      </c>
    </row>
    <row r="2034" spans="1:91" x14ac:dyDescent="0.3">
      <c r="A2034" t="s">
        <v>2980</v>
      </c>
      <c r="B2034">
        <v>44168</v>
      </c>
      <c r="D2034">
        <v>12</v>
      </c>
      <c r="I2034" s="2">
        <v>1015060</v>
      </c>
      <c r="J2034" t="s">
        <v>800</v>
      </c>
      <c r="V2034" t="s">
        <v>350</v>
      </c>
      <c r="Y2034">
        <v>100</v>
      </c>
      <c r="AA2034">
        <v>89.5</v>
      </c>
      <c r="AC2034" s="3">
        <v>91</v>
      </c>
      <c r="AE2034" s="3">
        <v>87.5</v>
      </c>
      <c r="AI2034">
        <v>87.5</v>
      </c>
      <c r="AJ2034" t="s">
        <v>379</v>
      </c>
      <c r="AK2034" s="3"/>
      <c r="BG2034">
        <v>4</v>
      </c>
      <c r="BH2034">
        <v>4</v>
      </c>
      <c r="BI2034">
        <v>4</v>
      </c>
      <c r="BJ2034">
        <v>4</v>
      </c>
      <c r="BK2034" s="4">
        <v>3654</v>
      </c>
      <c r="BL2034" s="4">
        <v>3835</v>
      </c>
      <c r="BM2034" s="4">
        <v>4019</v>
      </c>
      <c r="BN2034" s="4">
        <v>4200</v>
      </c>
      <c r="BS2034" t="s">
        <v>385</v>
      </c>
      <c r="BT2034">
        <v>4</v>
      </c>
      <c r="BU2034">
        <v>11</v>
      </c>
      <c r="BV2034">
        <v>6</v>
      </c>
      <c r="BX2034">
        <v>91</v>
      </c>
      <c r="BZ2034">
        <v>86.75</v>
      </c>
      <c r="CK2034" t="s">
        <v>360</v>
      </c>
      <c r="CM2034">
        <v>1911</v>
      </c>
    </row>
    <row r="2035" spans="1:91" x14ac:dyDescent="0.3">
      <c r="A2035" t="s">
        <v>2981</v>
      </c>
      <c r="B2035">
        <v>44169</v>
      </c>
      <c r="D2035">
        <v>12</v>
      </c>
      <c r="I2035">
        <v>677286</v>
      </c>
      <c r="J2035" t="s">
        <v>800</v>
      </c>
      <c r="V2035" t="s">
        <v>350</v>
      </c>
      <c r="Y2035">
        <v>100</v>
      </c>
      <c r="AA2035">
        <v>99.5</v>
      </c>
      <c r="AC2035" s="3">
        <v>99.5</v>
      </c>
      <c r="AE2035" s="3">
        <v>96.5</v>
      </c>
      <c r="AI2035">
        <v>96.5</v>
      </c>
      <c r="AJ2035" t="s">
        <v>379</v>
      </c>
      <c r="AK2035" s="3"/>
      <c r="BG2035">
        <v>5</v>
      </c>
      <c r="BH2035">
        <v>5</v>
      </c>
      <c r="BI2035">
        <v>5</v>
      </c>
      <c r="BJ2035">
        <v>5</v>
      </c>
      <c r="BK2035" s="4">
        <v>3654</v>
      </c>
      <c r="BL2035" s="4">
        <v>3835</v>
      </c>
      <c r="BM2035" s="4">
        <v>4019</v>
      </c>
      <c r="BN2035" s="4">
        <v>4200</v>
      </c>
      <c r="BS2035" t="s">
        <v>385</v>
      </c>
      <c r="BT2035">
        <v>5</v>
      </c>
      <c r="BU2035">
        <v>3</v>
      </c>
      <c r="BV2035">
        <v>9</v>
      </c>
      <c r="BX2035">
        <v>100</v>
      </c>
      <c r="BZ2035">
        <v>96.5</v>
      </c>
      <c r="CM2035">
        <v>1911</v>
      </c>
    </row>
    <row r="2036" spans="1:91" x14ac:dyDescent="0.3">
      <c r="A2036" t="s">
        <v>2982</v>
      </c>
      <c r="B2036">
        <v>44184</v>
      </c>
      <c r="D2036">
        <v>12</v>
      </c>
      <c r="I2036">
        <v>300000</v>
      </c>
      <c r="U2036">
        <v>1</v>
      </c>
      <c r="Y2036">
        <v>1</v>
      </c>
      <c r="AA2036">
        <v>1.18</v>
      </c>
      <c r="AC2036" s="3">
        <v>1.25</v>
      </c>
      <c r="AE2036" s="3">
        <v>1.1499999999999999</v>
      </c>
      <c r="AI2036">
        <v>1.18</v>
      </c>
      <c r="AK2036" s="3"/>
      <c r="AX2036" t="s">
        <v>823</v>
      </c>
      <c r="BB2036" t="s">
        <v>823</v>
      </c>
      <c r="BG2036">
        <v>7.5</v>
      </c>
      <c r="BH2036">
        <v>7.5</v>
      </c>
      <c r="BI2036">
        <v>7.5</v>
      </c>
      <c r="BJ2036">
        <v>7.5</v>
      </c>
      <c r="BK2036" s="4">
        <v>3713</v>
      </c>
      <c r="BL2036" s="4">
        <v>3897</v>
      </c>
      <c r="BM2036" s="4">
        <v>4078</v>
      </c>
      <c r="BN2036" s="4">
        <v>4262</v>
      </c>
      <c r="BR2036">
        <v>118247</v>
      </c>
      <c r="BS2036" t="s">
        <v>2983</v>
      </c>
      <c r="BT2036">
        <v>6</v>
      </c>
      <c r="BU2036">
        <v>6</v>
      </c>
      <c r="BV2036">
        <v>3</v>
      </c>
      <c r="BX2036">
        <v>1.43</v>
      </c>
      <c r="BZ2036">
        <v>1.1499999999999999</v>
      </c>
      <c r="CK2036" t="s">
        <v>360</v>
      </c>
      <c r="CM2036">
        <v>1911</v>
      </c>
    </row>
    <row r="2037" spans="1:91" x14ac:dyDescent="0.3">
      <c r="A2037" t="s">
        <v>2982</v>
      </c>
      <c r="B2037">
        <v>44185</v>
      </c>
      <c r="C2037" t="s">
        <v>817</v>
      </c>
      <c r="D2037">
        <v>12</v>
      </c>
      <c r="I2037">
        <v>60000</v>
      </c>
      <c r="U2037">
        <v>5</v>
      </c>
      <c r="Y2037">
        <v>5</v>
      </c>
      <c r="AA2037">
        <v>5.18</v>
      </c>
      <c r="AC2037" s="3">
        <v>5.18</v>
      </c>
      <c r="AE2037" s="3">
        <v>5.18</v>
      </c>
      <c r="AI2037">
        <v>5.18</v>
      </c>
      <c r="AK2037" s="3"/>
      <c r="AV2037" t="s">
        <v>373</v>
      </c>
      <c r="AX2037" t="s">
        <v>373</v>
      </c>
      <c r="AZ2037" t="s">
        <v>373</v>
      </c>
      <c r="BB2037" t="s">
        <v>373</v>
      </c>
      <c r="BO2037" t="s">
        <v>367</v>
      </c>
      <c r="BR2037">
        <v>118247</v>
      </c>
      <c r="BS2037" t="s">
        <v>2983</v>
      </c>
      <c r="BT2037">
        <v>4</v>
      </c>
      <c r="BU2037">
        <v>16</v>
      </c>
      <c r="BV2037">
        <v>6</v>
      </c>
      <c r="BX2037">
        <v>5.4</v>
      </c>
      <c r="BZ2037">
        <v>5</v>
      </c>
      <c r="CM2037">
        <v>1911</v>
      </c>
    </row>
    <row r="2038" spans="1:91" x14ac:dyDescent="0.3">
      <c r="A2038" t="s">
        <v>2984</v>
      </c>
      <c r="B2038">
        <v>44187</v>
      </c>
      <c r="D2038">
        <v>12</v>
      </c>
      <c r="I2038">
        <v>96500</v>
      </c>
      <c r="U2038">
        <v>10</v>
      </c>
      <c r="Y2038">
        <v>10</v>
      </c>
      <c r="AA2038">
        <v>2.87</v>
      </c>
      <c r="AC2038" s="3">
        <v>3</v>
      </c>
      <c r="AE2038" s="3">
        <v>2.68</v>
      </c>
      <c r="AI2038">
        <v>2.75</v>
      </c>
      <c r="AK2038" s="3"/>
      <c r="AV2038" t="s">
        <v>815</v>
      </c>
      <c r="AX2038" t="s">
        <v>815</v>
      </c>
      <c r="AZ2038" t="s">
        <v>815</v>
      </c>
      <c r="BB2038" t="s">
        <v>815</v>
      </c>
      <c r="BG2038">
        <v>2</v>
      </c>
      <c r="BH2038">
        <v>3</v>
      </c>
      <c r="BI2038">
        <v>2</v>
      </c>
      <c r="BJ2038">
        <v>3</v>
      </c>
      <c r="BK2038" s="4">
        <v>3136</v>
      </c>
      <c r="BL2038" s="4">
        <v>3501</v>
      </c>
      <c r="BM2038" s="4">
        <v>3866</v>
      </c>
      <c r="BN2038" s="4">
        <v>4231</v>
      </c>
      <c r="BR2038">
        <v>523020</v>
      </c>
      <c r="BS2038" t="s">
        <v>2985</v>
      </c>
      <c r="BT2038">
        <v>10</v>
      </c>
      <c r="BU2038">
        <v>18</v>
      </c>
      <c r="BV2038">
        <v>3</v>
      </c>
      <c r="BX2038">
        <v>4.5</v>
      </c>
      <c r="BZ2038">
        <v>2.37</v>
      </c>
      <c r="CK2038" t="s">
        <v>558</v>
      </c>
      <c r="CM2038">
        <v>1911</v>
      </c>
    </row>
    <row r="2039" spans="1:91" x14ac:dyDescent="0.3">
      <c r="A2039" t="s">
        <v>2984</v>
      </c>
      <c r="B2039">
        <v>44192</v>
      </c>
      <c r="C2039" t="s">
        <v>921</v>
      </c>
      <c r="D2039">
        <v>12</v>
      </c>
      <c r="I2039">
        <v>96500</v>
      </c>
      <c r="U2039">
        <v>10</v>
      </c>
      <c r="Y2039">
        <v>10</v>
      </c>
      <c r="AA2039">
        <v>7</v>
      </c>
      <c r="AC2039" s="3">
        <v>7.25</v>
      </c>
      <c r="AE2039" s="3">
        <v>6.87</v>
      </c>
      <c r="AI2039">
        <v>7.12</v>
      </c>
      <c r="AK2039" s="3"/>
      <c r="AV2039" t="s">
        <v>506</v>
      </c>
      <c r="AX2039" t="s">
        <v>506</v>
      </c>
      <c r="AZ2039" t="s">
        <v>506</v>
      </c>
      <c r="BB2039" t="s">
        <v>506</v>
      </c>
      <c r="BO2039" t="s">
        <v>367</v>
      </c>
      <c r="BR2039">
        <v>523020</v>
      </c>
      <c r="BS2039" t="s">
        <v>2985</v>
      </c>
      <c r="BT2039">
        <v>7</v>
      </c>
      <c r="BU2039">
        <v>14</v>
      </c>
      <c r="BV2039">
        <v>3</v>
      </c>
      <c r="BX2039">
        <v>8.56</v>
      </c>
      <c r="BZ2039">
        <v>6.25</v>
      </c>
      <c r="CM2039">
        <v>1911</v>
      </c>
    </row>
    <row r="2040" spans="1:91" x14ac:dyDescent="0.3">
      <c r="A2040" t="s">
        <v>2984</v>
      </c>
      <c r="B2040">
        <v>44190</v>
      </c>
      <c r="C2040" t="s">
        <v>805</v>
      </c>
      <c r="D2040">
        <v>12</v>
      </c>
      <c r="I2040" s="2">
        <v>1065000</v>
      </c>
      <c r="J2040" t="s">
        <v>800</v>
      </c>
      <c r="V2040" t="s">
        <v>350</v>
      </c>
      <c r="Y2040">
        <v>100</v>
      </c>
      <c r="AA2040">
        <v>88</v>
      </c>
      <c r="AC2040" s="3">
        <v>88</v>
      </c>
      <c r="AE2040" s="3">
        <v>86</v>
      </c>
      <c r="AI2040">
        <v>86</v>
      </c>
      <c r="AJ2040" t="s">
        <v>379</v>
      </c>
      <c r="AK2040" s="3"/>
      <c r="AV2040" t="s">
        <v>370</v>
      </c>
      <c r="AX2040" t="s">
        <v>370</v>
      </c>
      <c r="AZ2040" t="s">
        <v>370</v>
      </c>
      <c r="BB2040" t="s">
        <v>370</v>
      </c>
      <c r="BO2040" t="s">
        <v>367</v>
      </c>
      <c r="BR2040">
        <v>523020</v>
      </c>
      <c r="BS2040" t="s">
        <v>2985</v>
      </c>
      <c r="BT2040">
        <v>5</v>
      </c>
      <c r="BU2040">
        <v>4</v>
      </c>
      <c r="BV2040">
        <v>9</v>
      </c>
      <c r="BX2040">
        <v>91.5</v>
      </c>
      <c r="BZ2040">
        <v>83.5</v>
      </c>
      <c r="CM2040">
        <v>1911</v>
      </c>
    </row>
    <row r="2041" spans="1:91" x14ac:dyDescent="0.3">
      <c r="A2041" t="s">
        <v>2984</v>
      </c>
      <c r="B2041">
        <v>44191</v>
      </c>
      <c r="C2041" t="s">
        <v>860</v>
      </c>
      <c r="D2041">
        <v>12</v>
      </c>
      <c r="I2041">
        <v>360000</v>
      </c>
      <c r="J2041" t="s">
        <v>800</v>
      </c>
      <c r="V2041" t="s">
        <v>350</v>
      </c>
      <c r="Y2041">
        <v>100</v>
      </c>
      <c r="AA2041">
        <v>78</v>
      </c>
      <c r="AC2041" s="3">
        <v>78</v>
      </c>
      <c r="AE2041" s="3">
        <v>76</v>
      </c>
      <c r="AI2041">
        <v>76</v>
      </c>
      <c r="AJ2041" t="s">
        <v>379</v>
      </c>
      <c r="AK2041" s="3"/>
      <c r="AV2041" t="s">
        <v>370</v>
      </c>
      <c r="AX2041" t="s">
        <v>370</v>
      </c>
      <c r="AZ2041" t="s">
        <v>370</v>
      </c>
      <c r="BB2041" t="s">
        <v>370</v>
      </c>
      <c r="BO2041" t="s">
        <v>367</v>
      </c>
      <c r="BR2041">
        <v>523020</v>
      </c>
      <c r="BS2041" t="s">
        <v>2985</v>
      </c>
      <c r="BT2041">
        <v>5</v>
      </c>
      <c r="BU2041">
        <v>5</v>
      </c>
      <c r="BV2041">
        <v>3</v>
      </c>
      <c r="BX2041">
        <v>78.5</v>
      </c>
      <c r="BZ2041">
        <v>73.5</v>
      </c>
      <c r="CM2041">
        <v>1911</v>
      </c>
    </row>
    <row r="2042" spans="1:91" x14ac:dyDescent="0.3">
      <c r="A2042" t="s">
        <v>2984</v>
      </c>
      <c r="B2042">
        <v>44193</v>
      </c>
      <c r="C2042" t="s">
        <v>2986</v>
      </c>
      <c r="D2042">
        <v>12</v>
      </c>
      <c r="I2042">
        <v>240000</v>
      </c>
      <c r="J2042" t="s">
        <v>800</v>
      </c>
      <c r="V2042" t="s">
        <v>350</v>
      </c>
      <c r="Y2042">
        <v>100</v>
      </c>
      <c r="AA2042">
        <v>67.5</v>
      </c>
      <c r="AC2042" s="3">
        <v>67.5</v>
      </c>
      <c r="AE2042" s="3">
        <v>65.5</v>
      </c>
      <c r="AI2042">
        <v>65.5</v>
      </c>
      <c r="AJ2042" t="s">
        <v>379</v>
      </c>
      <c r="AK2042" s="3"/>
      <c r="AV2042" t="s">
        <v>370</v>
      </c>
      <c r="AX2042" t="s">
        <v>370</v>
      </c>
      <c r="AZ2042" t="s">
        <v>370</v>
      </c>
      <c r="BB2042" t="s">
        <v>370</v>
      </c>
      <c r="BO2042" t="s">
        <v>367</v>
      </c>
      <c r="BR2042">
        <v>523020</v>
      </c>
      <c r="BS2042" t="s">
        <v>2985</v>
      </c>
      <c r="BT2042">
        <v>5</v>
      </c>
      <c r="BU2042">
        <v>14</v>
      </c>
      <c r="BV2042">
        <v>6</v>
      </c>
      <c r="BX2042">
        <v>71</v>
      </c>
      <c r="BZ2042">
        <v>64</v>
      </c>
      <c r="CM2042">
        <v>1911</v>
      </c>
    </row>
    <row r="2043" spans="1:91" x14ac:dyDescent="0.3">
      <c r="A2043" t="s">
        <v>2987</v>
      </c>
      <c r="B2043">
        <v>44199</v>
      </c>
      <c r="D2043">
        <v>12</v>
      </c>
      <c r="I2043">
        <v>200000</v>
      </c>
      <c r="U2043">
        <v>1</v>
      </c>
      <c r="Y2043">
        <v>1</v>
      </c>
      <c r="AA2043">
        <v>0.81</v>
      </c>
      <c r="AC2043" s="3">
        <v>0.81</v>
      </c>
      <c r="AE2043" s="3">
        <v>0.81</v>
      </c>
      <c r="AI2043">
        <v>0.81</v>
      </c>
      <c r="AK2043" s="3"/>
      <c r="AX2043" t="s">
        <v>823</v>
      </c>
      <c r="BB2043" t="s">
        <v>823</v>
      </c>
      <c r="BG2043">
        <v>5</v>
      </c>
      <c r="BH2043">
        <v>5</v>
      </c>
      <c r="BI2043">
        <v>5</v>
      </c>
      <c r="BJ2043">
        <v>5</v>
      </c>
      <c r="BK2043" s="4">
        <v>3744</v>
      </c>
      <c r="BL2043" s="4">
        <v>3927</v>
      </c>
      <c r="BM2043" s="4">
        <v>4109</v>
      </c>
      <c r="BN2043" s="4">
        <v>4292</v>
      </c>
      <c r="BR2043">
        <v>21924</v>
      </c>
      <c r="BS2043" t="s">
        <v>2988</v>
      </c>
      <c r="BT2043">
        <v>6</v>
      </c>
      <c r="BU2043">
        <v>3</v>
      </c>
      <c r="BV2043">
        <v>0</v>
      </c>
      <c r="BX2043">
        <v>0.93</v>
      </c>
      <c r="BZ2043">
        <v>0.75</v>
      </c>
      <c r="CK2043" t="s">
        <v>360</v>
      </c>
      <c r="CM2043">
        <v>1911</v>
      </c>
    </row>
    <row r="2044" spans="1:91" x14ac:dyDescent="0.3">
      <c r="A2044" t="s">
        <v>2987</v>
      </c>
      <c r="B2044">
        <v>44200</v>
      </c>
      <c r="C2044" t="s">
        <v>2989</v>
      </c>
      <c r="D2044">
        <v>12</v>
      </c>
      <c r="I2044">
        <v>200000</v>
      </c>
      <c r="U2044">
        <v>1</v>
      </c>
      <c r="Y2044">
        <v>1</v>
      </c>
      <c r="AA2044">
        <v>0.87</v>
      </c>
      <c r="AC2044" s="3">
        <v>0.87</v>
      </c>
      <c r="AE2044" s="3">
        <v>0.84</v>
      </c>
      <c r="AI2044">
        <v>0.87</v>
      </c>
      <c r="AK2044" s="3"/>
      <c r="BG2044">
        <v>5</v>
      </c>
      <c r="BH2044">
        <v>5</v>
      </c>
      <c r="BI2044">
        <v>5</v>
      </c>
      <c r="BJ2044">
        <v>5</v>
      </c>
      <c r="BK2044" s="4">
        <v>3744</v>
      </c>
      <c r="BL2044" s="4">
        <v>3927</v>
      </c>
      <c r="BM2044" s="4">
        <v>4109</v>
      </c>
      <c r="BN2044" s="4">
        <v>4292</v>
      </c>
      <c r="BR2044">
        <v>21924</v>
      </c>
      <c r="BS2044" t="s">
        <v>2988</v>
      </c>
      <c r="BT2044">
        <v>5</v>
      </c>
      <c r="BU2044">
        <v>14</v>
      </c>
      <c r="BV2044">
        <v>3</v>
      </c>
      <c r="BX2044">
        <v>0.96</v>
      </c>
      <c r="BZ2044">
        <v>0.78</v>
      </c>
      <c r="CM2044">
        <v>1911</v>
      </c>
    </row>
    <row r="2045" spans="1:91" x14ac:dyDescent="0.3">
      <c r="A2045" t="s">
        <v>2990</v>
      </c>
      <c r="B2045">
        <v>44207</v>
      </c>
      <c r="D2045">
        <v>12</v>
      </c>
      <c r="I2045">
        <v>45000</v>
      </c>
      <c r="U2045">
        <v>5</v>
      </c>
      <c r="Y2045">
        <v>5</v>
      </c>
      <c r="AA2045">
        <v>6.68</v>
      </c>
      <c r="AC2045" s="3">
        <v>6.75</v>
      </c>
      <c r="AE2045" s="3">
        <v>6.68</v>
      </c>
      <c r="AI2045">
        <v>6.75</v>
      </c>
      <c r="AK2045" s="3"/>
      <c r="BG2045">
        <v>7</v>
      </c>
      <c r="BH2045">
        <v>7</v>
      </c>
      <c r="BI2045">
        <v>7</v>
      </c>
      <c r="BJ2045">
        <v>7</v>
      </c>
      <c r="BK2045" s="4">
        <v>3835</v>
      </c>
      <c r="BL2045" s="4">
        <v>3988</v>
      </c>
      <c r="BM2045" s="4">
        <v>4200</v>
      </c>
      <c r="BN2045" s="4">
        <v>4353</v>
      </c>
      <c r="BR2045">
        <v>58751</v>
      </c>
      <c r="BS2045" t="s">
        <v>2991</v>
      </c>
      <c r="BT2045">
        <v>5</v>
      </c>
      <c r="BU2045">
        <v>3</v>
      </c>
      <c r="BV2045">
        <v>9</v>
      </c>
      <c r="BX2045">
        <v>6.96</v>
      </c>
      <c r="BZ2045">
        <v>6.37</v>
      </c>
      <c r="CK2045" t="s">
        <v>2992</v>
      </c>
      <c r="CM2045">
        <v>1911</v>
      </c>
    </row>
    <row r="2046" spans="1:91" x14ac:dyDescent="0.3">
      <c r="A2046" t="s">
        <v>2990</v>
      </c>
      <c r="B2046">
        <v>44209</v>
      </c>
      <c r="C2046" t="s">
        <v>921</v>
      </c>
      <c r="D2046">
        <v>12</v>
      </c>
      <c r="I2046">
        <v>25000</v>
      </c>
      <c r="U2046">
        <v>5</v>
      </c>
      <c r="Y2046">
        <v>5</v>
      </c>
      <c r="AA2046">
        <v>5.75</v>
      </c>
      <c r="AC2046" s="3">
        <v>5.93</v>
      </c>
      <c r="AE2046" s="3">
        <v>5.75</v>
      </c>
      <c r="AI2046">
        <v>5.93</v>
      </c>
      <c r="AK2046" s="3"/>
      <c r="AV2046" t="s">
        <v>370</v>
      </c>
      <c r="AX2046" t="s">
        <v>370</v>
      </c>
      <c r="AZ2046" t="s">
        <v>370</v>
      </c>
      <c r="BB2046" t="s">
        <v>370</v>
      </c>
      <c r="BO2046" t="s">
        <v>367</v>
      </c>
      <c r="BR2046">
        <v>58751</v>
      </c>
      <c r="BS2046" t="s">
        <v>2991</v>
      </c>
      <c r="BT2046">
        <v>4</v>
      </c>
      <c r="BU2046">
        <v>12</v>
      </c>
      <c r="BV2046">
        <v>9</v>
      </c>
      <c r="BX2046">
        <v>5.96</v>
      </c>
      <c r="BZ2046">
        <v>5.5</v>
      </c>
      <c r="CM2046">
        <v>1911</v>
      </c>
    </row>
    <row r="2047" spans="1:91" x14ac:dyDescent="0.3">
      <c r="A2047" t="s">
        <v>2993</v>
      </c>
      <c r="B2047">
        <v>44241</v>
      </c>
      <c r="D2047">
        <v>12</v>
      </c>
      <c r="I2047">
        <v>500000</v>
      </c>
      <c r="U2047">
        <v>1</v>
      </c>
      <c r="Y2047">
        <v>1</v>
      </c>
      <c r="AA2047">
        <v>2.06</v>
      </c>
      <c r="AC2047" s="3">
        <v>2.06</v>
      </c>
      <c r="AE2047" s="3">
        <v>1.96</v>
      </c>
      <c r="AI2047">
        <v>2</v>
      </c>
      <c r="AJ2047" t="s">
        <v>379</v>
      </c>
      <c r="AK2047" s="3"/>
      <c r="AV2047" t="s">
        <v>815</v>
      </c>
      <c r="AX2047" t="s">
        <v>815</v>
      </c>
      <c r="AZ2047" t="s">
        <v>815</v>
      </c>
      <c r="BB2047" t="s">
        <v>815</v>
      </c>
      <c r="BG2047">
        <v>30</v>
      </c>
      <c r="BH2047">
        <v>25</v>
      </c>
      <c r="BI2047">
        <v>15</v>
      </c>
      <c r="BJ2047">
        <v>15</v>
      </c>
      <c r="BK2047" t="s">
        <v>2994</v>
      </c>
      <c r="BL2047" t="s">
        <v>1729</v>
      </c>
      <c r="BM2047" t="s">
        <v>1260</v>
      </c>
      <c r="BN2047" t="s">
        <v>1261</v>
      </c>
      <c r="BR2047">
        <v>679135</v>
      </c>
      <c r="BS2047" t="s">
        <v>2995</v>
      </c>
      <c r="BT2047">
        <v>7</v>
      </c>
      <c r="BU2047">
        <v>10</v>
      </c>
      <c r="BV2047">
        <v>0</v>
      </c>
      <c r="BX2047">
        <v>2.2799999999999998</v>
      </c>
      <c r="BZ2047">
        <v>1.71</v>
      </c>
      <c r="CK2047" t="s">
        <v>360</v>
      </c>
      <c r="CM2047">
        <v>1911</v>
      </c>
    </row>
    <row r="2048" spans="1:91" x14ac:dyDescent="0.3">
      <c r="A2048" t="s">
        <v>2993</v>
      </c>
      <c r="B2048">
        <v>44242</v>
      </c>
      <c r="C2048" t="s">
        <v>859</v>
      </c>
      <c r="D2048">
        <v>12</v>
      </c>
      <c r="I2048">
        <v>100000</v>
      </c>
      <c r="U2048">
        <v>1</v>
      </c>
      <c r="Y2048">
        <v>1</v>
      </c>
      <c r="AA2048">
        <v>1</v>
      </c>
      <c r="AC2048" s="3">
        <v>1</v>
      </c>
      <c r="AE2048" s="3">
        <v>1</v>
      </c>
      <c r="AI2048">
        <v>1</v>
      </c>
      <c r="AK2048" s="3"/>
      <c r="AV2048" t="s">
        <v>351</v>
      </c>
      <c r="AX2048" t="s">
        <v>351</v>
      </c>
      <c r="AZ2048" t="s">
        <v>351</v>
      </c>
      <c r="BB2048" t="s">
        <v>351</v>
      </c>
      <c r="BO2048" t="s">
        <v>352</v>
      </c>
      <c r="BR2048">
        <v>679135</v>
      </c>
      <c r="BS2048" t="s">
        <v>2995</v>
      </c>
      <c r="BT2048">
        <v>5</v>
      </c>
      <c r="BU2048">
        <v>0</v>
      </c>
      <c r="BV2048">
        <v>0</v>
      </c>
      <c r="BX2048">
        <v>1</v>
      </c>
      <c r="BZ2048">
        <v>0.93</v>
      </c>
      <c r="CM2048">
        <v>1911</v>
      </c>
    </row>
    <row r="2049" spans="1:91" x14ac:dyDescent="0.3">
      <c r="A2049" t="s">
        <v>2996</v>
      </c>
      <c r="B2049">
        <v>44316</v>
      </c>
      <c r="D2049">
        <v>12</v>
      </c>
      <c r="I2049">
        <v>480000</v>
      </c>
      <c r="U2049">
        <v>0.5</v>
      </c>
      <c r="Y2049">
        <v>0.5</v>
      </c>
      <c r="AA2049">
        <v>0.93</v>
      </c>
      <c r="AC2049" s="3">
        <v>0.96</v>
      </c>
      <c r="AE2049" s="3">
        <v>0.9</v>
      </c>
      <c r="AI2049">
        <v>0.93</v>
      </c>
      <c r="AK2049" s="3"/>
      <c r="AV2049" t="s">
        <v>823</v>
      </c>
      <c r="AZ2049" t="s">
        <v>823</v>
      </c>
      <c r="BG2049">
        <v>10</v>
      </c>
      <c r="BH2049">
        <v>20</v>
      </c>
      <c r="BI2049">
        <v>10</v>
      </c>
      <c r="BJ2049">
        <v>15</v>
      </c>
      <c r="BK2049" s="4">
        <v>3562</v>
      </c>
      <c r="BL2049" s="4">
        <v>3805</v>
      </c>
      <c r="BM2049" s="4">
        <v>3927</v>
      </c>
      <c r="BN2049" s="4">
        <v>4170</v>
      </c>
      <c r="BR2049">
        <v>66175</v>
      </c>
      <c r="BS2049" t="s">
        <v>2997</v>
      </c>
      <c r="BT2049">
        <v>6</v>
      </c>
      <c r="BU2049">
        <v>13</v>
      </c>
      <c r="BV2049">
        <v>3</v>
      </c>
      <c r="BX2049">
        <v>1.06</v>
      </c>
      <c r="BZ2049">
        <v>0.81</v>
      </c>
      <c r="CK2049" t="s">
        <v>360</v>
      </c>
      <c r="CM2049">
        <v>1911</v>
      </c>
    </row>
    <row r="2050" spans="1:91" x14ac:dyDescent="0.3">
      <c r="A2050" t="s">
        <v>2996</v>
      </c>
      <c r="B2050">
        <v>44318</v>
      </c>
      <c r="C2050" t="s">
        <v>921</v>
      </c>
      <c r="D2050">
        <v>12</v>
      </c>
      <c r="I2050">
        <v>100000</v>
      </c>
      <c r="U2050">
        <v>1</v>
      </c>
      <c r="Y2050">
        <v>1</v>
      </c>
      <c r="AA2050">
        <v>1.1499999999999999</v>
      </c>
      <c r="AC2050" s="3">
        <v>1.1499999999999999</v>
      </c>
      <c r="AE2050" s="3">
        <v>1.1200000000000001</v>
      </c>
      <c r="AI2050">
        <v>1.1200000000000001</v>
      </c>
      <c r="AK2050" s="3"/>
      <c r="AV2050" t="s">
        <v>370</v>
      </c>
      <c r="AX2050" t="s">
        <v>370</v>
      </c>
      <c r="AZ2050" t="s">
        <v>370</v>
      </c>
      <c r="BB2050" t="s">
        <v>370</v>
      </c>
      <c r="BO2050" t="s">
        <v>367</v>
      </c>
      <c r="BR2050">
        <v>66175</v>
      </c>
      <c r="BS2050" t="s">
        <v>2997</v>
      </c>
      <c r="BT2050">
        <v>4</v>
      </c>
      <c r="BU2050">
        <v>17</v>
      </c>
      <c r="BV2050">
        <v>9</v>
      </c>
      <c r="BX2050">
        <v>1.21</v>
      </c>
      <c r="BZ2050">
        <v>1.1200000000000001</v>
      </c>
      <c r="CM2050">
        <v>1911</v>
      </c>
    </row>
    <row r="2051" spans="1:91" x14ac:dyDescent="0.3">
      <c r="A2051" t="s">
        <v>2996</v>
      </c>
      <c r="B2051">
        <v>44317</v>
      </c>
      <c r="C2051" t="s">
        <v>1248</v>
      </c>
      <c r="D2051">
        <v>12</v>
      </c>
      <c r="I2051">
        <v>120000</v>
      </c>
      <c r="J2051" t="s">
        <v>800</v>
      </c>
      <c r="V2051" t="s">
        <v>350</v>
      </c>
      <c r="Y2051">
        <v>100</v>
      </c>
      <c r="AA2051">
        <v>102.5</v>
      </c>
      <c r="AC2051" s="3">
        <v>103.5</v>
      </c>
      <c r="AE2051" s="3">
        <v>101.5</v>
      </c>
      <c r="AI2051">
        <v>101.5</v>
      </c>
      <c r="AK2051" s="3"/>
      <c r="AV2051" t="s">
        <v>370</v>
      </c>
      <c r="AX2051" t="s">
        <v>370</v>
      </c>
      <c r="AZ2051" t="s">
        <v>370</v>
      </c>
      <c r="BB2051" t="s">
        <v>370</v>
      </c>
      <c r="BO2051" t="s">
        <v>367</v>
      </c>
      <c r="BR2051">
        <v>66175</v>
      </c>
      <c r="BS2051" t="s">
        <v>2997</v>
      </c>
      <c r="BT2051">
        <v>4</v>
      </c>
      <c r="BU2051">
        <v>9</v>
      </c>
      <c r="BV2051">
        <v>6</v>
      </c>
      <c r="BX2051">
        <v>103.87</v>
      </c>
      <c r="BZ2051">
        <v>101.5</v>
      </c>
      <c r="CM2051">
        <v>1911</v>
      </c>
    </row>
    <row r="2052" spans="1:91" x14ac:dyDescent="0.3">
      <c r="A2052" t="s">
        <v>2998</v>
      </c>
      <c r="B2052">
        <v>44325</v>
      </c>
      <c r="D2052">
        <v>12</v>
      </c>
      <c r="I2052">
        <v>16800</v>
      </c>
      <c r="U2052">
        <v>10</v>
      </c>
      <c r="Y2052">
        <v>10</v>
      </c>
      <c r="AA2052">
        <v>2.62</v>
      </c>
      <c r="AC2052" s="3">
        <v>2.62</v>
      </c>
      <c r="AE2052" s="3">
        <v>2.62</v>
      </c>
      <c r="AI2052">
        <v>2.62</v>
      </c>
      <c r="AK2052" s="3"/>
      <c r="BB2052" t="s">
        <v>810</v>
      </c>
      <c r="BG2052">
        <v>5</v>
      </c>
      <c r="BH2052">
        <v>4</v>
      </c>
      <c r="BI2052">
        <v>4</v>
      </c>
      <c r="BK2052" s="4">
        <v>2374</v>
      </c>
      <c r="BL2052" s="4">
        <v>2739</v>
      </c>
      <c r="BM2052" s="4">
        <v>3105</v>
      </c>
      <c r="BR2052">
        <v>12382</v>
      </c>
      <c r="BW2052" t="s">
        <v>802</v>
      </c>
      <c r="BX2052">
        <v>3.5</v>
      </c>
      <c r="BZ2052">
        <v>2.62</v>
      </c>
      <c r="CK2052" t="s">
        <v>493</v>
      </c>
      <c r="CM2052">
        <v>1911</v>
      </c>
    </row>
    <row r="2053" spans="1:91" x14ac:dyDescent="0.3">
      <c r="A2053" t="s">
        <v>2999</v>
      </c>
      <c r="B2053">
        <v>44464</v>
      </c>
      <c r="D2053">
        <v>12</v>
      </c>
      <c r="I2053">
        <v>26000</v>
      </c>
      <c r="U2053">
        <v>5</v>
      </c>
      <c r="Y2053">
        <v>5</v>
      </c>
      <c r="AA2053">
        <v>3.5</v>
      </c>
      <c r="AC2053" s="3">
        <v>3.5</v>
      </c>
      <c r="AE2053" s="3">
        <v>3.06</v>
      </c>
      <c r="AI2053">
        <v>3.25</v>
      </c>
      <c r="AK2053" s="3"/>
      <c r="AX2053" t="s">
        <v>823</v>
      </c>
      <c r="BB2053" t="s">
        <v>823</v>
      </c>
      <c r="BG2053">
        <v>7</v>
      </c>
      <c r="BH2053">
        <v>5</v>
      </c>
      <c r="BI2053">
        <v>7</v>
      </c>
      <c r="BJ2053">
        <v>5</v>
      </c>
      <c r="BK2053" s="4">
        <v>3685</v>
      </c>
      <c r="BL2053" s="4">
        <v>3835</v>
      </c>
      <c r="BM2053" s="4">
        <v>4050</v>
      </c>
      <c r="BN2053" s="4">
        <v>4200</v>
      </c>
      <c r="BR2053">
        <v>2353</v>
      </c>
      <c r="BT2053">
        <v>9</v>
      </c>
      <c r="BU2053">
        <v>4</v>
      </c>
      <c r="BV2053">
        <v>6</v>
      </c>
      <c r="BX2053">
        <v>3.75</v>
      </c>
      <c r="BZ2053">
        <v>3.06</v>
      </c>
      <c r="CK2053" t="s">
        <v>360</v>
      </c>
      <c r="CM2053">
        <v>1911</v>
      </c>
    </row>
    <row r="2054" spans="1:91" x14ac:dyDescent="0.3">
      <c r="A2054" t="s">
        <v>3000</v>
      </c>
      <c r="B2054">
        <v>44466</v>
      </c>
      <c r="D2054">
        <v>12</v>
      </c>
      <c r="I2054">
        <v>300000</v>
      </c>
      <c r="U2054">
        <v>1</v>
      </c>
      <c r="Y2054">
        <v>1</v>
      </c>
      <c r="AA2054">
        <v>1.03</v>
      </c>
      <c r="AC2054" s="3">
        <v>1.06</v>
      </c>
      <c r="AE2054" s="3">
        <v>1.03</v>
      </c>
      <c r="AI2054">
        <v>1.06</v>
      </c>
      <c r="AK2054" s="3"/>
      <c r="AV2054" t="s">
        <v>351</v>
      </c>
      <c r="AX2054" t="s">
        <v>351</v>
      </c>
      <c r="AZ2054" t="s">
        <v>351</v>
      </c>
      <c r="BB2054" t="s">
        <v>351</v>
      </c>
      <c r="BO2054" t="s">
        <v>352</v>
      </c>
      <c r="BR2054">
        <v>135904</v>
      </c>
      <c r="BT2054">
        <v>5</v>
      </c>
      <c r="BU2054">
        <v>3</v>
      </c>
      <c r="BV2054">
        <v>6</v>
      </c>
      <c r="BX2054">
        <v>1.0900000000000001</v>
      </c>
      <c r="BZ2054">
        <v>1</v>
      </c>
      <c r="CM2054">
        <v>1911</v>
      </c>
    </row>
    <row r="2055" spans="1:91" x14ac:dyDescent="0.3">
      <c r="A2055" t="s">
        <v>3001</v>
      </c>
      <c r="B2055">
        <v>44470</v>
      </c>
      <c r="D2055">
        <v>12</v>
      </c>
      <c r="I2055">
        <v>500000</v>
      </c>
      <c r="U2055">
        <v>1</v>
      </c>
      <c r="Y2055">
        <v>1</v>
      </c>
      <c r="AA2055">
        <v>4.87</v>
      </c>
      <c r="AC2055" s="3">
        <v>5.12</v>
      </c>
      <c r="AE2055" s="3">
        <v>4.93</v>
      </c>
      <c r="AI2055">
        <v>5.0599999999999996</v>
      </c>
      <c r="AK2055" s="3"/>
      <c r="AX2055" t="s">
        <v>823</v>
      </c>
      <c r="BB2055" t="s">
        <v>823</v>
      </c>
      <c r="BG2055">
        <v>46</v>
      </c>
      <c r="BH2055">
        <v>10</v>
      </c>
      <c r="BI2055">
        <v>48</v>
      </c>
      <c r="BJ2055">
        <v>10</v>
      </c>
      <c r="BK2055" s="4">
        <v>3713</v>
      </c>
      <c r="BL2055" s="4">
        <v>3897</v>
      </c>
      <c r="BM2055" s="4">
        <v>4078</v>
      </c>
      <c r="BN2055" s="4">
        <v>4262</v>
      </c>
      <c r="BR2055">
        <v>719316</v>
      </c>
      <c r="BS2055" t="s">
        <v>3002</v>
      </c>
      <c r="BT2055">
        <v>5</v>
      </c>
      <c r="BU2055">
        <v>14</v>
      </c>
      <c r="BV2055">
        <v>6</v>
      </c>
      <c r="BX2055">
        <v>5.5</v>
      </c>
      <c r="BZ2055">
        <v>4.5599999999999996</v>
      </c>
      <c r="CK2055" t="s">
        <v>360</v>
      </c>
      <c r="CM2055">
        <v>1911</v>
      </c>
    </row>
    <row r="2056" spans="1:91" x14ac:dyDescent="0.3">
      <c r="A2056" t="s">
        <v>3003</v>
      </c>
      <c r="B2056">
        <v>44471</v>
      </c>
      <c r="C2056" t="s">
        <v>817</v>
      </c>
      <c r="D2056">
        <v>12</v>
      </c>
      <c r="I2056">
        <v>100000</v>
      </c>
      <c r="U2056">
        <v>5</v>
      </c>
      <c r="Y2056">
        <v>5</v>
      </c>
      <c r="AA2056">
        <v>5.87</v>
      </c>
      <c r="AC2056" s="3">
        <v>6</v>
      </c>
      <c r="AE2056" s="3">
        <v>5.75</v>
      </c>
      <c r="AI2056">
        <v>5.87</v>
      </c>
      <c r="AK2056" s="3"/>
      <c r="AV2056" t="s">
        <v>373</v>
      </c>
      <c r="AX2056" t="s">
        <v>373</v>
      </c>
      <c r="AZ2056" t="s">
        <v>373</v>
      </c>
      <c r="BB2056" t="s">
        <v>373</v>
      </c>
      <c r="BO2056" t="s">
        <v>367</v>
      </c>
      <c r="BR2056">
        <v>719316</v>
      </c>
      <c r="BS2056" t="s">
        <v>3002</v>
      </c>
      <c r="BT2056">
        <v>4</v>
      </c>
      <c r="BU2056">
        <v>5</v>
      </c>
      <c r="BV2056">
        <v>0</v>
      </c>
      <c r="BX2056">
        <v>6.21</v>
      </c>
      <c r="BZ2056">
        <v>5.68</v>
      </c>
      <c r="CM2056">
        <v>1911</v>
      </c>
    </row>
    <row r="2057" spans="1:91" x14ac:dyDescent="0.3">
      <c r="A2057" t="s">
        <v>3004</v>
      </c>
      <c r="B2057">
        <v>44472</v>
      </c>
      <c r="D2057">
        <v>12</v>
      </c>
      <c r="I2057">
        <v>140000</v>
      </c>
      <c r="U2057">
        <v>1</v>
      </c>
      <c r="Y2057">
        <v>1</v>
      </c>
      <c r="AA2057">
        <v>12.18</v>
      </c>
      <c r="AC2057" s="3">
        <v>12.43</v>
      </c>
      <c r="AE2057" s="3">
        <v>12.18</v>
      </c>
      <c r="AI2057">
        <v>12.37</v>
      </c>
      <c r="AK2057" s="3"/>
      <c r="AX2057" t="s">
        <v>823</v>
      </c>
      <c r="BB2057" t="s">
        <v>823</v>
      </c>
      <c r="BG2057">
        <v>88</v>
      </c>
      <c r="BH2057">
        <v>10</v>
      </c>
      <c r="BI2057">
        <v>95</v>
      </c>
      <c r="BJ2057">
        <v>10</v>
      </c>
      <c r="BK2057" s="4">
        <v>3713</v>
      </c>
      <c r="BL2057" s="4">
        <v>3897</v>
      </c>
      <c r="BM2057" s="4">
        <v>4078</v>
      </c>
      <c r="BN2057" s="4">
        <v>4262</v>
      </c>
      <c r="BR2057">
        <v>1351</v>
      </c>
      <c r="BT2057">
        <v>4</v>
      </c>
      <c r="BU2057">
        <v>4</v>
      </c>
      <c r="BV2057">
        <v>9</v>
      </c>
      <c r="BX2057">
        <v>12.43</v>
      </c>
      <c r="BZ2057">
        <v>9.3699999999999992</v>
      </c>
      <c r="CK2057" t="s">
        <v>360</v>
      </c>
      <c r="CM2057">
        <v>1911</v>
      </c>
    </row>
    <row r="2058" spans="1:91" x14ac:dyDescent="0.3">
      <c r="A2058" t="s">
        <v>3005</v>
      </c>
      <c r="B2058">
        <v>44510</v>
      </c>
      <c r="D2058">
        <v>12</v>
      </c>
      <c r="I2058">
        <v>27000</v>
      </c>
      <c r="U2058">
        <v>10</v>
      </c>
      <c r="Y2058">
        <v>10</v>
      </c>
      <c r="AA2058">
        <v>7.5</v>
      </c>
      <c r="AC2058" s="3">
        <v>7.5</v>
      </c>
      <c r="AE2058" s="3">
        <v>7.5</v>
      </c>
      <c r="AI2058">
        <v>7.5</v>
      </c>
      <c r="AK2058" s="3"/>
      <c r="BG2058">
        <v>7</v>
      </c>
      <c r="BH2058">
        <v>7</v>
      </c>
      <c r="BI2058">
        <v>7</v>
      </c>
      <c r="BJ2058">
        <v>7</v>
      </c>
      <c r="BK2058" s="4">
        <v>3774</v>
      </c>
      <c r="BL2058" s="4">
        <v>3958</v>
      </c>
      <c r="BM2058" s="4">
        <v>4139</v>
      </c>
      <c r="BN2058" s="4">
        <v>4323</v>
      </c>
      <c r="BS2058" t="s">
        <v>385</v>
      </c>
      <c r="BT2058">
        <v>9</v>
      </c>
      <c r="BU2058">
        <v>6</v>
      </c>
      <c r="BV2058">
        <v>9</v>
      </c>
      <c r="BX2058">
        <v>8.5</v>
      </c>
      <c r="BZ2058">
        <v>4.75</v>
      </c>
      <c r="CK2058" t="s">
        <v>360</v>
      </c>
      <c r="CM2058">
        <v>1911</v>
      </c>
    </row>
    <row r="2059" spans="1:91" x14ac:dyDescent="0.3">
      <c r="A2059" t="s">
        <v>3006</v>
      </c>
      <c r="B2059">
        <v>44513</v>
      </c>
      <c r="D2059">
        <v>12</v>
      </c>
      <c r="I2059">
        <v>260000</v>
      </c>
      <c r="J2059" t="s">
        <v>800</v>
      </c>
      <c r="U2059">
        <v>100</v>
      </c>
      <c r="Y2059">
        <v>100</v>
      </c>
      <c r="AA2059">
        <v>87.5</v>
      </c>
      <c r="AC2059" s="3">
        <v>87.5</v>
      </c>
      <c r="AE2059" s="3">
        <v>87.5</v>
      </c>
      <c r="AI2059">
        <v>87.5</v>
      </c>
      <c r="AK2059" s="3"/>
      <c r="AV2059" t="s">
        <v>366</v>
      </c>
      <c r="AX2059" t="s">
        <v>366</v>
      </c>
      <c r="AZ2059" t="s">
        <v>366</v>
      </c>
      <c r="BB2059" t="s">
        <v>366</v>
      </c>
      <c r="BO2059" t="s">
        <v>367</v>
      </c>
      <c r="BS2059" t="s">
        <v>385</v>
      </c>
      <c r="BT2059">
        <v>6</v>
      </c>
      <c r="BU2059">
        <v>5</v>
      </c>
      <c r="BV2059">
        <v>9</v>
      </c>
      <c r="BX2059">
        <v>92.5</v>
      </c>
      <c r="BZ2059">
        <v>68</v>
      </c>
      <c r="CM2059">
        <v>1911</v>
      </c>
    </row>
    <row r="2060" spans="1:91" x14ac:dyDescent="0.3">
      <c r="A2060" t="s">
        <v>3007</v>
      </c>
      <c r="B2060">
        <v>44540</v>
      </c>
      <c r="D2060">
        <v>12</v>
      </c>
      <c r="I2060">
        <v>40000</v>
      </c>
      <c r="U2060">
        <v>5</v>
      </c>
      <c r="Y2060">
        <v>5</v>
      </c>
      <c r="AA2060">
        <v>12.12</v>
      </c>
      <c r="AC2060" s="3">
        <v>12.25</v>
      </c>
      <c r="AE2060" s="3">
        <v>12</v>
      </c>
      <c r="AI2060">
        <v>12.25</v>
      </c>
      <c r="AK2060" s="3"/>
      <c r="AX2060" t="s">
        <v>823</v>
      </c>
      <c r="BB2060" t="s">
        <v>823</v>
      </c>
      <c r="BG2060">
        <v>20</v>
      </c>
      <c r="BH2060">
        <v>10</v>
      </c>
      <c r="BI2060">
        <v>20</v>
      </c>
      <c r="BJ2060">
        <v>10</v>
      </c>
      <c r="BK2060" s="4">
        <v>3713</v>
      </c>
      <c r="BL2060" s="4">
        <v>3897</v>
      </c>
      <c r="BM2060" s="4">
        <v>4078</v>
      </c>
      <c r="BN2060" s="4">
        <v>4262</v>
      </c>
      <c r="BR2060">
        <v>202311</v>
      </c>
      <c r="BS2060" t="s">
        <v>3008</v>
      </c>
      <c r="BT2060">
        <v>6</v>
      </c>
      <c r="BU2060">
        <v>2</v>
      </c>
      <c r="BV2060">
        <v>6</v>
      </c>
      <c r="BX2060">
        <v>13.25</v>
      </c>
      <c r="BZ2060">
        <v>11.93</v>
      </c>
      <c r="CK2060" t="s">
        <v>360</v>
      </c>
      <c r="CM2060">
        <v>1911</v>
      </c>
    </row>
    <row r="2061" spans="1:91" x14ac:dyDescent="0.3">
      <c r="A2061" t="s">
        <v>3009</v>
      </c>
      <c r="B2061">
        <v>44541</v>
      </c>
      <c r="D2061">
        <v>12</v>
      </c>
      <c r="I2061">
        <v>40000</v>
      </c>
      <c r="U2061">
        <v>5</v>
      </c>
      <c r="Y2061">
        <v>5</v>
      </c>
      <c r="AA2061">
        <v>5.0599999999999996</v>
      </c>
      <c r="AC2061" s="3">
        <v>5.09</v>
      </c>
      <c r="AE2061" s="3">
        <v>5.0599999999999996</v>
      </c>
      <c r="AI2061">
        <v>5.0599999999999996</v>
      </c>
      <c r="AK2061" s="3"/>
      <c r="AV2061" t="s">
        <v>373</v>
      </c>
      <c r="AX2061" t="s">
        <v>373</v>
      </c>
      <c r="AZ2061" t="s">
        <v>373</v>
      </c>
      <c r="BB2061" t="s">
        <v>373</v>
      </c>
      <c r="BO2061" t="s">
        <v>367</v>
      </c>
      <c r="BR2061">
        <v>202311</v>
      </c>
      <c r="BS2061" t="s">
        <v>3008</v>
      </c>
      <c r="BT2061">
        <v>4</v>
      </c>
      <c r="BU2061">
        <v>9</v>
      </c>
      <c r="BV2061">
        <v>0</v>
      </c>
      <c r="BX2061">
        <v>5.18</v>
      </c>
      <c r="BZ2061">
        <v>4.8099999999999996</v>
      </c>
      <c r="CM2061">
        <v>1911</v>
      </c>
    </row>
    <row r="2062" spans="1:91" x14ac:dyDescent="0.3">
      <c r="A2062" t="s">
        <v>3009</v>
      </c>
      <c r="B2062">
        <v>44542</v>
      </c>
      <c r="C2062" t="s">
        <v>3010</v>
      </c>
      <c r="D2062">
        <v>12</v>
      </c>
      <c r="I2062">
        <v>150000</v>
      </c>
      <c r="J2062" t="s">
        <v>800</v>
      </c>
      <c r="V2062" t="s">
        <v>350</v>
      </c>
      <c r="Y2062">
        <v>100</v>
      </c>
      <c r="AA2062">
        <v>105</v>
      </c>
      <c r="AC2062" s="3">
        <v>105</v>
      </c>
      <c r="AE2062" s="3">
        <v>104.25</v>
      </c>
      <c r="AI2062">
        <v>105</v>
      </c>
      <c r="AJ2062" t="s">
        <v>379</v>
      </c>
      <c r="AK2062" s="3"/>
      <c r="AV2062" t="s">
        <v>576</v>
      </c>
      <c r="AX2062" t="s">
        <v>576</v>
      </c>
      <c r="AZ2062" t="s">
        <v>576</v>
      </c>
      <c r="BB2062" t="s">
        <v>576</v>
      </c>
      <c r="BO2062" t="s">
        <v>367</v>
      </c>
      <c r="BR2062">
        <v>202311</v>
      </c>
      <c r="BS2062" t="s">
        <v>3008</v>
      </c>
      <c r="BT2062">
        <v>4</v>
      </c>
      <c r="BU2062">
        <v>6</v>
      </c>
      <c r="BV2062">
        <v>0</v>
      </c>
      <c r="BX2062">
        <v>109</v>
      </c>
      <c r="BZ2062">
        <v>104.25</v>
      </c>
      <c r="CM2062">
        <v>1911</v>
      </c>
    </row>
    <row r="2063" spans="1:91" x14ac:dyDescent="0.3">
      <c r="A2063" t="s">
        <v>3011</v>
      </c>
      <c r="B2063">
        <v>44545</v>
      </c>
      <c r="D2063">
        <v>12</v>
      </c>
      <c r="I2063">
        <v>60000</v>
      </c>
      <c r="U2063">
        <v>10</v>
      </c>
      <c r="Y2063">
        <v>10</v>
      </c>
      <c r="AA2063">
        <v>15.37</v>
      </c>
      <c r="AC2063" s="3">
        <v>15.37</v>
      </c>
      <c r="AE2063" s="3">
        <v>15.31</v>
      </c>
      <c r="AI2063">
        <v>15.37</v>
      </c>
      <c r="AK2063" s="3"/>
      <c r="AX2063" t="s">
        <v>823</v>
      </c>
      <c r="BB2063" t="s">
        <v>823</v>
      </c>
      <c r="BG2063">
        <v>10</v>
      </c>
      <c r="BH2063">
        <v>6</v>
      </c>
      <c r="BI2063">
        <v>10</v>
      </c>
      <c r="BJ2063">
        <v>6</v>
      </c>
      <c r="BK2063" s="4">
        <v>3685</v>
      </c>
      <c r="BL2063" s="4">
        <v>3866</v>
      </c>
      <c r="BM2063" s="4">
        <v>4050</v>
      </c>
      <c r="BN2063" s="4">
        <v>4231</v>
      </c>
      <c r="BR2063">
        <v>116382</v>
      </c>
      <c r="BS2063" t="s">
        <v>3012</v>
      </c>
      <c r="BT2063">
        <v>5</v>
      </c>
      <c r="BU2063">
        <v>4</v>
      </c>
      <c r="BV2063">
        <v>0</v>
      </c>
      <c r="BX2063">
        <v>15.37</v>
      </c>
      <c r="BZ2063">
        <v>14.62</v>
      </c>
      <c r="CK2063" t="s">
        <v>1194</v>
      </c>
      <c r="CM2063">
        <v>1911</v>
      </c>
    </row>
    <row r="2064" spans="1:91" x14ac:dyDescent="0.3">
      <c r="A2064" t="s">
        <v>3011</v>
      </c>
      <c r="B2064">
        <v>44547</v>
      </c>
      <c r="C2064" t="s">
        <v>3013</v>
      </c>
      <c r="D2064">
        <v>12</v>
      </c>
      <c r="I2064">
        <v>10000</v>
      </c>
      <c r="U2064">
        <v>10</v>
      </c>
      <c r="Y2064">
        <v>10</v>
      </c>
      <c r="AA2064">
        <v>11.25</v>
      </c>
      <c r="AC2064" s="3">
        <v>11.25</v>
      </c>
      <c r="AE2064" s="3">
        <v>11.25</v>
      </c>
      <c r="AI2064">
        <v>11.25</v>
      </c>
      <c r="AK2064" s="3"/>
      <c r="AV2064" t="s">
        <v>421</v>
      </c>
      <c r="AX2064" t="s">
        <v>421</v>
      </c>
      <c r="AZ2064" t="s">
        <v>421</v>
      </c>
      <c r="BB2064" t="s">
        <v>421</v>
      </c>
      <c r="BO2064" t="s">
        <v>367</v>
      </c>
      <c r="BR2064">
        <v>116382</v>
      </c>
      <c r="BS2064" t="s">
        <v>3012</v>
      </c>
      <c r="BT2064">
        <v>4</v>
      </c>
      <c r="BU2064">
        <v>9</v>
      </c>
      <c r="BV2064">
        <v>0</v>
      </c>
      <c r="BX2064">
        <v>11.81</v>
      </c>
      <c r="BZ2064">
        <v>11.12</v>
      </c>
      <c r="CM2064">
        <v>1911</v>
      </c>
    </row>
    <row r="2065" spans="1:91" x14ac:dyDescent="0.3">
      <c r="A2065" t="s">
        <v>3011</v>
      </c>
      <c r="B2065">
        <v>44546</v>
      </c>
      <c r="C2065" t="s">
        <v>3014</v>
      </c>
      <c r="D2065">
        <v>12</v>
      </c>
      <c r="I2065">
        <v>400000</v>
      </c>
      <c r="J2065" t="s">
        <v>800</v>
      </c>
      <c r="U2065">
        <v>50</v>
      </c>
      <c r="Y2065">
        <v>50</v>
      </c>
      <c r="AA2065">
        <v>51</v>
      </c>
      <c r="AC2065" s="3">
        <v>51.25</v>
      </c>
      <c r="AE2065" s="3">
        <v>51</v>
      </c>
      <c r="AI2065">
        <v>51.25</v>
      </c>
      <c r="AJ2065" t="s">
        <v>379</v>
      </c>
      <c r="AK2065" s="3"/>
      <c r="AV2065" t="s">
        <v>421</v>
      </c>
      <c r="AX2065" t="s">
        <v>421</v>
      </c>
      <c r="AZ2065" t="s">
        <v>421</v>
      </c>
      <c r="BB2065" t="s">
        <v>421</v>
      </c>
      <c r="BO2065" t="s">
        <v>367</v>
      </c>
      <c r="BR2065">
        <v>116382</v>
      </c>
      <c r="BS2065" t="s">
        <v>3012</v>
      </c>
      <c r="BT2065">
        <v>4</v>
      </c>
      <c r="BU2065">
        <v>3</v>
      </c>
      <c r="BV2065">
        <v>0</v>
      </c>
      <c r="BX2065">
        <v>52.25</v>
      </c>
      <c r="BZ2065">
        <v>51</v>
      </c>
      <c r="CM2065">
        <v>1911</v>
      </c>
    </row>
    <row r="2066" spans="1:91" x14ac:dyDescent="0.3">
      <c r="A2066" t="s">
        <v>3015</v>
      </c>
      <c r="B2066">
        <v>44596</v>
      </c>
      <c r="D2066">
        <v>12</v>
      </c>
      <c r="I2066">
        <v>106000</v>
      </c>
      <c r="U2066">
        <v>1</v>
      </c>
      <c r="Y2066">
        <v>1</v>
      </c>
      <c r="AA2066">
        <v>0.06</v>
      </c>
      <c r="AC2066" s="3">
        <v>0.06</v>
      </c>
      <c r="AE2066" s="3">
        <v>0.06</v>
      </c>
      <c r="AI2066">
        <v>0.06</v>
      </c>
      <c r="AK2066" s="3"/>
      <c r="AV2066" t="s">
        <v>815</v>
      </c>
      <c r="BB2066" t="s">
        <v>810</v>
      </c>
      <c r="BG2066">
        <v>2.5</v>
      </c>
      <c r="BH2066">
        <v>4</v>
      </c>
      <c r="BI2066">
        <v>3</v>
      </c>
      <c r="BK2066" s="4">
        <v>1859</v>
      </c>
      <c r="BL2066" s="4">
        <v>2224</v>
      </c>
      <c r="BM2066" s="4">
        <v>2589</v>
      </c>
      <c r="BR2066">
        <v>9700</v>
      </c>
      <c r="BS2066" t="s">
        <v>3016</v>
      </c>
      <c r="BW2066" t="s">
        <v>802</v>
      </c>
      <c r="BX2066">
        <v>0.12</v>
      </c>
      <c r="BZ2066">
        <v>0.06</v>
      </c>
      <c r="CK2066" t="s">
        <v>360</v>
      </c>
      <c r="CM2066">
        <v>1911</v>
      </c>
    </row>
    <row r="2067" spans="1:91" x14ac:dyDescent="0.3">
      <c r="A2067" t="s">
        <v>3015</v>
      </c>
      <c r="B2067">
        <v>44597</v>
      </c>
      <c r="C2067" t="s">
        <v>3013</v>
      </c>
      <c r="D2067">
        <v>12</v>
      </c>
      <c r="I2067">
        <v>19000</v>
      </c>
      <c r="U2067">
        <v>5</v>
      </c>
      <c r="Y2067">
        <v>5</v>
      </c>
      <c r="AA2067">
        <v>1.5</v>
      </c>
      <c r="AC2067" s="3">
        <v>1.5</v>
      </c>
      <c r="AE2067" s="3">
        <v>1.5</v>
      </c>
      <c r="AI2067">
        <v>1.5</v>
      </c>
      <c r="AK2067" s="3"/>
      <c r="AV2067" t="s">
        <v>802</v>
      </c>
      <c r="BH2067">
        <v>5</v>
      </c>
      <c r="BI2067">
        <v>5</v>
      </c>
      <c r="BJ2067">
        <v>5</v>
      </c>
      <c r="BK2067" s="4">
        <v>3470</v>
      </c>
      <c r="BL2067" s="4">
        <v>3654</v>
      </c>
      <c r="BM2067" s="4">
        <v>3835</v>
      </c>
      <c r="BN2067" s="4">
        <v>4019</v>
      </c>
      <c r="BR2067">
        <v>9700</v>
      </c>
      <c r="BS2067" t="s">
        <v>3016</v>
      </c>
      <c r="BT2067">
        <v>16</v>
      </c>
      <c r="BU2067">
        <v>13</v>
      </c>
      <c r="BV2067">
        <v>3</v>
      </c>
      <c r="BX2067">
        <v>2</v>
      </c>
      <c r="BZ2067">
        <v>1.5</v>
      </c>
      <c r="CM2067">
        <v>1911</v>
      </c>
    </row>
    <row r="2068" spans="1:91" x14ac:dyDescent="0.3">
      <c r="A2068" t="s">
        <v>3017</v>
      </c>
      <c r="B2068">
        <v>44624</v>
      </c>
      <c r="D2068">
        <v>12</v>
      </c>
      <c r="I2068">
        <v>150000</v>
      </c>
      <c r="U2068">
        <v>1</v>
      </c>
      <c r="Y2068">
        <v>1</v>
      </c>
      <c r="AA2068">
        <v>1.5</v>
      </c>
      <c r="AC2068" s="3">
        <v>1.56</v>
      </c>
      <c r="AE2068" s="3">
        <v>1.5</v>
      </c>
      <c r="AI2068">
        <v>1.56</v>
      </c>
      <c r="AK2068" s="3"/>
      <c r="AX2068" t="s">
        <v>823</v>
      </c>
      <c r="BB2068" t="s">
        <v>823</v>
      </c>
      <c r="BG2068">
        <v>12</v>
      </c>
      <c r="BH2068">
        <v>8</v>
      </c>
      <c r="BI2068">
        <v>12</v>
      </c>
      <c r="BJ2068">
        <v>8</v>
      </c>
      <c r="BK2068" s="4">
        <v>3713</v>
      </c>
      <c r="BL2068" s="4">
        <v>3897</v>
      </c>
      <c r="BM2068" s="4">
        <v>4078</v>
      </c>
      <c r="BN2068" s="4">
        <v>4262</v>
      </c>
      <c r="BR2068">
        <v>51251</v>
      </c>
      <c r="BS2068" t="s">
        <v>3018</v>
      </c>
      <c r="BT2068">
        <v>6</v>
      </c>
      <c r="BU2068">
        <v>8</v>
      </c>
      <c r="BV2068">
        <v>0</v>
      </c>
      <c r="BX2068">
        <v>1.65</v>
      </c>
      <c r="BZ2068">
        <v>1.34</v>
      </c>
      <c r="CK2068" t="s">
        <v>360</v>
      </c>
      <c r="CM2068">
        <v>1911</v>
      </c>
    </row>
    <row r="2069" spans="1:91" x14ac:dyDescent="0.3">
      <c r="A2069" t="s">
        <v>3017</v>
      </c>
      <c r="B2069">
        <v>44626</v>
      </c>
      <c r="C2069" t="s">
        <v>3013</v>
      </c>
      <c r="D2069">
        <v>12</v>
      </c>
      <c r="I2069">
        <v>15000</v>
      </c>
      <c r="U2069">
        <v>10</v>
      </c>
      <c r="Y2069">
        <v>10</v>
      </c>
      <c r="AA2069">
        <v>9.75</v>
      </c>
      <c r="AC2069" s="3">
        <v>9.81</v>
      </c>
      <c r="AE2069" s="3">
        <v>9.5</v>
      </c>
      <c r="AI2069">
        <v>9.75</v>
      </c>
      <c r="AK2069" s="3"/>
      <c r="AV2069" t="s">
        <v>373</v>
      </c>
      <c r="AX2069" t="s">
        <v>373</v>
      </c>
      <c r="AZ2069" t="s">
        <v>373</v>
      </c>
      <c r="BB2069" t="s">
        <v>373</v>
      </c>
      <c r="BO2069" t="s">
        <v>367</v>
      </c>
      <c r="BR2069">
        <v>51251</v>
      </c>
      <c r="BS2069" t="s">
        <v>3018</v>
      </c>
      <c r="BT2069">
        <v>5</v>
      </c>
      <c r="BU2069">
        <v>2</v>
      </c>
      <c r="BV2069">
        <v>6</v>
      </c>
      <c r="BX2069">
        <v>9.8699999999999992</v>
      </c>
      <c r="BZ2069">
        <v>9</v>
      </c>
      <c r="CM2069">
        <v>1911</v>
      </c>
    </row>
    <row r="2070" spans="1:91" x14ac:dyDescent="0.3">
      <c r="A2070" t="s">
        <v>3017</v>
      </c>
      <c r="B2070">
        <v>44625</v>
      </c>
      <c r="C2070" t="s">
        <v>974</v>
      </c>
      <c r="D2070">
        <v>12</v>
      </c>
      <c r="I2070">
        <v>225000</v>
      </c>
      <c r="J2070" t="s">
        <v>800</v>
      </c>
      <c r="V2070" t="s">
        <v>350</v>
      </c>
      <c r="Y2070">
        <v>100</v>
      </c>
      <c r="AA2070">
        <v>94.5</v>
      </c>
      <c r="AC2070" s="3">
        <v>95.5</v>
      </c>
      <c r="AE2070" s="3">
        <v>93.5</v>
      </c>
      <c r="AI2070">
        <v>93.5</v>
      </c>
      <c r="AJ2070" t="s">
        <v>379</v>
      </c>
      <c r="AK2070" s="3"/>
      <c r="AV2070" t="s">
        <v>370</v>
      </c>
      <c r="AX2070" t="s">
        <v>370</v>
      </c>
      <c r="AZ2070" t="s">
        <v>370</v>
      </c>
      <c r="BB2070" t="s">
        <v>370</v>
      </c>
      <c r="BO2070" t="s">
        <v>367</v>
      </c>
      <c r="BR2070">
        <v>51251</v>
      </c>
      <c r="BS2070" t="s">
        <v>3018</v>
      </c>
      <c r="BT2070">
        <v>4</v>
      </c>
      <c r="BU2070">
        <v>5</v>
      </c>
      <c r="BV2070">
        <v>6</v>
      </c>
      <c r="BX2070">
        <v>96</v>
      </c>
      <c r="BZ2070">
        <v>93.5</v>
      </c>
      <c r="CM2070">
        <v>1911</v>
      </c>
    </row>
    <row r="2071" spans="1:91" x14ac:dyDescent="0.3">
      <c r="A2071" t="s">
        <v>3019</v>
      </c>
      <c r="B2071">
        <v>44630</v>
      </c>
      <c r="D2071">
        <v>12</v>
      </c>
      <c r="I2071">
        <v>80000</v>
      </c>
      <c r="U2071">
        <v>1</v>
      </c>
      <c r="Y2071">
        <v>1</v>
      </c>
      <c r="AA2071">
        <v>4</v>
      </c>
      <c r="AC2071" s="3">
        <v>4</v>
      </c>
      <c r="AE2071" s="3">
        <v>4</v>
      </c>
      <c r="AI2071">
        <v>4</v>
      </c>
      <c r="AK2071" s="3"/>
      <c r="AX2071" t="s">
        <v>823</v>
      </c>
      <c r="BB2071" t="s">
        <v>823</v>
      </c>
      <c r="BG2071">
        <v>30</v>
      </c>
      <c r="BH2071">
        <v>14</v>
      </c>
      <c r="BI2071">
        <v>32</v>
      </c>
      <c r="BJ2071">
        <v>14</v>
      </c>
      <c r="BK2071" s="4">
        <v>3805</v>
      </c>
      <c r="BL2071" s="4">
        <v>3958</v>
      </c>
      <c r="BM2071" s="4">
        <v>4170</v>
      </c>
      <c r="BN2071" s="4">
        <v>4323</v>
      </c>
      <c r="BR2071">
        <v>45618</v>
      </c>
      <c r="BT2071">
        <v>5</v>
      </c>
      <c r="BU2071">
        <v>15</v>
      </c>
      <c r="BV2071">
        <v>0</v>
      </c>
      <c r="BX2071">
        <v>4</v>
      </c>
      <c r="BZ2071">
        <v>3.56</v>
      </c>
      <c r="CK2071" t="s">
        <v>393</v>
      </c>
      <c r="CM2071">
        <v>1911</v>
      </c>
    </row>
    <row r="2072" spans="1:91" x14ac:dyDescent="0.3">
      <c r="A2072" t="s">
        <v>3020</v>
      </c>
      <c r="B2072">
        <v>44634</v>
      </c>
      <c r="D2072">
        <v>12</v>
      </c>
      <c r="I2072">
        <v>217500</v>
      </c>
      <c r="U2072">
        <v>1</v>
      </c>
      <c r="Y2072">
        <v>1</v>
      </c>
      <c r="AA2072">
        <v>0.93</v>
      </c>
      <c r="AC2072" s="3">
        <v>0.93</v>
      </c>
      <c r="AE2072" s="3">
        <v>0.93</v>
      </c>
      <c r="AI2072">
        <v>0.93</v>
      </c>
      <c r="AK2072" s="3"/>
      <c r="AV2072" t="s">
        <v>823</v>
      </c>
      <c r="AZ2072" t="s">
        <v>823</v>
      </c>
      <c r="BG2072">
        <v>5</v>
      </c>
      <c r="BH2072">
        <v>9</v>
      </c>
      <c r="BI2072">
        <v>5</v>
      </c>
      <c r="BJ2072">
        <v>7</v>
      </c>
      <c r="BK2072" s="4">
        <v>3713</v>
      </c>
      <c r="BL2072" s="4">
        <v>3897</v>
      </c>
      <c r="BM2072" s="4">
        <v>4078</v>
      </c>
      <c r="BN2072" s="4">
        <v>4262</v>
      </c>
      <c r="BR2072">
        <v>62009</v>
      </c>
      <c r="BS2072" t="s">
        <v>3021</v>
      </c>
      <c r="BT2072">
        <v>6</v>
      </c>
      <c r="BU2072">
        <v>8</v>
      </c>
      <c r="BV2072">
        <v>0</v>
      </c>
      <c r="BX2072">
        <v>1.03</v>
      </c>
      <c r="BZ2072">
        <v>0.93</v>
      </c>
      <c r="CK2072" t="s">
        <v>3022</v>
      </c>
      <c r="CM2072">
        <v>1911</v>
      </c>
    </row>
    <row r="2073" spans="1:91" x14ac:dyDescent="0.3">
      <c r="A2073" t="s">
        <v>3020</v>
      </c>
      <c r="B2073">
        <v>44636</v>
      </c>
      <c r="C2073" t="s">
        <v>3013</v>
      </c>
      <c r="D2073">
        <v>12</v>
      </c>
      <c r="I2073">
        <v>217500</v>
      </c>
      <c r="U2073">
        <v>1</v>
      </c>
      <c r="Y2073">
        <v>1</v>
      </c>
      <c r="AA2073">
        <v>1</v>
      </c>
      <c r="AC2073" s="3">
        <v>1</v>
      </c>
      <c r="AE2073" s="3">
        <v>1</v>
      </c>
      <c r="AI2073">
        <v>1</v>
      </c>
      <c r="AK2073" s="3"/>
      <c r="AV2073" t="s">
        <v>373</v>
      </c>
      <c r="AX2073" t="s">
        <v>373</v>
      </c>
      <c r="AZ2073" t="s">
        <v>373</v>
      </c>
      <c r="BB2073" t="s">
        <v>373</v>
      </c>
      <c r="BO2073" t="s">
        <v>367</v>
      </c>
      <c r="BR2073">
        <v>62009</v>
      </c>
      <c r="BS2073" t="s">
        <v>3021</v>
      </c>
      <c r="BT2073">
        <v>5</v>
      </c>
      <c r="BU2073">
        <v>0</v>
      </c>
      <c r="BV2073">
        <v>0</v>
      </c>
      <c r="BX2073">
        <v>1.06</v>
      </c>
      <c r="BZ2073">
        <v>1</v>
      </c>
      <c r="CM2073">
        <v>1911</v>
      </c>
    </row>
    <row r="2074" spans="1:91" x14ac:dyDescent="0.3">
      <c r="A2074" t="s">
        <v>3020</v>
      </c>
      <c r="B2074">
        <v>44635</v>
      </c>
      <c r="C2074" t="s">
        <v>693</v>
      </c>
      <c r="D2074">
        <v>12</v>
      </c>
      <c r="I2074">
        <v>200000</v>
      </c>
      <c r="J2074" t="s">
        <v>800</v>
      </c>
      <c r="V2074" t="s">
        <v>350</v>
      </c>
      <c r="Y2074">
        <v>100</v>
      </c>
      <c r="AA2074">
        <v>99.5</v>
      </c>
      <c r="AC2074" s="3">
        <v>99.5</v>
      </c>
      <c r="AE2074" s="3">
        <v>97.5</v>
      </c>
      <c r="AI2074">
        <v>97.5</v>
      </c>
      <c r="AJ2074" t="s">
        <v>379</v>
      </c>
      <c r="AK2074" s="3"/>
      <c r="AV2074" t="s">
        <v>370</v>
      </c>
      <c r="AX2074" t="s">
        <v>370</v>
      </c>
      <c r="AZ2074" t="s">
        <v>370</v>
      </c>
      <c r="BB2074" t="s">
        <v>370</v>
      </c>
      <c r="BO2074" t="s">
        <v>367</v>
      </c>
      <c r="BR2074">
        <v>62009</v>
      </c>
      <c r="BS2074" t="s">
        <v>3021</v>
      </c>
      <c r="BT2074">
        <v>4</v>
      </c>
      <c r="BU2074">
        <v>2</v>
      </c>
      <c r="BV2074">
        <v>0</v>
      </c>
      <c r="BX2074">
        <v>99.5</v>
      </c>
      <c r="BZ2074">
        <v>94</v>
      </c>
      <c r="CM2074">
        <v>1911</v>
      </c>
    </row>
    <row r="2075" spans="1:91" x14ac:dyDescent="0.3">
      <c r="A2075" t="s">
        <v>3023</v>
      </c>
      <c r="B2075">
        <v>44640</v>
      </c>
      <c r="D2075">
        <v>12</v>
      </c>
      <c r="I2075">
        <v>360000</v>
      </c>
      <c r="U2075">
        <v>1</v>
      </c>
      <c r="Y2075">
        <v>1</v>
      </c>
      <c r="AA2075">
        <v>1.21</v>
      </c>
      <c r="AC2075" s="3">
        <v>1.21</v>
      </c>
      <c r="AE2075" s="3">
        <v>1.21</v>
      </c>
      <c r="AI2075">
        <v>1.21</v>
      </c>
      <c r="AK2075" s="3"/>
      <c r="AX2075" t="s">
        <v>823</v>
      </c>
      <c r="BB2075" t="s">
        <v>823</v>
      </c>
      <c r="BG2075">
        <v>7.5</v>
      </c>
      <c r="BH2075">
        <v>5</v>
      </c>
      <c r="BI2075">
        <v>9</v>
      </c>
      <c r="BJ2075">
        <v>5</v>
      </c>
      <c r="BK2075" s="4">
        <v>3685</v>
      </c>
      <c r="BL2075" s="4">
        <v>3835</v>
      </c>
      <c r="BM2075" s="4">
        <v>4050</v>
      </c>
      <c r="BN2075" s="4">
        <v>4200</v>
      </c>
      <c r="BR2075">
        <v>48793</v>
      </c>
      <c r="BT2075">
        <v>5</v>
      </c>
      <c r="BU2075">
        <v>15</v>
      </c>
      <c r="BV2075">
        <v>0</v>
      </c>
      <c r="BX2075">
        <v>1.31</v>
      </c>
      <c r="BZ2075">
        <v>1.1499999999999999</v>
      </c>
      <c r="CM2075">
        <v>1911</v>
      </c>
    </row>
    <row r="2076" spans="1:91" x14ac:dyDescent="0.3">
      <c r="A2076" t="s">
        <v>3023</v>
      </c>
      <c r="B2076">
        <v>44641</v>
      </c>
      <c r="C2076" t="s">
        <v>817</v>
      </c>
      <c r="D2076">
        <v>12</v>
      </c>
      <c r="I2076">
        <v>360000</v>
      </c>
      <c r="U2076">
        <v>1</v>
      </c>
      <c r="Y2076">
        <v>1</v>
      </c>
      <c r="AA2076">
        <v>1.06</v>
      </c>
      <c r="AC2076" s="3">
        <v>1.0900000000000001</v>
      </c>
      <c r="AE2076" s="3">
        <v>1.06</v>
      </c>
      <c r="AI2076">
        <v>1.06</v>
      </c>
      <c r="AK2076" s="3"/>
      <c r="AV2076" t="s">
        <v>351</v>
      </c>
      <c r="AX2076" t="s">
        <v>351</v>
      </c>
      <c r="AZ2076" t="s">
        <v>351</v>
      </c>
      <c r="BB2076" t="s">
        <v>351</v>
      </c>
      <c r="BO2076" t="s">
        <v>352</v>
      </c>
      <c r="BS2076" t="s">
        <v>385</v>
      </c>
      <c r="BT2076">
        <v>4</v>
      </c>
      <c r="BU2076">
        <v>14</v>
      </c>
      <c r="BV2076">
        <v>0</v>
      </c>
      <c r="BX2076">
        <v>1.0900000000000001</v>
      </c>
      <c r="BZ2076">
        <v>1.03</v>
      </c>
      <c r="CM2076">
        <v>1911</v>
      </c>
    </row>
    <row r="2077" spans="1:91" x14ac:dyDescent="0.3">
      <c r="A2077" t="s">
        <v>3024</v>
      </c>
      <c r="B2077">
        <v>44646</v>
      </c>
      <c r="D2077">
        <v>12</v>
      </c>
      <c r="I2077">
        <v>200000</v>
      </c>
      <c r="U2077">
        <v>1</v>
      </c>
      <c r="Y2077">
        <v>1</v>
      </c>
      <c r="AA2077">
        <v>1.03</v>
      </c>
      <c r="AC2077" s="3">
        <v>1.03</v>
      </c>
      <c r="AE2077" s="3">
        <v>1.03</v>
      </c>
      <c r="AI2077">
        <v>1.03</v>
      </c>
      <c r="AK2077" s="3"/>
      <c r="AV2077" t="s">
        <v>370</v>
      </c>
      <c r="AX2077" t="s">
        <v>370</v>
      </c>
      <c r="AZ2077" t="s">
        <v>370</v>
      </c>
      <c r="BB2077" t="s">
        <v>370</v>
      </c>
      <c r="BO2077" t="s">
        <v>367</v>
      </c>
      <c r="BS2077" t="s">
        <v>385</v>
      </c>
      <c r="BT2077">
        <v>5</v>
      </c>
      <c r="BU2077">
        <v>16</v>
      </c>
      <c r="BV2077">
        <v>3</v>
      </c>
      <c r="BX2077">
        <v>1.1200000000000001</v>
      </c>
      <c r="BZ2077">
        <v>1.03</v>
      </c>
      <c r="CM2077">
        <v>1911</v>
      </c>
    </row>
    <row r="2078" spans="1:91" x14ac:dyDescent="0.3">
      <c r="A2078" t="s">
        <v>3025</v>
      </c>
      <c r="B2078">
        <v>44650</v>
      </c>
      <c r="D2078">
        <v>12</v>
      </c>
      <c r="I2078">
        <v>250000</v>
      </c>
      <c r="U2078">
        <v>1</v>
      </c>
      <c r="Y2078">
        <v>1</v>
      </c>
      <c r="AA2078">
        <v>2.25</v>
      </c>
      <c r="AC2078" s="3">
        <v>2.31</v>
      </c>
      <c r="AE2078" s="3">
        <v>2.1800000000000002</v>
      </c>
      <c r="AI2078">
        <v>2.25</v>
      </c>
      <c r="AJ2078" t="s">
        <v>379</v>
      </c>
      <c r="AK2078" s="3"/>
      <c r="AV2078" t="s">
        <v>351</v>
      </c>
      <c r="AX2078" t="s">
        <v>351</v>
      </c>
      <c r="AZ2078" t="s">
        <v>351</v>
      </c>
      <c r="BB2078" t="s">
        <v>351</v>
      </c>
      <c r="BO2078" t="s">
        <v>352</v>
      </c>
      <c r="BR2078">
        <v>238436</v>
      </c>
      <c r="BS2078" t="s">
        <v>3026</v>
      </c>
      <c r="BT2078">
        <v>6</v>
      </c>
      <c r="BU2078">
        <v>13</v>
      </c>
      <c r="BV2078">
        <v>3</v>
      </c>
      <c r="BX2078">
        <v>2.4300000000000002</v>
      </c>
      <c r="BZ2078">
        <v>2</v>
      </c>
      <c r="CK2078" t="s">
        <v>360</v>
      </c>
      <c r="CM2078">
        <v>1911</v>
      </c>
    </row>
    <row r="2079" spans="1:91" x14ac:dyDescent="0.3">
      <c r="A2079" t="s">
        <v>3025</v>
      </c>
      <c r="B2079">
        <v>44651</v>
      </c>
      <c r="C2079" t="s">
        <v>3027</v>
      </c>
      <c r="D2079">
        <v>12</v>
      </c>
      <c r="I2079">
        <v>250000</v>
      </c>
      <c r="U2079">
        <v>1</v>
      </c>
      <c r="Y2079">
        <v>1</v>
      </c>
      <c r="AA2079">
        <v>2.5</v>
      </c>
      <c r="AC2079" s="3">
        <v>2.5299999999999998</v>
      </c>
      <c r="AE2079" s="3">
        <v>2.37</v>
      </c>
      <c r="AI2079">
        <v>2.5</v>
      </c>
      <c r="AJ2079" t="s">
        <v>379</v>
      </c>
      <c r="AK2079" s="3"/>
      <c r="AV2079" t="s">
        <v>351</v>
      </c>
      <c r="AX2079" t="s">
        <v>351</v>
      </c>
      <c r="AZ2079" t="s">
        <v>351</v>
      </c>
      <c r="BB2079" t="s">
        <v>351</v>
      </c>
      <c r="BO2079" t="s">
        <v>352</v>
      </c>
      <c r="BR2079">
        <v>238436</v>
      </c>
      <c r="BS2079" t="s">
        <v>3026</v>
      </c>
      <c r="BT2079">
        <v>6</v>
      </c>
      <c r="BU2079">
        <v>0</v>
      </c>
      <c r="BV2079">
        <v>0</v>
      </c>
      <c r="BX2079">
        <v>2.62</v>
      </c>
      <c r="BZ2079">
        <v>2.25</v>
      </c>
      <c r="CM2079">
        <v>1911</v>
      </c>
    </row>
    <row r="2080" spans="1:91" x14ac:dyDescent="0.3">
      <c r="A2080" t="s">
        <v>3025</v>
      </c>
      <c r="B2080">
        <v>44647</v>
      </c>
      <c r="C2080" t="s">
        <v>803</v>
      </c>
      <c r="D2080">
        <v>12</v>
      </c>
      <c r="I2080">
        <v>135000</v>
      </c>
      <c r="U2080">
        <v>5</v>
      </c>
      <c r="Y2080">
        <v>5</v>
      </c>
      <c r="AA2080">
        <v>5.81</v>
      </c>
      <c r="AC2080" s="3">
        <v>6.06</v>
      </c>
      <c r="AE2080" s="3">
        <v>5.81</v>
      </c>
      <c r="AI2080">
        <v>5.93</v>
      </c>
      <c r="AJ2080" t="s">
        <v>379</v>
      </c>
      <c r="AK2080" s="3"/>
      <c r="AV2080" t="s">
        <v>351</v>
      </c>
      <c r="AX2080" t="s">
        <v>351</v>
      </c>
      <c r="AZ2080" t="s">
        <v>351</v>
      </c>
      <c r="BB2080" t="s">
        <v>351</v>
      </c>
      <c r="BO2080" t="s">
        <v>352</v>
      </c>
      <c r="BR2080">
        <v>238436</v>
      </c>
      <c r="BS2080" t="s">
        <v>3026</v>
      </c>
      <c r="BT2080">
        <v>5</v>
      </c>
      <c r="BU2080">
        <v>1</v>
      </c>
      <c r="BV2080">
        <v>0</v>
      </c>
      <c r="BX2080">
        <v>6.12</v>
      </c>
      <c r="BZ2080">
        <v>5.56</v>
      </c>
      <c r="CM2080">
        <v>1911</v>
      </c>
    </row>
    <row r="2081" spans="1:91" x14ac:dyDescent="0.3">
      <c r="A2081" t="s">
        <v>3028</v>
      </c>
      <c r="B2081">
        <v>44660</v>
      </c>
      <c r="D2081">
        <v>12</v>
      </c>
      <c r="I2081">
        <v>300000</v>
      </c>
      <c r="U2081">
        <v>1</v>
      </c>
      <c r="Y2081">
        <v>1</v>
      </c>
      <c r="AA2081">
        <v>0.81</v>
      </c>
      <c r="AC2081" s="3">
        <v>0.84</v>
      </c>
      <c r="AE2081" s="3">
        <v>0.81</v>
      </c>
      <c r="AI2081">
        <v>0.81</v>
      </c>
      <c r="AK2081" s="3"/>
      <c r="AV2081" t="s">
        <v>823</v>
      </c>
      <c r="AZ2081" t="s">
        <v>823</v>
      </c>
      <c r="BG2081">
        <v>4</v>
      </c>
      <c r="BH2081">
        <v>7</v>
      </c>
      <c r="BI2081">
        <v>4</v>
      </c>
      <c r="BJ2081">
        <v>8</v>
      </c>
      <c r="BK2081" s="4">
        <v>3774</v>
      </c>
      <c r="BL2081" s="4">
        <v>3958</v>
      </c>
      <c r="BM2081" s="4">
        <v>4139</v>
      </c>
      <c r="BN2081" s="4">
        <v>4323</v>
      </c>
      <c r="BR2081">
        <v>48711</v>
      </c>
      <c r="BS2081" t="s">
        <v>3029</v>
      </c>
      <c r="BT2081">
        <v>7</v>
      </c>
      <c r="BU2081">
        <v>7</v>
      </c>
      <c r="BV2081">
        <v>9</v>
      </c>
      <c r="BX2081">
        <v>0.87</v>
      </c>
      <c r="BZ2081">
        <v>0.78</v>
      </c>
      <c r="CK2081" t="s">
        <v>360</v>
      </c>
      <c r="CM2081">
        <v>1911</v>
      </c>
    </row>
    <row r="2082" spans="1:91" x14ac:dyDescent="0.3">
      <c r="A2082" t="s">
        <v>3028</v>
      </c>
      <c r="B2082">
        <v>44661</v>
      </c>
      <c r="C2082" t="s">
        <v>2688</v>
      </c>
      <c r="D2082">
        <v>12</v>
      </c>
      <c r="I2082">
        <v>300000</v>
      </c>
      <c r="U2082">
        <v>1</v>
      </c>
      <c r="Y2082">
        <v>1</v>
      </c>
      <c r="AA2082">
        <v>1.03</v>
      </c>
      <c r="AC2082" s="3">
        <v>1.06</v>
      </c>
      <c r="AE2082" s="3">
        <v>1</v>
      </c>
      <c r="AI2082">
        <v>1.06</v>
      </c>
      <c r="AK2082" s="3"/>
      <c r="BG2082">
        <v>5.5</v>
      </c>
      <c r="BH2082">
        <v>5.5</v>
      </c>
      <c r="BI2082">
        <v>5.5</v>
      </c>
      <c r="BJ2082">
        <v>5.5</v>
      </c>
      <c r="BK2082" s="4">
        <v>3774</v>
      </c>
      <c r="BL2082" s="4">
        <v>3958</v>
      </c>
      <c r="BM2082" s="4">
        <v>4139</v>
      </c>
      <c r="BN2082" s="4">
        <v>4323</v>
      </c>
      <c r="BR2082">
        <v>48711</v>
      </c>
      <c r="BS2082" t="s">
        <v>3029</v>
      </c>
      <c r="BT2082">
        <v>5</v>
      </c>
      <c r="BU2082">
        <v>3</v>
      </c>
      <c r="BV2082">
        <v>6</v>
      </c>
      <c r="BX2082">
        <v>1.06</v>
      </c>
      <c r="BZ2082">
        <v>0.93</v>
      </c>
      <c r="CM2082">
        <v>1911</v>
      </c>
    </row>
    <row r="2083" spans="1:91" x14ac:dyDescent="0.3">
      <c r="A2083" t="s">
        <v>3030</v>
      </c>
      <c r="B2083">
        <v>44685</v>
      </c>
      <c r="D2083">
        <v>12</v>
      </c>
      <c r="I2083">
        <v>238978</v>
      </c>
      <c r="U2083">
        <v>1</v>
      </c>
      <c r="Y2083">
        <v>1</v>
      </c>
      <c r="AA2083">
        <v>0.12</v>
      </c>
      <c r="AC2083" s="3">
        <v>0.12</v>
      </c>
      <c r="AE2083" s="3">
        <v>0.12</v>
      </c>
      <c r="AI2083">
        <v>0.12</v>
      </c>
      <c r="AK2083" s="3"/>
      <c r="AV2083" t="s">
        <v>815</v>
      </c>
      <c r="AX2083" t="s">
        <v>802</v>
      </c>
      <c r="AZ2083" t="s">
        <v>815</v>
      </c>
      <c r="BB2083" t="s">
        <v>810</v>
      </c>
      <c r="BG2083">
        <v>2.5</v>
      </c>
      <c r="BI2083">
        <v>3</v>
      </c>
      <c r="BK2083" s="4">
        <v>1948</v>
      </c>
      <c r="BL2083" s="4">
        <v>2313</v>
      </c>
      <c r="BM2083" s="4">
        <v>2678</v>
      </c>
      <c r="BR2083">
        <v>17819</v>
      </c>
      <c r="BS2083" t="s">
        <v>3031</v>
      </c>
      <c r="BW2083" t="s">
        <v>802</v>
      </c>
      <c r="BX2083">
        <v>0.25</v>
      </c>
      <c r="BZ2083">
        <v>0.06</v>
      </c>
      <c r="CK2083" t="s">
        <v>360</v>
      </c>
      <c r="CM2083">
        <v>1911</v>
      </c>
    </row>
    <row r="2084" spans="1:91" x14ac:dyDescent="0.3">
      <c r="A2084" t="s">
        <v>3030</v>
      </c>
      <c r="B2084">
        <v>44686</v>
      </c>
      <c r="C2084" t="s">
        <v>3032</v>
      </c>
      <c r="D2084">
        <v>12</v>
      </c>
      <c r="I2084">
        <v>210000</v>
      </c>
      <c r="U2084">
        <v>1</v>
      </c>
      <c r="Y2084">
        <v>1</v>
      </c>
      <c r="AA2084">
        <v>0.25</v>
      </c>
      <c r="AC2084" s="3">
        <v>0.25</v>
      </c>
      <c r="AE2084" s="3">
        <v>0.25</v>
      </c>
      <c r="AI2084">
        <v>0.25</v>
      </c>
      <c r="AK2084" s="3"/>
      <c r="AV2084" t="s">
        <v>815</v>
      </c>
      <c r="AX2084" t="s">
        <v>802</v>
      </c>
      <c r="AZ2084" t="s">
        <v>815</v>
      </c>
      <c r="BB2084" t="s">
        <v>810</v>
      </c>
      <c r="BG2084">
        <v>5</v>
      </c>
      <c r="BI2084">
        <v>5</v>
      </c>
      <c r="BK2084" s="4">
        <v>1948</v>
      </c>
      <c r="BL2084" s="4">
        <v>2313</v>
      </c>
      <c r="BM2084" s="4">
        <v>2678</v>
      </c>
      <c r="BR2084">
        <v>17819</v>
      </c>
      <c r="BS2084" t="s">
        <v>3031</v>
      </c>
      <c r="BW2084" t="s">
        <v>802</v>
      </c>
      <c r="BX2084">
        <v>0.28000000000000003</v>
      </c>
      <c r="BZ2084">
        <v>0.12</v>
      </c>
      <c r="CM2084">
        <v>1911</v>
      </c>
    </row>
    <row r="2085" spans="1:91" x14ac:dyDescent="0.3">
      <c r="A2085" t="s">
        <v>3033</v>
      </c>
      <c r="B2085">
        <v>44690</v>
      </c>
      <c r="D2085">
        <v>12</v>
      </c>
      <c r="I2085">
        <v>100000</v>
      </c>
      <c r="U2085">
        <v>5</v>
      </c>
      <c r="Y2085">
        <v>5</v>
      </c>
      <c r="AA2085">
        <v>3.37</v>
      </c>
      <c r="AC2085" s="3">
        <v>3.5</v>
      </c>
      <c r="AE2085" s="3">
        <v>3.37</v>
      </c>
      <c r="AI2085">
        <v>3.37</v>
      </c>
      <c r="AK2085" s="3"/>
      <c r="AV2085" t="s">
        <v>815</v>
      </c>
      <c r="AX2085" t="s">
        <v>815</v>
      </c>
      <c r="AZ2085" t="s">
        <v>815</v>
      </c>
      <c r="BB2085" t="s">
        <v>815</v>
      </c>
      <c r="BG2085">
        <v>4.5</v>
      </c>
      <c r="BH2085">
        <v>3</v>
      </c>
      <c r="BI2085">
        <v>2</v>
      </c>
      <c r="BJ2085">
        <v>5</v>
      </c>
      <c r="BK2085" s="4">
        <v>3197</v>
      </c>
      <c r="BL2085" s="4">
        <v>3562</v>
      </c>
      <c r="BM2085" s="4">
        <v>3927</v>
      </c>
      <c r="BN2085" s="4">
        <v>4292</v>
      </c>
      <c r="BR2085">
        <v>28979</v>
      </c>
      <c r="BS2085" t="s">
        <v>3034</v>
      </c>
      <c r="BT2085">
        <v>7</v>
      </c>
      <c r="BU2085">
        <v>8</v>
      </c>
      <c r="BV2085">
        <v>3</v>
      </c>
      <c r="BX2085">
        <v>3.5</v>
      </c>
      <c r="BZ2085">
        <v>2.5</v>
      </c>
      <c r="CK2085" t="s">
        <v>360</v>
      </c>
      <c r="CM2085">
        <v>1911</v>
      </c>
    </row>
    <row r="2086" spans="1:91" x14ac:dyDescent="0.3">
      <c r="A2086" t="s">
        <v>3033</v>
      </c>
      <c r="B2086">
        <v>44688</v>
      </c>
      <c r="C2086" t="s">
        <v>1506</v>
      </c>
      <c r="D2086">
        <v>12</v>
      </c>
      <c r="I2086">
        <v>600000</v>
      </c>
      <c r="J2086" t="s">
        <v>800</v>
      </c>
      <c r="V2086" t="s">
        <v>350</v>
      </c>
      <c r="Y2086">
        <v>100</v>
      </c>
      <c r="AA2086">
        <v>78</v>
      </c>
      <c r="AC2086" s="3">
        <v>78</v>
      </c>
      <c r="AE2086" s="3">
        <v>77.5</v>
      </c>
      <c r="AI2086">
        <v>78</v>
      </c>
      <c r="AK2086" s="3"/>
      <c r="AV2086" t="s">
        <v>373</v>
      </c>
      <c r="AX2086" t="s">
        <v>373</v>
      </c>
      <c r="AZ2086" t="s">
        <v>373</v>
      </c>
      <c r="BB2086" t="s">
        <v>373</v>
      </c>
      <c r="BO2086" t="s">
        <v>367</v>
      </c>
      <c r="BR2086">
        <v>28979</v>
      </c>
      <c r="BS2086" t="s">
        <v>3034</v>
      </c>
      <c r="BT2086">
        <v>5</v>
      </c>
      <c r="BU2086">
        <v>3</v>
      </c>
      <c r="BV2086">
        <v>6</v>
      </c>
      <c r="BX2086">
        <v>83.5</v>
      </c>
      <c r="BZ2086">
        <v>76</v>
      </c>
      <c r="CM2086">
        <v>1911</v>
      </c>
    </row>
    <row r="2087" spans="1:91" x14ac:dyDescent="0.3">
      <c r="A2087" t="s">
        <v>3035</v>
      </c>
      <c r="B2087">
        <v>44695</v>
      </c>
      <c r="D2087">
        <v>12</v>
      </c>
      <c r="I2087">
        <v>13334</v>
      </c>
      <c r="U2087">
        <v>5</v>
      </c>
      <c r="Y2087">
        <v>5</v>
      </c>
      <c r="AA2087">
        <v>4.25</v>
      </c>
      <c r="AC2087" s="3">
        <v>4.25</v>
      </c>
      <c r="AE2087" s="3">
        <v>4.12</v>
      </c>
      <c r="AI2087">
        <v>4.12</v>
      </c>
      <c r="AJ2087" t="s">
        <v>379</v>
      </c>
      <c r="AK2087" s="3"/>
      <c r="AV2087" t="s">
        <v>370</v>
      </c>
      <c r="AX2087" t="s">
        <v>370</v>
      </c>
      <c r="AZ2087" t="s">
        <v>370</v>
      </c>
      <c r="BB2087" t="s">
        <v>370</v>
      </c>
      <c r="BO2087" t="s">
        <v>367</v>
      </c>
      <c r="BR2087">
        <v>186727</v>
      </c>
      <c r="BS2087" t="s">
        <v>3036</v>
      </c>
      <c r="BT2087">
        <v>6</v>
      </c>
      <c r="BU2087">
        <v>13</v>
      </c>
      <c r="BV2087">
        <v>3</v>
      </c>
      <c r="BX2087">
        <v>4.0599999999999996</v>
      </c>
      <c r="BZ2087">
        <v>3.5</v>
      </c>
      <c r="CK2087" t="s">
        <v>360</v>
      </c>
      <c r="CM2087">
        <v>1911</v>
      </c>
    </row>
    <row r="2088" spans="1:91" x14ac:dyDescent="0.3">
      <c r="A2088" t="s">
        <v>3037</v>
      </c>
      <c r="B2088">
        <v>44694</v>
      </c>
      <c r="D2088">
        <v>12</v>
      </c>
      <c r="I2088">
        <v>125000</v>
      </c>
      <c r="J2088" t="s">
        <v>800</v>
      </c>
      <c r="V2088" t="s">
        <v>350</v>
      </c>
      <c r="Y2088">
        <v>100</v>
      </c>
      <c r="AA2088">
        <v>80.5</v>
      </c>
      <c r="AC2088" s="3">
        <v>81.5</v>
      </c>
      <c r="AE2088" s="3">
        <v>79.5</v>
      </c>
      <c r="AI2088">
        <v>79.5</v>
      </c>
      <c r="AJ2088" t="s">
        <v>379</v>
      </c>
      <c r="AK2088" s="3"/>
      <c r="AV2088" t="s">
        <v>370</v>
      </c>
      <c r="AX2088" t="s">
        <v>370</v>
      </c>
      <c r="AZ2088" t="s">
        <v>370</v>
      </c>
      <c r="BB2088" t="s">
        <v>370</v>
      </c>
      <c r="BO2088" t="s">
        <v>367</v>
      </c>
      <c r="BR2088">
        <v>186727</v>
      </c>
      <c r="BS2088" t="s">
        <v>3036</v>
      </c>
      <c r="BT2088">
        <v>5</v>
      </c>
      <c r="BU2088">
        <v>13</v>
      </c>
      <c r="BV2088">
        <v>3</v>
      </c>
      <c r="BX2088">
        <v>82</v>
      </c>
      <c r="BZ2088">
        <v>70.5</v>
      </c>
      <c r="CM2088">
        <v>1911</v>
      </c>
    </row>
    <row r="2089" spans="1:91" x14ac:dyDescent="0.3">
      <c r="A2089" t="s">
        <v>3038</v>
      </c>
      <c r="B2089">
        <v>44713</v>
      </c>
      <c r="D2089">
        <v>12</v>
      </c>
      <c r="I2089">
        <v>137500</v>
      </c>
      <c r="U2089">
        <v>1</v>
      </c>
      <c r="Y2089">
        <v>1</v>
      </c>
      <c r="AA2089">
        <v>0.93</v>
      </c>
      <c r="AB2089" t="s">
        <v>379</v>
      </c>
      <c r="AC2089" s="3">
        <v>0.93</v>
      </c>
      <c r="AE2089" s="3">
        <v>0.93</v>
      </c>
      <c r="AI2089">
        <v>0.93</v>
      </c>
      <c r="AK2089" s="3"/>
      <c r="AV2089" t="s">
        <v>815</v>
      </c>
      <c r="AX2089" t="s">
        <v>823</v>
      </c>
      <c r="BB2089" t="s">
        <v>823</v>
      </c>
      <c r="BG2089">
        <v>4</v>
      </c>
      <c r="BH2089">
        <v>6</v>
      </c>
      <c r="BI2089">
        <v>6</v>
      </c>
      <c r="BJ2089">
        <v>6</v>
      </c>
      <c r="BK2089" s="4">
        <v>3805</v>
      </c>
      <c r="BL2089" s="4">
        <v>3988</v>
      </c>
      <c r="BM2089" s="4">
        <v>4170</v>
      </c>
      <c r="BN2089" s="4">
        <v>4353</v>
      </c>
      <c r="BR2089">
        <v>33201</v>
      </c>
      <c r="BS2089" t="s">
        <v>3039</v>
      </c>
      <c r="BT2089">
        <v>6</v>
      </c>
      <c r="BU2089">
        <v>8</v>
      </c>
      <c r="BV2089">
        <v>0</v>
      </c>
      <c r="BX2089">
        <v>1.03</v>
      </c>
      <c r="BZ2089">
        <v>0.81</v>
      </c>
      <c r="CK2089" t="s">
        <v>360</v>
      </c>
      <c r="CM2089">
        <v>1911</v>
      </c>
    </row>
    <row r="2090" spans="1:91" x14ac:dyDescent="0.3">
      <c r="A2090" t="s">
        <v>3038</v>
      </c>
      <c r="B2090">
        <v>44714</v>
      </c>
      <c r="C2090" t="s">
        <v>803</v>
      </c>
      <c r="D2090">
        <v>12</v>
      </c>
      <c r="I2090">
        <v>137500</v>
      </c>
      <c r="U2090">
        <v>1</v>
      </c>
      <c r="Y2090">
        <v>1</v>
      </c>
      <c r="AA2090">
        <v>1.06</v>
      </c>
      <c r="AC2090" s="3">
        <v>1.06</v>
      </c>
      <c r="AE2090" s="3">
        <v>1.06</v>
      </c>
      <c r="AI2090">
        <v>1.06</v>
      </c>
      <c r="AK2090" s="3"/>
      <c r="AV2090" t="s">
        <v>536</v>
      </c>
      <c r="AX2090" t="s">
        <v>536</v>
      </c>
      <c r="AZ2090" t="s">
        <v>536</v>
      </c>
      <c r="BB2090" t="s">
        <v>536</v>
      </c>
      <c r="BO2090" t="s">
        <v>367</v>
      </c>
      <c r="BR2090">
        <v>33201</v>
      </c>
      <c r="BS2090" t="s">
        <v>3039</v>
      </c>
      <c r="BT2090">
        <v>5</v>
      </c>
      <c r="BU2090">
        <v>13</v>
      </c>
      <c r="BV2090">
        <v>0</v>
      </c>
      <c r="BX2090">
        <v>1.1200000000000001</v>
      </c>
      <c r="BZ2090">
        <v>0.87</v>
      </c>
      <c r="CM2090">
        <v>1911</v>
      </c>
    </row>
    <row r="2091" spans="1:91" x14ac:dyDescent="0.3">
      <c r="A2091" t="s">
        <v>3040</v>
      </c>
      <c r="B2091">
        <v>44719</v>
      </c>
      <c r="D2091">
        <v>12</v>
      </c>
      <c r="I2091">
        <v>60000</v>
      </c>
      <c r="U2091">
        <v>5</v>
      </c>
      <c r="Y2091">
        <v>5</v>
      </c>
      <c r="AA2091">
        <v>2.25</v>
      </c>
      <c r="AC2091" s="3">
        <v>2.25</v>
      </c>
      <c r="AE2091" s="3">
        <v>2.12</v>
      </c>
      <c r="AI2091">
        <v>2.25</v>
      </c>
      <c r="AK2091" s="3"/>
      <c r="AX2091" t="s">
        <v>823</v>
      </c>
      <c r="BB2091" t="s">
        <v>823</v>
      </c>
      <c r="BG2091">
        <v>5</v>
      </c>
      <c r="BH2091">
        <v>5</v>
      </c>
      <c r="BI2091">
        <v>5</v>
      </c>
      <c r="BJ2091">
        <v>3.75</v>
      </c>
      <c r="BK2091" s="4">
        <v>3654</v>
      </c>
      <c r="BL2091" s="4">
        <v>3866</v>
      </c>
      <c r="BM2091" s="4">
        <v>4019</v>
      </c>
      <c r="BN2091" s="4">
        <v>4231</v>
      </c>
      <c r="BR2091">
        <v>45047</v>
      </c>
      <c r="BT2091">
        <v>7</v>
      </c>
      <c r="BU2091">
        <v>15</v>
      </c>
      <c r="BV2091">
        <v>6</v>
      </c>
      <c r="BX2091">
        <v>2.75</v>
      </c>
      <c r="BZ2091">
        <v>2</v>
      </c>
      <c r="CK2091" t="s">
        <v>360</v>
      </c>
      <c r="CM2091">
        <v>1911</v>
      </c>
    </row>
    <row r="2092" spans="1:91" x14ac:dyDescent="0.3">
      <c r="A2092" t="s">
        <v>3041</v>
      </c>
      <c r="B2092">
        <v>44774</v>
      </c>
      <c r="D2092">
        <v>12</v>
      </c>
      <c r="I2092">
        <v>292904</v>
      </c>
      <c r="U2092">
        <v>1</v>
      </c>
      <c r="Y2092">
        <v>1</v>
      </c>
      <c r="AA2092">
        <v>0.21</v>
      </c>
      <c r="AC2092" s="3">
        <v>0.28000000000000003</v>
      </c>
      <c r="AE2092" s="3">
        <v>0.18</v>
      </c>
      <c r="AI2092">
        <v>0.28000000000000003</v>
      </c>
      <c r="AK2092" s="3"/>
      <c r="AV2092" t="s">
        <v>385</v>
      </c>
      <c r="AX2092" t="s">
        <v>385</v>
      </c>
      <c r="AZ2092" t="s">
        <v>385</v>
      </c>
      <c r="BB2092" t="s">
        <v>385</v>
      </c>
      <c r="BR2092">
        <v>17049</v>
      </c>
      <c r="BS2092" t="s">
        <v>3042</v>
      </c>
      <c r="BW2092" t="s">
        <v>802</v>
      </c>
      <c r="BX2092">
        <v>0.4</v>
      </c>
      <c r="BZ2092">
        <v>0.18</v>
      </c>
      <c r="CK2092" t="s">
        <v>360</v>
      </c>
      <c r="CM2092">
        <v>1911</v>
      </c>
    </row>
    <row r="2093" spans="1:91" x14ac:dyDescent="0.3">
      <c r="A2093" t="s">
        <v>3041</v>
      </c>
      <c r="B2093">
        <v>44775</v>
      </c>
      <c r="C2093" t="s">
        <v>844</v>
      </c>
      <c r="D2093">
        <v>12</v>
      </c>
      <c r="I2093">
        <v>331495</v>
      </c>
      <c r="U2093">
        <v>1</v>
      </c>
      <c r="Y2093">
        <v>1</v>
      </c>
      <c r="AA2093">
        <v>0.4</v>
      </c>
      <c r="AC2093" s="3">
        <v>0.4</v>
      </c>
      <c r="AE2093" s="3">
        <v>0.34</v>
      </c>
      <c r="AI2093">
        <v>0.37</v>
      </c>
      <c r="AK2093" s="3"/>
      <c r="AV2093" t="s">
        <v>385</v>
      </c>
      <c r="AX2093" t="s">
        <v>385</v>
      </c>
      <c r="AZ2093" t="s">
        <v>385</v>
      </c>
      <c r="BB2093" t="s">
        <v>385</v>
      </c>
      <c r="BR2093">
        <v>17049</v>
      </c>
      <c r="BS2093" t="s">
        <v>3042</v>
      </c>
      <c r="BW2093" t="s">
        <v>802</v>
      </c>
      <c r="BX2093">
        <v>0.59</v>
      </c>
      <c r="BZ2093">
        <v>0.34</v>
      </c>
      <c r="CM2093">
        <v>1911</v>
      </c>
    </row>
    <row r="2094" spans="1:91" x14ac:dyDescent="0.3">
      <c r="A2094" t="s">
        <v>3043</v>
      </c>
      <c r="B2094">
        <v>44781</v>
      </c>
      <c r="D2094">
        <v>12</v>
      </c>
      <c r="I2094">
        <v>85000</v>
      </c>
      <c r="U2094">
        <v>1</v>
      </c>
      <c r="Y2094">
        <v>1</v>
      </c>
      <c r="AA2094">
        <v>1.06</v>
      </c>
      <c r="AB2094" t="s">
        <v>379</v>
      </c>
      <c r="AC2094" s="3">
        <v>1.06</v>
      </c>
      <c r="AE2094" s="3">
        <v>1.06</v>
      </c>
      <c r="AI2094">
        <v>1.06</v>
      </c>
      <c r="AK2094" s="3"/>
      <c r="BG2094">
        <v>7</v>
      </c>
      <c r="BH2094">
        <v>7</v>
      </c>
      <c r="BI2094">
        <v>7</v>
      </c>
      <c r="BJ2094">
        <v>7</v>
      </c>
      <c r="BK2094" s="4">
        <v>3593</v>
      </c>
      <c r="BL2094" s="4">
        <v>3774</v>
      </c>
      <c r="BM2094" s="4">
        <v>3958</v>
      </c>
      <c r="BN2094" s="4">
        <v>4139</v>
      </c>
      <c r="BS2094" t="s">
        <v>385</v>
      </c>
      <c r="BT2094">
        <v>6</v>
      </c>
      <c r="BU2094">
        <v>11</v>
      </c>
      <c r="BV2094">
        <v>9</v>
      </c>
      <c r="BX2094">
        <v>1.1200000000000001</v>
      </c>
      <c r="BZ2094">
        <v>1.03</v>
      </c>
      <c r="CM2094">
        <v>1911</v>
      </c>
    </row>
    <row r="2095" spans="1:91" x14ac:dyDescent="0.3">
      <c r="A2095" t="s">
        <v>3044</v>
      </c>
      <c r="B2095">
        <v>44786</v>
      </c>
      <c r="D2095">
        <v>12</v>
      </c>
      <c r="I2095">
        <v>110000</v>
      </c>
      <c r="U2095">
        <v>1</v>
      </c>
      <c r="Y2095">
        <v>1</v>
      </c>
      <c r="AA2095">
        <v>0.31</v>
      </c>
      <c r="AC2095" s="3">
        <v>0.31</v>
      </c>
      <c r="AE2095" s="3">
        <v>0.31</v>
      </c>
      <c r="AI2095">
        <v>0.31</v>
      </c>
      <c r="AK2095" s="3"/>
      <c r="AZ2095" t="s">
        <v>815</v>
      </c>
      <c r="BB2095" t="s">
        <v>810</v>
      </c>
      <c r="BG2095">
        <v>6</v>
      </c>
      <c r="BH2095">
        <v>6</v>
      </c>
      <c r="BI2095">
        <v>3</v>
      </c>
      <c r="BK2095" s="4">
        <v>2527</v>
      </c>
      <c r="BL2095" s="4">
        <v>2709</v>
      </c>
      <c r="BM2095" s="4">
        <v>3258</v>
      </c>
      <c r="BR2095">
        <v>40809</v>
      </c>
      <c r="BS2095" t="s">
        <v>3045</v>
      </c>
      <c r="BW2095" t="s">
        <v>802</v>
      </c>
      <c r="BX2095">
        <v>0.31</v>
      </c>
      <c r="BZ2095">
        <v>0.18</v>
      </c>
      <c r="CK2095" t="s">
        <v>360</v>
      </c>
      <c r="CM2095">
        <v>1911</v>
      </c>
    </row>
    <row r="2096" spans="1:91" x14ac:dyDescent="0.3">
      <c r="A2096" t="s">
        <v>3044</v>
      </c>
      <c r="B2096">
        <v>44787</v>
      </c>
      <c r="C2096" t="s">
        <v>3046</v>
      </c>
      <c r="D2096">
        <v>12</v>
      </c>
      <c r="I2096">
        <v>100000</v>
      </c>
      <c r="J2096" t="s">
        <v>800</v>
      </c>
      <c r="V2096" t="s">
        <v>350</v>
      </c>
      <c r="Y2096">
        <v>100</v>
      </c>
      <c r="AA2096">
        <v>54.5</v>
      </c>
      <c r="AC2096" s="3">
        <v>54.5</v>
      </c>
      <c r="AE2096" s="3">
        <v>54.5</v>
      </c>
      <c r="AI2096">
        <v>54.5</v>
      </c>
      <c r="AK2096" s="3"/>
      <c r="AV2096" t="s">
        <v>536</v>
      </c>
      <c r="AX2096" t="s">
        <v>536</v>
      </c>
      <c r="AZ2096" t="s">
        <v>536</v>
      </c>
      <c r="BB2096" t="s">
        <v>536</v>
      </c>
      <c r="BO2096" t="s">
        <v>367</v>
      </c>
      <c r="BR2096">
        <v>40809</v>
      </c>
      <c r="BS2096" t="s">
        <v>3045</v>
      </c>
      <c r="BT2096">
        <v>7</v>
      </c>
      <c r="BU2096">
        <v>7</v>
      </c>
      <c r="BV2096">
        <v>3</v>
      </c>
      <c r="BX2096">
        <v>58.5</v>
      </c>
      <c r="BZ2096">
        <v>54.5</v>
      </c>
      <c r="CM2096">
        <v>1911</v>
      </c>
    </row>
    <row r="2097" spans="1:91" x14ac:dyDescent="0.3">
      <c r="A2097" t="s">
        <v>3047</v>
      </c>
      <c r="B2097">
        <v>44793</v>
      </c>
      <c r="D2097">
        <v>12</v>
      </c>
      <c r="I2097">
        <v>190000</v>
      </c>
      <c r="U2097">
        <v>1</v>
      </c>
      <c r="Y2097">
        <v>1</v>
      </c>
      <c r="AA2097">
        <v>0.71</v>
      </c>
      <c r="AB2097" t="s">
        <v>379</v>
      </c>
      <c r="AC2097" s="3">
        <v>0.71</v>
      </c>
      <c r="AE2097" s="3">
        <v>0.65</v>
      </c>
      <c r="AI2097">
        <v>0.71</v>
      </c>
      <c r="AK2097" s="3"/>
      <c r="AV2097" t="s">
        <v>815</v>
      </c>
      <c r="AX2097" t="s">
        <v>815</v>
      </c>
      <c r="AZ2097" t="s">
        <v>815</v>
      </c>
      <c r="BB2097" t="s">
        <v>815</v>
      </c>
      <c r="BG2097">
        <v>4</v>
      </c>
      <c r="BH2097">
        <v>6</v>
      </c>
      <c r="BI2097">
        <v>6</v>
      </c>
      <c r="BJ2097">
        <v>6</v>
      </c>
      <c r="BK2097" s="4">
        <v>3228</v>
      </c>
      <c r="BL2097" s="4">
        <v>3593</v>
      </c>
      <c r="BM2097" s="4">
        <v>3958</v>
      </c>
      <c r="BN2097" s="4">
        <v>4323</v>
      </c>
      <c r="BR2097">
        <v>29659</v>
      </c>
      <c r="BS2097" t="s">
        <v>3048</v>
      </c>
      <c r="BT2097">
        <v>8</v>
      </c>
      <c r="BU2097">
        <v>0</v>
      </c>
      <c r="BV2097">
        <v>0</v>
      </c>
      <c r="BX2097">
        <v>0.78</v>
      </c>
      <c r="BZ2097">
        <v>0.62</v>
      </c>
      <c r="CK2097" t="s">
        <v>360</v>
      </c>
      <c r="CM2097">
        <v>1911</v>
      </c>
    </row>
    <row r="2098" spans="1:91" x14ac:dyDescent="0.3">
      <c r="A2098" t="s">
        <v>3047</v>
      </c>
      <c r="B2098">
        <v>44794</v>
      </c>
      <c r="C2098" t="s">
        <v>803</v>
      </c>
      <c r="D2098">
        <v>12</v>
      </c>
      <c r="I2098">
        <v>190000</v>
      </c>
      <c r="U2098">
        <v>1</v>
      </c>
      <c r="Y2098">
        <v>1</v>
      </c>
      <c r="AA2098">
        <v>0.96</v>
      </c>
      <c r="AC2098" s="3">
        <v>0.96</v>
      </c>
      <c r="AE2098" s="3">
        <v>0.87</v>
      </c>
      <c r="AI2098">
        <v>0.93</v>
      </c>
      <c r="AK2098" s="3"/>
      <c r="AV2098" t="s">
        <v>366</v>
      </c>
      <c r="AX2098" t="s">
        <v>366</v>
      </c>
      <c r="AZ2098" t="s">
        <v>366</v>
      </c>
      <c r="BB2098" t="s">
        <v>366</v>
      </c>
      <c r="BO2098" t="s">
        <v>367</v>
      </c>
      <c r="BR2098">
        <v>29659</v>
      </c>
      <c r="BS2098" t="s">
        <v>3048</v>
      </c>
      <c r="BT2098">
        <v>6</v>
      </c>
      <c r="BU2098">
        <v>8</v>
      </c>
      <c r="BV2098">
        <v>0</v>
      </c>
      <c r="BX2098">
        <v>0.96</v>
      </c>
      <c r="BZ2098">
        <v>0.81</v>
      </c>
      <c r="CM2098">
        <v>1911</v>
      </c>
    </row>
    <row r="2099" spans="1:91" x14ac:dyDescent="0.3">
      <c r="A2099" t="s">
        <v>3049</v>
      </c>
      <c r="B2099">
        <v>40002</v>
      </c>
      <c r="D2099">
        <v>12</v>
      </c>
      <c r="I2099">
        <v>375000</v>
      </c>
      <c r="V2099" t="s">
        <v>1548</v>
      </c>
      <c r="Z2099" t="s">
        <v>1548</v>
      </c>
      <c r="AA2099">
        <v>0.18</v>
      </c>
      <c r="AC2099" s="3">
        <v>0.18</v>
      </c>
      <c r="AE2099" s="3">
        <v>0.18</v>
      </c>
      <c r="AI2099">
        <v>0.18</v>
      </c>
      <c r="AK2099" s="3"/>
      <c r="AX2099" t="s">
        <v>815</v>
      </c>
      <c r="AZ2099" t="s">
        <v>3050</v>
      </c>
      <c r="BB2099" t="s">
        <v>3051</v>
      </c>
      <c r="BH2099">
        <v>5</v>
      </c>
      <c r="BJ2099">
        <v>2.5</v>
      </c>
      <c r="BL2099" t="s">
        <v>1226</v>
      </c>
      <c r="BM2099" s="4">
        <v>4231</v>
      </c>
      <c r="BN2099" s="4">
        <v>4231</v>
      </c>
      <c r="BR2099">
        <v>2126</v>
      </c>
      <c r="BS2099" t="s">
        <v>3052</v>
      </c>
      <c r="BT2099">
        <v>6</v>
      </c>
      <c r="BU2099">
        <v>13</v>
      </c>
      <c r="BV2099">
        <v>3</v>
      </c>
      <c r="BX2099">
        <v>0.18</v>
      </c>
      <c r="BZ2099">
        <v>0.12</v>
      </c>
      <c r="CK2099" t="s">
        <v>360</v>
      </c>
      <c r="CM2099">
        <v>1911</v>
      </c>
    </row>
    <row r="2100" spans="1:91" x14ac:dyDescent="0.3">
      <c r="A2100" t="s">
        <v>3053</v>
      </c>
      <c r="B2100">
        <v>40006</v>
      </c>
      <c r="D2100">
        <v>12</v>
      </c>
      <c r="I2100">
        <v>375000</v>
      </c>
      <c r="U2100">
        <v>1</v>
      </c>
      <c r="Y2100">
        <v>1</v>
      </c>
      <c r="AA2100">
        <v>0.59</v>
      </c>
      <c r="AC2100" s="3">
        <v>0.68</v>
      </c>
      <c r="AE2100" s="3">
        <v>0.59</v>
      </c>
      <c r="AI2100">
        <v>0.59</v>
      </c>
      <c r="AJ2100" t="s">
        <v>379</v>
      </c>
      <c r="AK2100" s="3"/>
      <c r="BG2100">
        <v>5.5</v>
      </c>
      <c r="BH2100">
        <v>5.5</v>
      </c>
      <c r="BI2100">
        <v>5.5</v>
      </c>
      <c r="BJ2100">
        <v>5.5</v>
      </c>
      <c r="BK2100" s="4">
        <v>3654</v>
      </c>
      <c r="BL2100" s="4">
        <v>3835</v>
      </c>
      <c r="BM2100" s="4">
        <v>4019</v>
      </c>
      <c r="BN2100" s="4">
        <v>4200</v>
      </c>
      <c r="BR2100">
        <v>2126</v>
      </c>
      <c r="BS2100" t="s">
        <v>3052</v>
      </c>
      <c r="BT2100">
        <v>9</v>
      </c>
      <c r="BU2100">
        <v>5</v>
      </c>
      <c r="BV2100">
        <v>0</v>
      </c>
      <c r="BX2100">
        <v>0.68</v>
      </c>
      <c r="BZ2100">
        <v>0.5</v>
      </c>
      <c r="CM2100">
        <v>1911</v>
      </c>
    </row>
    <row r="2101" spans="1:91" x14ac:dyDescent="0.3">
      <c r="A2101" t="s">
        <v>3054</v>
      </c>
      <c r="B2101">
        <v>40004</v>
      </c>
      <c r="D2101">
        <v>12</v>
      </c>
      <c r="I2101">
        <v>262850</v>
      </c>
      <c r="J2101" t="s">
        <v>800</v>
      </c>
      <c r="V2101" t="s">
        <v>350</v>
      </c>
      <c r="Y2101">
        <v>100</v>
      </c>
      <c r="AA2101">
        <v>63</v>
      </c>
      <c r="AC2101" s="3">
        <v>63</v>
      </c>
      <c r="AE2101" s="3">
        <v>62</v>
      </c>
      <c r="AI2101">
        <v>62</v>
      </c>
      <c r="AJ2101" t="s">
        <v>379</v>
      </c>
      <c r="AK2101" s="3"/>
      <c r="AV2101" t="s">
        <v>370</v>
      </c>
      <c r="AX2101" t="s">
        <v>370</v>
      </c>
      <c r="AZ2101" t="s">
        <v>370</v>
      </c>
      <c r="BB2101" t="s">
        <v>370</v>
      </c>
      <c r="BO2101" t="s">
        <v>367</v>
      </c>
      <c r="BR2101">
        <v>2126</v>
      </c>
      <c r="BS2101" t="s">
        <v>3052</v>
      </c>
      <c r="BT2101">
        <v>6</v>
      </c>
      <c r="BU2101">
        <v>9</v>
      </c>
      <c r="BV2101">
        <v>0</v>
      </c>
      <c r="BX2101">
        <v>66</v>
      </c>
      <c r="BZ2101">
        <v>61</v>
      </c>
      <c r="CM2101">
        <v>1911</v>
      </c>
    </row>
    <row r="2102" spans="1:91" x14ac:dyDescent="0.3">
      <c r="A2102" t="s">
        <v>3055</v>
      </c>
      <c r="B2102">
        <v>44812</v>
      </c>
      <c r="D2102">
        <v>12</v>
      </c>
      <c r="I2102">
        <v>821918</v>
      </c>
      <c r="U2102">
        <v>1</v>
      </c>
      <c r="Y2102">
        <v>1</v>
      </c>
      <c r="AA2102">
        <v>1.18</v>
      </c>
      <c r="AC2102" s="3">
        <v>1.25</v>
      </c>
      <c r="AE2102" s="3">
        <v>1.18</v>
      </c>
      <c r="AI2102">
        <v>1.18</v>
      </c>
      <c r="AK2102" s="3"/>
      <c r="AV2102" t="s">
        <v>373</v>
      </c>
      <c r="AX2102" t="s">
        <v>373</v>
      </c>
      <c r="AZ2102" t="s">
        <v>373</v>
      </c>
      <c r="BB2102" t="s">
        <v>373</v>
      </c>
      <c r="BO2102" t="s">
        <v>367</v>
      </c>
      <c r="BS2102" t="s">
        <v>385</v>
      </c>
      <c r="BT2102">
        <v>5</v>
      </c>
      <c r="BU2102">
        <v>1</v>
      </c>
      <c r="BV2102">
        <v>0</v>
      </c>
      <c r="BX2102">
        <v>1.28</v>
      </c>
      <c r="BZ2102">
        <v>1.18</v>
      </c>
      <c r="CM2102">
        <v>1911</v>
      </c>
    </row>
    <row r="2103" spans="1:91" x14ac:dyDescent="0.3">
      <c r="A2103" t="s">
        <v>3056</v>
      </c>
      <c r="B2103">
        <v>44805</v>
      </c>
      <c r="D2103">
        <v>12</v>
      </c>
      <c r="I2103" s="2">
        <v>4959250</v>
      </c>
      <c r="U2103">
        <v>1</v>
      </c>
      <c r="Y2103">
        <v>1</v>
      </c>
      <c r="AA2103">
        <v>1.34</v>
      </c>
      <c r="AC2103" s="3">
        <v>1.37</v>
      </c>
      <c r="AE2103" s="3">
        <v>1.31</v>
      </c>
      <c r="AI2103">
        <v>1.34</v>
      </c>
      <c r="AK2103" s="3"/>
      <c r="AV2103" t="s">
        <v>374</v>
      </c>
      <c r="AX2103" t="s">
        <v>374</v>
      </c>
      <c r="AZ2103" t="s">
        <v>374</v>
      </c>
      <c r="BB2103" t="s">
        <v>374</v>
      </c>
      <c r="BO2103" t="s">
        <v>367</v>
      </c>
      <c r="BR2103" s="2">
        <v>2227510</v>
      </c>
      <c r="BS2103" t="s">
        <v>3057</v>
      </c>
      <c r="BT2103">
        <v>4</v>
      </c>
      <c r="BU2103">
        <v>1</v>
      </c>
      <c r="BV2103">
        <v>9</v>
      </c>
      <c r="BX2103">
        <v>1.37</v>
      </c>
      <c r="BZ2103">
        <v>1.21</v>
      </c>
      <c r="CK2103" t="s">
        <v>3058</v>
      </c>
      <c r="CM2103">
        <v>1911</v>
      </c>
    </row>
    <row r="2104" spans="1:91" x14ac:dyDescent="0.3">
      <c r="A2104" t="s">
        <v>3056</v>
      </c>
      <c r="B2104">
        <v>44808</v>
      </c>
      <c r="C2104" t="s">
        <v>3059</v>
      </c>
      <c r="D2104">
        <v>12</v>
      </c>
      <c r="I2104" s="2">
        <v>5260470</v>
      </c>
      <c r="U2104">
        <v>1</v>
      </c>
      <c r="Y2104">
        <v>1</v>
      </c>
      <c r="AA2104">
        <v>1.34</v>
      </c>
      <c r="AC2104" s="3">
        <v>1.34</v>
      </c>
      <c r="AE2104" s="3">
        <v>1.31</v>
      </c>
      <c r="AI2104">
        <v>1.34</v>
      </c>
      <c r="AK2104" s="3"/>
      <c r="AV2104" t="s">
        <v>415</v>
      </c>
      <c r="AX2104" t="s">
        <v>415</v>
      </c>
      <c r="AZ2104" t="s">
        <v>415</v>
      </c>
      <c r="BB2104" t="s">
        <v>415</v>
      </c>
      <c r="BO2104" t="s">
        <v>367</v>
      </c>
      <c r="BR2104" s="2">
        <v>2227510</v>
      </c>
      <c r="BS2104" t="s">
        <v>3057</v>
      </c>
      <c r="BT2104">
        <v>4</v>
      </c>
      <c r="BU2104">
        <v>9</v>
      </c>
      <c r="BV2104">
        <v>3</v>
      </c>
      <c r="BX2104">
        <v>1.37</v>
      </c>
      <c r="BZ2104">
        <v>1.28</v>
      </c>
      <c r="CM2104">
        <v>1911</v>
      </c>
    </row>
    <row r="2105" spans="1:91" x14ac:dyDescent="0.3">
      <c r="A2105" t="s">
        <v>3056</v>
      </c>
      <c r="B2105">
        <v>44806</v>
      </c>
      <c r="C2105" t="s">
        <v>3060</v>
      </c>
      <c r="D2105">
        <v>12</v>
      </c>
      <c r="I2105" s="2">
        <v>2065010</v>
      </c>
      <c r="J2105" t="s">
        <v>800</v>
      </c>
      <c r="V2105" t="s">
        <v>350</v>
      </c>
      <c r="Y2105">
        <v>100</v>
      </c>
      <c r="AA2105">
        <v>106</v>
      </c>
      <c r="AC2105" s="3">
        <v>106.75</v>
      </c>
      <c r="AE2105" s="3">
        <v>104</v>
      </c>
      <c r="AI2105">
        <v>104</v>
      </c>
      <c r="AJ2105" t="s">
        <v>379</v>
      </c>
      <c r="AK2105" s="3"/>
      <c r="AV2105" t="s">
        <v>370</v>
      </c>
      <c r="AX2105" t="s">
        <v>370</v>
      </c>
      <c r="AZ2105" t="s">
        <v>370</v>
      </c>
      <c r="BB2105" t="s">
        <v>370</v>
      </c>
      <c r="BO2105" t="s">
        <v>367</v>
      </c>
      <c r="BR2105" s="2">
        <v>2227510</v>
      </c>
      <c r="BS2105" t="s">
        <v>3057</v>
      </c>
      <c r="BT2105">
        <v>4</v>
      </c>
      <c r="BU2105">
        <v>1</v>
      </c>
      <c r="BV2105">
        <v>9</v>
      </c>
      <c r="BX2105">
        <v>106.87</v>
      </c>
      <c r="BZ2105">
        <v>104</v>
      </c>
      <c r="CM2105">
        <v>1911</v>
      </c>
    </row>
    <row r="2106" spans="1:91" x14ac:dyDescent="0.3">
      <c r="A2106" t="s">
        <v>3061</v>
      </c>
      <c r="B2106">
        <v>44863</v>
      </c>
      <c r="D2106">
        <v>12</v>
      </c>
      <c r="I2106">
        <v>500000</v>
      </c>
      <c r="J2106" t="s">
        <v>800</v>
      </c>
      <c r="V2106" t="s">
        <v>350</v>
      </c>
      <c r="Y2106">
        <v>100</v>
      </c>
      <c r="AA2106">
        <v>107.5</v>
      </c>
      <c r="AC2106" s="3">
        <v>109</v>
      </c>
      <c r="AE2106" s="3">
        <v>107.5</v>
      </c>
      <c r="AI2106">
        <v>107.5</v>
      </c>
      <c r="AK2106" s="3"/>
      <c r="AV2106" t="s">
        <v>823</v>
      </c>
      <c r="AX2106" t="s">
        <v>3062</v>
      </c>
      <c r="AZ2106" t="s">
        <v>823</v>
      </c>
      <c r="BG2106">
        <v>5</v>
      </c>
      <c r="BH2106">
        <v>5</v>
      </c>
      <c r="BI2106">
        <v>5</v>
      </c>
      <c r="BJ2106">
        <v>5</v>
      </c>
      <c r="BK2106" s="4">
        <v>3654</v>
      </c>
      <c r="BL2106" s="4">
        <v>3835</v>
      </c>
      <c r="BM2106" s="4">
        <v>4019</v>
      </c>
      <c r="BN2106" s="4">
        <v>4200</v>
      </c>
      <c r="BR2106">
        <v>254422</v>
      </c>
      <c r="BS2106" t="s">
        <v>3063</v>
      </c>
      <c r="BT2106">
        <v>4</v>
      </c>
      <c r="BU2106">
        <v>14</v>
      </c>
      <c r="BV2106">
        <v>9</v>
      </c>
      <c r="BX2106">
        <v>111.5</v>
      </c>
      <c r="BZ2106">
        <v>107</v>
      </c>
      <c r="CK2106" t="s">
        <v>360</v>
      </c>
      <c r="CM2106">
        <v>1911</v>
      </c>
    </row>
    <row r="2107" spans="1:91" x14ac:dyDescent="0.3">
      <c r="A2107" t="s">
        <v>3061</v>
      </c>
      <c r="B2107">
        <v>44865</v>
      </c>
      <c r="C2107" t="s">
        <v>3064</v>
      </c>
      <c r="D2107">
        <v>12</v>
      </c>
      <c r="I2107">
        <v>385780</v>
      </c>
      <c r="U2107">
        <v>1</v>
      </c>
      <c r="Y2107">
        <v>1</v>
      </c>
      <c r="AA2107">
        <v>1.06</v>
      </c>
      <c r="AC2107" s="3">
        <v>1.06</v>
      </c>
      <c r="AE2107" s="3">
        <v>1.06</v>
      </c>
      <c r="AI2107">
        <v>1.06</v>
      </c>
      <c r="AK2107" s="3"/>
      <c r="AV2107" t="s">
        <v>823</v>
      </c>
      <c r="AX2107" t="s">
        <v>3062</v>
      </c>
      <c r="AZ2107" t="s">
        <v>823</v>
      </c>
      <c r="BG2107">
        <v>5</v>
      </c>
      <c r="BH2107">
        <v>5</v>
      </c>
      <c r="BI2107">
        <v>5</v>
      </c>
      <c r="BJ2107">
        <v>5</v>
      </c>
      <c r="BK2107" s="4">
        <v>3654</v>
      </c>
      <c r="BL2107" s="4">
        <v>3835</v>
      </c>
      <c r="BM2107" s="4">
        <v>4019</v>
      </c>
      <c r="BN2107" s="4">
        <v>4200</v>
      </c>
      <c r="BR2107">
        <v>254422</v>
      </c>
      <c r="BS2107" t="s">
        <v>3063</v>
      </c>
      <c r="BT2107">
        <v>4</v>
      </c>
      <c r="BU2107">
        <v>14</v>
      </c>
      <c r="BV2107">
        <v>0</v>
      </c>
      <c r="BX2107">
        <v>1.06</v>
      </c>
      <c r="BZ2107">
        <v>1</v>
      </c>
      <c r="CM2107">
        <v>1911</v>
      </c>
    </row>
    <row r="2108" spans="1:91" x14ac:dyDescent="0.3">
      <c r="A2108" t="s">
        <v>3065</v>
      </c>
      <c r="B2108">
        <v>44862</v>
      </c>
      <c r="D2108">
        <v>12</v>
      </c>
      <c r="I2108">
        <v>8224</v>
      </c>
      <c r="U2108">
        <v>10</v>
      </c>
      <c r="Y2108">
        <v>10</v>
      </c>
      <c r="AA2108">
        <v>7.25</v>
      </c>
      <c r="AC2108" s="3">
        <v>7.25</v>
      </c>
      <c r="AE2108" s="3">
        <v>7.25</v>
      </c>
      <c r="AI2108">
        <v>7.25</v>
      </c>
      <c r="AK2108" s="3"/>
      <c r="AV2108" t="s">
        <v>815</v>
      </c>
      <c r="AX2108" t="s">
        <v>815</v>
      </c>
      <c r="AZ2108" t="s">
        <v>815</v>
      </c>
      <c r="BB2108" t="s">
        <v>815</v>
      </c>
      <c r="BG2108">
        <v>8</v>
      </c>
      <c r="BH2108">
        <v>5</v>
      </c>
      <c r="BI2108">
        <v>6</v>
      </c>
      <c r="BJ2108">
        <v>7</v>
      </c>
      <c r="BK2108" s="4">
        <v>2954</v>
      </c>
      <c r="BL2108" s="4">
        <v>3320</v>
      </c>
      <c r="BM2108" s="4">
        <v>3685</v>
      </c>
      <c r="BN2108" s="4">
        <v>4050</v>
      </c>
      <c r="BR2108">
        <v>25758</v>
      </c>
      <c r="BT2108">
        <v>9</v>
      </c>
      <c r="BU2108">
        <v>13</v>
      </c>
      <c r="BV2108">
        <v>0</v>
      </c>
      <c r="BX2108">
        <v>7.25</v>
      </c>
      <c r="BZ2108">
        <v>6.25</v>
      </c>
      <c r="CK2108" t="s">
        <v>360</v>
      </c>
      <c r="CL2108" t="s">
        <v>457</v>
      </c>
      <c r="CM2108">
        <v>1911</v>
      </c>
    </row>
    <row r="2109" spans="1:91" x14ac:dyDescent="0.3">
      <c r="A2109" t="s">
        <v>3066</v>
      </c>
      <c r="B2109">
        <v>44880</v>
      </c>
      <c r="D2109">
        <v>12</v>
      </c>
      <c r="I2109">
        <v>50000</v>
      </c>
      <c r="U2109">
        <v>10</v>
      </c>
      <c r="Y2109">
        <v>10</v>
      </c>
      <c r="AA2109">
        <v>13.5</v>
      </c>
      <c r="AC2109" s="3">
        <v>13.5</v>
      </c>
      <c r="AE2109" s="3">
        <v>8.5</v>
      </c>
      <c r="AI2109">
        <v>11</v>
      </c>
      <c r="AK2109" s="3"/>
      <c r="AX2109" t="s">
        <v>823</v>
      </c>
      <c r="BB2109" t="s">
        <v>810</v>
      </c>
      <c r="BG2109">
        <v>15</v>
      </c>
      <c r="BH2109">
        <v>5</v>
      </c>
      <c r="BI2109">
        <v>15</v>
      </c>
      <c r="BK2109" s="4">
        <v>3654</v>
      </c>
      <c r="BL2109" s="4">
        <v>3835</v>
      </c>
      <c r="BM2109" s="4">
        <v>4019</v>
      </c>
      <c r="BR2109">
        <v>404657</v>
      </c>
      <c r="BW2109" t="s">
        <v>802</v>
      </c>
      <c r="BX2109">
        <v>16.93</v>
      </c>
      <c r="BZ2109">
        <v>8.5</v>
      </c>
      <c r="CK2109" t="s">
        <v>360</v>
      </c>
      <c r="CM2109">
        <v>1911</v>
      </c>
    </row>
    <row r="2110" spans="1:91" x14ac:dyDescent="0.3">
      <c r="A2110" t="s">
        <v>3067</v>
      </c>
      <c r="B2110">
        <v>44944</v>
      </c>
      <c r="D2110">
        <v>12</v>
      </c>
      <c r="I2110">
        <v>120000</v>
      </c>
      <c r="U2110">
        <v>5</v>
      </c>
      <c r="Y2110">
        <v>5</v>
      </c>
      <c r="AA2110">
        <v>5.93</v>
      </c>
      <c r="AC2110" s="3">
        <v>6.12</v>
      </c>
      <c r="AE2110" s="3">
        <v>5.87</v>
      </c>
      <c r="AI2110">
        <v>6</v>
      </c>
      <c r="AK2110" s="3"/>
      <c r="BG2110">
        <v>6</v>
      </c>
      <c r="BH2110">
        <v>6</v>
      </c>
      <c r="BI2110">
        <v>6</v>
      </c>
      <c r="BJ2110">
        <v>6</v>
      </c>
      <c r="BK2110" s="4">
        <v>3713</v>
      </c>
      <c r="BL2110" s="4">
        <v>3897</v>
      </c>
      <c r="BM2110" s="4">
        <v>4078</v>
      </c>
      <c r="BN2110" s="4">
        <v>4262</v>
      </c>
      <c r="BR2110">
        <v>287384</v>
      </c>
      <c r="BT2110">
        <v>5</v>
      </c>
      <c r="BU2110">
        <v>0</v>
      </c>
      <c r="BV2110">
        <v>0</v>
      </c>
      <c r="BX2110">
        <v>6.25</v>
      </c>
      <c r="BZ2110">
        <v>5.37</v>
      </c>
      <c r="CK2110" t="s">
        <v>360</v>
      </c>
      <c r="CM2110">
        <v>1911</v>
      </c>
    </row>
    <row r="2111" spans="1:91" x14ac:dyDescent="0.3">
      <c r="A2111" t="s">
        <v>3068</v>
      </c>
      <c r="B2111">
        <v>40009</v>
      </c>
      <c r="D2111">
        <v>12</v>
      </c>
      <c r="I2111">
        <v>55000</v>
      </c>
      <c r="U2111">
        <v>5</v>
      </c>
      <c r="Y2111">
        <v>5</v>
      </c>
      <c r="AA2111">
        <v>5.12</v>
      </c>
      <c r="AC2111" s="3">
        <v>5.18</v>
      </c>
      <c r="AE2111" s="3">
        <v>5.12</v>
      </c>
      <c r="AI2111">
        <v>5.18</v>
      </c>
      <c r="AK2111" s="3"/>
      <c r="AV2111" t="s">
        <v>366</v>
      </c>
      <c r="AX2111" t="s">
        <v>366</v>
      </c>
      <c r="AZ2111" t="s">
        <v>366</v>
      </c>
      <c r="BB2111" t="s">
        <v>366</v>
      </c>
      <c r="BO2111" t="s">
        <v>367</v>
      </c>
      <c r="BR2111">
        <v>23910</v>
      </c>
      <c r="BT2111">
        <v>5</v>
      </c>
      <c r="BU2111">
        <v>6</v>
      </c>
      <c r="BV2111">
        <v>0</v>
      </c>
      <c r="BX2111">
        <v>5.62</v>
      </c>
      <c r="BZ2111">
        <v>5</v>
      </c>
      <c r="CK2111" t="s">
        <v>1179</v>
      </c>
      <c r="CM2111">
        <v>1911</v>
      </c>
    </row>
    <row r="2112" spans="1:91" x14ac:dyDescent="0.3">
      <c r="A2112" t="s">
        <v>3069</v>
      </c>
      <c r="B2112">
        <v>45029</v>
      </c>
      <c r="D2112">
        <v>12</v>
      </c>
      <c r="I2112">
        <v>200000</v>
      </c>
      <c r="U2112">
        <v>1</v>
      </c>
      <c r="Y2112">
        <v>1</v>
      </c>
      <c r="AA2112">
        <v>1.37</v>
      </c>
      <c r="AC2112" s="3">
        <v>1.4</v>
      </c>
      <c r="AE2112" s="3">
        <v>1.31</v>
      </c>
      <c r="AI2112">
        <v>1.37</v>
      </c>
      <c r="AK2112" s="3"/>
      <c r="AX2112" t="s">
        <v>823</v>
      </c>
      <c r="BB2112" t="s">
        <v>823</v>
      </c>
      <c r="BG2112">
        <v>12</v>
      </c>
      <c r="BH2112">
        <v>5</v>
      </c>
      <c r="BI2112">
        <v>15</v>
      </c>
      <c r="BJ2112">
        <v>5</v>
      </c>
      <c r="BK2112" s="4">
        <v>3713</v>
      </c>
      <c r="BL2112" s="4">
        <v>3897</v>
      </c>
      <c r="BM2112" s="4">
        <v>4078</v>
      </c>
      <c r="BN2112" s="4">
        <v>4262</v>
      </c>
      <c r="BR2112">
        <v>103526</v>
      </c>
      <c r="BS2112" t="s">
        <v>3070</v>
      </c>
      <c r="BT2112">
        <v>7</v>
      </c>
      <c r="BU2112">
        <v>5</v>
      </c>
      <c r="BV2112">
        <v>6</v>
      </c>
      <c r="BX2112">
        <v>1.65</v>
      </c>
      <c r="BZ2112">
        <v>1.28</v>
      </c>
      <c r="CK2112" t="s">
        <v>360</v>
      </c>
      <c r="CM2112">
        <v>1911</v>
      </c>
    </row>
    <row r="2113" spans="1:91" x14ac:dyDescent="0.3">
      <c r="A2113" t="s">
        <v>3069</v>
      </c>
      <c r="B2113">
        <v>45030</v>
      </c>
      <c r="C2113" t="s">
        <v>3071</v>
      </c>
      <c r="D2113">
        <v>12</v>
      </c>
      <c r="I2113">
        <v>50000</v>
      </c>
      <c r="U2113">
        <v>5</v>
      </c>
      <c r="Y2113">
        <v>5</v>
      </c>
      <c r="AA2113">
        <v>5.31</v>
      </c>
      <c r="AC2113" s="3">
        <v>5.31</v>
      </c>
      <c r="AE2113" s="3">
        <v>5.09</v>
      </c>
      <c r="AI2113">
        <v>5.18</v>
      </c>
      <c r="AK2113" s="3"/>
      <c r="AV2113" t="s">
        <v>373</v>
      </c>
      <c r="AX2113" t="s">
        <v>373</v>
      </c>
      <c r="AZ2113" t="s">
        <v>373</v>
      </c>
      <c r="BB2113" t="s">
        <v>373</v>
      </c>
      <c r="BO2113" t="s">
        <v>367</v>
      </c>
      <c r="BR2113">
        <v>103526</v>
      </c>
      <c r="BS2113" t="s">
        <v>3070</v>
      </c>
      <c r="BT2113">
        <v>5</v>
      </c>
      <c r="BU2113">
        <v>6</v>
      </c>
      <c r="BV2113">
        <v>0</v>
      </c>
      <c r="BX2113">
        <v>5.31</v>
      </c>
      <c r="BZ2113">
        <v>5.09</v>
      </c>
      <c r="CM2113">
        <v>1911</v>
      </c>
    </row>
    <row r="2114" spans="1:91" x14ac:dyDescent="0.3">
      <c r="A2114" t="s">
        <v>3072</v>
      </c>
      <c r="B2114">
        <v>45057</v>
      </c>
      <c r="D2114">
        <v>12</v>
      </c>
      <c r="I2114">
        <v>60000</v>
      </c>
      <c r="U2114">
        <v>5</v>
      </c>
      <c r="Y2114">
        <v>5</v>
      </c>
      <c r="AA2114">
        <v>5</v>
      </c>
      <c r="AC2114" s="3">
        <v>5.25</v>
      </c>
      <c r="AE2114" s="3">
        <v>5</v>
      </c>
      <c r="AI2114">
        <v>5.25</v>
      </c>
      <c r="AK2114" s="3"/>
      <c r="AV2114" t="s">
        <v>536</v>
      </c>
      <c r="AX2114" t="s">
        <v>536</v>
      </c>
      <c r="AZ2114" t="s">
        <v>536</v>
      </c>
      <c r="BB2114" t="s">
        <v>536</v>
      </c>
      <c r="BO2114" t="s">
        <v>367</v>
      </c>
      <c r="BS2114" t="s">
        <v>385</v>
      </c>
      <c r="BT2114">
        <v>4</v>
      </c>
      <c r="BU2114">
        <v>15</v>
      </c>
      <c r="BV2114">
        <v>3</v>
      </c>
      <c r="BX2114">
        <v>5.43</v>
      </c>
      <c r="BZ2114">
        <v>5</v>
      </c>
      <c r="CK2114" t="s">
        <v>360</v>
      </c>
      <c r="CM2114">
        <v>1911</v>
      </c>
    </row>
    <row r="2115" spans="1:91" x14ac:dyDescent="0.3">
      <c r="A2115" t="s">
        <v>3072</v>
      </c>
      <c r="B2115">
        <v>45058</v>
      </c>
      <c r="C2115" t="s">
        <v>1046</v>
      </c>
      <c r="D2115">
        <v>12</v>
      </c>
      <c r="I2115">
        <v>258157</v>
      </c>
      <c r="J2115" t="s">
        <v>800</v>
      </c>
      <c r="V2115" t="s">
        <v>350</v>
      </c>
      <c r="Y2115">
        <v>100</v>
      </c>
      <c r="AA2115">
        <v>92</v>
      </c>
      <c r="AC2115" s="3">
        <v>92</v>
      </c>
      <c r="AE2115" s="3">
        <v>91</v>
      </c>
      <c r="AI2115">
        <v>91</v>
      </c>
      <c r="AJ2115" t="s">
        <v>379</v>
      </c>
      <c r="AK2115" s="3"/>
      <c r="AV2115" t="s">
        <v>370</v>
      </c>
      <c r="AX2115" t="s">
        <v>370</v>
      </c>
      <c r="AZ2115" t="s">
        <v>370</v>
      </c>
      <c r="BB2115" t="s">
        <v>370</v>
      </c>
      <c r="BO2115" t="s">
        <v>367</v>
      </c>
      <c r="BS2115" t="s">
        <v>385</v>
      </c>
      <c r="BT2115">
        <v>4</v>
      </c>
      <c r="BU2115">
        <v>8</v>
      </c>
      <c r="BV2115">
        <v>0</v>
      </c>
      <c r="BX2115">
        <v>93</v>
      </c>
      <c r="BZ2115">
        <v>91</v>
      </c>
      <c r="CM2115">
        <v>1911</v>
      </c>
    </row>
    <row r="2116" spans="1:91" x14ac:dyDescent="0.3">
      <c r="A2116" t="s">
        <v>3073</v>
      </c>
      <c r="B2116">
        <v>45063</v>
      </c>
      <c r="D2116">
        <v>12</v>
      </c>
      <c r="I2116">
        <v>130000</v>
      </c>
      <c r="U2116">
        <v>1</v>
      </c>
      <c r="Y2116">
        <v>1</v>
      </c>
      <c r="AA2116">
        <v>2.06</v>
      </c>
      <c r="AC2116" s="3">
        <v>2.06</v>
      </c>
      <c r="AE2116" s="3">
        <v>1.96</v>
      </c>
      <c r="AI2116">
        <v>2.06</v>
      </c>
      <c r="AK2116" s="3"/>
      <c r="AX2116" t="s">
        <v>823</v>
      </c>
      <c r="BB2116" t="s">
        <v>823</v>
      </c>
      <c r="BG2116">
        <v>19</v>
      </c>
      <c r="BH2116">
        <v>7</v>
      </c>
      <c r="BI2116">
        <v>19</v>
      </c>
      <c r="BJ2116">
        <v>7</v>
      </c>
      <c r="BK2116" s="4">
        <v>3744</v>
      </c>
      <c r="BL2116" s="4">
        <v>3897</v>
      </c>
      <c r="BM2116" s="4">
        <v>4109</v>
      </c>
      <c r="BN2116" s="4">
        <v>4262</v>
      </c>
      <c r="BR2116">
        <v>78357</v>
      </c>
      <c r="BS2116" t="s">
        <v>3074</v>
      </c>
      <c r="BT2116">
        <v>6</v>
      </c>
      <c r="BU2116">
        <v>6</v>
      </c>
      <c r="BV2116">
        <v>3</v>
      </c>
      <c r="BX2116">
        <v>2.1800000000000002</v>
      </c>
      <c r="BZ2116">
        <v>1.65</v>
      </c>
      <c r="CK2116" t="s">
        <v>360</v>
      </c>
      <c r="CM2116">
        <v>1911</v>
      </c>
    </row>
    <row r="2117" spans="1:91" x14ac:dyDescent="0.3">
      <c r="A2117" t="s">
        <v>3073</v>
      </c>
      <c r="B2117">
        <v>45064</v>
      </c>
      <c r="C2117" t="s">
        <v>3075</v>
      </c>
      <c r="D2117">
        <v>12</v>
      </c>
      <c r="I2117">
        <v>100000</v>
      </c>
      <c r="J2117" t="s">
        <v>800</v>
      </c>
      <c r="V2117" t="s">
        <v>350</v>
      </c>
      <c r="Y2117">
        <v>100</v>
      </c>
      <c r="AA2117">
        <v>104.5</v>
      </c>
      <c r="AC2117" s="3">
        <v>104.5</v>
      </c>
      <c r="AE2117" s="3">
        <v>104.5</v>
      </c>
      <c r="AI2117">
        <v>104.5</v>
      </c>
      <c r="AK2117" s="3"/>
      <c r="AV2117" t="s">
        <v>366</v>
      </c>
      <c r="AX2117" t="s">
        <v>366</v>
      </c>
      <c r="AZ2117" t="s">
        <v>366</v>
      </c>
      <c r="BB2117" t="s">
        <v>366</v>
      </c>
      <c r="BO2117" t="s">
        <v>367</v>
      </c>
      <c r="BR2117">
        <v>78357</v>
      </c>
      <c r="BS2117" t="s">
        <v>3074</v>
      </c>
      <c r="BT2117">
        <v>4</v>
      </c>
      <c r="BU2117">
        <v>6</v>
      </c>
      <c r="BV2117">
        <v>9</v>
      </c>
      <c r="BX2117">
        <v>107</v>
      </c>
      <c r="BZ2117">
        <v>103</v>
      </c>
      <c r="CM2117">
        <v>1911</v>
      </c>
    </row>
    <row r="2118" spans="1:91" x14ac:dyDescent="0.3">
      <c r="A2118" t="s">
        <v>3076</v>
      </c>
      <c r="B2118">
        <v>45077</v>
      </c>
      <c r="D2118">
        <v>12</v>
      </c>
      <c r="I2118">
        <v>80000</v>
      </c>
      <c r="U2118">
        <v>1</v>
      </c>
      <c r="Y2118">
        <v>1</v>
      </c>
      <c r="AA2118">
        <v>0.43</v>
      </c>
      <c r="AC2118" s="3">
        <v>0.43</v>
      </c>
      <c r="AE2118" s="3">
        <v>0.37</v>
      </c>
      <c r="AI2118">
        <v>0.43</v>
      </c>
      <c r="AK2118" s="3"/>
      <c r="AX2118" t="s">
        <v>802</v>
      </c>
      <c r="BG2118">
        <v>5.5</v>
      </c>
      <c r="BI2118">
        <v>5.5</v>
      </c>
      <c r="BJ2118">
        <v>5.5</v>
      </c>
      <c r="BK2118" s="4">
        <v>3623</v>
      </c>
      <c r="BL2118" s="4">
        <v>3805</v>
      </c>
      <c r="BM2118" s="4">
        <v>3988</v>
      </c>
      <c r="BN2118" s="4">
        <v>4109</v>
      </c>
      <c r="BR2118">
        <v>68</v>
      </c>
      <c r="BT2118">
        <v>12</v>
      </c>
      <c r="BU2118">
        <v>11</v>
      </c>
      <c r="BV2118">
        <v>6</v>
      </c>
      <c r="BX2118">
        <v>0.53</v>
      </c>
      <c r="BZ2118">
        <v>0.37</v>
      </c>
      <c r="CK2118" t="s">
        <v>360</v>
      </c>
      <c r="CM2118">
        <v>1911</v>
      </c>
    </row>
    <row r="2119" spans="1:91" x14ac:dyDescent="0.3">
      <c r="A2119" t="s">
        <v>3077</v>
      </c>
      <c r="B2119">
        <v>45125</v>
      </c>
      <c r="D2119">
        <v>12</v>
      </c>
      <c r="I2119">
        <v>910305</v>
      </c>
      <c r="U2119">
        <v>1</v>
      </c>
      <c r="Y2119">
        <v>1</v>
      </c>
      <c r="AA2119">
        <v>3.56</v>
      </c>
      <c r="AB2119" t="s">
        <v>379</v>
      </c>
      <c r="AC2119" s="3">
        <v>3.59</v>
      </c>
      <c r="AE2119" s="3">
        <v>3.59</v>
      </c>
      <c r="AI2119">
        <v>3.59</v>
      </c>
      <c r="AK2119" s="3"/>
      <c r="AX2119" t="s">
        <v>823</v>
      </c>
      <c r="BB2119" t="s">
        <v>823</v>
      </c>
      <c r="BG2119">
        <v>20</v>
      </c>
      <c r="BH2119">
        <v>20</v>
      </c>
      <c r="BI2119">
        <v>20</v>
      </c>
      <c r="BJ2119">
        <v>20</v>
      </c>
      <c r="BK2119" s="4">
        <v>3593</v>
      </c>
      <c r="BL2119" s="4">
        <v>3774</v>
      </c>
      <c r="BM2119" s="4">
        <v>3958</v>
      </c>
      <c r="BN2119" s="4">
        <v>4139</v>
      </c>
      <c r="BR2119">
        <v>16795</v>
      </c>
      <c r="BT2119">
        <v>5</v>
      </c>
      <c r="BU2119">
        <v>12</v>
      </c>
      <c r="BV2119">
        <v>3</v>
      </c>
      <c r="BX2119">
        <v>3.71</v>
      </c>
      <c r="BZ2119">
        <v>3.56</v>
      </c>
      <c r="CK2119" t="s">
        <v>399</v>
      </c>
      <c r="CM2119">
        <v>1911</v>
      </c>
    </row>
    <row r="2120" spans="1:91" x14ac:dyDescent="0.3">
      <c r="A2120" t="s">
        <v>3077</v>
      </c>
      <c r="B2120">
        <v>45130</v>
      </c>
      <c r="C2120" t="s">
        <v>817</v>
      </c>
      <c r="D2120">
        <v>12</v>
      </c>
      <c r="I2120">
        <v>300000</v>
      </c>
      <c r="U2120">
        <v>1</v>
      </c>
      <c r="Y2120">
        <v>1</v>
      </c>
      <c r="AA2120">
        <v>1.1499999999999999</v>
      </c>
      <c r="AC2120" s="3">
        <v>1.1499999999999999</v>
      </c>
      <c r="AE2120" s="3">
        <v>1.1200000000000001</v>
      </c>
      <c r="AI2120">
        <v>1.1200000000000001</v>
      </c>
      <c r="AJ2120" t="s">
        <v>379</v>
      </c>
      <c r="AK2120" s="3"/>
      <c r="AV2120" t="s">
        <v>370</v>
      </c>
      <c r="AX2120" t="s">
        <v>370</v>
      </c>
      <c r="AZ2120" t="s">
        <v>370</v>
      </c>
      <c r="BB2120" t="s">
        <v>370</v>
      </c>
      <c r="BO2120" t="s">
        <v>367</v>
      </c>
      <c r="BS2120" t="s">
        <v>385</v>
      </c>
      <c r="BT2120">
        <v>4</v>
      </c>
      <c r="BU2120">
        <v>9</v>
      </c>
      <c r="BV2120">
        <v>0</v>
      </c>
      <c r="BX2120">
        <v>1.18</v>
      </c>
      <c r="BZ2120">
        <v>1.1200000000000001</v>
      </c>
      <c r="CM2120">
        <v>1911</v>
      </c>
    </row>
    <row r="2121" spans="1:91" x14ac:dyDescent="0.3">
      <c r="A2121" t="s">
        <v>3077</v>
      </c>
      <c r="B2121">
        <v>45128</v>
      </c>
      <c r="C2121" t="s">
        <v>674</v>
      </c>
      <c r="D2121">
        <v>12</v>
      </c>
      <c r="I2121">
        <v>250000</v>
      </c>
      <c r="J2121" t="s">
        <v>800</v>
      </c>
      <c r="U2121">
        <v>100</v>
      </c>
      <c r="Y2121">
        <v>100</v>
      </c>
      <c r="AA2121">
        <v>101</v>
      </c>
      <c r="AC2121" s="3">
        <v>101</v>
      </c>
      <c r="AE2121" s="3">
        <v>100.5</v>
      </c>
      <c r="AI2121">
        <v>100.5</v>
      </c>
      <c r="AK2121" s="3"/>
      <c r="AV2121" t="s">
        <v>536</v>
      </c>
      <c r="AX2121" t="s">
        <v>536</v>
      </c>
      <c r="AZ2121" t="s">
        <v>536</v>
      </c>
      <c r="BB2121" t="s">
        <v>536</v>
      </c>
      <c r="BO2121" t="s">
        <v>367</v>
      </c>
      <c r="BS2121" t="s">
        <v>385</v>
      </c>
      <c r="BT2121">
        <v>4</v>
      </c>
      <c r="BU2121">
        <v>10</v>
      </c>
      <c r="BV2121">
        <v>9</v>
      </c>
      <c r="BX2121">
        <v>103</v>
      </c>
      <c r="BZ2121">
        <v>100.5</v>
      </c>
      <c r="CM2121">
        <v>1911</v>
      </c>
    </row>
    <row r="2122" spans="1:91" x14ac:dyDescent="0.3">
      <c r="A2122" t="s">
        <v>3077</v>
      </c>
      <c r="B2122">
        <v>45129</v>
      </c>
      <c r="C2122" t="s">
        <v>3078</v>
      </c>
      <c r="D2122">
        <v>12</v>
      </c>
      <c r="I2122">
        <v>400000</v>
      </c>
      <c r="J2122" t="s">
        <v>800</v>
      </c>
      <c r="V2122" t="s">
        <v>350</v>
      </c>
      <c r="Y2122">
        <v>100</v>
      </c>
      <c r="AA2122">
        <v>100.5</v>
      </c>
      <c r="AC2122" s="3">
        <v>100.5</v>
      </c>
      <c r="AE2122" s="3">
        <v>100</v>
      </c>
      <c r="AI2122">
        <v>100.5</v>
      </c>
      <c r="AK2122" s="3"/>
      <c r="AV2122" t="s">
        <v>536</v>
      </c>
      <c r="AX2122" t="s">
        <v>536</v>
      </c>
      <c r="AZ2122" t="s">
        <v>536</v>
      </c>
      <c r="BB2122" t="s">
        <v>536</v>
      </c>
      <c r="BO2122" t="s">
        <v>367</v>
      </c>
      <c r="BS2122" t="s">
        <v>385</v>
      </c>
      <c r="BT2122">
        <v>4</v>
      </c>
      <c r="BU2122">
        <v>0</v>
      </c>
      <c r="BV2122">
        <v>6</v>
      </c>
      <c r="BX2122">
        <v>102</v>
      </c>
      <c r="BZ2122">
        <v>99.25</v>
      </c>
      <c r="CM2122">
        <v>1911</v>
      </c>
    </row>
    <row r="2123" spans="1:91" x14ac:dyDescent="0.3">
      <c r="A2123" t="s">
        <v>3079</v>
      </c>
      <c r="B2123">
        <v>45135</v>
      </c>
      <c r="D2123">
        <v>12</v>
      </c>
      <c r="I2123">
        <v>20000</v>
      </c>
      <c r="U2123">
        <v>10</v>
      </c>
      <c r="Y2123">
        <v>10</v>
      </c>
      <c r="AA2123">
        <v>10.119999999999999</v>
      </c>
      <c r="AC2123" s="3">
        <v>10.119999999999999</v>
      </c>
      <c r="AE2123" s="3">
        <v>10</v>
      </c>
      <c r="AI2123">
        <v>10</v>
      </c>
      <c r="AJ2123" t="s">
        <v>379</v>
      </c>
      <c r="AK2123" s="3"/>
      <c r="AV2123" t="s">
        <v>370</v>
      </c>
      <c r="AX2123" t="s">
        <v>370</v>
      </c>
      <c r="AZ2123" t="s">
        <v>370</v>
      </c>
      <c r="BB2123" t="s">
        <v>370</v>
      </c>
      <c r="BO2123" t="s">
        <v>367</v>
      </c>
      <c r="BR2123">
        <v>65179</v>
      </c>
      <c r="BS2123" t="s">
        <v>3080</v>
      </c>
      <c r="BT2123">
        <v>5</v>
      </c>
      <c r="BU2123">
        <v>0</v>
      </c>
      <c r="BV2123">
        <v>0</v>
      </c>
      <c r="BX2123">
        <v>10.43</v>
      </c>
      <c r="BZ2123">
        <v>9.75</v>
      </c>
      <c r="CK2123" t="s">
        <v>360</v>
      </c>
      <c r="CM2123">
        <v>1911</v>
      </c>
    </row>
    <row r="2124" spans="1:91" x14ac:dyDescent="0.3">
      <c r="A2124" t="s">
        <v>3079</v>
      </c>
      <c r="B2124">
        <v>45134</v>
      </c>
      <c r="C2124" t="s">
        <v>3081</v>
      </c>
      <c r="D2124">
        <v>12</v>
      </c>
      <c r="I2124">
        <v>105300</v>
      </c>
      <c r="J2124" t="s">
        <v>800</v>
      </c>
      <c r="V2124" t="s">
        <v>350</v>
      </c>
      <c r="Y2124">
        <v>100</v>
      </c>
      <c r="AA2124">
        <v>94.5</v>
      </c>
      <c r="AC2124" s="3">
        <v>94.5</v>
      </c>
      <c r="AE2124" s="3">
        <v>94.5</v>
      </c>
      <c r="AI2124">
        <v>94.5</v>
      </c>
      <c r="AJ2124" t="s">
        <v>379</v>
      </c>
      <c r="AK2124" s="3"/>
      <c r="AV2124" t="s">
        <v>370</v>
      </c>
      <c r="AX2124" t="s">
        <v>370</v>
      </c>
      <c r="AZ2124" t="s">
        <v>370</v>
      </c>
      <c r="BB2124" t="s">
        <v>370</v>
      </c>
      <c r="BO2124" t="s">
        <v>367</v>
      </c>
      <c r="BR2124">
        <v>65179</v>
      </c>
      <c r="BS2124" t="s">
        <v>3080</v>
      </c>
      <c r="BT2124">
        <v>4</v>
      </c>
      <c r="BU2124">
        <v>4</v>
      </c>
      <c r="BV2124">
        <v>9</v>
      </c>
      <c r="BX2124">
        <v>94.5</v>
      </c>
      <c r="BZ2124">
        <v>94.5</v>
      </c>
      <c r="CM2124">
        <v>1911</v>
      </c>
    </row>
    <row r="2125" spans="1:91" x14ac:dyDescent="0.3">
      <c r="A2125" t="s">
        <v>3082</v>
      </c>
      <c r="B2125">
        <v>45145</v>
      </c>
      <c r="D2125">
        <v>12</v>
      </c>
      <c r="I2125">
        <v>100000</v>
      </c>
      <c r="U2125">
        <v>1</v>
      </c>
      <c r="Y2125">
        <v>1</v>
      </c>
      <c r="AA2125">
        <v>0.81</v>
      </c>
      <c r="AC2125" s="3">
        <v>0.81</v>
      </c>
      <c r="AE2125" s="3">
        <v>0.81</v>
      </c>
      <c r="AI2125">
        <v>0.81</v>
      </c>
      <c r="AJ2125" t="s">
        <v>379</v>
      </c>
      <c r="AK2125" s="3"/>
      <c r="AV2125" t="s">
        <v>370</v>
      </c>
      <c r="AX2125" t="s">
        <v>370</v>
      </c>
      <c r="AZ2125" t="s">
        <v>370</v>
      </c>
      <c r="BB2125" t="s">
        <v>370</v>
      </c>
      <c r="BO2125" t="s">
        <v>367</v>
      </c>
      <c r="BR2125">
        <v>4429</v>
      </c>
      <c r="BT2125">
        <v>6</v>
      </c>
      <c r="BU2125">
        <v>15</v>
      </c>
      <c r="BV2125">
        <v>6</v>
      </c>
      <c r="BX2125">
        <v>0.87</v>
      </c>
      <c r="BZ2125">
        <v>0.81</v>
      </c>
      <c r="CK2125" t="s">
        <v>360</v>
      </c>
      <c r="CM2125">
        <v>1911</v>
      </c>
    </row>
    <row r="2126" spans="1:91" x14ac:dyDescent="0.3">
      <c r="A2126" t="s">
        <v>3083</v>
      </c>
      <c r="B2126">
        <v>45190</v>
      </c>
      <c r="D2126">
        <v>12</v>
      </c>
      <c r="I2126">
        <v>350000</v>
      </c>
      <c r="U2126">
        <v>1</v>
      </c>
      <c r="Y2126">
        <v>1</v>
      </c>
      <c r="AA2126">
        <v>1.18</v>
      </c>
      <c r="AC2126" s="3">
        <v>1.25</v>
      </c>
      <c r="AE2126" s="3">
        <v>1.18</v>
      </c>
      <c r="AI2126">
        <v>1.18</v>
      </c>
      <c r="AK2126" s="3"/>
      <c r="AX2126" t="s">
        <v>823</v>
      </c>
      <c r="BB2126" t="s">
        <v>823</v>
      </c>
      <c r="BG2126">
        <v>10</v>
      </c>
      <c r="BH2126">
        <v>6</v>
      </c>
      <c r="BI2126">
        <v>10</v>
      </c>
      <c r="BJ2126">
        <v>6</v>
      </c>
      <c r="BK2126" s="4">
        <v>3685</v>
      </c>
      <c r="BL2126" s="4">
        <v>3835</v>
      </c>
      <c r="BM2126" s="4">
        <v>3988</v>
      </c>
      <c r="BN2126" s="4">
        <v>4200</v>
      </c>
      <c r="BR2126">
        <v>35841</v>
      </c>
      <c r="BT2126">
        <v>6</v>
      </c>
      <c r="BU2126">
        <v>14</v>
      </c>
      <c r="BV2126">
        <v>9</v>
      </c>
      <c r="BX2126">
        <v>1.28</v>
      </c>
      <c r="BZ2126">
        <v>1.1200000000000001</v>
      </c>
      <c r="CM2126">
        <v>1911</v>
      </c>
    </row>
    <row r="2127" spans="1:91" x14ac:dyDescent="0.3">
      <c r="A2127" t="s">
        <v>3084</v>
      </c>
      <c r="B2127">
        <v>45206</v>
      </c>
      <c r="D2127">
        <v>12</v>
      </c>
      <c r="I2127">
        <v>37500</v>
      </c>
      <c r="U2127">
        <v>10</v>
      </c>
      <c r="Y2127">
        <v>10</v>
      </c>
      <c r="AA2127">
        <v>6.75</v>
      </c>
      <c r="AC2127" s="3">
        <v>6.87</v>
      </c>
      <c r="AE2127" s="3">
        <v>6.25</v>
      </c>
      <c r="AI2127">
        <v>6.25</v>
      </c>
      <c r="AK2127" s="3"/>
      <c r="BB2127" t="s">
        <v>810</v>
      </c>
      <c r="BG2127">
        <v>10</v>
      </c>
      <c r="BH2127">
        <v>10</v>
      </c>
      <c r="BI2127">
        <v>10</v>
      </c>
      <c r="BK2127" s="4">
        <v>1979</v>
      </c>
      <c r="BL2127" s="4">
        <v>2344</v>
      </c>
      <c r="BM2127" s="4">
        <v>2709</v>
      </c>
      <c r="BR2127">
        <v>71365</v>
      </c>
      <c r="BS2127" t="s">
        <v>3085</v>
      </c>
      <c r="BW2127" t="s">
        <v>802</v>
      </c>
      <c r="BX2127">
        <v>7</v>
      </c>
      <c r="BZ2127">
        <v>4.75</v>
      </c>
      <c r="CK2127" t="s">
        <v>3086</v>
      </c>
      <c r="CM2127">
        <v>1911</v>
      </c>
    </row>
    <row r="2128" spans="1:91" x14ac:dyDescent="0.3">
      <c r="A2128" t="s">
        <v>3084</v>
      </c>
      <c r="B2128">
        <v>45208</v>
      </c>
      <c r="C2128" t="s">
        <v>3013</v>
      </c>
      <c r="D2128">
        <v>12</v>
      </c>
      <c r="I2128">
        <v>50000</v>
      </c>
      <c r="U2128">
        <v>10</v>
      </c>
      <c r="Y2128">
        <v>10</v>
      </c>
      <c r="AA2128">
        <v>7.12</v>
      </c>
      <c r="AC2128" s="3">
        <v>7.12</v>
      </c>
      <c r="AE2128" s="3">
        <v>6.87</v>
      </c>
      <c r="AI2128">
        <v>6.87</v>
      </c>
      <c r="AK2128" s="3"/>
      <c r="BG2128">
        <v>5</v>
      </c>
      <c r="BH2128">
        <v>5</v>
      </c>
      <c r="BI2128">
        <v>5</v>
      </c>
      <c r="BJ2128">
        <v>5</v>
      </c>
      <c r="BK2128" s="4">
        <v>3623</v>
      </c>
      <c r="BL2128" s="4">
        <v>3805</v>
      </c>
      <c r="BM2128" s="4">
        <v>3988</v>
      </c>
      <c r="BN2128" s="4">
        <v>4170</v>
      </c>
      <c r="BR2128">
        <v>71365</v>
      </c>
      <c r="BS2128" t="s">
        <v>3085</v>
      </c>
      <c r="BT2128">
        <v>7</v>
      </c>
      <c r="BU2128">
        <v>5</v>
      </c>
      <c r="BV2128">
        <v>6</v>
      </c>
      <c r="BX2128">
        <v>7.62</v>
      </c>
      <c r="BZ2128">
        <v>6</v>
      </c>
      <c r="CM2128">
        <v>1911</v>
      </c>
    </row>
    <row r="2129" spans="1:91" x14ac:dyDescent="0.3">
      <c r="A2129" t="s">
        <v>3087</v>
      </c>
      <c r="B2129">
        <v>45217</v>
      </c>
      <c r="D2129">
        <v>12</v>
      </c>
      <c r="I2129">
        <v>397000</v>
      </c>
      <c r="J2129" t="s">
        <v>800</v>
      </c>
      <c r="V2129" t="s">
        <v>350</v>
      </c>
      <c r="Y2129">
        <v>100</v>
      </c>
      <c r="AA2129">
        <v>83</v>
      </c>
      <c r="AC2129" s="3">
        <v>83</v>
      </c>
      <c r="AE2129" s="3">
        <v>81</v>
      </c>
      <c r="AI2129">
        <v>81</v>
      </c>
      <c r="AJ2129" t="s">
        <v>379</v>
      </c>
      <c r="AK2129" s="3"/>
      <c r="BG2129">
        <v>5</v>
      </c>
      <c r="BH2129">
        <v>5</v>
      </c>
      <c r="BI2129">
        <v>5</v>
      </c>
      <c r="BJ2129">
        <v>5</v>
      </c>
      <c r="BK2129" s="4">
        <v>3654</v>
      </c>
      <c r="BL2129" s="4">
        <v>3835</v>
      </c>
      <c r="BM2129" s="4">
        <v>4019</v>
      </c>
      <c r="BS2129" t="s">
        <v>385</v>
      </c>
      <c r="BT2129">
        <v>6</v>
      </c>
      <c r="BU2129">
        <v>3</v>
      </c>
      <c r="BV2129">
        <v>6</v>
      </c>
      <c r="BX2129">
        <v>84.25</v>
      </c>
      <c r="BZ2129">
        <v>73.5</v>
      </c>
      <c r="CK2129" t="s">
        <v>360</v>
      </c>
      <c r="CM2129">
        <v>1911</v>
      </c>
    </row>
    <row r="2130" spans="1:91" x14ac:dyDescent="0.3">
      <c r="A2130" t="s">
        <v>3087</v>
      </c>
      <c r="B2130">
        <v>45218</v>
      </c>
      <c r="C2130" t="s">
        <v>3088</v>
      </c>
      <c r="D2130">
        <v>12</v>
      </c>
      <c r="I2130">
        <v>578289</v>
      </c>
      <c r="J2130" t="s">
        <v>800</v>
      </c>
      <c r="V2130" t="s">
        <v>350</v>
      </c>
      <c r="Y2130">
        <v>100</v>
      </c>
      <c r="AA2130">
        <v>25</v>
      </c>
      <c r="AC2130" s="3">
        <v>26</v>
      </c>
      <c r="AE2130" s="3">
        <v>25</v>
      </c>
      <c r="AI2130">
        <v>26</v>
      </c>
      <c r="AK2130" s="3"/>
      <c r="AV2130" t="s">
        <v>815</v>
      </c>
      <c r="AX2130" t="s">
        <v>815</v>
      </c>
      <c r="AZ2130" t="s">
        <v>815</v>
      </c>
      <c r="BB2130" t="s">
        <v>815</v>
      </c>
      <c r="BG2130">
        <v>1</v>
      </c>
      <c r="BH2130">
        <v>0.5</v>
      </c>
      <c r="BI2130">
        <v>1.37</v>
      </c>
      <c r="BJ2130">
        <v>0.5</v>
      </c>
      <c r="BK2130" s="4">
        <v>2344</v>
      </c>
      <c r="BL2130" s="4">
        <v>2709</v>
      </c>
      <c r="BM2130" s="4">
        <v>3075</v>
      </c>
      <c r="BN2130" s="4">
        <v>4170</v>
      </c>
      <c r="BS2130" t="s">
        <v>385</v>
      </c>
      <c r="BT2130">
        <v>1</v>
      </c>
      <c r="BU2130">
        <v>18</v>
      </c>
      <c r="BV2130">
        <v>6</v>
      </c>
      <c r="BX2130">
        <v>27.25</v>
      </c>
      <c r="BZ2130">
        <v>19</v>
      </c>
      <c r="CM2130">
        <v>1911</v>
      </c>
    </row>
    <row r="2131" spans="1:91" x14ac:dyDescent="0.3">
      <c r="A2131" t="s">
        <v>3089</v>
      </c>
      <c r="B2131">
        <v>45234</v>
      </c>
      <c r="D2131">
        <v>12</v>
      </c>
      <c r="I2131">
        <v>35000</v>
      </c>
      <c r="U2131">
        <v>5</v>
      </c>
      <c r="Y2131">
        <v>5</v>
      </c>
      <c r="AA2131">
        <v>2.5</v>
      </c>
      <c r="AC2131" s="3">
        <v>2.5</v>
      </c>
      <c r="AE2131" s="3">
        <v>2.5</v>
      </c>
      <c r="AI2131">
        <v>2.5</v>
      </c>
      <c r="AK2131" s="3"/>
      <c r="BG2131">
        <v>5</v>
      </c>
      <c r="BH2131">
        <v>5</v>
      </c>
      <c r="BI2131">
        <v>5</v>
      </c>
      <c r="BJ2131">
        <v>5</v>
      </c>
      <c r="BK2131" s="4">
        <v>3774</v>
      </c>
      <c r="BL2131" s="4">
        <v>3958</v>
      </c>
      <c r="BM2131" s="4">
        <v>4139</v>
      </c>
      <c r="BN2131" s="4">
        <v>4323</v>
      </c>
      <c r="BR2131">
        <v>25019</v>
      </c>
      <c r="BT2131">
        <v>10</v>
      </c>
      <c r="BU2131">
        <v>0</v>
      </c>
      <c r="BV2131">
        <v>0</v>
      </c>
      <c r="BX2131">
        <v>3.06</v>
      </c>
      <c r="BZ2131">
        <v>2.5</v>
      </c>
      <c r="CK2131" t="s">
        <v>360</v>
      </c>
      <c r="CM2131">
        <v>1911</v>
      </c>
    </row>
    <row r="2132" spans="1:91" x14ac:dyDescent="0.3">
      <c r="A2132" t="s">
        <v>3090</v>
      </c>
      <c r="B2132">
        <v>45242</v>
      </c>
      <c r="D2132">
        <v>12</v>
      </c>
      <c r="I2132">
        <v>669000</v>
      </c>
      <c r="J2132" t="s">
        <v>800</v>
      </c>
      <c r="U2132">
        <v>100</v>
      </c>
      <c r="Y2132">
        <v>100</v>
      </c>
      <c r="AA2132">
        <v>91</v>
      </c>
      <c r="AC2132" s="3">
        <v>91.75</v>
      </c>
      <c r="AE2132" s="3">
        <v>91</v>
      </c>
      <c r="AI2132">
        <v>91.5</v>
      </c>
      <c r="AK2132" s="3"/>
      <c r="AV2132" t="s">
        <v>373</v>
      </c>
      <c r="AX2132" t="s">
        <v>373</v>
      </c>
      <c r="AZ2132" t="s">
        <v>373</v>
      </c>
      <c r="BB2132" t="s">
        <v>373</v>
      </c>
      <c r="BO2132" t="s">
        <v>367</v>
      </c>
      <c r="BS2132" t="s">
        <v>385</v>
      </c>
      <c r="BT2132">
        <v>6</v>
      </c>
      <c r="BU2132">
        <v>13</v>
      </c>
      <c r="BV2132">
        <v>9</v>
      </c>
      <c r="BY2132" t="s">
        <v>385</v>
      </c>
      <c r="CA2132" t="s">
        <v>385</v>
      </c>
      <c r="CM2132">
        <v>1911</v>
      </c>
    </row>
    <row r="2133" spans="1:91" x14ac:dyDescent="0.3">
      <c r="A2133" t="s">
        <v>3091</v>
      </c>
      <c r="B2133">
        <v>45260</v>
      </c>
      <c r="D2133">
        <v>12</v>
      </c>
      <c r="I2133">
        <v>146459</v>
      </c>
      <c r="U2133">
        <v>1</v>
      </c>
      <c r="Y2133">
        <v>1</v>
      </c>
      <c r="AA2133">
        <v>1.06</v>
      </c>
      <c r="AC2133" s="3">
        <v>1.06</v>
      </c>
      <c r="AE2133" s="3">
        <v>1.06</v>
      </c>
      <c r="AI2133">
        <v>1.06</v>
      </c>
      <c r="AK2133" s="3"/>
      <c r="AV2133" t="s">
        <v>815</v>
      </c>
      <c r="AX2133" t="s">
        <v>823</v>
      </c>
      <c r="BB2133" t="s">
        <v>823</v>
      </c>
      <c r="BG2133">
        <v>7.5</v>
      </c>
      <c r="BH2133">
        <v>5</v>
      </c>
      <c r="BI2133">
        <v>10</v>
      </c>
      <c r="BJ2133">
        <v>5</v>
      </c>
      <c r="BK2133" s="4">
        <v>3744</v>
      </c>
      <c r="BL2133" s="4">
        <v>3927</v>
      </c>
      <c r="BM2133" s="4">
        <v>4109</v>
      </c>
      <c r="BN2133" s="4">
        <v>4292</v>
      </c>
      <c r="BR2133">
        <v>25607</v>
      </c>
      <c r="BT2133">
        <v>7</v>
      </c>
      <c r="BU2133">
        <v>1</v>
      </c>
      <c r="BV2133">
        <v>3</v>
      </c>
      <c r="BX2133">
        <v>1.18</v>
      </c>
      <c r="BZ2133">
        <v>1.06</v>
      </c>
      <c r="CK2133" t="s">
        <v>360</v>
      </c>
      <c r="CM2133">
        <v>1911</v>
      </c>
    </row>
    <row r="2134" spans="1:91" x14ac:dyDescent="0.3">
      <c r="A2134" t="s">
        <v>3092</v>
      </c>
      <c r="B2134">
        <v>45269</v>
      </c>
      <c r="D2134">
        <v>12</v>
      </c>
      <c r="I2134">
        <v>10000</v>
      </c>
      <c r="U2134">
        <v>10</v>
      </c>
      <c r="Y2134">
        <v>10</v>
      </c>
      <c r="AA2134">
        <v>12.87</v>
      </c>
      <c r="AC2134" s="3">
        <v>13.25</v>
      </c>
      <c r="AE2134" s="3">
        <v>12.87</v>
      </c>
      <c r="AI2134">
        <v>13.25</v>
      </c>
      <c r="AK2134" s="3"/>
      <c r="AV2134" t="s">
        <v>823</v>
      </c>
      <c r="AZ2134" t="s">
        <v>823</v>
      </c>
      <c r="BG2134">
        <v>6</v>
      </c>
      <c r="BH2134">
        <v>14</v>
      </c>
      <c r="BI2134">
        <v>6</v>
      </c>
      <c r="BJ2134">
        <v>14</v>
      </c>
      <c r="BK2134" s="4">
        <v>3654</v>
      </c>
      <c r="BL2134" s="4">
        <v>3866</v>
      </c>
      <c r="BM2134" s="4">
        <v>4019</v>
      </c>
      <c r="BN2134" s="4">
        <v>4231</v>
      </c>
      <c r="BR2134">
        <v>11319</v>
      </c>
      <c r="BT2134">
        <v>7</v>
      </c>
      <c r="BU2134">
        <v>11</v>
      </c>
      <c r="BV2134">
        <v>0</v>
      </c>
      <c r="BX2134">
        <v>13.5</v>
      </c>
      <c r="BZ2134">
        <v>12.37</v>
      </c>
      <c r="CK2134" t="s">
        <v>399</v>
      </c>
      <c r="CM2134">
        <v>1911</v>
      </c>
    </row>
    <row r="2135" spans="1:91" x14ac:dyDescent="0.3">
      <c r="A2135" t="s">
        <v>3093</v>
      </c>
      <c r="B2135">
        <v>45351</v>
      </c>
      <c r="D2135">
        <v>12</v>
      </c>
      <c r="I2135">
        <v>25193</v>
      </c>
      <c r="U2135">
        <v>10</v>
      </c>
      <c r="Y2135">
        <v>9</v>
      </c>
      <c r="AA2135">
        <v>2.5</v>
      </c>
      <c r="AC2135" s="3">
        <v>2.5</v>
      </c>
      <c r="AE2135" s="3">
        <v>2</v>
      </c>
      <c r="AI2135">
        <v>2.5</v>
      </c>
      <c r="AK2135" s="3"/>
      <c r="AU2135" t="s">
        <v>1463</v>
      </c>
      <c r="AV2135" t="s">
        <v>1464</v>
      </c>
      <c r="AW2135" t="s">
        <v>1467</v>
      </c>
      <c r="AX2135" t="s">
        <v>1468</v>
      </c>
      <c r="AY2135" t="s">
        <v>1463</v>
      </c>
      <c r="AZ2135" t="s">
        <v>1464</v>
      </c>
      <c r="BA2135" t="s">
        <v>1463</v>
      </c>
      <c r="BB2135" t="s">
        <v>1464</v>
      </c>
      <c r="BC2135">
        <v>60</v>
      </c>
      <c r="BD2135">
        <v>48</v>
      </c>
      <c r="BE2135">
        <v>60</v>
      </c>
      <c r="BF2135">
        <v>60</v>
      </c>
      <c r="BK2135" s="4">
        <v>3167</v>
      </c>
      <c r="BL2135" s="4">
        <v>3532</v>
      </c>
      <c r="BM2135" s="4">
        <v>3897</v>
      </c>
      <c r="BN2135" s="4">
        <v>4262</v>
      </c>
      <c r="BR2135">
        <v>10854</v>
      </c>
      <c r="BT2135">
        <v>10</v>
      </c>
      <c r="BU2135">
        <v>0</v>
      </c>
      <c r="BV2135">
        <v>0</v>
      </c>
      <c r="BX2135">
        <v>2.5</v>
      </c>
      <c r="BZ2135">
        <v>2</v>
      </c>
      <c r="CK2135" t="s">
        <v>1076</v>
      </c>
      <c r="CL2135" t="s">
        <v>457</v>
      </c>
      <c r="CM2135">
        <v>1911</v>
      </c>
    </row>
    <row r="2136" spans="1:91" x14ac:dyDescent="0.3">
      <c r="A2136" t="s">
        <v>3094</v>
      </c>
      <c r="B2136">
        <v>45432</v>
      </c>
      <c r="D2136">
        <v>12</v>
      </c>
      <c r="I2136">
        <v>200000</v>
      </c>
      <c r="U2136">
        <v>10</v>
      </c>
      <c r="Y2136">
        <v>10</v>
      </c>
      <c r="AA2136">
        <v>11.31</v>
      </c>
      <c r="AC2136" s="3">
        <v>11.68</v>
      </c>
      <c r="AE2136" s="3">
        <v>11.31</v>
      </c>
      <c r="AI2136">
        <v>11.31</v>
      </c>
      <c r="AJ2136" t="s">
        <v>379</v>
      </c>
      <c r="AK2136" s="3"/>
      <c r="AV2136" t="s">
        <v>370</v>
      </c>
      <c r="AX2136" t="s">
        <v>370</v>
      </c>
      <c r="AZ2136" t="s">
        <v>370</v>
      </c>
      <c r="BB2136" t="s">
        <v>370</v>
      </c>
      <c r="BO2136" t="s">
        <v>367</v>
      </c>
      <c r="BR2136">
        <v>828345</v>
      </c>
      <c r="BS2136" t="s">
        <v>3095</v>
      </c>
      <c r="BT2136">
        <v>4</v>
      </c>
      <c r="BU2136">
        <v>8</v>
      </c>
      <c r="BV2136">
        <v>6</v>
      </c>
      <c r="BX2136">
        <v>11.62</v>
      </c>
      <c r="BZ2136">
        <v>11</v>
      </c>
      <c r="CK2136" t="s">
        <v>354</v>
      </c>
      <c r="CM2136">
        <v>1911</v>
      </c>
    </row>
    <row r="2137" spans="1:91" x14ac:dyDescent="0.3">
      <c r="A2137" t="s">
        <v>3094</v>
      </c>
      <c r="B2137">
        <v>45435</v>
      </c>
      <c r="C2137" t="s">
        <v>3096</v>
      </c>
      <c r="D2137">
        <v>12</v>
      </c>
      <c r="I2137">
        <v>150000</v>
      </c>
      <c r="U2137">
        <v>10</v>
      </c>
      <c r="Y2137">
        <v>10</v>
      </c>
      <c r="AA2137">
        <v>10.43</v>
      </c>
      <c r="AC2137" s="3">
        <v>10.62</v>
      </c>
      <c r="AE2137" s="3">
        <v>10.18</v>
      </c>
      <c r="AI2137">
        <v>10.18</v>
      </c>
      <c r="AJ2137" t="s">
        <v>379</v>
      </c>
      <c r="AK2137" s="3"/>
      <c r="AV2137" t="s">
        <v>370</v>
      </c>
      <c r="AX2137" t="s">
        <v>370</v>
      </c>
      <c r="AZ2137" t="s">
        <v>370</v>
      </c>
      <c r="BB2137" t="s">
        <v>370</v>
      </c>
      <c r="BO2137" t="s">
        <v>367</v>
      </c>
      <c r="BR2137">
        <v>828345</v>
      </c>
      <c r="BS2137" t="s">
        <v>3095</v>
      </c>
      <c r="BT2137">
        <v>4</v>
      </c>
      <c r="BU2137">
        <v>18</v>
      </c>
      <c r="BV2137">
        <v>0</v>
      </c>
      <c r="BX2137">
        <v>10.68</v>
      </c>
      <c r="BZ2137">
        <v>9.81</v>
      </c>
      <c r="CM2137">
        <v>1911</v>
      </c>
    </row>
    <row r="2138" spans="1:91" x14ac:dyDescent="0.3">
      <c r="A2138" t="s">
        <v>3094</v>
      </c>
      <c r="B2138">
        <v>45436</v>
      </c>
      <c r="C2138" t="s">
        <v>3097</v>
      </c>
      <c r="D2138">
        <v>12</v>
      </c>
      <c r="I2138">
        <v>100000</v>
      </c>
      <c r="U2138">
        <v>10</v>
      </c>
      <c r="Y2138">
        <v>10</v>
      </c>
      <c r="AA2138">
        <v>11.5</v>
      </c>
      <c r="AC2138" s="3">
        <v>11.68</v>
      </c>
      <c r="AE2138" s="3">
        <v>11.25</v>
      </c>
      <c r="AI2138">
        <v>11.25</v>
      </c>
      <c r="AJ2138" t="s">
        <v>379</v>
      </c>
      <c r="AK2138" s="3"/>
      <c r="AV2138" t="s">
        <v>370</v>
      </c>
      <c r="AX2138" t="s">
        <v>370</v>
      </c>
      <c r="AZ2138" t="s">
        <v>370</v>
      </c>
      <c r="BB2138" t="s">
        <v>370</v>
      </c>
      <c r="BO2138" t="s">
        <v>367</v>
      </c>
      <c r="BR2138">
        <v>828345</v>
      </c>
      <c r="BS2138" t="s">
        <v>3095</v>
      </c>
      <c r="BT2138">
        <v>5</v>
      </c>
      <c r="BU2138">
        <v>6</v>
      </c>
      <c r="BV2138">
        <v>9</v>
      </c>
      <c r="BX2138">
        <v>11.75</v>
      </c>
      <c r="BZ2138">
        <v>10.75</v>
      </c>
      <c r="CM2138">
        <v>1911</v>
      </c>
    </row>
    <row r="2139" spans="1:91" x14ac:dyDescent="0.3">
      <c r="A2139" t="s">
        <v>3094</v>
      </c>
      <c r="B2139">
        <v>45433</v>
      </c>
      <c r="C2139" t="s">
        <v>3098</v>
      </c>
      <c r="D2139">
        <v>12</v>
      </c>
      <c r="I2139">
        <v>905529</v>
      </c>
      <c r="U2139">
        <v>1</v>
      </c>
      <c r="Y2139">
        <v>1</v>
      </c>
      <c r="AA2139">
        <v>1.06</v>
      </c>
      <c r="AC2139" s="3">
        <v>1.06</v>
      </c>
      <c r="AE2139" s="3">
        <v>1.03</v>
      </c>
      <c r="AI2139">
        <v>1.03</v>
      </c>
      <c r="AJ2139" t="s">
        <v>379</v>
      </c>
      <c r="AK2139" s="3"/>
      <c r="AV2139" t="s">
        <v>385</v>
      </c>
      <c r="AX2139" t="s">
        <v>385</v>
      </c>
      <c r="AZ2139" t="s">
        <v>385</v>
      </c>
      <c r="BB2139" t="s">
        <v>385</v>
      </c>
      <c r="BS2139" t="s">
        <v>385</v>
      </c>
      <c r="BW2139" t="s">
        <v>385</v>
      </c>
      <c r="BX2139">
        <v>1.06</v>
      </c>
      <c r="BZ2139">
        <v>1.03</v>
      </c>
      <c r="CM2139">
        <v>1911</v>
      </c>
    </row>
    <row r="2140" spans="1:91" x14ac:dyDescent="0.3">
      <c r="A2140" t="s">
        <v>3099</v>
      </c>
      <c r="B2140">
        <v>45459</v>
      </c>
      <c r="D2140">
        <v>12</v>
      </c>
      <c r="I2140">
        <v>268257</v>
      </c>
      <c r="U2140">
        <v>1</v>
      </c>
      <c r="Y2140">
        <v>1</v>
      </c>
      <c r="AA2140">
        <v>0.93</v>
      </c>
      <c r="AC2140" s="3">
        <v>0.96</v>
      </c>
      <c r="AE2140" s="3">
        <v>0.93</v>
      </c>
      <c r="AI2140">
        <v>0.96</v>
      </c>
      <c r="AK2140" s="3"/>
      <c r="AV2140" t="s">
        <v>823</v>
      </c>
      <c r="AZ2140" t="s">
        <v>823</v>
      </c>
      <c r="BG2140">
        <v>5</v>
      </c>
      <c r="BH2140">
        <v>10</v>
      </c>
      <c r="BI2140">
        <v>5</v>
      </c>
      <c r="BJ2140">
        <v>5</v>
      </c>
      <c r="BK2140" s="4">
        <v>3623</v>
      </c>
      <c r="BL2140" s="4">
        <v>3866</v>
      </c>
      <c r="BM2140" s="4">
        <v>3988</v>
      </c>
      <c r="BN2140" s="4">
        <v>4231</v>
      </c>
      <c r="BR2140">
        <v>35099</v>
      </c>
      <c r="BT2140">
        <v>5</v>
      </c>
      <c r="BU2140">
        <v>3</v>
      </c>
      <c r="BV2140">
        <v>3</v>
      </c>
      <c r="BX2140">
        <v>1.03</v>
      </c>
      <c r="BZ2140">
        <v>0.81</v>
      </c>
      <c r="CK2140" t="s">
        <v>3100</v>
      </c>
      <c r="CM2140">
        <v>1911</v>
      </c>
    </row>
    <row r="2141" spans="1:91" x14ac:dyDescent="0.3">
      <c r="A2141" t="s">
        <v>3101</v>
      </c>
      <c r="B2141">
        <v>45460</v>
      </c>
      <c r="D2141">
        <v>12</v>
      </c>
      <c r="I2141">
        <v>10000</v>
      </c>
      <c r="U2141">
        <v>10</v>
      </c>
      <c r="Y2141">
        <v>10</v>
      </c>
      <c r="AA2141">
        <v>13.25</v>
      </c>
      <c r="AC2141" s="3">
        <v>13.25</v>
      </c>
      <c r="AE2141" s="3">
        <v>13.25</v>
      </c>
      <c r="AI2141">
        <v>13.25</v>
      </c>
      <c r="AK2141" s="3"/>
      <c r="BG2141">
        <v>6</v>
      </c>
      <c r="BH2141">
        <v>6</v>
      </c>
      <c r="BI2141">
        <v>6</v>
      </c>
      <c r="BJ2141">
        <v>6</v>
      </c>
      <c r="BK2141" s="4">
        <v>3501</v>
      </c>
      <c r="BL2141" s="4">
        <v>3685</v>
      </c>
      <c r="BM2141" s="4">
        <v>3866</v>
      </c>
      <c r="BN2141" s="4">
        <v>4050</v>
      </c>
      <c r="BR2141">
        <v>294341</v>
      </c>
      <c r="BT2141">
        <v>4</v>
      </c>
      <c r="BU2141">
        <v>10</v>
      </c>
      <c r="BV2141">
        <v>6</v>
      </c>
      <c r="BX2141">
        <v>13.75</v>
      </c>
      <c r="BZ2141">
        <v>13</v>
      </c>
      <c r="CK2141" t="s">
        <v>360</v>
      </c>
      <c r="CM2141">
        <v>1911</v>
      </c>
    </row>
    <row r="2142" spans="1:91" x14ac:dyDescent="0.3">
      <c r="A2142" t="s">
        <v>3102</v>
      </c>
      <c r="B2142">
        <v>45463</v>
      </c>
      <c r="D2142">
        <v>12</v>
      </c>
      <c r="I2142">
        <v>120000</v>
      </c>
      <c r="U2142">
        <v>5</v>
      </c>
      <c r="Y2142">
        <v>5</v>
      </c>
      <c r="AA2142">
        <v>21.5</v>
      </c>
      <c r="AC2142" s="3">
        <v>21.5</v>
      </c>
      <c r="AE2142" s="3">
        <v>20.75</v>
      </c>
      <c r="AI2142">
        <v>21.5</v>
      </c>
      <c r="AK2142" s="3"/>
      <c r="AV2142" t="s">
        <v>823</v>
      </c>
      <c r="AZ2142" t="s">
        <v>823</v>
      </c>
      <c r="BG2142">
        <v>20</v>
      </c>
      <c r="BH2142">
        <v>25</v>
      </c>
      <c r="BI2142">
        <v>20</v>
      </c>
      <c r="BJ2142">
        <v>25</v>
      </c>
      <c r="BK2142" s="4">
        <v>3685</v>
      </c>
      <c r="BL2142" s="4">
        <v>3805</v>
      </c>
      <c r="BM2142" s="4">
        <v>4050</v>
      </c>
      <c r="BN2142" s="4">
        <v>4170</v>
      </c>
      <c r="BR2142">
        <v>769612</v>
      </c>
      <c r="BS2142" t="s">
        <v>3103</v>
      </c>
      <c r="BT2142">
        <v>5</v>
      </c>
      <c r="BU2142">
        <v>5</v>
      </c>
      <c r="BV2142">
        <v>0</v>
      </c>
      <c r="BX2142">
        <v>23.5</v>
      </c>
      <c r="BZ2142">
        <v>20.25</v>
      </c>
      <c r="CK2142" t="s">
        <v>360</v>
      </c>
      <c r="CM2142">
        <v>1911</v>
      </c>
    </row>
    <row r="2143" spans="1:91" x14ac:dyDescent="0.3">
      <c r="A2143" t="s">
        <v>3102</v>
      </c>
      <c r="B2143">
        <v>45464</v>
      </c>
      <c r="C2143" t="s">
        <v>817</v>
      </c>
      <c r="D2143">
        <v>12</v>
      </c>
      <c r="I2143">
        <v>100000</v>
      </c>
      <c r="U2143">
        <v>5</v>
      </c>
      <c r="Y2143">
        <v>5</v>
      </c>
      <c r="AA2143">
        <v>5.43</v>
      </c>
      <c r="AC2143" s="3">
        <v>5.43</v>
      </c>
      <c r="AE2143" s="3">
        <v>5.37</v>
      </c>
      <c r="AI2143">
        <v>5.37</v>
      </c>
      <c r="AK2143" s="3"/>
      <c r="AV2143" t="s">
        <v>536</v>
      </c>
      <c r="AX2143" t="s">
        <v>536</v>
      </c>
      <c r="AZ2143" t="s">
        <v>536</v>
      </c>
      <c r="BB2143" t="s">
        <v>536</v>
      </c>
      <c r="BO2143" t="s">
        <v>367</v>
      </c>
      <c r="BR2143">
        <v>769612</v>
      </c>
      <c r="BS2143" t="s">
        <v>3103</v>
      </c>
      <c r="BT2143">
        <v>4</v>
      </c>
      <c r="BU2143">
        <v>13</v>
      </c>
      <c r="BV2143">
        <v>0</v>
      </c>
      <c r="BX2143">
        <v>5.93</v>
      </c>
      <c r="BZ2143">
        <v>5.37</v>
      </c>
      <c r="CM2143">
        <v>1911</v>
      </c>
    </row>
    <row r="2144" spans="1:91" x14ac:dyDescent="0.3">
      <c r="A2144" t="s">
        <v>3104</v>
      </c>
      <c r="B2144">
        <v>45484</v>
      </c>
      <c r="D2144">
        <v>12</v>
      </c>
      <c r="I2144">
        <v>40000</v>
      </c>
      <c r="U2144">
        <v>10</v>
      </c>
      <c r="Y2144">
        <v>10</v>
      </c>
      <c r="AA2144">
        <v>16.5</v>
      </c>
      <c r="AC2144" s="3">
        <v>16.5</v>
      </c>
      <c r="AE2144" s="3">
        <v>16.37</v>
      </c>
      <c r="AI2144">
        <v>16.37</v>
      </c>
      <c r="AK2144" s="3"/>
      <c r="AX2144" t="s">
        <v>823</v>
      </c>
      <c r="BB2144" t="s">
        <v>823</v>
      </c>
      <c r="BG2144">
        <v>6</v>
      </c>
      <c r="BH2144">
        <v>6</v>
      </c>
      <c r="BI2144">
        <v>6</v>
      </c>
      <c r="BJ2144">
        <v>6</v>
      </c>
      <c r="BK2144" s="4">
        <v>3685</v>
      </c>
      <c r="BL2144" s="4">
        <v>3866</v>
      </c>
      <c r="BM2144" s="4">
        <v>4050</v>
      </c>
      <c r="BN2144" s="4">
        <v>4231</v>
      </c>
      <c r="BR2144">
        <v>753965</v>
      </c>
      <c r="BS2144" t="s">
        <v>3105</v>
      </c>
      <c r="BT2144">
        <v>3</v>
      </c>
      <c r="BU2144">
        <v>13</v>
      </c>
      <c r="BV2144">
        <v>6</v>
      </c>
      <c r="BX2144">
        <v>18</v>
      </c>
      <c r="BZ2144">
        <v>16.37</v>
      </c>
      <c r="CM2144">
        <v>1911</v>
      </c>
    </row>
    <row r="2145" spans="1:91" x14ac:dyDescent="0.3">
      <c r="A2145" t="s">
        <v>3104</v>
      </c>
      <c r="B2145">
        <v>45487</v>
      </c>
      <c r="C2145" t="s">
        <v>3106</v>
      </c>
      <c r="D2145">
        <v>12</v>
      </c>
      <c r="I2145">
        <v>70000</v>
      </c>
      <c r="U2145">
        <v>10</v>
      </c>
      <c r="Y2145">
        <v>10</v>
      </c>
      <c r="AA2145">
        <v>17</v>
      </c>
      <c r="AC2145" s="3">
        <v>17</v>
      </c>
      <c r="AE2145" s="3">
        <v>17</v>
      </c>
      <c r="AI2145">
        <v>17</v>
      </c>
      <c r="AK2145" s="3"/>
      <c r="AX2145" t="s">
        <v>823</v>
      </c>
      <c r="BB2145" t="s">
        <v>823</v>
      </c>
      <c r="BG2145">
        <v>6</v>
      </c>
      <c r="BH2145">
        <v>6</v>
      </c>
      <c r="BI2145">
        <v>6</v>
      </c>
      <c r="BJ2145">
        <v>6</v>
      </c>
      <c r="BK2145" s="4">
        <v>3685</v>
      </c>
      <c r="BL2145" s="4">
        <v>3866</v>
      </c>
      <c r="BM2145" s="4">
        <v>4050</v>
      </c>
      <c r="BN2145" s="4">
        <v>4231</v>
      </c>
      <c r="BR2145">
        <v>753965</v>
      </c>
      <c r="BS2145" t="s">
        <v>3105</v>
      </c>
      <c r="BT2145">
        <v>3</v>
      </c>
      <c r="BU2145">
        <v>10</v>
      </c>
      <c r="BV2145">
        <v>6</v>
      </c>
      <c r="BX2145">
        <v>18</v>
      </c>
      <c r="BZ2145">
        <v>17</v>
      </c>
      <c r="CM2145">
        <v>1911</v>
      </c>
    </row>
    <row r="2146" spans="1:91" x14ac:dyDescent="0.3">
      <c r="A2146" t="s">
        <v>3104</v>
      </c>
      <c r="B2146">
        <v>45486</v>
      </c>
      <c r="C2146" t="s">
        <v>817</v>
      </c>
      <c r="D2146">
        <v>12</v>
      </c>
      <c r="I2146">
        <v>110000</v>
      </c>
      <c r="U2146">
        <v>10</v>
      </c>
      <c r="Y2146">
        <v>10</v>
      </c>
      <c r="AA2146">
        <v>11.37</v>
      </c>
      <c r="AC2146" s="3">
        <v>11.37</v>
      </c>
      <c r="AE2146" s="3">
        <v>11.31</v>
      </c>
      <c r="AI2146">
        <v>11.37</v>
      </c>
      <c r="AK2146" s="3"/>
      <c r="BG2146">
        <v>5</v>
      </c>
      <c r="BH2146">
        <v>5</v>
      </c>
      <c r="BI2146">
        <v>5</v>
      </c>
      <c r="BJ2146">
        <v>5</v>
      </c>
      <c r="BK2146" s="4">
        <v>3774</v>
      </c>
      <c r="BL2146" s="4">
        <v>3958</v>
      </c>
      <c r="BM2146" s="4">
        <v>4139</v>
      </c>
      <c r="BN2146" s="4">
        <v>4323</v>
      </c>
      <c r="BR2146">
        <v>753965</v>
      </c>
      <c r="BS2146" t="s">
        <v>3105</v>
      </c>
      <c r="BT2146">
        <v>4</v>
      </c>
      <c r="BU2146">
        <v>8</v>
      </c>
      <c r="BV2146">
        <v>0</v>
      </c>
      <c r="BX2146">
        <v>12</v>
      </c>
      <c r="BZ2146">
        <v>11.12</v>
      </c>
      <c r="CM2146">
        <v>1911</v>
      </c>
    </row>
    <row r="2147" spans="1:91" x14ac:dyDescent="0.3">
      <c r="A2147" t="s">
        <v>3104</v>
      </c>
      <c r="B2147">
        <v>45485</v>
      </c>
      <c r="C2147" t="s">
        <v>3107</v>
      </c>
      <c r="D2147">
        <v>12</v>
      </c>
      <c r="I2147" s="2">
        <v>1000000</v>
      </c>
      <c r="J2147" t="s">
        <v>800</v>
      </c>
      <c r="V2147" t="s">
        <v>350</v>
      </c>
      <c r="Y2147">
        <v>100</v>
      </c>
      <c r="AA2147">
        <v>100.5</v>
      </c>
      <c r="AC2147" s="3">
        <v>100.5</v>
      </c>
      <c r="AE2147" s="3">
        <v>98.5</v>
      </c>
      <c r="AI2147">
        <v>98.5</v>
      </c>
      <c r="AJ2147" t="s">
        <v>379</v>
      </c>
      <c r="AK2147" s="3"/>
      <c r="AV2147" t="s">
        <v>370</v>
      </c>
      <c r="AX2147" t="s">
        <v>370</v>
      </c>
      <c r="AZ2147" t="s">
        <v>370</v>
      </c>
      <c r="BB2147" t="s">
        <v>370</v>
      </c>
      <c r="BO2147" t="s">
        <v>367</v>
      </c>
      <c r="BR2147">
        <v>753965</v>
      </c>
      <c r="BS2147" t="s">
        <v>3105</v>
      </c>
      <c r="BT2147">
        <v>4</v>
      </c>
      <c r="BU2147">
        <v>1</v>
      </c>
      <c r="BV2147">
        <v>3</v>
      </c>
      <c r="BX2147">
        <v>100.87</v>
      </c>
      <c r="BZ2147">
        <v>98.25</v>
      </c>
      <c r="CM2147">
        <v>1911</v>
      </c>
    </row>
    <row r="2148" spans="1:91" x14ac:dyDescent="0.3">
      <c r="A2148" t="s">
        <v>3108</v>
      </c>
      <c r="B2148">
        <v>45482</v>
      </c>
      <c r="D2148">
        <v>12</v>
      </c>
      <c r="I2148">
        <v>70000</v>
      </c>
      <c r="U2148">
        <v>5</v>
      </c>
      <c r="Y2148">
        <v>5</v>
      </c>
      <c r="AA2148">
        <v>13.12</v>
      </c>
      <c r="AC2148" s="3">
        <v>13.56</v>
      </c>
      <c r="AE2148" s="3">
        <v>13.12</v>
      </c>
      <c r="AI2148">
        <v>13.5</v>
      </c>
      <c r="AK2148" s="3"/>
      <c r="AZ2148" t="s">
        <v>815</v>
      </c>
      <c r="BB2148" t="s">
        <v>2347</v>
      </c>
      <c r="BG2148">
        <v>15</v>
      </c>
      <c r="BH2148">
        <v>15</v>
      </c>
      <c r="BI2148">
        <v>15</v>
      </c>
      <c r="BK2148" t="s">
        <v>1225</v>
      </c>
      <c r="BL2148" t="s">
        <v>913</v>
      </c>
      <c r="BM2148" t="s">
        <v>1226</v>
      </c>
      <c r="BO2148" t="s">
        <v>352</v>
      </c>
      <c r="BR2148">
        <v>143111</v>
      </c>
      <c r="BS2148" t="s">
        <v>3109</v>
      </c>
      <c r="BT2148">
        <v>5</v>
      </c>
      <c r="BU2148">
        <v>11</v>
      </c>
      <c r="BV2148">
        <v>3</v>
      </c>
      <c r="BX2148">
        <v>14.43</v>
      </c>
      <c r="BZ2148">
        <v>13</v>
      </c>
      <c r="CK2148" t="s">
        <v>360</v>
      </c>
      <c r="CM2148">
        <v>1911</v>
      </c>
    </row>
    <row r="2149" spans="1:91" x14ac:dyDescent="0.3">
      <c r="A2149" t="s">
        <v>3110</v>
      </c>
      <c r="B2149">
        <v>45494</v>
      </c>
      <c r="D2149">
        <v>12</v>
      </c>
      <c r="I2149">
        <v>575535</v>
      </c>
      <c r="J2149" t="s">
        <v>800</v>
      </c>
      <c r="V2149" t="s">
        <v>350</v>
      </c>
      <c r="Y2149">
        <v>100</v>
      </c>
      <c r="AA2149">
        <v>70</v>
      </c>
      <c r="AC2149" s="3">
        <v>74</v>
      </c>
      <c r="AE2149" s="3">
        <v>68.5</v>
      </c>
      <c r="AI2149">
        <v>69.5</v>
      </c>
      <c r="AJ2149" t="s">
        <v>379</v>
      </c>
      <c r="AK2149" s="3"/>
      <c r="AV2149" t="s">
        <v>370</v>
      </c>
      <c r="AX2149" t="s">
        <v>370</v>
      </c>
      <c r="AZ2149" t="s">
        <v>370</v>
      </c>
      <c r="BB2149" t="s">
        <v>370</v>
      </c>
      <c r="BO2149" t="s">
        <v>367</v>
      </c>
      <c r="BS2149" t="s">
        <v>385</v>
      </c>
      <c r="BT2149">
        <v>6</v>
      </c>
      <c r="BU2149">
        <v>9</v>
      </c>
      <c r="BV2149">
        <v>6</v>
      </c>
      <c r="BX2149">
        <v>74</v>
      </c>
      <c r="BZ2149">
        <v>62.5</v>
      </c>
      <c r="CK2149" t="s">
        <v>360</v>
      </c>
      <c r="CL2149" t="s">
        <v>457</v>
      </c>
      <c r="CM2149">
        <v>1911</v>
      </c>
    </row>
    <row r="2150" spans="1:91" x14ac:dyDescent="0.3">
      <c r="A2150" t="s">
        <v>3111</v>
      </c>
      <c r="B2150">
        <v>45495</v>
      </c>
      <c r="D2150">
        <v>12</v>
      </c>
      <c r="I2150">
        <v>650095</v>
      </c>
      <c r="J2150" t="s">
        <v>800</v>
      </c>
      <c r="V2150" t="s">
        <v>350</v>
      </c>
      <c r="Y2150">
        <v>100</v>
      </c>
      <c r="AA2150">
        <v>55</v>
      </c>
      <c r="AC2150" s="3">
        <v>56</v>
      </c>
      <c r="AE2150" s="3">
        <v>54</v>
      </c>
      <c r="AI2150">
        <v>54</v>
      </c>
      <c r="AJ2150" t="s">
        <v>379</v>
      </c>
      <c r="AK2150" s="3"/>
      <c r="AV2150" t="s">
        <v>370</v>
      </c>
      <c r="AX2150" t="s">
        <v>370</v>
      </c>
      <c r="AZ2150" t="s">
        <v>370</v>
      </c>
      <c r="BB2150" t="s">
        <v>370</v>
      </c>
      <c r="BO2150" t="s">
        <v>367</v>
      </c>
      <c r="BS2150" t="s">
        <v>385</v>
      </c>
      <c r="BT2150">
        <v>8</v>
      </c>
      <c r="BU2150">
        <v>6</v>
      </c>
      <c r="BV2150">
        <v>9</v>
      </c>
      <c r="BX2150">
        <v>57.12</v>
      </c>
      <c r="BZ2150">
        <v>43.5</v>
      </c>
      <c r="CM2150">
        <v>1911</v>
      </c>
    </row>
    <row r="2151" spans="1:91" x14ac:dyDescent="0.3">
      <c r="A2151" t="s">
        <v>3112</v>
      </c>
      <c r="B2151">
        <v>45525</v>
      </c>
      <c r="D2151">
        <v>12</v>
      </c>
      <c r="I2151" s="2">
        <v>1250000</v>
      </c>
      <c r="U2151">
        <v>1</v>
      </c>
      <c r="Y2151">
        <v>1</v>
      </c>
      <c r="AA2151">
        <v>1</v>
      </c>
      <c r="AC2151" s="3">
        <v>1.03</v>
      </c>
      <c r="AE2151" s="3">
        <v>0.93</v>
      </c>
      <c r="AI2151">
        <v>0.96</v>
      </c>
      <c r="AK2151" s="3"/>
      <c r="AX2151" t="s">
        <v>823</v>
      </c>
      <c r="BB2151" t="s">
        <v>823</v>
      </c>
      <c r="BG2151">
        <v>6</v>
      </c>
      <c r="BH2151">
        <v>6</v>
      </c>
      <c r="BI2151">
        <v>6</v>
      </c>
      <c r="BJ2151">
        <v>6</v>
      </c>
      <c r="BK2151" s="4">
        <v>3805</v>
      </c>
      <c r="BL2151" s="4">
        <v>3958</v>
      </c>
      <c r="BM2151" s="4">
        <v>4170</v>
      </c>
      <c r="BN2151" s="4">
        <v>4323</v>
      </c>
      <c r="BR2151">
        <v>373103</v>
      </c>
      <c r="BS2151" t="s">
        <v>3113</v>
      </c>
      <c r="BT2151">
        <v>6</v>
      </c>
      <c r="BU2151">
        <v>3</v>
      </c>
      <c r="BV2151">
        <v>9</v>
      </c>
      <c r="BX2151">
        <v>1.18</v>
      </c>
      <c r="BZ2151">
        <v>0.93</v>
      </c>
      <c r="CK2151" t="s">
        <v>558</v>
      </c>
      <c r="CM2151">
        <v>1911</v>
      </c>
    </row>
    <row r="2152" spans="1:91" x14ac:dyDescent="0.3">
      <c r="A2152" t="s">
        <v>3112</v>
      </c>
      <c r="B2152">
        <v>45526</v>
      </c>
      <c r="C2152" t="s">
        <v>3013</v>
      </c>
      <c r="D2152">
        <v>12</v>
      </c>
      <c r="I2152" s="2">
        <v>1000000</v>
      </c>
      <c r="U2152">
        <v>1</v>
      </c>
      <c r="Y2152">
        <v>1</v>
      </c>
      <c r="AA2152">
        <v>1</v>
      </c>
      <c r="AC2152" s="3">
        <v>1.06</v>
      </c>
      <c r="AE2152" s="3">
        <v>0.93</v>
      </c>
      <c r="AI2152">
        <v>0.96</v>
      </c>
      <c r="AK2152" s="3"/>
      <c r="AV2152" t="s">
        <v>373</v>
      </c>
      <c r="AX2152" t="s">
        <v>373</v>
      </c>
      <c r="AZ2152" t="s">
        <v>373</v>
      </c>
      <c r="BB2152" t="s">
        <v>373</v>
      </c>
      <c r="BO2152" t="s">
        <v>367</v>
      </c>
      <c r="BR2152">
        <v>373103</v>
      </c>
      <c r="BS2152" t="s">
        <v>3113</v>
      </c>
      <c r="BT2152">
        <v>5</v>
      </c>
      <c r="BU2152">
        <v>3</v>
      </c>
      <c r="BV2152">
        <v>3</v>
      </c>
      <c r="BX2152">
        <v>1.06</v>
      </c>
      <c r="BZ2152">
        <v>0.93</v>
      </c>
      <c r="CM2152">
        <v>1911</v>
      </c>
    </row>
    <row r="2153" spans="1:91" x14ac:dyDescent="0.3">
      <c r="A2153" t="s">
        <v>3112</v>
      </c>
      <c r="B2153">
        <v>45528</v>
      </c>
      <c r="C2153" t="s">
        <v>1046</v>
      </c>
      <c r="D2153">
        <v>12</v>
      </c>
      <c r="I2153">
        <v>500000</v>
      </c>
      <c r="J2153" t="s">
        <v>800</v>
      </c>
      <c r="V2153" t="s">
        <v>350</v>
      </c>
      <c r="Y2153">
        <v>100</v>
      </c>
      <c r="AA2153">
        <v>91</v>
      </c>
      <c r="AC2153" s="3">
        <v>91.5</v>
      </c>
      <c r="AE2153" s="3">
        <v>90.25</v>
      </c>
      <c r="AI2153">
        <v>91</v>
      </c>
      <c r="AK2153" s="3"/>
      <c r="AV2153" t="s">
        <v>373</v>
      </c>
      <c r="AX2153" t="s">
        <v>373</v>
      </c>
      <c r="AZ2153" t="s">
        <v>373</v>
      </c>
      <c r="BB2153" t="s">
        <v>373</v>
      </c>
      <c r="BO2153" t="s">
        <v>367</v>
      </c>
      <c r="BR2153">
        <v>373103</v>
      </c>
      <c r="BS2153" t="s">
        <v>3113</v>
      </c>
      <c r="BT2153">
        <v>4</v>
      </c>
      <c r="BU2153">
        <v>9</v>
      </c>
      <c r="BV2153">
        <v>3</v>
      </c>
      <c r="BX2153">
        <v>98</v>
      </c>
      <c r="BZ2153">
        <v>90</v>
      </c>
      <c r="CM2153">
        <v>1911</v>
      </c>
    </row>
    <row r="2154" spans="1:91" x14ac:dyDescent="0.3">
      <c r="A2154" t="s">
        <v>3114</v>
      </c>
      <c r="B2154">
        <v>45542</v>
      </c>
      <c r="D2154">
        <v>12</v>
      </c>
      <c r="I2154">
        <v>950000</v>
      </c>
      <c r="U2154">
        <v>1</v>
      </c>
      <c r="Y2154">
        <v>1</v>
      </c>
      <c r="AA2154">
        <v>1</v>
      </c>
      <c r="AC2154" s="3">
        <v>1</v>
      </c>
      <c r="AE2154" s="3">
        <v>1</v>
      </c>
      <c r="AI2154">
        <v>1</v>
      </c>
      <c r="AK2154" s="3"/>
      <c r="AV2154" t="s">
        <v>815</v>
      </c>
      <c r="AX2154" t="s">
        <v>823</v>
      </c>
      <c r="BB2154" t="s">
        <v>823</v>
      </c>
      <c r="BG2154">
        <v>5</v>
      </c>
      <c r="BH2154">
        <v>5</v>
      </c>
      <c r="BI2154">
        <v>10</v>
      </c>
      <c r="BJ2154">
        <v>5</v>
      </c>
      <c r="BK2154" s="4">
        <v>3685</v>
      </c>
      <c r="BL2154" s="4">
        <v>3835</v>
      </c>
      <c r="BM2154" s="4">
        <v>4050</v>
      </c>
      <c r="BN2154" s="4">
        <v>4200</v>
      </c>
      <c r="BR2154">
        <v>275050</v>
      </c>
      <c r="BS2154" t="s">
        <v>3115</v>
      </c>
      <c r="BT2154">
        <v>7</v>
      </c>
      <c r="BU2154">
        <v>10</v>
      </c>
      <c r="BV2154">
        <v>0</v>
      </c>
      <c r="BX2154">
        <v>1.03</v>
      </c>
      <c r="BZ2154">
        <v>0.87</v>
      </c>
      <c r="CK2154" t="s">
        <v>3116</v>
      </c>
      <c r="CM2154">
        <v>1911</v>
      </c>
    </row>
    <row r="2155" spans="1:91" x14ac:dyDescent="0.3">
      <c r="A2155" t="s">
        <v>3114</v>
      </c>
      <c r="B2155">
        <v>45543</v>
      </c>
      <c r="C2155" t="s">
        <v>817</v>
      </c>
      <c r="D2155">
        <v>12</v>
      </c>
      <c r="I2155">
        <v>600000</v>
      </c>
      <c r="U2155">
        <v>1</v>
      </c>
      <c r="Y2155">
        <v>1</v>
      </c>
      <c r="AA2155">
        <v>1.03</v>
      </c>
      <c r="AB2155" t="s">
        <v>379</v>
      </c>
      <c r="AC2155" s="3">
        <v>1.03</v>
      </c>
      <c r="AE2155" s="3">
        <v>1.03</v>
      </c>
      <c r="AI2155">
        <v>1.03</v>
      </c>
      <c r="AK2155" s="3"/>
      <c r="AV2155" t="s">
        <v>421</v>
      </c>
      <c r="AX2155" t="s">
        <v>421</v>
      </c>
      <c r="AZ2155" t="s">
        <v>421</v>
      </c>
      <c r="BB2155" t="s">
        <v>421</v>
      </c>
      <c r="BO2155" t="s">
        <v>367</v>
      </c>
      <c r="BR2155">
        <v>275050</v>
      </c>
      <c r="BS2155" t="s">
        <v>3115</v>
      </c>
      <c r="BT2155">
        <v>4</v>
      </c>
      <c r="BU2155">
        <v>17</v>
      </c>
      <c r="BV2155">
        <v>0</v>
      </c>
      <c r="BX2155">
        <v>1.06</v>
      </c>
      <c r="BZ2155">
        <v>0.93</v>
      </c>
      <c r="CM2155">
        <v>1911</v>
      </c>
    </row>
    <row r="2156" spans="1:91" x14ac:dyDescent="0.3">
      <c r="A2156" t="s">
        <v>3117</v>
      </c>
      <c r="B2156">
        <v>45583</v>
      </c>
      <c r="D2156">
        <v>12</v>
      </c>
      <c r="I2156">
        <v>32500</v>
      </c>
      <c r="U2156">
        <v>10</v>
      </c>
      <c r="Y2156">
        <v>10</v>
      </c>
      <c r="AA2156">
        <v>2.96</v>
      </c>
      <c r="AC2156" s="3">
        <v>2.96</v>
      </c>
      <c r="AE2156" s="3">
        <v>2.96</v>
      </c>
      <c r="AI2156">
        <v>2.96</v>
      </c>
      <c r="AK2156" s="3"/>
      <c r="AV2156" t="s">
        <v>823</v>
      </c>
      <c r="BB2156" t="s">
        <v>810</v>
      </c>
      <c r="BG2156">
        <v>4</v>
      </c>
      <c r="BH2156">
        <v>2</v>
      </c>
      <c r="BI2156">
        <v>3</v>
      </c>
      <c r="BK2156" t="s">
        <v>3118</v>
      </c>
      <c r="BL2156" t="s">
        <v>3119</v>
      </c>
      <c r="BM2156" t="s">
        <v>3120</v>
      </c>
      <c r="BR2156">
        <v>25840</v>
      </c>
      <c r="BS2156" t="s">
        <v>3121</v>
      </c>
      <c r="BW2156" t="s">
        <v>802</v>
      </c>
      <c r="BX2156">
        <v>3.56</v>
      </c>
      <c r="BZ2156">
        <v>1.25</v>
      </c>
      <c r="CK2156" t="s">
        <v>616</v>
      </c>
      <c r="CM2156">
        <v>1911</v>
      </c>
    </row>
    <row r="2157" spans="1:91" x14ac:dyDescent="0.3">
      <c r="A2157" t="s">
        <v>3117</v>
      </c>
      <c r="B2157">
        <v>45585</v>
      </c>
      <c r="C2157" t="s">
        <v>864</v>
      </c>
      <c r="D2157">
        <v>12</v>
      </c>
      <c r="I2157">
        <v>32500</v>
      </c>
      <c r="U2157">
        <v>10</v>
      </c>
      <c r="Y2157">
        <v>10</v>
      </c>
      <c r="AA2157">
        <v>9.8699999999999992</v>
      </c>
      <c r="AC2157" s="3">
        <v>9.8699999999999992</v>
      </c>
      <c r="AE2157" s="3">
        <v>9.1199999999999992</v>
      </c>
      <c r="AI2157">
        <v>9.1199999999999992</v>
      </c>
      <c r="AK2157" s="3"/>
      <c r="AV2157" t="s">
        <v>815</v>
      </c>
      <c r="AX2157" t="s">
        <v>815</v>
      </c>
      <c r="AZ2157" t="s">
        <v>815</v>
      </c>
      <c r="BG2157">
        <v>8.25</v>
      </c>
      <c r="BH2157">
        <v>5.5</v>
      </c>
      <c r="BI2157">
        <v>8.25</v>
      </c>
      <c r="BK2157" s="4">
        <v>3623</v>
      </c>
      <c r="BL2157" s="4">
        <v>3988</v>
      </c>
      <c r="BM2157" s="4">
        <v>4353</v>
      </c>
      <c r="BN2157" s="4">
        <v>3897</v>
      </c>
      <c r="BR2157">
        <v>25840</v>
      </c>
      <c r="BS2157" t="s">
        <v>3121</v>
      </c>
      <c r="BT2157">
        <v>9</v>
      </c>
      <c r="BU2157">
        <v>0</v>
      </c>
      <c r="BV2157">
        <v>9</v>
      </c>
      <c r="BX2157">
        <v>9.8699999999999992</v>
      </c>
      <c r="BZ2157">
        <v>7.81</v>
      </c>
      <c r="CM2157">
        <v>1911</v>
      </c>
    </row>
    <row r="2158" spans="1:91" x14ac:dyDescent="0.3">
      <c r="A2158" t="s">
        <v>3117</v>
      </c>
      <c r="B2158">
        <v>45584</v>
      </c>
      <c r="C2158" t="s">
        <v>867</v>
      </c>
      <c r="D2158">
        <v>12</v>
      </c>
      <c r="I2158">
        <v>394590</v>
      </c>
      <c r="J2158" t="s">
        <v>800</v>
      </c>
      <c r="V2158" t="s">
        <v>350</v>
      </c>
      <c r="Y2158">
        <v>100</v>
      </c>
      <c r="AA2158">
        <v>89</v>
      </c>
      <c r="AC2158" s="3">
        <v>89.5</v>
      </c>
      <c r="AE2158" s="3">
        <v>89</v>
      </c>
      <c r="AI2158">
        <v>89.5</v>
      </c>
      <c r="AK2158" s="3"/>
      <c r="BG2158">
        <v>4</v>
      </c>
      <c r="BH2158">
        <v>4</v>
      </c>
      <c r="BI2158">
        <v>4</v>
      </c>
      <c r="BJ2158">
        <v>4</v>
      </c>
      <c r="BK2158" s="4">
        <v>3744</v>
      </c>
      <c r="BL2158" s="4">
        <v>3927</v>
      </c>
      <c r="BM2158" s="4">
        <v>4109</v>
      </c>
      <c r="BN2158" s="4">
        <v>4292</v>
      </c>
      <c r="BR2158">
        <v>25840</v>
      </c>
      <c r="BS2158" t="s">
        <v>3121</v>
      </c>
      <c r="BT2158">
        <v>4</v>
      </c>
      <c r="BU2158">
        <v>10</v>
      </c>
      <c r="BV2158">
        <v>6</v>
      </c>
      <c r="BX2158">
        <v>91</v>
      </c>
      <c r="BZ2158">
        <v>87.5</v>
      </c>
      <c r="CM2158">
        <v>1911</v>
      </c>
    </row>
    <row r="2159" spans="1:91" x14ac:dyDescent="0.3">
      <c r="A2159" t="s">
        <v>3122</v>
      </c>
      <c r="B2159">
        <v>45601</v>
      </c>
      <c r="D2159">
        <v>12</v>
      </c>
      <c r="I2159">
        <v>27250</v>
      </c>
      <c r="U2159">
        <v>5</v>
      </c>
      <c r="Y2159">
        <v>5</v>
      </c>
      <c r="AA2159">
        <v>8.75</v>
      </c>
      <c r="AB2159" t="s">
        <v>379</v>
      </c>
      <c r="AC2159" s="3">
        <v>8.75</v>
      </c>
      <c r="AE2159" s="3">
        <v>8.75</v>
      </c>
      <c r="AI2159">
        <v>8.75</v>
      </c>
      <c r="AK2159" s="3"/>
      <c r="AV2159" t="s">
        <v>823</v>
      </c>
      <c r="AZ2159" t="s">
        <v>823</v>
      </c>
      <c r="BG2159">
        <v>8</v>
      </c>
      <c r="BH2159">
        <v>8</v>
      </c>
      <c r="BI2159">
        <v>8</v>
      </c>
      <c r="BJ2159">
        <v>8</v>
      </c>
      <c r="BK2159" s="4">
        <v>3774</v>
      </c>
      <c r="BL2159" s="4">
        <v>3958</v>
      </c>
      <c r="BM2159" s="4">
        <v>4139</v>
      </c>
      <c r="BN2159" s="4">
        <v>4323</v>
      </c>
      <c r="BS2159" t="s">
        <v>385</v>
      </c>
      <c r="BT2159">
        <v>4</v>
      </c>
      <c r="BU2159">
        <v>11</v>
      </c>
      <c r="BV2159">
        <v>6</v>
      </c>
      <c r="BX2159">
        <v>9</v>
      </c>
      <c r="BZ2159">
        <v>8.6199999999999992</v>
      </c>
      <c r="CK2159" t="s">
        <v>399</v>
      </c>
      <c r="CM2159">
        <v>1911</v>
      </c>
    </row>
    <row r="2160" spans="1:91" x14ac:dyDescent="0.3">
      <c r="A2160" t="s">
        <v>3122</v>
      </c>
      <c r="B2160">
        <v>45602</v>
      </c>
      <c r="C2160" t="s">
        <v>3013</v>
      </c>
      <c r="D2160">
        <v>12</v>
      </c>
      <c r="I2160">
        <v>15219</v>
      </c>
      <c r="U2160">
        <v>5</v>
      </c>
      <c r="Y2160">
        <v>5</v>
      </c>
      <c r="AA2160">
        <v>5.56</v>
      </c>
      <c r="AC2160" s="3">
        <v>5.75</v>
      </c>
      <c r="AE2160" s="3">
        <v>5.56</v>
      </c>
      <c r="AI2160">
        <v>5.75</v>
      </c>
      <c r="AK2160" s="3"/>
      <c r="AV2160" t="s">
        <v>536</v>
      </c>
      <c r="AX2160" t="s">
        <v>536</v>
      </c>
      <c r="AZ2160" t="s">
        <v>536</v>
      </c>
      <c r="BB2160" t="s">
        <v>536</v>
      </c>
      <c r="BO2160" t="s">
        <v>367</v>
      </c>
      <c r="BS2160" t="s">
        <v>385</v>
      </c>
      <c r="BT2160">
        <v>4</v>
      </c>
      <c r="BU2160">
        <v>7</v>
      </c>
      <c r="BV2160">
        <v>0</v>
      </c>
      <c r="BX2160">
        <v>5.75</v>
      </c>
      <c r="BZ2160">
        <v>5.5</v>
      </c>
      <c r="CM2160">
        <v>1911</v>
      </c>
    </row>
    <row r="2161" spans="1:91" x14ac:dyDescent="0.3">
      <c r="A2161" t="s">
        <v>3122</v>
      </c>
      <c r="B2161">
        <v>45603</v>
      </c>
      <c r="C2161" t="s">
        <v>3123</v>
      </c>
      <c r="D2161">
        <v>12</v>
      </c>
      <c r="I2161">
        <v>142000</v>
      </c>
      <c r="J2161" t="s">
        <v>800</v>
      </c>
      <c r="V2161" t="s">
        <v>350</v>
      </c>
      <c r="Y2161">
        <v>100</v>
      </c>
      <c r="AA2161">
        <v>94.25</v>
      </c>
      <c r="AC2161" s="3">
        <v>94.25</v>
      </c>
      <c r="AE2161" s="3">
        <v>92.25</v>
      </c>
      <c r="AI2161">
        <v>92.25</v>
      </c>
      <c r="AJ2161" t="s">
        <v>379</v>
      </c>
      <c r="AK2161" s="3"/>
      <c r="AV2161" t="s">
        <v>370</v>
      </c>
      <c r="AX2161" t="s">
        <v>370</v>
      </c>
      <c r="AZ2161" t="s">
        <v>370</v>
      </c>
      <c r="BB2161" t="s">
        <v>370</v>
      </c>
      <c r="BO2161" t="s">
        <v>367</v>
      </c>
      <c r="BS2161" t="s">
        <v>385</v>
      </c>
      <c r="BT2161">
        <v>4</v>
      </c>
      <c r="BU2161">
        <v>1</v>
      </c>
      <c r="BV2161">
        <v>3</v>
      </c>
      <c r="BX2161">
        <v>96</v>
      </c>
      <c r="BZ2161">
        <v>92.25</v>
      </c>
      <c r="CM2161">
        <v>1911</v>
      </c>
    </row>
    <row r="2162" spans="1:91" x14ac:dyDescent="0.3">
      <c r="A2162" t="s">
        <v>3124</v>
      </c>
      <c r="B2162">
        <v>45597</v>
      </c>
      <c r="D2162">
        <v>12</v>
      </c>
      <c r="I2162">
        <v>550000</v>
      </c>
      <c r="U2162">
        <v>1</v>
      </c>
      <c r="Y2162">
        <v>1</v>
      </c>
      <c r="AA2162">
        <v>1.0900000000000001</v>
      </c>
      <c r="AC2162" s="3">
        <v>1.0900000000000001</v>
      </c>
      <c r="AE2162" s="3">
        <v>1.06</v>
      </c>
      <c r="AI2162">
        <v>1.06</v>
      </c>
      <c r="AK2162" s="3"/>
      <c r="AV2162" t="s">
        <v>373</v>
      </c>
      <c r="AX2162" t="s">
        <v>373</v>
      </c>
      <c r="AZ2162" t="s">
        <v>373</v>
      </c>
      <c r="BB2162" t="s">
        <v>373</v>
      </c>
      <c r="BO2162" t="s">
        <v>367</v>
      </c>
      <c r="BS2162" t="s">
        <v>385</v>
      </c>
      <c r="BT2162">
        <v>5</v>
      </c>
      <c r="BU2162">
        <v>3</v>
      </c>
      <c r="BV2162">
        <v>6</v>
      </c>
      <c r="BY2162" t="s">
        <v>385</v>
      </c>
      <c r="CA2162" t="s">
        <v>385</v>
      </c>
      <c r="CM2162">
        <v>1911</v>
      </c>
    </row>
    <row r="2163" spans="1:91" x14ac:dyDescent="0.3">
      <c r="A2163" t="s">
        <v>3125</v>
      </c>
      <c r="B2163">
        <v>45625</v>
      </c>
      <c r="D2163">
        <v>12</v>
      </c>
      <c r="I2163">
        <v>110000</v>
      </c>
      <c r="U2163">
        <v>1</v>
      </c>
      <c r="Y2163">
        <v>1</v>
      </c>
      <c r="AA2163">
        <v>0.78</v>
      </c>
      <c r="AB2163" t="s">
        <v>379</v>
      </c>
      <c r="AC2163" s="3">
        <v>0.81</v>
      </c>
      <c r="AE2163" s="3">
        <v>0.78</v>
      </c>
      <c r="AI2163">
        <v>0.78</v>
      </c>
      <c r="AK2163" s="3"/>
      <c r="AV2163" t="s">
        <v>815</v>
      </c>
      <c r="AX2163" t="s">
        <v>815</v>
      </c>
      <c r="BG2163">
        <v>5.5</v>
      </c>
      <c r="BH2163">
        <v>5.5</v>
      </c>
      <c r="BI2163">
        <v>5.5</v>
      </c>
      <c r="BJ2163">
        <v>5.5</v>
      </c>
      <c r="BK2163" s="4">
        <v>3805</v>
      </c>
      <c r="BL2163" s="4">
        <v>3988</v>
      </c>
      <c r="BM2163" s="4">
        <v>4170</v>
      </c>
      <c r="BN2163" s="4">
        <v>4353</v>
      </c>
      <c r="BR2163">
        <v>7585</v>
      </c>
      <c r="BT2163">
        <v>7</v>
      </c>
      <c r="BU2163">
        <v>1</v>
      </c>
      <c r="BV2163">
        <v>0</v>
      </c>
      <c r="BX2163">
        <v>0.84</v>
      </c>
      <c r="BZ2163">
        <v>0.75</v>
      </c>
      <c r="CK2163" t="s">
        <v>360</v>
      </c>
      <c r="CM2163">
        <v>1911</v>
      </c>
    </row>
    <row r="2164" spans="1:91" x14ac:dyDescent="0.3">
      <c r="A2164" t="s">
        <v>3126</v>
      </c>
      <c r="B2164">
        <v>45650</v>
      </c>
      <c r="D2164">
        <v>12</v>
      </c>
      <c r="I2164">
        <v>123250</v>
      </c>
      <c r="U2164">
        <v>1</v>
      </c>
      <c r="Y2164">
        <v>1</v>
      </c>
      <c r="AA2164">
        <v>0.75</v>
      </c>
      <c r="AC2164" s="3">
        <v>0.75</v>
      </c>
      <c r="AE2164" s="3">
        <v>0.75</v>
      </c>
      <c r="AI2164">
        <v>0.75</v>
      </c>
      <c r="AK2164" s="3"/>
      <c r="AV2164" t="s">
        <v>815</v>
      </c>
      <c r="AX2164" t="s">
        <v>823</v>
      </c>
      <c r="BB2164" t="s">
        <v>815</v>
      </c>
      <c r="BG2164">
        <v>4</v>
      </c>
      <c r="BH2164">
        <v>10</v>
      </c>
      <c r="BI2164">
        <v>8</v>
      </c>
      <c r="BJ2164">
        <v>6</v>
      </c>
      <c r="BK2164" s="4">
        <v>3440</v>
      </c>
      <c r="BL2164" s="4">
        <v>3562</v>
      </c>
      <c r="BM2164" s="4">
        <v>3805</v>
      </c>
      <c r="BN2164" s="4">
        <v>4170</v>
      </c>
      <c r="BR2164">
        <v>6763</v>
      </c>
      <c r="BT2164">
        <v>8</v>
      </c>
      <c r="BU2164">
        <v>0</v>
      </c>
      <c r="BV2164">
        <v>0</v>
      </c>
      <c r="BX2164">
        <v>0.87</v>
      </c>
      <c r="BZ2164">
        <v>0.68</v>
      </c>
      <c r="CK2164" t="s">
        <v>360</v>
      </c>
      <c r="CM2164">
        <v>1911</v>
      </c>
    </row>
    <row r="2165" spans="1:91" x14ac:dyDescent="0.3">
      <c r="A2165" t="s">
        <v>3127</v>
      </c>
      <c r="B2165">
        <v>45647</v>
      </c>
      <c r="D2165">
        <v>12</v>
      </c>
      <c r="I2165">
        <v>16247</v>
      </c>
      <c r="U2165">
        <v>10</v>
      </c>
      <c r="Y2165">
        <v>10</v>
      </c>
      <c r="AA2165">
        <v>12.25</v>
      </c>
      <c r="AC2165" s="3">
        <v>12.25</v>
      </c>
      <c r="AE2165" s="3">
        <v>12.25</v>
      </c>
      <c r="AI2165">
        <v>12.25</v>
      </c>
      <c r="AK2165" s="3"/>
      <c r="AX2165" t="s">
        <v>823</v>
      </c>
      <c r="BB2165" t="s">
        <v>823</v>
      </c>
      <c r="BG2165">
        <v>6</v>
      </c>
      <c r="BH2165">
        <v>6</v>
      </c>
      <c r="BI2165">
        <v>6</v>
      </c>
      <c r="BJ2165">
        <v>6</v>
      </c>
      <c r="BK2165" s="4">
        <v>3713</v>
      </c>
      <c r="BL2165" s="4">
        <v>3866</v>
      </c>
      <c r="BM2165" s="4">
        <v>4078</v>
      </c>
      <c r="BN2165" s="4">
        <v>4231</v>
      </c>
      <c r="BR2165">
        <v>4620</v>
      </c>
      <c r="BT2165">
        <v>4</v>
      </c>
      <c r="BU2165">
        <v>18</v>
      </c>
      <c r="BV2165">
        <v>0</v>
      </c>
      <c r="BX2165">
        <v>12.5</v>
      </c>
      <c r="BZ2165">
        <v>12</v>
      </c>
      <c r="CK2165" t="s">
        <v>360</v>
      </c>
      <c r="CM2165">
        <v>1911</v>
      </c>
    </row>
    <row r="2166" spans="1:91" x14ac:dyDescent="0.3">
      <c r="A2166" t="s">
        <v>3128</v>
      </c>
      <c r="B2166">
        <v>45659</v>
      </c>
      <c r="D2166">
        <v>12</v>
      </c>
      <c r="I2166">
        <v>100000</v>
      </c>
      <c r="U2166">
        <v>1</v>
      </c>
      <c r="Y2166">
        <v>0.87</v>
      </c>
      <c r="AA2166">
        <v>0.43</v>
      </c>
      <c r="AC2166" s="3">
        <v>0.43</v>
      </c>
      <c r="AE2166" s="3">
        <v>0.43</v>
      </c>
      <c r="AI2166">
        <v>0.43</v>
      </c>
      <c r="AK2166" s="3"/>
      <c r="AX2166" t="s">
        <v>823</v>
      </c>
      <c r="BB2166" t="s">
        <v>823</v>
      </c>
      <c r="BG2166">
        <v>6</v>
      </c>
      <c r="BH2166">
        <v>6</v>
      </c>
      <c r="BI2166">
        <v>6</v>
      </c>
      <c r="BJ2166">
        <v>6</v>
      </c>
      <c r="BK2166" s="4">
        <v>3805</v>
      </c>
      <c r="BL2166" s="4">
        <v>3927</v>
      </c>
      <c r="BM2166" s="4">
        <v>4170</v>
      </c>
      <c r="BN2166" s="4">
        <v>4292</v>
      </c>
      <c r="BR2166">
        <v>18451</v>
      </c>
      <c r="BT2166">
        <v>12</v>
      </c>
      <c r="BU2166">
        <v>0</v>
      </c>
      <c r="BV2166">
        <v>0</v>
      </c>
      <c r="BX2166">
        <v>0.53</v>
      </c>
      <c r="BZ2166">
        <v>0.4</v>
      </c>
      <c r="CK2166" t="s">
        <v>360</v>
      </c>
      <c r="CM2166">
        <v>1911</v>
      </c>
    </row>
    <row r="2167" spans="1:91" x14ac:dyDescent="0.3">
      <c r="A2167" t="s">
        <v>3129</v>
      </c>
      <c r="B2167">
        <v>45785</v>
      </c>
      <c r="D2167">
        <v>12</v>
      </c>
      <c r="I2167">
        <v>18491</v>
      </c>
      <c r="U2167">
        <v>3</v>
      </c>
      <c r="Y2167">
        <v>3</v>
      </c>
      <c r="AA2167">
        <v>2.62</v>
      </c>
      <c r="AC2167" s="3">
        <v>2.62</v>
      </c>
      <c r="AE2167" s="3">
        <v>2.62</v>
      </c>
      <c r="AI2167">
        <v>2.62</v>
      </c>
      <c r="AK2167" s="3"/>
      <c r="AV2167" t="s">
        <v>823</v>
      </c>
      <c r="AZ2167" t="s">
        <v>823</v>
      </c>
      <c r="BG2167">
        <v>5</v>
      </c>
      <c r="BH2167">
        <v>5</v>
      </c>
      <c r="BI2167">
        <v>6.66</v>
      </c>
      <c r="BJ2167">
        <v>6.66</v>
      </c>
      <c r="BK2167" s="4">
        <v>3685</v>
      </c>
      <c r="BL2167" s="4">
        <v>3866</v>
      </c>
      <c r="BM2167" s="4">
        <v>4050</v>
      </c>
      <c r="BN2167" s="4">
        <v>4231</v>
      </c>
      <c r="BR2167">
        <v>9223</v>
      </c>
      <c r="BT2167">
        <v>7</v>
      </c>
      <c r="BU2167">
        <v>12</v>
      </c>
      <c r="BV2167">
        <v>3</v>
      </c>
      <c r="BX2167">
        <v>2.62</v>
      </c>
      <c r="BZ2167">
        <v>1.62</v>
      </c>
      <c r="CK2167" t="s">
        <v>360</v>
      </c>
      <c r="CM2167">
        <v>1911</v>
      </c>
    </row>
    <row r="2168" spans="1:91" x14ac:dyDescent="0.3">
      <c r="A2168" t="s">
        <v>3130</v>
      </c>
      <c r="B2168">
        <v>45786</v>
      </c>
      <c r="D2168">
        <v>12</v>
      </c>
      <c r="I2168">
        <v>26000</v>
      </c>
      <c r="U2168">
        <v>5</v>
      </c>
      <c r="Y2168">
        <v>5</v>
      </c>
      <c r="AA2168">
        <v>2.5</v>
      </c>
      <c r="AC2168" s="3">
        <v>2.5</v>
      </c>
      <c r="AE2168" s="3">
        <v>2.12</v>
      </c>
      <c r="AI2168">
        <v>2.25</v>
      </c>
      <c r="AK2168" s="3"/>
      <c r="AV2168" t="s">
        <v>815</v>
      </c>
      <c r="AX2168" t="s">
        <v>823</v>
      </c>
      <c r="BB2168" t="s">
        <v>810</v>
      </c>
      <c r="BG2168">
        <v>4</v>
      </c>
      <c r="BH2168">
        <v>4</v>
      </c>
      <c r="BI2168">
        <v>6</v>
      </c>
      <c r="BK2168" s="4">
        <v>3320</v>
      </c>
      <c r="BL2168" s="4">
        <v>3470</v>
      </c>
      <c r="BM2168" s="4">
        <v>3685</v>
      </c>
      <c r="BR2168">
        <v>9807</v>
      </c>
      <c r="BW2168" t="s">
        <v>802</v>
      </c>
      <c r="BX2168">
        <v>3.68</v>
      </c>
      <c r="BZ2168">
        <v>1.75</v>
      </c>
      <c r="CK2168" t="s">
        <v>360</v>
      </c>
      <c r="CM2168">
        <v>1911</v>
      </c>
    </row>
    <row r="2169" spans="1:91" x14ac:dyDescent="0.3">
      <c r="A2169" t="s">
        <v>3131</v>
      </c>
      <c r="B2169">
        <v>45606</v>
      </c>
      <c r="D2169">
        <v>12</v>
      </c>
      <c r="I2169">
        <v>75000</v>
      </c>
      <c r="U2169">
        <v>10</v>
      </c>
      <c r="Y2169">
        <v>2.5</v>
      </c>
      <c r="AA2169">
        <v>4.0599999999999996</v>
      </c>
      <c r="AC2169" s="3">
        <v>4.0599999999999996</v>
      </c>
      <c r="AE2169" s="3">
        <v>3.93</v>
      </c>
      <c r="AI2169">
        <v>4.0599999999999996</v>
      </c>
      <c r="AK2169" s="3"/>
      <c r="AV2169" t="s">
        <v>823</v>
      </c>
      <c r="AZ2169" t="s">
        <v>823</v>
      </c>
      <c r="BG2169">
        <v>6</v>
      </c>
      <c r="BH2169">
        <v>14</v>
      </c>
      <c r="BI2169">
        <v>6</v>
      </c>
      <c r="BJ2169">
        <v>18</v>
      </c>
      <c r="BK2169" s="4">
        <v>3470</v>
      </c>
      <c r="BL2169" s="4">
        <v>3685</v>
      </c>
      <c r="BM2169" s="4">
        <v>3835</v>
      </c>
      <c r="BN2169" s="4">
        <v>4050</v>
      </c>
      <c r="BR2169">
        <v>31928</v>
      </c>
      <c r="BT2169">
        <v>7</v>
      </c>
      <c r="BU2169">
        <v>7</v>
      </c>
      <c r="BV2169">
        <v>9</v>
      </c>
      <c r="BX2169">
        <v>4.18</v>
      </c>
      <c r="CK2169" t="s">
        <v>360</v>
      </c>
      <c r="CM2169">
        <v>1911</v>
      </c>
    </row>
    <row r="2170" spans="1:91" x14ac:dyDescent="0.3">
      <c r="A2170" t="s">
        <v>3132</v>
      </c>
      <c r="B2170">
        <v>45817</v>
      </c>
      <c r="D2170">
        <v>12</v>
      </c>
      <c r="I2170">
        <v>60000</v>
      </c>
      <c r="U2170">
        <v>5</v>
      </c>
      <c r="Y2170">
        <v>5</v>
      </c>
      <c r="AA2170">
        <v>5</v>
      </c>
      <c r="AC2170" s="3">
        <v>5.12</v>
      </c>
      <c r="AE2170" s="3">
        <v>5</v>
      </c>
      <c r="AI2170">
        <v>5.12</v>
      </c>
      <c r="AK2170" s="3"/>
      <c r="AV2170" t="s">
        <v>823</v>
      </c>
      <c r="AZ2170" t="s">
        <v>823</v>
      </c>
      <c r="BG2170">
        <v>6</v>
      </c>
      <c r="BH2170">
        <v>8</v>
      </c>
      <c r="BI2170">
        <v>6</v>
      </c>
      <c r="BJ2170">
        <v>8</v>
      </c>
      <c r="BK2170" s="4">
        <v>3654</v>
      </c>
      <c r="BL2170" s="4">
        <v>3835</v>
      </c>
      <c r="BM2170" s="4">
        <v>4019</v>
      </c>
      <c r="BN2170" s="4">
        <v>4200</v>
      </c>
      <c r="BR2170">
        <v>147059</v>
      </c>
      <c r="BS2170" t="s">
        <v>3133</v>
      </c>
      <c r="BT2170">
        <v>6</v>
      </c>
      <c r="BU2170">
        <v>16</v>
      </c>
      <c r="BV2170">
        <v>6</v>
      </c>
      <c r="BX2170">
        <v>5.25</v>
      </c>
      <c r="BZ2170">
        <v>4.5599999999999996</v>
      </c>
      <c r="CK2170" t="s">
        <v>360</v>
      </c>
      <c r="CM2170">
        <v>1911</v>
      </c>
    </row>
    <row r="2171" spans="1:91" x14ac:dyDescent="0.3">
      <c r="A2171" t="s">
        <v>3132</v>
      </c>
      <c r="B2171">
        <v>45819</v>
      </c>
      <c r="C2171" t="s">
        <v>803</v>
      </c>
      <c r="D2171">
        <v>12</v>
      </c>
      <c r="I2171">
        <v>90000</v>
      </c>
      <c r="U2171">
        <v>5</v>
      </c>
      <c r="Y2171">
        <v>5</v>
      </c>
      <c r="AA2171">
        <v>4.87</v>
      </c>
      <c r="AC2171" s="3">
        <v>5</v>
      </c>
      <c r="AE2171" s="3">
        <v>4.8099999999999996</v>
      </c>
      <c r="AI2171">
        <v>5</v>
      </c>
      <c r="AK2171" s="3"/>
      <c r="AV2171" t="s">
        <v>370</v>
      </c>
      <c r="AX2171" t="s">
        <v>370</v>
      </c>
      <c r="AZ2171" t="s">
        <v>370</v>
      </c>
      <c r="BB2171" t="s">
        <v>370</v>
      </c>
      <c r="BO2171" t="s">
        <v>367</v>
      </c>
      <c r="BR2171">
        <v>147059</v>
      </c>
      <c r="BS2171" t="s">
        <v>3133</v>
      </c>
      <c r="BT2171">
        <v>6</v>
      </c>
      <c r="BU2171">
        <v>0</v>
      </c>
      <c r="BV2171">
        <v>0</v>
      </c>
      <c r="BX2171">
        <v>5.12</v>
      </c>
      <c r="BZ2171">
        <v>4.62</v>
      </c>
      <c r="CM2171">
        <v>1911</v>
      </c>
    </row>
    <row r="2172" spans="1:91" x14ac:dyDescent="0.3">
      <c r="A2172" t="s">
        <v>3132</v>
      </c>
      <c r="B2172">
        <v>45818</v>
      </c>
      <c r="C2172" t="s">
        <v>1046</v>
      </c>
      <c r="D2172">
        <v>12</v>
      </c>
      <c r="I2172">
        <v>200000</v>
      </c>
      <c r="J2172" t="s">
        <v>800</v>
      </c>
      <c r="V2172" t="s">
        <v>350</v>
      </c>
      <c r="Y2172">
        <v>100</v>
      </c>
      <c r="AA2172">
        <v>89.5</v>
      </c>
      <c r="AC2172" s="3">
        <v>90.5</v>
      </c>
      <c r="AE2172" s="3">
        <v>89.5</v>
      </c>
      <c r="AI2172">
        <v>90.5</v>
      </c>
      <c r="AK2172" s="3"/>
      <c r="AV2172" t="s">
        <v>370</v>
      </c>
      <c r="AX2172" t="s">
        <v>370</v>
      </c>
      <c r="AZ2172" t="s">
        <v>370</v>
      </c>
      <c r="BB2172" t="s">
        <v>370</v>
      </c>
      <c r="BO2172" t="s">
        <v>367</v>
      </c>
      <c r="BR2172">
        <v>147059</v>
      </c>
      <c r="BS2172" t="s">
        <v>3133</v>
      </c>
      <c r="BT2172">
        <v>4</v>
      </c>
      <c r="BU2172">
        <v>9</v>
      </c>
      <c r="BV2172">
        <v>6</v>
      </c>
      <c r="BX2172">
        <v>94.5</v>
      </c>
      <c r="BZ2172">
        <v>88</v>
      </c>
      <c r="CM2172">
        <v>1911</v>
      </c>
    </row>
    <row r="2173" spans="1:91" x14ac:dyDescent="0.3">
      <c r="A2173" t="s">
        <v>3134</v>
      </c>
      <c r="B2173">
        <v>45822</v>
      </c>
      <c r="D2173">
        <v>12</v>
      </c>
      <c r="I2173">
        <v>60000</v>
      </c>
      <c r="U2173">
        <v>1</v>
      </c>
      <c r="Y2173">
        <v>1</v>
      </c>
      <c r="AA2173">
        <v>0.5</v>
      </c>
      <c r="AC2173" s="3">
        <v>0.5</v>
      </c>
      <c r="AE2173" s="3">
        <v>0.5</v>
      </c>
      <c r="AI2173">
        <v>0.5</v>
      </c>
      <c r="AK2173" s="3"/>
      <c r="AV2173" t="s">
        <v>823</v>
      </c>
      <c r="AZ2173" t="s">
        <v>823</v>
      </c>
      <c r="BG2173">
        <v>8</v>
      </c>
      <c r="BH2173">
        <v>6</v>
      </c>
      <c r="BI2173">
        <v>6</v>
      </c>
      <c r="BJ2173">
        <v>6</v>
      </c>
      <c r="BK2173" s="4">
        <v>3654</v>
      </c>
      <c r="BL2173" s="4">
        <v>3835</v>
      </c>
      <c r="BM2173" s="4">
        <v>4019</v>
      </c>
      <c r="BN2173" s="4">
        <v>4200</v>
      </c>
      <c r="BR2173">
        <v>20822</v>
      </c>
      <c r="BS2173" t="s">
        <v>3135</v>
      </c>
      <c r="BT2173">
        <v>12</v>
      </c>
      <c r="BU2173">
        <v>0</v>
      </c>
      <c r="BV2173">
        <v>0</v>
      </c>
      <c r="BX2173">
        <v>1.1200000000000001</v>
      </c>
      <c r="BZ2173">
        <v>0.37</v>
      </c>
      <c r="CK2173" t="s">
        <v>360</v>
      </c>
      <c r="CM2173">
        <v>1911</v>
      </c>
    </row>
    <row r="2174" spans="1:91" x14ac:dyDescent="0.3">
      <c r="A2174" t="s">
        <v>3134</v>
      </c>
      <c r="B2174">
        <v>45823</v>
      </c>
      <c r="C2174" t="s">
        <v>844</v>
      </c>
      <c r="D2174">
        <v>12</v>
      </c>
      <c r="I2174">
        <v>60000</v>
      </c>
      <c r="U2174">
        <v>1</v>
      </c>
      <c r="Y2174">
        <v>1</v>
      </c>
      <c r="AA2174">
        <v>0.87</v>
      </c>
      <c r="AC2174" s="3">
        <v>0.87</v>
      </c>
      <c r="AE2174" s="3">
        <v>0.75</v>
      </c>
      <c r="AI2174">
        <v>0.75</v>
      </c>
      <c r="AK2174" s="3"/>
      <c r="AV2174" t="s">
        <v>370</v>
      </c>
      <c r="AX2174" t="s">
        <v>370</v>
      </c>
      <c r="AZ2174" t="s">
        <v>370</v>
      </c>
      <c r="BB2174" t="s">
        <v>370</v>
      </c>
      <c r="BO2174" t="s">
        <v>367</v>
      </c>
      <c r="BR2174">
        <v>20822</v>
      </c>
      <c r="BS2174" t="s">
        <v>3135</v>
      </c>
      <c r="BT2174">
        <v>8</v>
      </c>
      <c r="BU2174">
        <v>0</v>
      </c>
      <c r="BV2174">
        <v>0</v>
      </c>
      <c r="BX2174">
        <v>1.06</v>
      </c>
      <c r="BZ2174">
        <v>0.87</v>
      </c>
      <c r="CM2174">
        <v>1911</v>
      </c>
    </row>
    <row r="2175" spans="1:91" x14ac:dyDescent="0.3">
      <c r="A2175" t="s">
        <v>3136</v>
      </c>
      <c r="B2175">
        <v>45852</v>
      </c>
      <c r="D2175">
        <v>12</v>
      </c>
      <c r="I2175">
        <v>356000</v>
      </c>
      <c r="U2175">
        <v>1</v>
      </c>
      <c r="Y2175">
        <v>1</v>
      </c>
      <c r="AA2175">
        <v>5.81</v>
      </c>
      <c r="AB2175" t="s">
        <v>379</v>
      </c>
      <c r="AC2175" s="3">
        <v>5.93</v>
      </c>
      <c r="AE2175" s="3">
        <v>5.75</v>
      </c>
      <c r="AI2175">
        <v>5.87</v>
      </c>
      <c r="AK2175" s="3"/>
      <c r="AV2175" t="s">
        <v>3137</v>
      </c>
      <c r="AX2175" t="s">
        <v>823</v>
      </c>
      <c r="BB2175" t="s">
        <v>823</v>
      </c>
      <c r="BG2175">
        <v>40</v>
      </c>
      <c r="BH2175">
        <v>25</v>
      </c>
      <c r="BI2175">
        <v>60</v>
      </c>
      <c r="BJ2175">
        <v>25</v>
      </c>
      <c r="BK2175" t="s">
        <v>3138</v>
      </c>
      <c r="BL2175" s="4">
        <v>3988</v>
      </c>
      <c r="BM2175" t="s">
        <v>3139</v>
      </c>
      <c r="BN2175" s="4">
        <v>4353</v>
      </c>
      <c r="BR2175">
        <v>541674</v>
      </c>
      <c r="BS2175" t="s">
        <v>3140</v>
      </c>
      <c r="BT2175">
        <v>7</v>
      </c>
      <c r="BU2175">
        <v>4</v>
      </c>
      <c r="BV2175">
        <v>6</v>
      </c>
      <c r="BX2175">
        <v>6.65</v>
      </c>
      <c r="BZ2175">
        <v>5.68</v>
      </c>
      <c r="CK2175" t="s">
        <v>360</v>
      </c>
      <c r="CM2175">
        <v>1911</v>
      </c>
    </row>
    <row r="2176" spans="1:91" x14ac:dyDescent="0.3">
      <c r="A2176" t="s">
        <v>3136</v>
      </c>
      <c r="B2176">
        <v>45857</v>
      </c>
      <c r="C2176" t="s">
        <v>3141</v>
      </c>
      <c r="D2176">
        <v>12</v>
      </c>
      <c r="I2176">
        <v>68700</v>
      </c>
      <c r="U2176">
        <v>1</v>
      </c>
      <c r="Y2176">
        <v>1</v>
      </c>
      <c r="AA2176">
        <v>1.21</v>
      </c>
      <c r="AB2176" t="s">
        <v>379</v>
      </c>
      <c r="AC2176" s="3">
        <v>1.21</v>
      </c>
      <c r="AE2176" s="3">
        <v>1.21</v>
      </c>
      <c r="AI2176">
        <v>1.21</v>
      </c>
      <c r="AK2176" s="3"/>
      <c r="BG2176">
        <v>6</v>
      </c>
      <c r="BH2176">
        <v>6</v>
      </c>
      <c r="BI2176">
        <v>6</v>
      </c>
      <c r="BJ2176">
        <v>6</v>
      </c>
      <c r="BK2176" s="4">
        <v>3805</v>
      </c>
      <c r="BL2176" s="4">
        <v>3988</v>
      </c>
      <c r="BM2176" t="s">
        <v>3139</v>
      </c>
      <c r="BN2176" s="4">
        <v>4353</v>
      </c>
      <c r="BR2176">
        <v>541674</v>
      </c>
      <c r="BS2176" t="s">
        <v>3140</v>
      </c>
      <c r="BT2176">
        <v>4</v>
      </c>
      <c r="BU2176">
        <v>18</v>
      </c>
      <c r="BV2176">
        <v>6</v>
      </c>
      <c r="BX2176">
        <v>1.31</v>
      </c>
      <c r="BZ2176">
        <v>1.06</v>
      </c>
      <c r="CM2176">
        <v>1911</v>
      </c>
    </row>
    <row r="2177" spans="1:91" x14ac:dyDescent="0.3">
      <c r="A2177" t="s">
        <v>3136</v>
      </c>
      <c r="B2177">
        <v>45855</v>
      </c>
      <c r="C2177" t="s">
        <v>3013</v>
      </c>
      <c r="D2177">
        <v>12</v>
      </c>
      <c r="I2177">
        <v>500000</v>
      </c>
      <c r="U2177">
        <v>1</v>
      </c>
      <c r="Y2177">
        <v>1</v>
      </c>
      <c r="AA2177">
        <v>1.1200000000000001</v>
      </c>
      <c r="AB2177" t="s">
        <v>379</v>
      </c>
      <c r="AC2177" s="3">
        <v>1.1200000000000001</v>
      </c>
      <c r="AE2177" s="3">
        <v>1.1200000000000001</v>
      </c>
      <c r="AI2177">
        <v>1.1200000000000001</v>
      </c>
      <c r="AK2177" s="3"/>
      <c r="AV2177" t="s">
        <v>576</v>
      </c>
      <c r="AX2177" t="s">
        <v>576</v>
      </c>
      <c r="AZ2177" t="s">
        <v>576</v>
      </c>
      <c r="BB2177" t="s">
        <v>576</v>
      </c>
      <c r="BO2177" t="s">
        <v>367</v>
      </c>
      <c r="BR2177">
        <v>541674</v>
      </c>
      <c r="BS2177" t="s">
        <v>3140</v>
      </c>
      <c r="BT2177">
        <v>4</v>
      </c>
      <c r="BU2177">
        <v>9</v>
      </c>
      <c r="BV2177">
        <v>0</v>
      </c>
      <c r="BX2177">
        <v>1.18</v>
      </c>
      <c r="BZ2177">
        <v>1.06</v>
      </c>
      <c r="CM2177">
        <v>1911</v>
      </c>
    </row>
    <row r="2178" spans="1:91" x14ac:dyDescent="0.3">
      <c r="A2178" t="s">
        <v>3142</v>
      </c>
      <c r="B2178">
        <v>45854</v>
      </c>
      <c r="C2178" t="s">
        <v>860</v>
      </c>
      <c r="D2178">
        <v>12</v>
      </c>
      <c r="I2178">
        <v>300000</v>
      </c>
      <c r="J2178" t="s">
        <v>800</v>
      </c>
      <c r="V2178" t="s">
        <v>350</v>
      </c>
      <c r="Y2178">
        <v>100</v>
      </c>
      <c r="AA2178">
        <v>102.5</v>
      </c>
      <c r="AC2178" s="3">
        <v>103.25</v>
      </c>
      <c r="AE2178" s="3">
        <v>101</v>
      </c>
      <c r="AI2178">
        <v>101</v>
      </c>
      <c r="AK2178" s="3"/>
      <c r="AV2178" t="s">
        <v>370</v>
      </c>
      <c r="AX2178" t="s">
        <v>370</v>
      </c>
      <c r="AZ2178" t="s">
        <v>370</v>
      </c>
      <c r="BB2178" t="s">
        <v>370</v>
      </c>
      <c r="BO2178" t="s">
        <v>367</v>
      </c>
      <c r="BR2178">
        <v>541674</v>
      </c>
      <c r="BS2178" t="s">
        <v>3140</v>
      </c>
      <c r="BT2178">
        <v>3</v>
      </c>
      <c r="BU2178">
        <v>19</v>
      </c>
      <c r="BV2178">
        <v>9</v>
      </c>
      <c r="BX2178">
        <v>104</v>
      </c>
      <c r="BZ2178">
        <v>100</v>
      </c>
      <c r="CM2178">
        <v>1911</v>
      </c>
    </row>
    <row r="2179" spans="1:91" x14ac:dyDescent="0.3">
      <c r="A2179" t="s">
        <v>3142</v>
      </c>
      <c r="B2179">
        <v>50809</v>
      </c>
      <c r="C2179" t="s">
        <v>3143</v>
      </c>
      <c r="D2179">
        <v>12</v>
      </c>
      <c r="I2179">
        <v>125000</v>
      </c>
      <c r="J2179" t="s">
        <v>800</v>
      </c>
      <c r="V2179" t="s">
        <v>350</v>
      </c>
      <c r="Y2179">
        <v>100</v>
      </c>
      <c r="AA2179">
        <v>105.5</v>
      </c>
      <c r="AC2179" s="3">
        <v>105.5</v>
      </c>
      <c r="AE2179" s="3">
        <v>103.5</v>
      </c>
      <c r="AI2179">
        <v>103.5</v>
      </c>
      <c r="AJ2179" t="s">
        <v>379</v>
      </c>
      <c r="AK2179" s="3"/>
      <c r="AV2179" t="s">
        <v>370</v>
      </c>
      <c r="AX2179" t="s">
        <v>370</v>
      </c>
      <c r="AZ2179" t="s">
        <v>370</v>
      </c>
      <c r="BB2179" t="s">
        <v>370</v>
      </c>
      <c r="BO2179" t="s">
        <v>367</v>
      </c>
      <c r="BR2179">
        <v>541674</v>
      </c>
      <c r="BS2179" t="s">
        <v>3140</v>
      </c>
      <c r="BT2179">
        <v>4</v>
      </c>
      <c r="BU2179">
        <v>7</v>
      </c>
      <c r="BV2179">
        <v>0</v>
      </c>
      <c r="BX2179">
        <v>106.75</v>
      </c>
      <c r="BZ2179">
        <v>102.5</v>
      </c>
      <c r="CM2179">
        <v>1911</v>
      </c>
    </row>
    <row r="2180" spans="1:91" x14ac:dyDescent="0.3">
      <c r="A2180" t="s">
        <v>3144</v>
      </c>
      <c r="B2180">
        <v>45873</v>
      </c>
      <c r="D2180">
        <v>12</v>
      </c>
      <c r="I2180">
        <v>70000</v>
      </c>
      <c r="U2180">
        <v>1</v>
      </c>
      <c r="Y2180">
        <v>1</v>
      </c>
      <c r="AA2180">
        <v>0.59</v>
      </c>
      <c r="AC2180" s="3">
        <v>0.59</v>
      </c>
      <c r="AE2180" s="3">
        <v>0.59</v>
      </c>
      <c r="AI2180">
        <v>0.59</v>
      </c>
      <c r="AK2180" s="3"/>
      <c r="AX2180" t="s">
        <v>823</v>
      </c>
      <c r="BB2180" t="s">
        <v>810</v>
      </c>
      <c r="BG2180">
        <v>10</v>
      </c>
      <c r="BH2180">
        <v>5</v>
      </c>
      <c r="BI2180">
        <v>10</v>
      </c>
      <c r="BK2180" s="4">
        <v>2589</v>
      </c>
      <c r="BL2180" s="4">
        <v>2770</v>
      </c>
      <c r="BM2180" s="4">
        <v>2954</v>
      </c>
      <c r="BR2180">
        <v>6734</v>
      </c>
      <c r="BS2180" t="s">
        <v>3145</v>
      </c>
      <c r="BW2180" t="s">
        <v>802</v>
      </c>
      <c r="BX2180">
        <v>0.71</v>
      </c>
      <c r="BZ2180">
        <v>0.56000000000000005</v>
      </c>
      <c r="CK2180" t="s">
        <v>3146</v>
      </c>
      <c r="CM2180">
        <v>1911</v>
      </c>
    </row>
    <row r="2181" spans="1:91" x14ac:dyDescent="0.3">
      <c r="A2181" t="s">
        <v>3144</v>
      </c>
      <c r="B2181">
        <v>45874</v>
      </c>
      <c r="C2181" t="s">
        <v>3013</v>
      </c>
      <c r="D2181">
        <v>12</v>
      </c>
      <c r="I2181">
        <v>90000</v>
      </c>
      <c r="U2181">
        <v>1</v>
      </c>
      <c r="Y2181">
        <v>1</v>
      </c>
      <c r="AA2181">
        <v>0.84</v>
      </c>
      <c r="AC2181" s="3">
        <v>0.84</v>
      </c>
      <c r="AE2181" s="3">
        <v>0.81</v>
      </c>
      <c r="AI2181">
        <v>0.81</v>
      </c>
      <c r="AK2181" s="3"/>
      <c r="BG2181">
        <v>5</v>
      </c>
      <c r="BH2181">
        <v>5</v>
      </c>
      <c r="BI2181">
        <v>5</v>
      </c>
      <c r="BJ2181">
        <v>5</v>
      </c>
      <c r="BK2181" s="4">
        <v>3685</v>
      </c>
      <c r="BL2181" s="4">
        <v>3866</v>
      </c>
      <c r="BM2181" s="4">
        <v>4050</v>
      </c>
      <c r="BN2181" s="4">
        <v>4231</v>
      </c>
      <c r="BR2181">
        <v>6734</v>
      </c>
      <c r="BS2181" t="s">
        <v>3145</v>
      </c>
      <c r="BT2181">
        <v>6</v>
      </c>
      <c r="BU2181">
        <v>3</v>
      </c>
      <c r="BV2181">
        <v>0</v>
      </c>
      <c r="BX2181">
        <v>0.87</v>
      </c>
      <c r="BZ2181">
        <v>0.81</v>
      </c>
      <c r="CM2181">
        <v>1911</v>
      </c>
    </row>
    <row r="2182" spans="1:91" x14ac:dyDescent="0.3">
      <c r="A2182" t="s">
        <v>3147</v>
      </c>
      <c r="B2182">
        <v>46137</v>
      </c>
      <c r="D2182">
        <v>12</v>
      </c>
      <c r="I2182">
        <v>126000</v>
      </c>
      <c r="U2182">
        <v>1</v>
      </c>
      <c r="Y2182">
        <v>1</v>
      </c>
      <c r="AA2182">
        <v>1.31</v>
      </c>
      <c r="AC2182" s="3">
        <v>1.31</v>
      </c>
      <c r="AE2182" s="3">
        <v>1.31</v>
      </c>
      <c r="AI2182">
        <v>1.31</v>
      </c>
      <c r="AK2182" s="3"/>
      <c r="AX2182" t="s">
        <v>823</v>
      </c>
      <c r="BB2182" t="s">
        <v>823</v>
      </c>
      <c r="BG2182">
        <v>7</v>
      </c>
      <c r="BH2182">
        <v>7</v>
      </c>
      <c r="BI2182">
        <v>7</v>
      </c>
      <c r="BJ2182">
        <v>7</v>
      </c>
      <c r="BK2182" s="4">
        <v>3685</v>
      </c>
      <c r="BL2182" s="4">
        <v>3866</v>
      </c>
      <c r="BM2182" s="4">
        <v>4050</v>
      </c>
      <c r="BN2182" s="4">
        <v>4231</v>
      </c>
      <c r="BR2182">
        <v>45165</v>
      </c>
      <c r="BS2182" t="s">
        <v>3148</v>
      </c>
      <c r="BT2182">
        <v>5</v>
      </c>
      <c r="BU2182">
        <v>6</v>
      </c>
      <c r="BV2182">
        <v>9</v>
      </c>
      <c r="BX2182">
        <v>1.31</v>
      </c>
      <c r="BZ2182">
        <v>1.18</v>
      </c>
      <c r="CM2182">
        <v>1911</v>
      </c>
    </row>
    <row r="2183" spans="1:91" x14ac:dyDescent="0.3">
      <c r="A2183" t="s">
        <v>3147</v>
      </c>
      <c r="B2183">
        <v>46138</v>
      </c>
      <c r="C2183" t="s">
        <v>3149</v>
      </c>
      <c r="D2183">
        <v>12</v>
      </c>
      <c r="I2183">
        <v>120000</v>
      </c>
      <c r="U2183">
        <v>1</v>
      </c>
      <c r="Y2183">
        <v>1</v>
      </c>
      <c r="AA2183">
        <v>1.1200000000000001</v>
      </c>
      <c r="AC2183" s="3">
        <v>1.1200000000000001</v>
      </c>
      <c r="AE2183" s="3">
        <v>1.1200000000000001</v>
      </c>
      <c r="AI2183">
        <v>1.1200000000000001</v>
      </c>
      <c r="AK2183" s="3"/>
      <c r="BG2183">
        <v>5.5</v>
      </c>
      <c r="BH2183">
        <v>5.5</v>
      </c>
      <c r="BI2183">
        <v>5.5</v>
      </c>
      <c r="BJ2183">
        <v>5.5</v>
      </c>
      <c r="BK2183" s="4">
        <v>3685</v>
      </c>
      <c r="BL2183" s="4">
        <v>3866</v>
      </c>
      <c r="BM2183" s="4">
        <v>4050</v>
      </c>
      <c r="BN2183" s="4">
        <v>4231</v>
      </c>
      <c r="BR2183">
        <v>45165</v>
      </c>
      <c r="BS2183" t="s">
        <v>3148</v>
      </c>
      <c r="BT2183">
        <v>4</v>
      </c>
      <c r="BU2183">
        <v>17</v>
      </c>
      <c r="BV2183">
        <v>9</v>
      </c>
      <c r="BX2183">
        <v>1.18</v>
      </c>
      <c r="BZ2183">
        <v>1.03</v>
      </c>
      <c r="CM2183">
        <v>1911</v>
      </c>
    </row>
    <row r="2184" spans="1:91" x14ac:dyDescent="0.3">
      <c r="A2184" t="s">
        <v>3150</v>
      </c>
      <c r="B2184">
        <v>45898</v>
      </c>
      <c r="D2184">
        <v>12</v>
      </c>
      <c r="I2184" s="2">
        <v>1249900</v>
      </c>
      <c r="U2184">
        <v>1</v>
      </c>
      <c r="Z2184" t="s">
        <v>1758</v>
      </c>
      <c r="AA2184">
        <v>0.21</v>
      </c>
      <c r="AC2184" s="3">
        <v>0.21</v>
      </c>
      <c r="AE2184" s="3">
        <v>0.18</v>
      </c>
      <c r="AI2184">
        <v>0.18</v>
      </c>
      <c r="AK2184" s="3"/>
      <c r="AV2184" t="s">
        <v>385</v>
      </c>
      <c r="AX2184" t="s">
        <v>385</v>
      </c>
      <c r="AZ2184" t="s">
        <v>385</v>
      </c>
      <c r="BB2184" t="s">
        <v>385</v>
      </c>
      <c r="BS2184" t="s">
        <v>385</v>
      </c>
      <c r="BW2184" t="s">
        <v>802</v>
      </c>
      <c r="BX2184">
        <v>0.21</v>
      </c>
      <c r="BZ2184">
        <v>0.12</v>
      </c>
      <c r="CM2184">
        <v>1911</v>
      </c>
    </row>
    <row r="2185" spans="1:91" x14ac:dyDescent="0.3">
      <c r="A2185" t="s">
        <v>3151</v>
      </c>
      <c r="B2185">
        <v>45933</v>
      </c>
      <c r="D2185">
        <v>12</v>
      </c>
      <c r="I2185">
        <v>350000</v>
      </c>
      <c r="J2185" t="s">
        <v>800</v>
      </c>
      <c r="U2185">
        <v>100</v>
      </c>
      <c r="Y2185">
        <v>100</v>
      </c>
      <c r="AA2185">
        <v>99</v>
      </c>
      <c r="AC2185" s="3">
        <v>99</v>
      </c>
      <c r="AE2185" s="3">
        <v>97</v>
      </c>
      <c r="AI2185">
        <v>97</v>
      </c>
      <c r="AK2185" s="3"/>
      <c r="AV2185" t="s">
        <v>421</v>
      </c>
      <c r="AX2185" t="s">
        <v>421</v>
      </c>
      <c r="AZ2185" t="s">
        <v>421</v>
      </c>
      <c r="BB2185" t="s">
        <v>421</v>
      </c>
      <c r="BO2185" t="s">
        <v>367</v>
      </c>
      <c r="BR2185">
        <v>220884</v>
      </c>
      <c r="BS2185" t="s">
        <v>3152</v>
      </c>
      <c r="BT2185">
        <v>5</v>
      </c>
      <c r="BU2185">
        <v>3</v>
      </c>
      <c r="BV2185">
        <v>0</v>
      </c>
      <c r="BX2185">
        <v>100</v>
      </c>
      <c r="BZ2185">
        <v>97</v>
      </c>
      <c r="CM2185">
        <v>1911</v>
      </c>
    </row>
    <row r="2186" spans="1:91" x14ac:dyDescent="0.3">
      <c r="A2186" t="s">
        <v>3153</v>
      </c>
      <c r="B2186">
        <v>45935</v>
      </c>
      <c r="C2186" t="s">
        <v>3154</v>
      </c>
      <c r="D2186">
        <v>12</v>
      </c>
      <c r="I2186">
        <v>150000</v>
      </c>
      <c r="J2186" t="s">
        <v>800</v>
      </c>
      <c r="U2186">
        <v>100</v>
      </c>
      <c r="Y2186">
        <v>100</v>
      </c>
      <c r="AA2186">
        <v>93</v>
      </c>
      <c r="AC2186" s="3">
        <v>93</v>
      </c>
      <c r="AE2186" s="3">
        <v>92.5</v>
      </c>
      <c r="AI2186">
        <v>93</v>
      </c>
      <c r="AK2186" s="3"/>
      <c r="AV2186" t="s">
        <v>536</v>
      </c>
      <c r="AX2186" t="s">
        <v>536</v>
      </c>
      <c r="AZ2186" t="s">
        <v>536</v>
      </c>
      <c r="BB2186" t="s">
        <v>536</v>
      </c>
      <c r="BO2186" t="s">
        <v>367</v>
      </c>
      <c r="BR2186">
        <v>220884</v>
      </c>
      <c r="BS2186" t="s">
        <v>3152</v>
      </c>
      <c r="BT2186">
        <v>5</v>
      </c>
      <c r="BU2186">
        <v>8</v>
      </c>
      <c r="BV2186">
        <v>0</v>
      </c>
      <c r="BX2186">
        <v>93</v>
      </c>
      <c r="BZ2186">
        <v>92.5</v>
      </c>
      <c r="CM2186">
        <v>1911</v>
      </c>
    </row>
    <row r="2187" spans="1:91" x14ac:dyDescent="0.3">
      <c r="A2187" t="s">
        <v>3155</v>
      </c>
      <c r="B2187">
        <v>45936</v>
      </c>
      <c r="D2187">
        <v>12</v>
      </c>
      <c r="I2187">
        <v>20000</v>
      </c>
      <c r="U2187">
        <v>10</v>
      </c>
      <c r="Y2187">
        <v>10</v>
      </c>
      <c r="AA2187">
        <v>7</v>
      </c>
      <c r="AC2187" s="3">
        <v>7</v>
      </c>
      <c r="AE2187" s="3">
        <v>6.5</v>
      </c>
      <c r="AI2187">
        <v>7</v>
      </c>
      <c r="AK2187" s="3"/>
      <c r="AV2187" t="s">
        <v>385</v>
      </c>
      <c r="BB2187" t="s">
        <v>810</v>
      </c>
      <c r="BH2187">
        <v>7</v>
      </c>
      <c r="BI2187">
        <v>7</v>
      </c>
      <c r="BL2187" s="4">
        <v>2831</v>
      </c>
      <c r="BM2187" s="4">
        <v>3014</v>
      </c>
      <c r="BR2187">
        <v>13161</v>
      </c>
      <c r="BS2187" t="s">
        <v>3156</v>
      </c>
      <c r="BW2187" t="s">
        <v>802</v>
      </c>
      <c r="BX2187">
        <v>9.3699999999999992</v>
      </c>
      <c r="BZ2187">
        <v>6.5</v>
      </c>
      <c r="CK2187" t="s">
        <v>360</v>
      </c>
      <c r="CM2187">
        <v>1911</v>
      </c>
    </row>
    <row r="2188" spans="1:91" x14ac:dyDescent="0.3">
      <c r="A2188" t="s">
        <v>3157</v>
      </c>
      <c r="B2188">
        <v>45937</v>
      </c>
      <c r="C2188" t="s">
        <v>1038</v>
      </c>
      <c r="D2188">
        <v>12</v>
      </c>
      <c r="I2188">
        <v>500000</v>
      </c>
      <c r="J2188" t="s">
        <v>800</v>
      </c>
      <c r="U2188">
        <v>100</v>
      </c>
      <c r="V2188" t="s">
        <v>615</v>
      </c>
      <c r="Y2188">
        <v>100</v>
      </c>
      <c r="Z2188" t="s">
        <v>615</v>
      </c>
      <c r="AA2188">
        <v>90</v>
      </c>
      <c r="AC2188" s="3">
        <v>90</v>
      </c>
      <c r="AE2188" s="3">
        <v>87</v>
      </c>
      <c r="AI2188">
        <v>87</v>
      </c>
      <c r="AK2188" s="3"/>
      <c r="AV2188" t="s">
        <v>370</v>
      </c>
      <c r="AX2188" t="s">
        <v>370</v>
      </c>
      <c r="AZ2188" t="s">
        <v>370</v>
      </c>
      <c r="BB2188" t="s">
        <v>370</v>
      </c>
      <c r="BO2188" t="s">
        <v>367</v>
      </c>
      <c r="BR2188">
        <v>13161</v>
      </c>
      <c r="BS2188" t="s">
        <v>3156</v>
      </c>
      <c r="BT2188">
        <v>7</v>
      </c>
      <c r="BU2188">
        <v>0</v>
      </c>
      <c r="BV2188">
        <v>3</v>
      </c>
      <c r="BX2188">
        <v>90</v>
      </c>
      <c r="BZ2188">
        <v>87</v>
      </c>
      <c r="CM2188">
        <v>1911</v>
      </c>
    </row>
    <row r="2189" spans="1:91" x14ac:dyDescent="0.3">
      <c r="A2189" t="s">
        <v>3158</v>
      </c>
      <c r="B2189">
        <v>45961</v>
      </c>
      <c r="D2189">
        <v>12</v>
      </c>
      <c r="I2189">
        <v>12500</v>
      </c>
      <c r="U2189">
        <v>10</v>
      </c>
      <c r="Y2189">
        <v>5</v>
      </c>
      <c r="AA2189">
        <v>8.56</v>
      </c>
      <c r="AC2189" s="3">
        <v>8.56</v>
      </c>
      <c r="AE2189" s="3">
        <v>8.56</v>
      </c>
      <c r="AI2189">
        <v>8.56</v>
      </c>
      <c r="AK2189" s="3"/>
      <c r="AX2189" t="s">
        <v>823</v>
      </c>
      <c r="BB2189" t="s">
        <v>823</v>
      </c>
      <c r="BG2189">
        <v>9</v>
      </c>
      <c r="BH2189">
        <v>7.5</v>
      </c>
      <c r="BI2189">
        <v>9</v>
      </c>
      <c r="BJ2189">
        <v>7.5</v>
      </c>
      <c r="BK2189" s="4">
        <v>3713</v>
      </c>
      <c r="BL2189" s="4">
        <v>3866</v>
      </c>
      <c r="BM2189" s="4">
        <v>4078</v>
      </c>
      <c r="BN2189" s="4">
        <v>4231</v>
      </c>
      <c r="BR2189">
        <v>299</v>
      </c>
      <c r="BT2189">
        <v>4</v>
      </c>
      <c r="BU2189">
        <v>16</v>
      </c>
      <c r="BV2189">
        <v>3</v>
      </c>
      <c r="BX2189">
        <v>8.81</v>
      </c>
      <c r="BZ2189">
        <v>8.5</v>
      </c>
      <c r="CK2189" t="s">
        <v>399</v>
      </c>
      <c r="CM2189">
        <v>1911</v>
      </c>
    </row>
    <row r="2190" spans="1:91" x14ac:dyDescent="0.3">
      <c r="A2190" t="s">
        <v>3158</v>
      </c>
      <c r="B2190">
        <v>45964</v>
      </c>
      <c r="C2190" t="s">
        <v>3159</v>
      </c>
      <c r="D2190">
        <v>12</v>
      </c>
      <c r="I2190">
        <v>12500</v>
      </c>
      <c r="U2190">
        <v>10</v>
      </c>
      <c r="Y2190">
        <v>5</v>
      </c>
      <c r="AA2190">
        <v>9.3699999999999992</v>
      </c>
      <c r="AC2190" s="3">
        <v>9.3699999999999992</v>
      </c>
      <c r="AE2190" s="3">
        <v>9.3699999999999992</v>
      </c>
      <c r="AI2190">
        <v>9.3699999999999992</v>
      </c>
      <c r="AK2190" s="3"/>
      <c r="AX2190" t="s">
        <v>823</v>
      </c>
      <c r="BB2190" t="s">
        <v>823</v>
      </c>
      <c r="BG2190">
        <v>10.5</v>
      </c>
      <c r="BH2190">
        <v>7.5</v>
      </c>
      <c r="BI2190">
        <v>10.5</v>
      </c>
      <c r="BJ2190">
        <v>7.5</v>
      </c>
      <c r="BK2190" s="4">
        <v>3713</v>
      </c>
      <c r="BL2190" s="4">
        <v>3866</v>
      </c>
      <c r="BM2190" s="4">
        <v>4078</v>
      </c>
      <c r="BN2190" s="4">
        <v>4231</v>
      </c>
      <c r="BR2190">
        <v>5337</v>
      </c>
      <c r="BT2190">
        <v>4</v>
      </c>
      <c r="BU2190">
        <v>16</v>
      </c>
      <c r="BV2190">
        <v>0</v>
      </c>
      <c r="BX2190">
        <v>9.6199999999999992</v>
      </c>
      <c r="BZ2190">
        <v>9.25</v>
      </c>
      <c r="CM2190">
        <v>1911</v>
      </c>
    </row>
    <row r="2191" spans="1:91" x14ac:dyDescent="0.3">
      <c r="A2191" t="s">
        <v>3158</v>
      </c>
      <c r="B2191">
        <v>45965</v>
      </c>
      <c r="C2191" t="s">
        <v>3160</v>
      </c>
      <c r="D2191">
        <v>12</v>
      </c>
      <c r="I2191">
        <v>12500</v>
      </c>
      <c r="U2191">
        <v>10</v>
      </c>
      <c r="Y2191">
        <v>5</v>
      </c>
      <c r="AA2191">
        <v>5.93</v>
      </c>
      <c r="AC2191" s="3">
        <v>5.93</v>
      </c>
      <c r="AE2191" s="3">
        <v>5.93</v>
      </c>
      <c r="AI2191">
        <v>5.93</v>
      </c>
      <c r="AK2191" s="3"/>
      <c r="AX2191" t="s">
        <v>823</v>
      </c>
      <c r="BB2191" t="s">
        <v>823</v>
      </c>
      <c r="BG2191">
        <v>8</v>
      </c>
      <c r="BH2191">
        <v>4.5</v>
      </c>
      <c r="BI2191">
        <v>7</v>
      </c>
      <c r="BJ2191">
        <v>4</v>
      </c>
      <c r="BK2191" s="4">
        <v>3713</v>
      </c>
      <c r="BL2191" s="4">
        <v>3866</v>
      </c>
      <c r="BM2191" s="4">
        <v>4078</v>
      </c>
      <c r="BN2191" s="4">
        <v>4231</v>
      </c>
      <c r="BR2191">
        <v>2206</v>
      </c>
      <c r="BT2191">
        <v>4</v>
      </c>
      <c r="BU2191">
        <v>12</v>
      </c>
      <c r="BV2191">
        <v>6</v>
      </c>
      <c r="BX2191">
        <v>6.06</v>
      </c>
      <c r="BZ2191">
        <v>5.81</v>
      </c>
      <c r="CM2191">
        <v>1911</v>
      </c>
    </row>
    <row r="2192" spans="1:91" x14ac:dyDescent="0.3">
      <c r="A2192" t="s">
        <v>3161</v>
      </c>
      <c r="B2192">
        <v>45879</v>
      </c>
      <c r="D2192">
        <v>12</v>
      </c>
      <c r="I2192">
        <v>297000</v>
      </c>
      <c r="J2192" t="s">
        <v>800</v>
      </c>
      <c r="V2192" t="s">
        <v>350</v>
      </c>
      <c r="Y2192">
        <v>100</v>
      </c>
      <c r="AA2192">
        <v>178</v>
      </c>
      <c r="AC2192" s="3">
        <v>178.25</v>
      </c>
      <c r="AE2192" s="3">
        <v>178</v>
      </c>
      <c r="AI2192">
        <v>178</v>
      </c>
      <c r="AK2192" s="3"/>
      <c r="AV2192" t="s">
        <v>815</v>
      </c>
      <c r="AX2192" t="s">
        <v>815</v>
      </c>
      <c r="AZ2192" t="s">
        <v>815</v>
      </c>
      <c r="BB2192" t="s">
        <v>815</v>
      </c>
      <c r="BG2192">
        <v>8</v>
      </c>
      <c r="BH2192">
        <v>8</v>
      </c>
      <c r="BI2192">
        <v>8</v>
      </c>
      <c r="BJ2192">
        <v>8</v>
      </c>
      <c r="BK2192" s="4">
        <v>2983</v>
      </c>
      <c r="BL2192" s="4">
        <v>3348</v>
      </c>
      <c r="BM2192" s="4">
        <v>3713</v>
      </c>
      <c r="BN2192" s="4">
        <v>4078</v>
      </c>
      <c r="BR2192">
        <v>26880</v>
      </c>
      <c r="BT2192">
        <v>4</v>
      </c>
      <c r="BU2192">
        <v>11</v>
      </c>
      <c r="BV2192">
        <v>3</v>
      </c>
      <c r="BX2192">
        <v>184</v>
      </c>
      <c r="BZ2192">
        <v>176</v>
      </c>
      <c r="CK2192" t="s">
        <v>399</v>
      </c>
      <c r="CL2192" t="s">
        <v>457</v>
      </c>
      <c r="CM2192">
        <v>1911</v>
      </c>
    </row>
    <row r="2193" spans="1:91" x14ac:dyDescent="0.3">
      <c r="A2193" t="s">
        <v>3162</v>
      </c>
      <c r="B2193">
        <v>45940</v>
      </c>
      <c r="D2193">
        <v>12</v>
      </c>
      <c r="I2193">
        <v>20000</v>
      </c>
      <c r="U2193">
        <v>10</v>
      </c>
      <c r="Y2193">
        <v>10</v>
      </c>
      <c r="AA2193">
        <v>4.5</v>
      </c>
      <c r="AC2193" s="3">
        <v>4.5</v>
      </c>
      <c r="AE2193" s="3">
        <v>4.5</v>
      </c>
      <c r="AI2193">
        <v>4.5</v>
      </c>
      <c r="AK2193" s="3"/>
      <c r="AZ2193" t="s">
        <v>815</v>
      </c>
      <c r="BB2193" t="s">
        <v>815</v>
      </c>
      <c r="BG2193">
        <v>5</v>
      </c>
      <c r="BH2193">
        <v>5</v>
      </c>
      <c r="BI2193">
        <v>5</v>
      </c>
      <c r="BJ2193">
        <v>5</v>
      </c>
      <c r="BK2193" s="4">
        <v>2739</v>
      </c>
      <c r="BL2193" s="4">
        <v>2923</v>
      </c>
      <c r="BM2193" s="4">
        <v>3685</v>
      </c>
      <c r="BN2193" s="4">
        <v>4050</v>
      </c>
      <c r="BS2193" t="s">
        <v>385</v>
      </c>
      <c r="BT2193">
        <v>11</v>
      </c>
      <c r="BU2193">
        <v>2</v>
      </c>
      <c r="BV2193">
        <v>3</v>
      </c>
      <c r="BX2193">
        <v>4.5</v>
      </c>
      <c r="BZ2193">
        <v>2.75</v>
      </c>
      <c r="CK2193" t="s">
        <v>360</v>
      </c>
      <c r="CM2193">
        <v>1911</v>
      </c>
    </row>
    <row r="2194" spans="1:91" x14ac:dyDescent="0.3">
      <c r="A2194" t="s">
        <v>3163</v>
      </c>
      <c r="B2194">
        <v>46012</v>
      </c>
      <c r="D2194">
        <v>12</v>
      </c>
      <c r="I2194">
        <v>169760</v>
      </c>
      <c r="U2194">
        <v>1</v>
      </c>
      <c r="Y2194">
        <v>1</v>
      </c>
      <c r="AA2194">
        <v>0.43</v>
      </c>
      <c r="AC2194" s="3">
        <v>0.43</v>
      </c>
      <c r="AE2194" s="3">
        <v>0.37</v>
      </c>
      <c r="AI2194">
        <v>0.43</v>
      </c>
      <c r="AK2194" s="3"/>
      <c r="AV2194" t="s">
        <v>823</v>
      </c>
      <c r="AX2194" t="s">
        <v>815</v>
      </c>
      <c r="AZ2194" t="s">
        <v>815</v>
      </c>
      <c r="BB2194" t="s">
        <v>810</v>
      </c>
      <c r="BG2194">
        <v>5</v>
      </c>
      <c r="BH2194">
        <v>2.5</v>
      </c>
      <c r="BI2194">
        <v>4</v>
      </c>
      <c r="BK2194" s="4">
        <v>2770</v>
      </c>
      <c r="BL2194" s="4">
        <v>3320</v>
      </c>
      <c r="BM2194" s="4">
        <v>3685</v>
      </c>
      <c r="BR2194">
        <v>41277</v>
      </c>
      <c r="BS2194" t="s">
        <v>3164</v>
      </c>
      <c r="BW2194" t="s">
        <v>802</v>
      </c>
      <c r="BX2194">
        <v>0.5</v>
      </c>
      <c r="BZ2194">
        <v>0.37</v>
      </c>
      <c r="CK2194" t="s">
        <v>360</v>
      </c>
      <c r="CM2194">
        <v>1911</v>
      </c>
    </row>
    <row r="2195" spans="1:91" x14ac:dyDescent="0.3">
      <c r="A2195" t="s">
        <v>3165</v>
      </c>
      <c r="B2195">
        <v>46013</v>
      </c>
      <c r="D2195">
        <v>12</v>
      </c>
      <c r="I2195">
        <v>168760</v>
      </c>
      <c r="U2195">
        <v>1</v>
      </c>
      <c r="Y2195">
        <v>1</v>
      </c>
      <c r="AA2195">
        <v>0.87</v>
      </c>
      <c r="AC2195" s="3">
        <v>0.87</v>
      </c>
      <c r="AE2195" s="3">
        <v>0.87</v>
      </c>
      <c r="AI2195">
        <v>0.87</v>
      </c>
      <c r="AK2195" s="3"/>
      <c r="BG2195">
        <v>6</v>
      </c>
      <c r="BH2195">
        <v>6</v>
      </c>
      <c r="BI2195">
        <v>6</v>
      </c>
      <c r="BJ2195">
        <v>6</v>
      </c>
      <c r="BK2195" s="4">
        <v>3685</v>
      </c>
      <c r="BL2195" s="4">
        <v>3866</v>
      </c>
      <c r="BM2195" s="4">
        <v>4050</v>
      </c>
      <c r="BN2195" s="4">
        <v>4231</v>
      </c>
      <c r="BR2195">
        <v>41277</v>
      </c>
      <c r="BS2195" t="s">
        <v>3164</v>
      </c>
      <c r="BT2195">
        <v>6</v>
      </c>
      <c r="BU2195">
        <v>17</v>
      </c>
      <c r="BV2195">
        <v>3</v>
      </c>
      <c r="BX2195">
        <v>0.87</v>
      </c>
      <c r="BZ2195">
        <v>0.78</v>
      </c>
      <c r="CM2195">
        <v>1911</v>
      </c>
    </row>
    <row r="2196" spans="1:91" x14ac:dyDescent="0.3">
      <c r="A2196" t="s">
        <v>3166</v>
      </c>
      <c r="B2196">
        <v>46032</v>
      </c>
      <c r="D2196">
        <v>12</v>
      </c>
      <c r="I2196">
        <v>58316</v>
      </c>
      <c r="U2196">
        <v>1</v>
      </c>
      <c r="Y2196">
        <v>1</v>
      </c>
      <c r="AA2196">
        <v>2.5</v>
      </c>
      <c r="AC2196" s="3">
        <v>2.5</v>
      </c>
      <c r="AE2196" s="3">
        <v>2.5</v>
      </c>
      <c r="AI2196">
        <v>2.5</v>
      </c>
      <c r="AK2196" s="3"/>
      <c r="AV2196" t="s">
        <v>823</v>
      </c>
      <c r="AZ2196" t="s">
        <v>823</v>
      </c>
      <c r="BG2196">
        <v>8</v>
      </c>
      <c r="BH2196">
        <v>42</v>
      </c>
      <c r="BI2196">
        <v>8</v>
      </c>
      <c r="BJ2196">
        <v>40</v>
      </c>
      <c r="BK2196" s="4">
        <v>3532</v>
      </c>
      <c r="BL2196" s="4">
        <v>3713</v>
      </c>
      <c r="BM2196" s="4">
        <v>3897</v>
      </c>
      <c r="BN2196" s="4">
        <v>4078</v>
      </c>
      <c r="BS2196" t="s">
        <v>385</v>
      </c>
      <c r="BT2196">
        <v>9</v>
      </c>
      <c r="BU2196">
        <v>12</v>
      </c>
      <c r="BV2196">
        <v>0</v>
      </c>
      <c r="BX2196">
        <v>2.87</v>
      </c>
      <c r="BZ2196">
        <v>2.31</v>
      </c>
      <c r="CK2196" t="s">
        <v>360</v>
      </c>
      <c r="CM2196">
        <v>1911</v>
      </c>
    </row>
    <row r="2197" spans="1:91" x14ac:dyDescent="0.3">
      <c r="A2197" t="s">
        <v>3167</v>
      </c>
      <c r="B2197">
        <v>46040</v>
      </c>
      <c r="D2197">
        <v>12</v>
      </c>
      <c r="I2197">
        <v>140000</v>
      </c>
      <c r="U2197">
        <v>1</v>
      </c>
      <c r="Y2197">
        <v>1</v>
      </c>
      <c r="AA2197">
        <v>1.34</v>
      </c>
      <c r="AC2197" s="3">
        <v>1.4</v>
      </c>
      <c r="AE2197" s="3">
        <v>1.31</v>
      </c>
      <c r="AI2197">
        <v>1.37</v>
      </c>
      <c r="AK2197" s="3"/>
      <c r="AX2197" t="s">
        <v>823</v>
      </c>
      <c r="BB2197" t="s">
        <v>823</v>
      </c>
      <c r="BG2197">
        <v>9</v>
      </c>
      <c r="BH2197">
        <v>6</v>
      </c>
      <c r="BI2197">
        <v>10</v>
      </c>
      <c r="BJ2197">
        <v>6</v>
      </c>
      <c r="BK2197" s="4">
        <v>3744</v>
      </c>
      <c r="BL2197" s="4">
        <v>3927</v>
      </c>
      <c r="BM2197" s="4">
        <v>4109</v>
      </c>
      <c r="BN2197" s="4">
        <v>4292</v>
      </c>
      <c r="BR2197">
        <v>22315</v>
      </c>
      <c r="BS2197" t="s">
        <v>3168</v>
      </c>
      <c r="BT2197">
        <v>5</v>
      </c>
      <c r="BU2197">
        <v>16</v>
      </c>
      <c r="BV2197">
        <v>3</v>
      </c>
      <c r="BX2197">
        <v>1.4</v>
      </c>
      <c r="BZ2197">
        <v>1.18</v>
      </c>
      <c r="CM2197">
        <v>1911</v>
      </c>
    </row>
    <row r="2198" spans="1:91" x14ac:dyDescent="0.3">
      <c r="A2198" t="s">
        <v>3169</v>
      </c>
      <c r="B2198">
        <v>46041</v>
      </c>
      <c r="C2198" t="s">
        <v>2688</v>
      </c>
      <c r="D2198">
        <v>12</v>
      </c>
      <c r="I2198">
        <v>275000</v>
      </c>
      <c r="U2198">
        <v>1</v>
      </c>
      <c r="Y2198">
        <v>1</v>
      </c>
      <c r="AA2198">
        <v>1.06</v>
      </c>
      <c r="AC2198" s="3">
        <v>1.06</v>
      </c>
      <c r="AE2198" s="3">
        <v>1.06</v>
      </c>
      <c r="AI2198">
        <v>1.06</v>
      </c>
      <c r="AK2198" s="3"/>
      <c r="AV2198" t="s">
        <v>536</v>
      </c>
      <c r="AX2198" t="s">
        <v>536</v>
      </c>
      <c r="AZ2198" t="s">
        <v>536</v>
      </c>
      <c r="BB2198" t="s">
        <v>536</v>
      </c>
      <c r="BO2198" t="s">
        <v>367</v>
      </c>
      <c r="BR2198">
        <v>22315</v>
      </c>
      <c r="BS2198" t="s">
        <v>3168</v>
      </c>
      <c r="BT2198">
        <v>5</v>
      </c>
      <c r="BU2198">
        <v>3</v>
      </c>
      <c r="BV2198">
        <v>6</v>
      </c>
      <c r="BX2198">
        <v>1.0900000000000001</v>
      </c>
      <c r="BZ2198">
        <v>1</v>
      </c>
      <c r="CM2198">
        <v>1911</v>
      </c>
    </row>
    <row r="2199" spans="1:91" x14ac:dyDescent="0.3">
      <c r="A2199" t="s">
        <v>3170</v>
      </c>
      <c r="B2199">
        <v>46034</v>
      </c>
      <c r="D2199">
        <v>12</v>
      </c>
      <c r="I2199">
        <v>875000</v>
      </c>
      <c r="U2199">
        <v>1</v>
      </c>
      <c r="Y2199">
        <v>1</v>
      </c>
      <c r="AA2199">
        <v>2.34</v>
      </c>
      <c r="AC2199" s="3">
        <v>2.4</v>
      </c>
      <c r="AE2199" s="3">
        <v>2.31</v>
      </c>
      <c r="AI2199">
        <v>2.37</v>
      </c>
      <c r="AK2199" s="3"/>
      <c r="AX2199" t="s">
        <v>823</v>
      </c>
      <c r="BB2199" t="s">
        <v>823</v>
      </c>
      <c r="BG2199">
        <v>15</v>
      </c>
      <c r="BH2199">
        <v>10</v>
      </c>
      <c r="BI2199">
        <v>17.5</v>
      </c>
      <c r="BJ2199">
        <v>10</v>
      </c>
      <c r="BK2199" s="4">
        <v>3713</v>
      </c>
      <c r="BL2199" s="4">
        <v>3897</v>
      </c>
      <c r="BM2199" s="4">
        <v>4078</v>
      </c>
      <c r="BN2199" s="4">
        <v>4262</v>
      </c>
      <c r="BR2199">
        <v>563789</v>
      </c>
      <c r="BS2199" t="s">
        <v>3171</v>
      </c>
      <c r="BT2199">
        <v>5</v>
      </c>
      <c r="BU2199">
        <v>15</v>
      </c>
      <c r="BV2199">
        <v>9</v>
      </c>
      <c r="BX2199">
        <v>2.4</v>
      </c>
      <c r="BZ2199">
        <v>2.12</v>
      </c>
      <c r="CK2199" t="s">
        <v>360</v>
      </c>
      <c r="CM2199">
        <v>1911</v>
      </c>
    </row>
    <row r="2200" spans="1:91" x14ac:dyDescent="0.3">
      <c r="A2200" t="s">
        <v>3170</v>
      </c>
      <c r="B2200">
        <v>46035</v>
      </c>
      <c r="C2200" t="s">
        <v>3172</v>
      </c>
      <c r="D2200">
        <v>12</v>
      </c>
      <c r="I2200" s="2">
        <v>1000000</v>
      </c>
      <c r="U2200">
        <v>1</v>
      </c>
      <c r="Y2200">
        <v>1</v>
      </c>
      <c r="AA2200">
        <v>1.34</v>
      </c>
      <c r="AC2200" s="3">
        <v>1.37</v>
      </c>
      <c r="AE2200" s="3">
        <v>1.31</v>
      </c>
      <c r="AI2200">
        <v>1.31</v>
      </c>
      <c r="AJ2200" t="s">
        <v>379</v>
      </c>
      <c r="AK2200" s="3"/>
      <c r="AV2200" t="s">
        <v>370</v>
      </c>
      <c r="AX2200" t="s">
        <v>370</v>
      </c>
      <c r="AZ2200" t="s">
        <v>370</v>
      </c>
      <c r="BB2200" t="s">
        <v>370</v>
      </c>
      <c r="BO2200" t="s">
        <v>367</v>
      </c>
      <c r="BR2200">
        <v>563789</v>
      </c>
      <c r="BS2200" t="s">
        <v>3171</v>
      </c>
      <c r="BT2200">
        <v>4</v>
      </c>
      <c r="BU2200">
        <v>11</v>
      </c>
      <c r="BV2200">
        <v>6</v>
      </c>
      <c r="BX2200">
        <v>1.37</v>
      </c>
      <c r="BZ2200">
        <v>1.25</v>
      </c>
      <c r="CM2200">
        <v>1911</v>
      </c>
    </row>
    <row r="2201" spans="1:91" x14ac:dyDescent="0.3">
      <c r="A2201" t="s">
        <v>3173</v>
      </c>
      <c r="B2201">
        <v>46064</v>
      </c>
      <c r="D2201">
        <v>12</v>
      </c>
      <c r="I2201">
        <v>300000</v>
      </c>
      <c r="J2201" t="s">
        <v>800</v>
      </c>
      <c r="V2201" t="s">
        <v>350</v>
      </c>
      <c r="Y2201">
        <v>100</v>
      </c>
      <c r="AA2201">
        <v>100</v>
      </c>
      <c r="AC2201" s="3">
        <v>100</v>
      </c>
      <c r="AE2201" s="3">
        <v>99</v>
      </c>
      <c r="AI2201">
        <v>100</v>
      </c>
      <c r="AK2201" s="3"/>
      <c r="AV2201" t="s">
        <v>506</v>
      </c>
      <c r="AX2201" t="s">
        <v>506</v>
      </c>
      <c r="AZ2201" t="s">
        <v>506</v>
      </c>
      <c r="BB2201" t="s">
        <v>506</v>
      </c>
      <c r="BO2201" t="s">
        <v>367</v>
      </c>
      <c r="BS2201" t="s">
        <v>385</v>
      </c>
      <c r="BT2201">
        <v>4</v>
      </c>
      <c r="BU2201">
        <v>5</v>
      </c>
      <c r="BV2201">
        <v>9</v>
      </c>
      <c r="BX2201">
        <v>102.75</v>
      </c>
      <c r="BZ2201">
        <v>98</v>
      </c>
      <c r="CK2201" t="s">
        <v>360</v>
      </c>
      <c r="CM2201">
        <v>1911</v>
      </c>
    </row>
    <row r="2202" spans="1:91" x14ac:dyDescent="0.3">
      <c r="A2202" t="s">
        <v>3174</v>
      </c>
      <c r="B2202">
        <v>46081</v>
      </c>
      <c r="D2202">
        <v>12</v>
      </c>
      <c r="I2202">
        <v>80000</v>
      </c>
      <c r="U2202">
        <v>1</v>
      </c>
      <c r="Y2202">
        <v>1</v>
      </c>
      <c r="AA2202">
        <v>0.56000000000000005</v>
      </c>
      <c r="AC2202" s="3">
        <v>0.56000000000000005</v>
      </c>
      <c r="AE2202" s="3">
        <v>0.56000000000000005</v>
      </c>
      <c r="AI2202">
        <v>0.56000000000000005</v>
      </c>
      <c r="AK2202" s="3"/>
      <c r="BB2202" t="s">
        <v>810</v>
      </c>
      <c r="BG2202">
        <v>5.5</v>
      </c>
      <c r="BH2202">
        <v>5.5</v>
      </c>
      <c r="BI2202">
        <v>5.5</v>
      </c>
      <c r="BK2202" s="4">
        <v>2466</v>
      </c>
      <c r="BL2202" s="4">
        <v>2648</v>
      </c>
      <c r="BM2202" s="4">
        <v>2831</v>
      </c>
      <c r="BR2202">
        <v>50</v>
      </c>
      <c r="BW2202" t="s">
        <v>802</v>
      </c>
      <c r="BX2202">
        <v>0.81</v>
      </c>
      <c r="BZ2202">
        <v>0.37</v>
      </c>
      <c r="CK2202" t="s">
        <v>360</v>
      </c>
      <c r="CM2202">
        <v>1911</v>
      </c>
    </row>
    <row r="2203" spans="1:91" x14ac:dyDescent="0.3">
      <c r="A2203" t="s">
        <v>3175</v>
      </c>
      <c r="B2203">
        <v>46083</v>
      </c>
      <c r="D2203">
        <v>12</v>
      </c>
      <c r="I2203">
        <v>100000</v>
      </c>
      <c r="U2203">
        <v>1</v>
      </c>
      <c r="Y2203">
        <v>1</v>
      </c>
      <c r="AA2203">
        <v>0.75</v>
      </c>
      <c r="AC2203" s="3">
        <v>0.75</v>
      </c>
      <c r="AE2203" s="3">
        <v>0.75</v>
      </c>
      <c r="AI2203">
        <v>0.75</v>
      </c>
      <c r="AK2203" s="3"/>
      <c r="AV2203" t="s">
        <v>815</v>
      </c>
      <c r="AX2203" t="s">
        <v>815</v>
      </c>
      <c r="AZ2203" t="s">
        <v>815</v>
      </c>
      <c r="BB2203" t="s">
        <v>815</v>
      </c>
      <c r="BG2203">
        <v>4</v>
      </c>
      <c r="BH2203">
        <v>4</v>
      </c>
      <c r="BI2203">
        <v>6</v>
      </c>
      <c r="BJ2203">
        <v>6</v>
      </c>
      <c r="BK2203" s="4">
        <v>3167</v>
      </c>
      <c r="BL2203" s="4">
        <v>3532</v>
      </c>
      <c r="BM2203" s="4">
        <v>3897</v>
      </c>
      <c r="BN2203" s="4">
        <v>4262</v>
      </c>
      <c r="BR2203">
        <v>4676</v>
      </c>
      <c r="BS2203" t="s">
        <v>3176</v>
      </c>
      <c r="BT2203">
        <v>8</v>
      </c>
      <c r="BU2203">
        <v>0</v>
      </c>
      <c r="BV2203">
        <v>0</v>
      </c>
      <c r="BX2203">
        <v>0.75</v>
      </c>
      <c r="BZ2203">
        <v>0.62</v>
      </c>
      <c r="CK2203" t="s">
        <v>360</v>
      </c>
      <c r="CM2203">
        <v>1911</v>
      </c>
    </row>
    <row r="2204" spans="1:91" x14ac:dyDescent="0.3">
      <c r="A2204" t="s">
        <v>3175</v>
      </c>
      <c r="B2204">
        <v>46084</v>
      </c>
      <c r="C2204" t="s">
        <v>803</v>
      </c>
      <c r="D2204">
        <v>12</v>
      </c>
      <c r="I2204">
        <v>80000</v>
      </c>
      <c r="U2204">
        <v>1</v>
      </c>
      <c r="Y2204">
        <v>1</v>
      </c>
      <c r="AA2204">
        <v>0.93</v>
      </c>
      <c r="AC2204" s="3">
        <v>0.93</v>
      </c>
      <c r="AE2204" s="3">
        <v>0.93</v>
      </c>
      <c r="AI2204">
        <v>0.93</v>
      </c>
      <c r="AK2204" s="3"/>
      <c r="AV2204" t="s">
        <v>374</v>
      </c>
      <c r="AX2204" t="s">
        <v>374</v>
      </c>
      <c r="AZ2204" t="s">
        <v>374</v>
      </c>
      <c r="BB2204" t="s">
        <v>374</v>
      </c>
      <c r="BO2204" t="s">
        <v>367</v>
      </c>
      <c r="BR2204">
        <v>4676</v>
      </c>
      <c r="BS2204" t="s">
        <v>3176</v>
      </c>
      <c r="BT2204">
        <v>6</v>
      </c>
      <c r="BU2204">
        <v>6</v>
      </c>
      <c r="BV2204">
        <v>3</v>
      </c>
      <c r="BX2204">
        <v>1</v>
      </c>
      <c r="BZ2204">
        <v>0.87</v>
      </c>
      <c r="CM2204">
        <v>1911</v>
      </c>
    </row>
    <row r="2205" spans="1:91" x14ac:dyDescent="0.3">
      <c r="A2205" t="s">
        <v>3177</v>
      </c>
      <c r="B2205">
        <v>46121</v>
      </c>
      <c r="D2205">
        <v>12</v>
      </c>
      <c r="I2205" s="2">
        <v>1800000</v>
      </c>
      <c r="V2205" t="s">
        <v>1548</v>
      </c>
      <c r="Z2205" t="s">
        <v>1548</v>
      </c>
      <c r="AA2205">
        <v>0.93</v>
      </c>
      <c r="AC2205" s="3">
        <v>0.96</v>
      </c>
      <c r="AE2205" s="3">
        <v>0.9</v>
      </c>
      <c r="AI2205">
        <v>0.9</v>
      </c>
      <c r="AJ2205" t="s">
        <v>379</v>
      </c>
      <c r="AK2205" s="3"/>
      <c r="AV2205" t="s">
        <v>370</v>
      </c>
      <c r="AX2205" t="s">
        <v>370</v>
      </c>
      <c r="AZ2205" t="s">
        <v>370</v>
      </c>
      <c r="BB2205" t="s">
        <v>370</v>
      </c>
      <c r="BO2205" t="s">
        <v>367</v>
      </c>
      <c r="BR2205">
        <v>644750</v>
      </c>
      <c r="BS2205" t="s">
        <v>3178</v>
      </c>
      <c r="BT2205">
        <v>5</v>
      </c>
      <c r="BU2205">
        <v>10</v>
      </c>
      <c r="BV2205">
        <v>6</v>
      </c>
      <c r="BX2205">
        <v>0.96</v>
      </c>
      <c r="BZ2205">
        <v>0.84</v>
      </c>
      <c r="CK2205" t="s">
        <v>360</v>
      </c>
      <c r="CM2205">
        <v>1911</v>
      </c>
    </row>
    <row r="2206" spans="1:91" x14ac:dyDescent="0.3">
      <c r="A2206" t="s">
        <v>3177</v>
      </c>
      <c r="B2206">
        <v>46122</v>
      </c>
      <c r="C2206" t="s">
        <v>3179</v>
      </c>
      <c r="D2206">
        <v>12</v>
      </c>
      <c r="I2206" s="2">
        <v>1850000</v>
      </c>
      <c r="V2206" t="s">
        <v>1910</v>
      </c>
      <c r="Z2206" t="s">
        <v>1910</v>
      </c>
      <c r="AA2206">
        <v>1.93</v>
      </c>
      <c r="AC2206" s="3">
        <v>2.09</v>
      </c>
      <c r="AE2206" s="3">
        <v>1.93</v>
      </c>
      <c r="AI2206">
        <v>2.06</v>
      </c>
      <c r="AK2206" s="3"/>
      <c r="AX2206" t="s">
        <v>823</v>
      </c>
      <c r="BB2206" t="s">
        <v>823</v>
      </c>
      <c r="BG2206">
        <v>85</v>
      </c>
      <c r="BH2206">
        <v>50</v>
      </c>
      <c r="BI2206">
        <v>200</v>
      </c>
      <c r="BJ2206">
        <v>100</v>
      </c>
      <c r="BK2206">
        <v>1909</v>
      </c>
      <c r="BL2206" s="4">
        <v>3835</v>
      </c>
      <c r="BM2206" s="4">
        <v>4050</v>
      </c>
      <c r="BN2206" s="4">
        <v>4200</v>
      </c>
      <c r="BR2206">
        <v>644750</v>
      </c>
      <c r="BS2206" t="s">
        <v>3178</v>
      </c>
      <c r="BT2206">
        <v>7</v>
      </c>
      <c r="BU2206">
        <v>5</v>
      </c>
      <c r="BV2206">
        <v>6</v>
      </c>
      <c r="BX2206">
        <v>2.09</v>
      </c>
      <c r="BZ2206">
        <v>1.18</v>
      </c>
      <c r="CM2206">
        <v>1911</v>
      </c>
    </row>
    <row r="2207" spans="1:91" x14ac:dyDescent="0.3">
      <c r="A2207" t="s">
        <v>3177</v>
      </c>
      <c r="B2207">
        <v>46120</v>
      </c>
      <c r="C2207" t="s">
        <v>817</v>
      </c>
      <c r="D2207">
        <v>12</v>
      </c>
      <c r="I2207">
        <v>350000</v>
      </c>
      <c r="U2207">
        <v>1</v>
      </c>
      <c r="Y2207">
        <v>1</v>
      </c>
      <c r="AA2207">
        <v>1.1499999999999999</v>
      </c>
      <c r="AC2207" s="3">
        <v>1.1499999999999999</v>
      </c>
      <c r="AE2207" s="3">
        <v>1.1499999999999999</v>
      </c>
      <c r="AI2207">
        <v>1.1499999999999999</v>
      </c>
      <c r="AK2207" s="3"/>
      <c r="AV2207" t="s">
        <v>370</v>
      </c>
      <c r="AX2207" t="s">
        <v>370</v>
      </c>
      <c r="AZ2207" t="s">
        <v>370</v>
      </c>
      <c r="BB2207" t="s">
        <v>370</v>
      </c>
      <c r="BO2207" t="s">
        <v>367</v>
      </c>
      <c r="BR2207">
        <v>644750</v>
      </c>
      <c r="BS2207" t="s">
        <v>3178</v>
      </c>
      <c r="BT2207">
        <v>4</v>
      </c>
      <c r="BU2207">
        <v>6</v>
      </c>
      <c r="BV2207">
        <v>6</v>
      </c>
      <c r="BX2207">
        <v>1.1499999999999999</v>
      </c>
      <c r="BZ2207">
        <v>1.0900000000000001</v>
      </c>
      <c r="CM2207">
        <v>1911</v>
      </c>
    </row>
    <row r="2208" spans="1:91" x14ac:dyDescent="0.3">
      <c r="A2208" t="s">
        <v>3180</v>
      </c>
      <c r="B2208">
        <v>46124</v>
      </c>
      <c r="D2208">
        <v>12</v>
      </c>
      <c r="I2208">
        <v>350000</v>
      </c>
      <c r="V2208" t="s">
        <v>3181</v>
      </c>
      <c r="Z2208" t="s">
        <v>3181</v>
      </c>
      <c r="AA2208">
        <v>0.18</v>
      </c>
      <c r="AC2208" s="3">
        <v>0.18</v>
      </c>
      <c r="AE2208" s="3">
        <v>0.15</v>
      </c>
      <c r="AI2208">
        <v>0.15</v>
      </c>
      <c r="AK2208" s="3"/>
      <c r="AV2208" t="s">
        <v>823</v>
      </c>
      <c r="AZ2208" t="s">
        <v>823</v>
      </c>
      <c r="BB2208" t="s">
        <v>815</v>
      </c>
      <c r="BG2208">
        <v>8</v>
      </c>
      <c r="BH2208">
        <v>10</v>
      </c>
      <c r="BI2208">
        <v>8</v>
      </c>
      <c r="BJ2208">
        <v>4</v>
      </c>
      <c r="BK2208" s="4">
        <v>913</v>
      </c>
      <c r="BL2208" s="4">
        <v>1128</v>
      </c>
      <c r="BM2208" s="4">
        <v>1309</v>
      </c>
      <c r="BN2208" s="4">
        <v>4078</v>
      </c>
      <c r="BR2208">
        <v>5866</v>
      </c>
      <c r="BS2208" t="s">
        <v>3182</v>
      </c>
      <c r="BT2208">
        <v>8</v>
      </c>
      <c r="BU2208">
        <v>17</v>
      </c>
      <c r="BV2208">
        <v>9</v>
      </c>
      <c r="BX2208">
        <v>0.25</v>
      </c>
      <c r="BZ2208">
        <v>0.15</v>
      </c>
      <c r="CK2208" t="s">
        <v>360</v>
      </c>
      <c r="CM2208">
        <v>1911</v>
      </c>
    </row>
    <row r="2209" spans="1:91" x14ac:dyDescent="0.3">
      <c r="A2209" t="s">
        <v>3180</v>
      </c>
      <c r="B2209">
        <v>46125</v>
      </c>
      <c r="C2209" t="s">
        <v>921</v>
      </c>
      <c r="D2209">
        <v>12</v>
      </c>
      <c r="I2209">
        <v>80000</v>
      </c>
      <c r="U2209">
        <v>4</v>
      </c>
      <c r="Y2209">
        <v>4</v>
      </c>
      <c r="AA2209">
        <v>2.87</v>
      </c>
      <c r="AC2209" s="3">
        <v>3</v>
      </c>
      <c r="AE2209" s="3">
        <v>2.87</v>
      </c>
      <c r="AI2209">
        <v>2.93</v>
      </c>
      <c r="AK2209" s="3"/>
      <c r="AV2209" t="s">
        <v>385</v>
      </c>
      <c r="BH2209">
        <v>5.5</v>
      </c>
      <c r="BI2209">
        <v>5.5</v>
      </c>
      <c r="BJ2209">
        <v>5.5</v>
      </c>
      <c r="BL2209" s="4">
        <v>3897</v>
      </c>
      <c r="BM2209" s="4">
        <v>4078</v>
      </c>
      <c r="BN2209" s="4">
        <v>4262</v>
      </c>
      <c r="BR2209">
        <v>5866</v>
      </c>
      <c r="BS2209" t="s">
        <v>3182</v>
      </c>
      <c r="BT2209">
        <v>7</v>
      </c>
      <c r="BU2209">
        <v>9</v>
      </c>
      <c r="BV2209">
        <v>6</v>
      </c>
      <c r="BX2209">
        <v>3.37</v>
      </c>
      <c r="BZ2209">
        <v>2.81</v>
      </c>
      <c r="CM2209">
        <v>1911</v>
      </c>
    </row>
    <row r="2210" spans="1:91" x14ac:dyDescent="0.3">
      <c r="A2210" t="s">
        <v>3180</v>
      </c>
      <c r="B2210">
        <v>46126</v>
      </c>
      <c r="C2210" t="s">
        <v>878</v>
      </c>
      <c r="D2210">
        <v>12</v>
      </c>
      <c r="I2210">
        <v>200000</v>
      </c>
      <c r="J2210" t="s">
        <v>800</v>
      </c>
      <c r="V2210" t="s">
        <v>350</v>
      </c>
      <c r="Y2210">
        <v>100</v>
      </c>
      <c r="AA2210">
        <v>80.5</v>
      </c>
      <c r="AC2210" s="3">
        <v>80.75</v>
      </c>
      <c r="AE2210" s="3">
        <v>77.5</v>
      </c>
      <c r="AI2210">
        <v>77.5</v>
      </c>
      <c r="AK2210" s="3"/>
      <c r="AV2210" t="s">
        <v>421</v>
      </c>
      <c r="AX2210" t="s">
        <v>421</v>
      </c>
      <c r="AZ2210" t="s">
        <v>421</v>
      </c>
      <c r="BB2210" t="s">
        <v>421</v>
      </c>
      <c r="BO2210" t="s">
        <v>367</v>
      </c>
      <c r="BR2210">
        <v>5866</v>
      </c>
      <c r="BS2210" t="s">
        <v>3182</v>
      </c>
      <c r="BT2210">
        <v>5</v>
      </c>
      <c r="BU2210">
        <v>9</v>
      </c>
      <c r="BV2210">
        <v>9</v>
      </c>
      <c r="BX2210">
        <v>81</v>
      </c>
      <c r="BZ2210">
        <v>75.5</v>
      </c>
      <c r="CM2210">
        <v>1911</v>
      </c>
    </row>
    <row r="2211" spans="1:91" x14ac:dyDescent="0.3">
      <c r="A2211" t="s">
        <v>3183</v>
      </c>
      <c r="B2211">
        <v>46148</v>
      </c>
      <c r="D2211">
        <v>12</v>
      </c>
      <c r="I2211">
        <v>70000</v>
      </c>
      <c r="U2211">
        <v>1</v>
      </c>
      <c r="Y2211">
        <v>1</v>
      </c>
      <c r="AA2211">
        <v>0.34</v>
      </c>
      <c r="AC2211" s="3">
        <v>0.34</v>
      </c>
      <c r="AE2211" s="3">
        <v>0.34</v>
      </c>
      <c r="AI2211">
        <v>0.34</v>
      </c>
      <c r="AK2211" s="3"/>
      <c r="AX2211" t="s">
        <v>823</v>
      </c>
      <c r="BB2211" t="s">
        <v>823</v>
      </c>
      <c r="BG2211">
        <v>3</v>
      </c>
      <c r="BH2211">
        <v>3</v>
      </c>
      <c r="BI2211">
        <v>3</v>
      </c>
      <c r="BJ2211">
        <v>3</v>
      </c>
      <c r="BK2211" s="4">
        <v>3685</v>
      </c>
      <c r="BL2211" s="4">
        <v>3866</v>
      </c>
      <c r="BM2211" s="4">
        <v>4050</v>
      </c>
      <c r="BN2211" s="4">
        <v>4231</v>
      </c>
      <c r="BR2211">
        <v>5138</v>
      </c>
      <c r="BT2211">
        <v>8</v>
      </c>
      <c r="BU2211">
        <v>16</v>
      </c>
      <c r="BV2211">
        <v>0</v>
      </c>
      <c r="BX2211">
        <v>0.37</v>
      </c>
      <c r="BZ2211">
        <v>0.25</v>
      </c>
      <c r="CK2211" t="s">
        <v>360</v>
      </c>
      <c r="CM2211">
        <v>1911</v>
      </c>
    </row>
    <row r="2212" spans="1:91" x14ac:dyDescent="0.3">
      <c r="A2212" t="s">
        <v>3184</v>
      </c>
      <c r="B2212">
        <v>46183</v>
      </c>
      <c r="D2212">
        <v>12</v>
      </c>
      <c r="I2212">
        <v>100000</v>
      </c>
      <c r="U2212">
        <v>1</v>
      </c>
      <c r="Y2212">
        <v>1</v>
      </c>
      <c r="AA2212">
        <v>0.87</v>
      </c>
      <c r="AC2212" s="3">
        <v>0.93</v>
      </c>
      <c r="AE2212" s="3">
        <v>0.84</v>
      </c>
      <c r="AI2212">
        <v>0.87</v>
      </c>
      <c r="AK2212" s="3"/>
      <c r="BG2212">
        <v>6</v>
      </c>
      <c r="BH2212">
        <v>6</v>
      </c>
      <c r="BI2212">
        <v>6</v>
      </c>
      <c r="BJ2212">
        <v>6</v>
      </c>
      <c r="BK2212" s="4">
        <v>3623</v>
      </c>
      <c r="BL2212" s="4">
        <v>3805</v>
      </c>
      <c r="BM2212" s="4">
        <v>3988</v>
      </c>
      <c r="BN2212" s="4">
        <v>4170</v>
      </c>
      <c r="BR2212">
        <v>41484</v>
      </c>
      <c r="BT2212">
        <v>6</v>
      </c>
      <c r="BU2212">
        <v>17</v>
      </c>
      <c r="BV2212">
        <v>3</v>
      </c>
      <c r="BX2212">
        <v>0.93</v>
      </c>
      <c r="BZ2212">
        <v>0.81</v>
      </c>
      <c r="CK2212" t="s">
        <v>360</v>
      </c>
      <c r="CM2212">
        <v>1911</v>
      </c>
    </row>
    <row r="2213" spans="1:91" x14ac:dyDescent="0.3">
      <c r="A2213" t="s">
        <v>3185</v>
      </c>
      <c r="B2213">
        <v>46294</v>
      </c>
      <c r="D2213">
        <v>12</v>
      </c>
      <c r="I2213">
        <v>199898</v>
      </c>
      <c r="U2213">
        <v>1</v>
      </c>
      <c r="Y2213">
        <v>1</v>
      </c>
      <c r="AA2213">
        <v>0.96</v>
      </c>
      <c r="AC2213" s="3">
        <v>0.96</v>
      </c>
      <c r="AE2213" s="3">
        <v>0.96</v>
      </c>
      <c r="AI2213">
        <v>0.96</v>
      </c>
      <c r="AK2213" s="3"/>
      <c r="AX2213" t="s">
        <v>823</v>
      </c>
      <c r="BB2213" t="s">
        <v>823</v>
      </c>
      <c r="BG2213">
        <v>8</v>
      </c>
      <c r="BH2213">
        <v>4</v>
      </c>
      <c r="BI2213">
        <v>9</v>
      </c>
      <c r="BJ2213">
        <v>4</v>
      </c>
      <c r="BK2213" s="4">
        <v>3774</v>
      </c>
      <c r="BL2213" s="4">
        <v>3958</v>
      </c>
      <c r="BM2213" s="4">
        <v>4139</v>
      </c>
      <c r="BN2213" s="4">
        <v>4323</v>
      </c>
      <c r="BR2213">
        <v>78369</v>
      </c>
      <c r="BS2213" t="s">
        <v>3186</v>
      </c>
      <c r="BT2213">
        <v>6</v>
      </c>
      <c r="BU2213">
        <v>14</v>
      </c>
      <c r="BV2213">
        <v>3</v>
      </c>
      <c r="BX2213">
        <v>1</v>
      </c>
      <c r="BZ2213">
        <v>0.87</v>
      </c>
      <c r="CK2213" t="s">
        <v>397</v>
      </c>
      <c r="CM2213">
        <v>1911</v>
      </c>
    </row>
    <row r="2214" spans="1:91" x14ac:dyDescent="0.3">
      <c r="A2214" t="s">
        <v>3185</v>
      </c>
      <c r="B2214">
        <v>46296</v>
      </c>
      <c r="C2214" t="s">
        <v>3187</v>
      </c>
      <c r="D2214">
        <v>12</v>
      </c>
      <c r="I2214">
        <v>131245</v>
      </c>
      <c r="U2214">
        <v>1</v>
      </c>
      <c r="Y2214">
        <v>1</v>
      </c>
      <c r="AA2214">
        <v>1.0900000000000001</v>
      </c>
      <c r="AC2214" s="3">
        <v>1.0900000000000001</v>
      </c>
      <c r="AE2214" s="3">
        <v>1.03</v>
      </c>
      <c r="AI2214">
        <v>1.06</v>
      </c>
      <c r="AK2214" s="3"/>
      <c r="AV2214" t="s">
        <v>366</v>
      </c>
      <c r="AX2214" t="s">
        <v>366</v>
      </c>
      <c r="AZ2214" t="s">
        <v>366</v>
      </c>
      <c r="BB2214" t="s">
        <v>366</v>
      </c>
      <c r="BO2214" t="s">
        <v>367</v>
      </c>
      <c r="BR2214">
        <v>78369</v>
      </c>
      <c r="BS2214" t="s">
        <v>3186</v>
      </c>
      <c r="BT2214">
        <v>5</v>
      </c>
      <c r="BU2214">
        <v>3</v>
      </c>
      <c r="BV2214">
        <v>6</v>
      </c>
      <c r="BX2214">
        <v>1.1200000000000001</v>
      </c>
      <c r="BZ2214">
        <v>1.03</v>
      </c>
      <c r="CM2214">
        <v>1911</v>
      </c>
    </row>
    <row r="2215" spans="1:91" x14ac:dyDescent="0.3">
      <c r="A2215" t="s">
        <v>3185</v>
      </c>
      <c r="B2215">
        <v>46295</v>
      </c>
      <c r="C2215" t="s">
        <v>839</v>
      </c>
      <c r="D2215">
        <v>12</v>
      </c>
      <c r="I2215">
        <v>129700</v>
      </c>
      <c r="J2215" t="s">
        <v>800</v>
      </c>
      <c r="V2215" t="s">
        <v>350</v>
      </c>
      <c r="Y2215">
        <v>100</v>
      </c>
      <c r="AA2215">
        <v>98</v>
      </c>
      <c r="AC2215" s="3">
        <v>98</v>
      </c>
      <c r="AE2215" s="3">
        <v>98</v>
      </c>
      <c r="AI2215">
        <v>98</v>
      </c>
      <c r="AK2215" s="3"/>
      <c r="AV2215" t="s">
        <v>536</v>
      </c>
      <c r="AX2215" t="s">
        <v>536</v>
      </c>
      <c r="AZ2215" t="s">
        <v>536</v>
      </c>
      <c r="BB2215" t="s">
        <v>536</v>
      </c>
      <c r="BO2215" t="s">
        <v>367</v>
      </c>
      <c r="BR2215">
        <v>78369</v>
      </c>
      <c r="BS2215" t="s">
        <v>3186</v>
      </c>
      <c r="BT2215">
        <v>4</v>
      </c>
      <c r="BU2215">
        <v>12</v>
      </c>
      <c r="BV2215">
        <v>3</v>
      </c>
      <c r="BX2215">
        <v>99.5</v>
      </c>
      <c r="BZ2215">
        <v>97</v>
      </c>
      <c r="CM2215">
        <v>1911</v>
      </c>
    </row>
    <row r="2216" spans="1:91" x14ac:dyDescent="0.3">
      <c r="A2216" t="s">
        <v>3188</v>
      </c>
      <c r="B2216">
        <v>46325</v>
      </c>
      <c r="D2216">
        <v>12</v>
      </c>
      <c r="I2216">
        <v>949808</v>
      </c>
      <c r="U2216">
        <v>1</v>
      </c>
      <c r="Y2216">
        <v>1</v>
      </c>
      <c r="AA2216">
        <v>3.34</v>
      </c>
      <c r="AB2216" t="s">
        <v>379</v>
      </c>
      <c r="AC2216" s="3">
        <v>3.68</v>
      </c>
      <c r="AE2216" s="3">
        <v>3.34</v>
      </c>
      <c r="AI2216">
        <v>3.68</v>
      </c>
      <c r="AK2216" s="3"/>
      <c r="AX2216" t="s">
        <v>823</v>
      </c>
      <c r="BB2216" t="s">
        <v>823</v>
      </c>
      <c r="BG2216">
        <v>22.5</v>
      </c>
      <c r="BH2216">
        <v>7.5</v>
      </c>
      <c r="BI2216">
        <v>22.5</v>
      </c>
      <c r="BJ2216">
        <v>7.5</v>
      </c>
      <c r="BK2216" s="4">
        <v>3805</v>
      </c>
      <c r="BL2216" s="4">
        <v>3988</v>
      </c>
      <c r="BM2216" s="4">
        <v>4170</v>
      </c>
      <c r="BN2216" s="4">
        <v>4353</v>
      </c>
      <c r="BR2216">
        <v>619231</v>
      </c>
      <c r="BS2216" t="s">
        <v>3189</v>
      </c>
      <c r="BT2216">
        <v>4</v>
      </c>
      <c r="BU2216">
        <v>1</v>
      </c>
      <c r="BV2216">
        <v>3</v>
      </c>
      <c r="BX2216">
        <v>3.68</v>
      </c>
      <c r="BZ2216">
        <v>2.93</v>
      </c>
      <c r="CK2216" t="s">
        <v>393</v>
      </c>
      <c r="CM2216">
        <v>1911</v>
      </c>
    </row>
    <row r="2217" spans="1:91" x14ac:dyDescent="0.3">
      <c r="A2217" t="s">
        <v>3188</v>
      </c>
      <c r="B2217">
        <v>46326</v>
      </c>
      <c r="C2217" t="s">
        <v>3190</v>
      </c>
      <c r="D2217">
        <v>12</v>
      </c>
      <c r="I2217">
        <v>248132</v>
      </c>
      <c r="U2217">
        <v>1</v>
      </c>
      <c r="Y2217">
        <v>1</v>
      </c>
      <c r="AA2217">
        <v>1.1499999999999999</v>
      </c>
      <c r="AB2217" t="s">
        <v>379</v>
      </c>
      <c r="AC2217" s="3">
        <v>1.1499999999999999</v>
      </c>
      <c r="AE2217" s="3">
        <v>1.1499999999999999</v>
      </c>
      <c r="AI2217">
        <v>1.1499999999999999</v>
      </c>
      <c r="AK2217" s="3"/>
      <c r="AV2217" t="s">
        <v>421</v>
      </c>
      <c r="AX2217" t="s">
        <v>421</v>
      </c>
      <c r="AZ2217" t="s">
        <v>421</v>
      </c>
      <c r="BB2217" t="s">
        <v>421</v>
      </c>
      <c r="BO2217" t="s">
        <v>367</v>
      </c>
      <c r="BR2217">
        <v>619231</v>
      </c>
      <c r="BS2217" t="s">
        <v>3189</v>
      </c>
      <c r="BT2217">
        <v>4</v>
      </c>
      <c r="BU2217">
        <v>6</v>
      </c>
      <c r="BV2217">
        <v>6</v>
      </c>
      <c r="BX2217">
        <v>1.18</v>
      </c>
      <c r="BZ2217">
        <v>1.06</v>
      </c>
      <c r="CM2217">
        <v>1911</v>
      </c>
    </row>
    <row r="2218" spans="1:91" x14ac:dyDescent="0.3">
      <c r="A2218" t="s">
        <v>3188</v>
      </c>
      <c r="B2218">
        <v>46327</v>
      </c>
      <c r="C2218" t="s">
        <v>3191</v>
      </c>
      <c r="D2218">
        <v>12</v>
      </c>
      <c r="I2218">
        <v>235000</v>
      </c>
      <c r="U2218">
        <v>1</v>
      </c>
      <c r="Y2218">
        <v>1</v>
      </c>
      <c r="AA2218">
        <v>1.34</v>
      </c>
      <c r="AB2218" t="s">
        <v>379</v>
      </c>
      <c r="AC2218" s="3">
        <v>1.34</v>
      </c>
      <c r="AE2218" s="3">
        <v>1.34</v>
      </c>
      <c r="AI2218">
        <v>1.34</v>
      </c>
      <c r="AK2218" s="3"/>
      <c r="AV2218" t="s">
        <v>421</v>
      </c>
      <c r="AX2218" t="s">
        <v>421</v>
      </c>
      <c r="AZ2218" t="s">
        <v>421</v>
      </c>
      <c r="BB2218" t="s">
        <v>421</v>
      </c>
      <c r="BO2218" t="s">
        <v>367</v>
      </c>
      <c r="BR2218">
        <v>619231</v>
      </c>
      <c r="BS2218" t="s">
        <v>3189</v>
      </c>
      <c r="BT2218">
        <v>4</v>
      </c>
      <c r="BU2218">
        <v>9</v>
      </c>
      <c r="BV2218">
        <v>3</v>
      </c>
      <c r="BX2218">
        <v>1.43</v>
      </c>
      <c r="BZ2218">
        <v>1.28</v>
      </c>
      <c r="CM2218">
        <v>1911</v>
      </c>
    </row>
    <row r="2219" spans="1:91" x14ac:dyDescent="0.3">
      <c r="A2219" t="s">
        <v>3192</v>
      </c>
      <c r="B2219">
        <v>46240</v>
      </c>
      <c r="D2219">
        <v>12</v>
      </c>
      <c r="I2219">
        <v>192200</v>
      </c>
      <c r="J2219" t="s">
        <v>800</v>
      </c>
      <c r="V2219" t="s">
        <v>350</v>
      </c>
      <c r="Y2219">
        <v>100</v>
      </c>
      <c r="AA2219">
        <v>68.5</v>
      </c>
      <c r="AC2219" s="3">
        <v>68.5</v>
      </c>
      <c r="AE2219" s="3">
        <v>66</v>
      </c>
      <c r="AI2219">
        <v>66</v>
      </c>
      <c r="AK2219" s="3"/>
      <c r="AX2219" t="s">
        <v>823</v>
      </c>
      <c r="BB2219" t="s">
        <v>823</v>
      </c>
      <c r="BG2219">
        <v>4.5</v>
      </c>
      <c r="BH2219">
        <v>4.5</v>
      </c>
      <c r="BI2219">
        <v>4.5</v>
      </c>
      <c r="BJ2219">
        <v>4.5</v>
      </c>
      <c r="BK2219" s="4">
        <v>3835</v>
      </c>
      <c r="BL2219" s="4">
        <v>4019</v>
      </c>
      <c r="BM2219" s="4">
        <v>4200</v>
      </c>
      <c r="BN2219" s="4">
        <v>4384</v>
      </c>
      <c r="BR2219">
        <v>14991</v>
      </c>
      <c r="BT2219">
        <v>6</v>
      </c>
      <c r="BU2219">
        <v>16</v>
      </c>
      <c r="BV2219">
        <v>3</v>
      </c>
      <c r="BX2219">
        <v>70</v>
      </c>
      <c r="BZ2219">
        <v>63.5</v>
      </c>
      <c r="CK2219" t="s">
        <v>360</v>
      </c>
      <c r="CM2219">
        <v>1911</v>
      </c>
    </row>
    <row r="2220" spans="1:91" x14ac:dyDescent="0.3">
      <c r="A2220" t="s">
        <v>3193</v>
      </c>
      <c r="B2220">
        <v>46247</v>
      </c>
      <c r="D2220">
        <v>12</v>
      </c>
      <c r="I2220" s="2">
        <v>1538700</v>
      </c>
      <c r="J2220" t="s">
        <v>800</v>
      </c>
      <c r="U2220">
        <v>100</v>
      </c>
      <c r="V2220" t="s">
        <v>615</v>
      </c>
      <c r="Y2220">
        <v>100</v>
      </c>
      <c r="Z2220" t="s">
        <v>615</v>
      </c>
      <c r="AA2220">
        <v>100</v>
      </c>
      <c r="AC2220" s="3">
        <v>100.75</v>
      </c>
      <c r="AE2220" s="3">
        <v>100</v>
      </c>
      <c r="AI2220">
        <v>100.5</v>
      </c>
      <c r="AK2220" s="3"/>
      <c r="AV2220" t="s">
        <v>385</v>
      </c>
      <c r="AX2220" t="s">
        <v>385</v>
      </c>
      <c r="AZ2220" t="s">
        <v>385</v>
      </c>
      <c r="BB2220" t="s">
        <v>385</v>
      </c>
      <c r="BS2220" t="s">
        <v>385</v>
      </c>
      <c r="BT2220">
        <v>3</v>
      </c>
      <c r="BU2220">
        <v>19</v>
      </c>
      <c r="BV2220">
        <v>6</v>
      </c>
      <c r="BX2220">
        <v>100.75</v>
      </c>
      <c r="BZ2220">
        <v>99.25</v>
      </c>
      <c r="CM2220">
        <v>1911</v>
      </c>
    </row>
    <row r="2221" spans="1:91" x14ac:dyDescent="0.3">
      <c r="A2221" t="s">
        <v>3194</v>
      </c>
      <c r="B2221">
        <v>46258</v>
      </c>
      <c r="D2221">
        <v>12</v>
      </c>
      <c r="I2221">
        <v>20000</v>
      </c>
      <c r="U2221">
        <v>5</v>
      </c>
      <c r="Y2221">
        <v>5</v>
      </c>
      <c r="AA2221">
        <v>3.75</v>
      </c>
      <c r="AC2221" s="3">
        <v>3.75</v>
      </c>
      <c r="AE2221" s="3">
        <v>3.75</v>
      </c>
      <c r="AI2221">
        <v>3.75</v>
      </c>
      <c r="AK2221" s="3"/>
      <c r="AV2221" t="s">
        <v>823</v>
      </c>
      <c r="AZ2221" t="s">
        <v>823</v>
      </c>
      <c r="BG2221">
        <v>5</v>
      </c>
      <c r="BH2221">
        <v>5</v>
      </c>
      <c r="BI2221">
        <v>5</v>
      </c>
      <c r="BJ2221">
        <v>5</v>
      </c>
      <c r="BK2221" s="4">
        <v>3744</v>
      </c>
      <c r="BL2221" s="4">
        <v>3958</v>
      </c>
      <c r="BM2221" s="4">
        <v>4109</v>
      </c>
      <c r="BN2221" s="4">
        <v>4323</v>
      </c>
      <c r="BR2221">
        <v>13528</v>
      </c>
      <c r="BS2221" t="s">
        <v>3195</v>
      </c>
      <c r="BT2221">
        <v>6</v>
      </c>
      <c r="BU2221">
        <v>13</v>
      </c>
      <c r="BV2221">
        <v>3</v>
      </c>
      <c r="BX2221">
        <v>3.75</v>
      </c>
      <c r="BZ2221">
        <v>3.5</v>
      </c>
      <c r="CK2221" t="s">
        <v>360</v>
      </c>
      <c r="CM2221">
        <v>1911</v>
      </c>
    </row>
    <row r="2222" spans="1:91" x14ac:dyDescent="0.3">
      <c r="A2222" t="s">
        <v>3196</v>
      </c>
      <c r="B2222">
        <v>46257</v>
      </c>
      <c r="D2222">
        <v>12</v>
      </c>
      <c r="I2222">
        <v>20000</v>
      </c>
      <c r="U2222">
        <v>5</v>
      </c>
      <c r="Y2222">
        <v>5</v>
      </c>
      <c r="AA2222">
        <v>3</v>
      </c>
      <c r="AC2222" s="3">
        <v>3</v>
      </c>
      <c r="AE2222" s="3">
        <v>3</v>
      </c>
      <c r="AI2222">
        <v>3</v>
      </c>
      <c r="AK2222" s="3"/>
      <c r="AV2222" t="s">
        <v>536</v>
      </c>
      <c r="AX2222" t="s">
        <v>536</v>
      </c>
      <c r="AZ2222" t="s">
        <v>536</v>
      </c>
      <c r="BB2222" t="s">
        <v>536</v>
      </c>
      <c r="BO2222" t="s">
        <v>367</v>
      </c>
      <c r="BR2222">
        <v>13528</v>
      </c>
      <c r="BS2222" t="s">
        <v>3195</v>
      </c>
      <c r="BT2222">
        <v>6</v>
      </c>
      <c r="BU2222">
        <v>13</v>
      </c>
      <c r="BV2222">
        <v>3</v>
      </c>
      <c r="BX2222">
        <v>3.25</v>
      </c>
      <c r="BZ2222">
        <v>2.75</v>
      </c>
      <c r="CM2222">
        <v>1911</v>
      </c>
    </row>
    <row r="2223" spans="1:91" x14ac:dyDescent="0.3">
      <c r="A2223" t="s">
        <v>3197</v>
      </c>
      <c r="B2223">
        <v>46259</v>
      </c>
      <c r="D2223">
        <v>12</v>
      </c>
      <c r="I2223">
        <v>20000</v>
      </c>
      <c r="U2223">
        <v>5</v>
      </c>
      <c r="Y2223">
        <v>5</v>
      </c>
      <c r="AA2223">
        <v>3</v>
      </c>
      <c r="AC2223" s="3">
        <v>3</v>
      </c>
      <c r="AE2223" s="3">
        <v>3</v>
      </c>
      <c r="AI2223">
        <v>3</v>
      </c>
      <c r="AK2223" s="3"/>
      <c r="BG2223">
        <v>5</v>
      </c>
      <c r="BH2223">
        <v>5</v>
      </c>
      <c r="BI2223">
        <v>5</v>
      </c>
      <c r="BJ2223">
        <v>5</v>
      </c>
      <c r="BK2223" s="4">
        <v>3744</v>
      </c>
      <c r="BL2223" s="4">
        <v>3958</v>
      </c>
      <c r="BM2223" s="4">
        <v>4109</v>
      </c>
      <c r="BN2223" s="4">
        <v>4323</v>
      </c>
      <c r="BR2223">
        <v>20868</v>
      </c>
      <c r="BS2223" t="s">
        <v>3198</v>
      </c>
      <c r="BT2223">
        <v>8</v>
      </c>
      <c r="BU2223">
        <v>6</v>
      </c>
      <c r="BV2223">
        <v>9</v>
      </c>
      <c r="BX2223">
        <v>3.25</v>
      </c>
      <c r="BZ2223">
        <v>2.81</v>
      </c>
      <c r="CK2223" t="s">
        <v>360</v>
      </c>
      <c r="CM2223">
        <v>1911</v>
      </c>
    </row>
    <row r="2224" spans="1:91" x14ac:dyDescent="0.3">
      <c r="A2224" t="s">
        <v>3197</v>
      </c>
      <c r="B2224">
        <v>46260</v>
      </c>
      <c r="C2224" t="s">
        <v>878</v>
      </c>
      <c r="D2224">
        <v>12</v>
      </c>
      <c r="I2224">
        <v>54500</v>
      </c>
      <c r="J2224" t="s">
        <v>800</v>
      </c>
      <c r="V2224" t="s">
        <v>350</v>
      </c>
      <c r="Y2224">
        <v>100</v>
      </c>
      <c r="AA2224">
        <v>81.5</v>
      </c>
      <c r="AC2224" s="3">
        <v>81.5</v>
      </c>
      <c r="AE2224" s="3">
        <v>81.5</v>
      </c>
      <c r="AI2224">
        <v>81.5</v>
      </c>
      <c r="AK2224" s="3"/>
      <c r="AV2224" t="s">
        <v>373</v>
      </c>
      <c r="AX2224" t="s">
        <v>373</v>
      </c>
      <c r="AZ2224" t="s">
        <v>373</v>
      </c>
      <c r="BB2224" t="s">
        <v>373</v>
      </c>
      <c r="BO2224" t="s">
        <v>367</v>
      </c>
      <c r="BR2224">
        <v>20868</v>
      </c>
      <c r="BS2224" t="s">
        <v>3198</v>
      </c>
      <c r="BT2224">
        <v>5</v>
      </c>
      <c r="BU2224">
        <v>11</v>
      </c>
      <c r="BV2224">
        <v>3</v>
      </c>
      <c r="BX2224">
        <v>84</v>
      </c>
      <c r="BZ2224">
        <v>80</v>
      </c>
      <c r="CM2224">
        <v>1911</v>
      </c>
    </row>
    <row r="2225" spans="1:91" x14ac:dyDescent="0.3">
      <c r="A2225" t="s">
        <v>3199</v>
      </c>
      <c r="B2225">
        <v>46378</v>
      </c>
      <c r="D2225">
        <v>12</v>
      </c>
      <c r="I2225">
        <v>20000</v>
      </c>
      <c r="U2225">
        <v>10</v>
      </c>
      <c r="Y2225">
        <v>10</v>
      </c>
      <c r="AA2225">
        <v>7.37</v>
      </c>
      <c r="AC2225" s="3">
        <v>7.37</v>
      </c>
      <c r="AE2225" s="3">
        <v>7.37</v>
      </c>
      <c r="AI2225">
        <v>7.37</v>
      </c>
      <c r="AK2225" s="3"/>
      <c r="AV2225" t="s">
        <v>823</v>
      </c>
      <c r="AZ2225" t="s">
        <v>823</v>
      </c>
      <c r="BG2225">
        <v>5</v>
      </c>
      <c r="BH2225">
        <v>10</v>
      </c>
      <c r="BI2225">
        <v>5</v>
      </c>
      <c r="BJ2225">
        <v>5</v>
      </c>
      <c r="BK2225" s="4">
        <v>3685</v>
      </c>
      <c r="BL2225" s="4">
        <v>3866</v>
      </c>
      <c r="BM2225" s="4">
        <v>4050</v>
      </c>
      <c r="BN2225" s="4">
        <v>4231</v>
      </c>
      <c r="BR2225">
        <v>122509</v>
      </c>
      <c r="BT2225">
        <v>6</v>
      </c>
      <c r="BU2225">
        <v>15</v>
      </c>
      <c r="BV2225">
        <v>6</v>
      </c>
      <c r="BX2225">
        <v>10.5</v>
      </c>
      <c r="BZ2225">
        <v>7.37</v>
      </c>
      <c r="CK2225" t="s">
        <v>393</v>
      </c>
      <c r="CM2225">
        <v>1911</v>
      </c>
    </row>
    <row r="2226" spans="1:91" x14ac:dyDescent="0.3">
      <c r="A2226" t="s">
        <v>3200</v>
      </c>
      <c r="B2226">
        <v>46440</v>
      </c>
      <c r="D2226">
        <v>12</v>
      </c>
      <c r="I2226">
        <v>807917</v>
      </c>
      <c r="U2226">
        <v>1</v>
      </c>
      <c r="Y2226">
        <v>1</v>
      </c>
      <c r="AA2226">
        <v>1.31</v>
      </c>
      <c r="AC2226" s="3">
        <v>1.31</v>
      </c>
      <c r="AE2226" s="3">
        <v>1.25</v>
      </c>
      <c r="AI2226">
        <v>1.28</v>
      </c>
      <c r="AK2226" s="3"/>
      <c r="AV2226" t="s">
        <v>815</v>
      </c>
      <c r="AX2226" t="s">
        <v>815</v>
      </c>
      <c r="AZ2226" t="s">
        <v>823</v>
      </c>
      <c r="BG2226">
        <v>6</v>
      </c>
      <c r="BH2226">
        <v>10</v>
      </c>
      <c r="BI2226">
        <v>8</v>
      </c>
      <c r="BJ2226">
        <v>12</v>
      </c>
      <c r="BK2226" s="4">
        <v>3470</v>
      </c>
      <c r="BL2226" s="4">
        <v>3866</v>
      </c>
      <c r="BM2226" s="4">
        <v>4078</v>
      </c>
      <c r="BN2226" s="4">
        <v>4262</v>
      </c>
      <c r="BR2226">
        <v>360591</v>
      </c>
      <c r="BS2226" t="s">
        <v>3201</v>
      </c>
      <c r="BT2226">
        <v>7</v>
      </c>
      <c r="BU2226">
        <v>16</v>
      </c>
      <c r="BV2226">
        <v>3</v>
      </c>
      <c r="BX2226">
        <v>1.46</v>
      </c>
      <c r="BZ2226">
        <v>1.18</v>
      </c>
      <c r="CK2226" t="s">
        <v>360</v>
      </c>
      <c r="CM2226">
        <v>1911</v>
      </c>
    </row>
    <row r="2227" spans="1:91" x14ac:dyDescent="0.3">
      <c r="A2227" t="s">
        <v>3200</v>
      </c>
      <c r="B2227">
        <v>46441</v>
      </c>
      <c r="C2227" t="s">
        <v>844</v>
      </c>
      <c r="D2227">
        <v>12</v>
      </c>
      <c r="I2227">
        <v>592083</v>
      </c>
      <c r="U2227">
        <v>1</v>
      </c>
      <c r="Y2227">
        <v>1</v>
      </c>
      <c r="AA2227">
        <v>1.0900000000000001</v>
      </c>
      <c r="AC2227" s="3">
        <v>1.1200000000000001</v>
      </c>
      <c r="AE2227" s="3">
        <v>1.0900000000000001</v>
      </c>
      <c r="AI2227">
        <v>1.0900000000000001</v>
      </c>
      <c r="AK2227" s="3"/>
      <c r="AV2227" t="s">
        <v>370</v>
      </c>
      <c r="AX2227" t="s">
        <v>370</v>
      </c>
      <c r="AZ2227" t="s">
        <v>370</v>
      </c>
      <c r="BB2227" t="s">
        <v>370</v>
      </c>
      <c r="BO2227" t="s">
        <v>367</v>
      </c>
      <c r="BR2227">
        <v>360591</v>
      </c>
      <c r="BS2227" t="s">
        <v>3201</v>
      </c>
      <c r="BT2227">
        <v>5</v>
      </c>
      <c r="BU2227">
        <v>9</v>
      </c>
      <c r="BV2227">
        <v>9</v>
      </c>
      <c r="BX2227">
        <v>1.1499999999999999</v>
      </c>
      <c r="BZ2227">
        <v>1</v>
      </c>
      <c r="CM2227">
        <v>1911</v>
      </c>
    </row>
    <row r="2228" spans="1:91" x14ac:dyDescent="0.3">
      <c r="A2228" t="s">
        <v>3200</v>
      </c>
      <c r="B2228">
        <v>46443</v>
      </c>
      <c r="C2228" t="s">
        <v>1248</v>
      </c>
      <c r="D2228">
        <v>12</v>
      </c>
      <c r="I2228">
        <v>320349</v>
      </c>
      <c r="J2228" t="s">
        <v>800</v>
      </c>
      <c r="V2228" t="s">
        <v>350</v>
      </c>
      <c r="Y2228">
        <v>100</v>
      </c>
      <c r="AA2228">
        <v>101.5</v>
      </c>
      <c r="AC2228" s="3">
        <v>102.5</v>
      </c>
      <c r="AE2228" s="3">
        <v>100.5</v>
      </c>
      <c r="AI2228">
        <v>100.5</v>
      </c>
      <c r="AJ2228" t="s">
        <v>379</v>
      </c>
      <c r="AK2228" s="3"/>
      <c r="AV2228" t="s">
        <v>370</v>
      </c>
      <c r="AX2228" t="s">
        <v>370</v>
      </c>
      <c r="AZ2228" t="s">
        <v>370</v>
      </c>
      <c r="BB2228" t="s">
        <v>370</v>
      </c>
      <c r="BO2228" t="s">
        <v>367</v>
      </c>
      <c r="BR2228">
        <v>360591</v>
      </c>
      <c r="BS2228" t="s">
        <v>3201</v>
      </c>
      <c r="BT2228">
        <v>4</v>
      </c>
      <c r="BU2228">
        <v>9</v>
      </c>
      <c r="BV2228">
        <v>6</v>
      </c>
      <c r="BX2228">
        <v>104</v>
      </c>
      <c r="BZ2228">
        <v>100</v>
      </c>
      <c r="CM2228">
        <v>1911</v>
      </c>
    </row>
    <row r="2229" spans="1:91" x14ac:dyDescent="0.3">
      <c r="A2229" t="s">
        <v>3202</v>
      </c>
      <c r="B2229">
        <v>46469</v>
      </c>
      <c r="D2229">
        <v>12</v>
      </c>
      <c r="I2229">
        <v>150000</v>
      </c>
      <c r="U2229">
        <v>1</v>
      </c>
      <c r="Y2229">
        <v>1</v>
      </c>
      <c r="AA2229">
        <v>1.18</v>
      </c>
      <c r="AC2229" s="3">
        <v>1.18</v>
      </c>
      <c r="AE2229" s="3">
        <v>1.18</v>
      </c>
      <c r="AI2229">
        <v>1.18</v>
      </c>
      <c r="AK2229" s="3"/>
      <c r="AX2229" t="s">
        <v>823</v>
      </c>
      <c r="BB2229" t="s">
        <v>823</v>
      </c>
      <c r="BG2229">
        <v>11</v>
      </c>
      <c r="BH2229">
        <v>5</v>
      </c>
      <c r="BI2229">
        <v>11</v>
      </c>
      <c r="BJ2229">
        <v>5</v>
      </c>
      <c r="BK2229" s="4">
        <v>3835</v>
      </c>
      <c r="BL2229" s="4">
        <v>4019</v>
      </c>
      <c r="BM2229" s="4">
        <v>4200</v>
      </c>
      <c r="BN2229" s="4">
        <v>4384</v>
      </c>
      <c r="BR2229">
        <v>35415</v>
      </c>
      <c r="BT2229">
        <v>6</v>
      </c>
      <c r="BU2229">
        <v>14</v>
      </c>
      <c r="BV2229">
        <v>9</v>
      </c>
      <c r="BX2229">
        <v>1.25</v>
      </c>
      <c r="BZ2229">
        <v>1.06</v>
      </c>
      <c r="CK2229" t="s">
        <v>360</v>
      </c>
      <c r="CM2229">
        <v>1911</v>
      </c>
    </row>
    <row r="2230" spans="1:91" x14ac:dyDescent="0.3">
      <c r="A2230" t="s">
        <v>3203</v>
      </c>
      <c r="B2230">
        <v>46483</v>
      </c>
      <c r="D2230">
        <v>12</v>
      </c>
      <c r="I2230">
        <v>16000</v>
      </c>
      <c r="U2230">
        <v>5</v>
      </c>
      <c r="Y2230">
        <v>5</v>
      </c>
      <c r="AA2230">
        <v>8.25</v>
      </c>
      <c r="AC2230" s="3">
        <v>8.25</v>
      </c>
      <c r="AE2230" s="3">
        <v>8</v>
      </c>
      <c r="AI2230">
        <v>8</v>
      </c>
      <c r="AK2230" s="3"/>
      <c r="AX2230" t="s">
        <v>823</v>
      </c>
      <c r="BB2230" t="s">
        <v>823</v>
      </c>
      <c r="BG2230">
        <v>7.5</v>
      </c>
      <c r="BH2230">
        <v>7.5</v>
      </c>
      <c r="BI2230">
        <v>8.5</v>
      </c>
      <c r="BJ2230">
        <v>7.5</v>
      </c>
      <c r="BK2230" s="4">
        <v>3805</v>
      </c>
      <c r="BL2230" s="4">
        <v>3988</v>
      </c>
      <c r="BM2230" s="4">
        <v>4170</v>
      </c>
      <c r="BN2230" s="4">
        <v>4353</v>
      </c>
      <c r="BR2230">
        <v>93299</v>
      </c>
      <c r="BT2230">
        <v>5</v>
      </c>
      <c r="BU2230">
        <v>0</v>
      </c>
      <c r="BV2230">
        <v>0</v>
      </c>
      <c r="BX2230">
        <v>9.25</v>
      </c>
      <c r="BZ2230">
        <v>7.75</v>
      </c>
      <c r="CK2230" t="s">
        <v>393</v>
      </c>
      <c r="CM2230">
        <v>1911</v>
      </c>
    </row>
    <row r="2231" spans="1:91" x14ac:dyDescent="0.3">
      <c r="A2231" t="s">
        <v>3204</v>
      </c>
      <c r="B2231">
        <v>46512</v>
      </c>
      <c r="D2231">
        <v>12</v>
      </c>
      <c r="I2231">
        <v>10000</v>
      </c>
      <c r="U2231">
        <v>5</v>
      </c>
      <c r="Y2231">
        <v>5</v>
      </c>
      <c r="AA2231">
        <v>4.62</v>
      </c>
      <c r="AC2231" s="3">
        <v>4.62</v>
      </c>
      <c r="AE2231" s="3">
        <v>4.62</v>
      </c>
      <c r="AI2231">
        <v>4.62</v>
      </c>
      <c r="AK2231" s="3"/>
      <c r="AX2231" t="s">
        <v>823</v>
      </c>
      <c r="BB2231" t="s">
        <v>823</v>
      </c>
      <c r="BG2231">
        <v>7</v>
      </c>
      <c r="BH2231">
        <v>5</v>
      </c>
      <c r="BI2231">
        <v>8</v>
      </c>
      <c r="BJ2231">
        <v>5</v>
      </c>
      <c r="BK2231" s="4">
        <v>3713</v>
      </c>
      <c r="BL2231" s="4">
        <v>3897</v>
      </c>
      <c r="BM2231" s="4">
        <v>4078</v>
      </c>
      <c r="BN2231" s="4">
        <v>4262</v>
      </c>
      <c r="BR2231">
        <v>28184</v>
      </c>
      <c r="BT2231">
        <v>7</v>
      </c>
      <c r="BU2231">
        <v>0</v>
      </c>
      <c r="BV2231">
        <v>6</v>
      </c>
      <c r="BX2231">
        <v>4.62</v>
      </c>
      <c r="BZ2231">
        <v>4.25</v>
      </c>
      <c r="CK2231" t="s">
        <v>360</v>
      </c>
      <c r="CL2231" t="s">
        <v>457</v>
      </c>
      <c r="CM2231">
        <v>1911</v>
      </c>
    </row>
    <row r="2232" spans="1:91" x14ac:dyDescent="0.3">
      <c r="A2232" t="s">
        <v>3205</v>
      </c>
      <c r="B2232">
        <v>46515</v>
      </c>
      <c r="D2232">
        <v>12</v>
      </c>
      <c r="I2232">
        <v>100000</v>
      </c>
      <c r="U2232">
        <v>1</v>
      </c>
      <c r="Y2232">
        <v>1</v>
      </c>
      <c r="AA2232">
        <v>0.96</v>
      </c>
      <c r="AC2232" s="3">
        <v>0.96</v>
      </c>
      <c r="AE2232" s="3">
        <v>0.93</v>
      </c>
      <c r="AI2232">
        <v>0.96</v>
      </c>
      <c r="AJ2232" t="s">
        <v>379</v>
      </c>
      <c r="AK2232" s="3"/>
      <c r="AV2232" t="s">
        <v>370</v>
      </c>
      <c r="AX2232" t="s">
        <v>370</v>
      </c>
      <c r="AZ2232" t="s">
        <v>370</v>
      </c>
      <c r="BB2232" t="s">
        <v>370</v>
      </c>
      <c r="BO2232" t="s">
        <v>367</v>
      </c>
      <c r="BR2232">
        <v>31500</v>
      </c>
      <c r="BT2232">
        <v>7</v>
      </c>
      <c r="BU2232">
        <v>4</v>
      </c>
      <c r="BV2232">
        <v>6</v>
      </c>
      <c r="BX2232">
        <v>1.06</v>
      </c>
      <c r="BZ2232">
        <v>0.78</v>
      </c>
      <c r="CM2232">
        <v>1911</v>
      </c>
    </row>
    <row r="2233" spans="1:91" x14ac:dyDescent="0.3">
      <c r="A2233" t="s">
        <v>3206</v>
      </c>
      <c r="B2233">
        <v>46517</v>
      </c>
      <c r="D2233">
        <v>12</v>
      </c>
      <c r="I2233">
        <v>300000</v>
      </c>
      <c r="U2233">
        <v>1</v>
      </c>
      <c r="Y2233">
        <v>1</v>
      </c>
      <c r="AA2233">
        <v>3</v>
      </c>
      <c r="AC2233" s="3">
        <v>3</v>
      </c>
      <c r="AE2233" s="3">
        <v>3</v>
      </c>
      <c r="AI2233">
        <v>3</v>
      </c>
      <c r="AK2233" s="3"/>
      <c r="AV2233" t="s">
        <v>815</v>
      </c>
      <c r="AX2233" t="s">
        <v>815</v>
      </c>
      <c r="AZ2233" t="s">
        <v>815</v>
      </c>
      <c r="BB2233" t="s">
        <v>815</v>
      </c>
      <c r="BG2233">
        <v>15</v>
      </c>
      <c r="BH2233">
        <v>15</v>
      </c>
      <c r="BI2233">
        <v>15</v>
      </c>
      <c r="BJ2233">
        <v>16.25</v>
      </c>
      <c r="BK2233" s="4">
        <v>3136</v>
      </c>
      <c r="BL2233" s="4">
        <v>3501</v>
      </c>
      <c r="BM2233" s="4">
        <v>3866</v>
      </c>
      <c r="BN2233" s="4">
        <v>4231</v>
      </c>
      <c r="BR2233">
        <v>233139</v>
      </c>
      <c r="BS2233" t="s">
        <v>3207</v>
      </c>
      <c r="BT2233">
        <v>5</v>
      </c>
      <c r="BU2233">
        <v>8</v>
      </c>
      <c r="BV2233">
        <v>3</v>
      </c>
      <c r="BY2233" t="s">
        <v>385</v>
      </c>
      <c r="CA2233" t="s">
        <v>385</v>
      </c>
      <c r="CM2233">
        <v>1911</v>
      </c>
    </row>
    <row r="2234" spans="1:91" x14ac:dyDescent="0.3">
      <c r="A2234" t="s">
        <v>3206</v>
      </c>
      <c r="B2234">
        <v>46525</v>
      </c>
      <c r="C2234" t="s">
        <v>1062</v>
      </c>
      <c r="D2234">
        <v>12</v>
      </c>
      <c r="I2234">
        <v>80000</v>
      </c>
      <c r="U2234">
        <v>5</v>
      </c>
      <c r="Y2234">
        <v>5</v>
      </c>
      <c r="AA2234">
        <v>7</v>
      </c>
      <c r="AC2234" s="3">
        <v>7</v>
      </c>
      <c r="AE2234" s="3">
        <v>7</v>
      </c>
      <c r="AI2234">
        <v>7</v>
      </c>
      <c r="AK2234" s="3"/>
      <c r="AV2234" t="s">
        <v>506</v>
      </c>
      <c r="AX2234" t="s">
        <v>506</v>
      </c>
      <c r="AZ2234" t="s">
        <v>506</v>
      </c>
      <c r="BB2234" t="s">
        <v>506</v>
      </c>
      <c r="BO2234" t="s">
        <v>367</v>
      </c>
      <c r="BR2234">
        <v>233139</v>
      </c>
      <c r="BS2234" t="s">
        <v>3207</v>
      </c>
      <c r="BT2234">
        <v>5</v>
      </c>
      <c r="BU2234">
        <v>0</v>
      </c>
      <c r="BV2234">
        <v>0</v>
      </c>
      <c r="BX2234">
        <v>7.12</v>
      </c>
      <c r="BZ2234">
        <v>6.62</v>
      </c>
      <c r="CK2234" t="s">
        <v>360</v>
      </c>
      <c r="CM2234">
        <v>1911</v>
      </c>
    </row>
    <row r="2235" spans="1:91" x14ac:dyDescent="0.3">
      <c r="A2235" t="s">
        <v>3208</v>
      </c>
      <c r="B2235">
        <v>46570</v>
      </c>
      <c r="D2235">
        <v>12</v>
      </c>
      <c r="I2235">
        <v>14000</v>
      </c>
      <c r="U2235">
        <v>5</v>
      </c>
      <c r="Y2235">
        <v>3</v>
      </c>
      <c r="AA2235">
        <v>3.46</v>
      </c>
      <c r="AC2235" s="3">
        <v>3.53</v>
      </c>
      <c r="AE2235" s="3">
        <v>3.46</v>
      </c>
      <c r="AI2235">
        <v>3.53</v>
      </c>
      <c r="AK2235" s="3"/>
      <c r="AU2235" t="s">
        <v>1465</v>
      </c>
      <c r="AV2235" t="s">
        <v>1466</v>
      </c>
      <c r="AW2235" t="s">
        <v>1465</v>
      </c>
      <c r="AX2235" t="s">
        <v>1466</v>
      </c>
      <c r="AY2235" t="s">
        <v>1465</v>
      </c>
      <c r="AZ2235" t="s">
        <v>1466</v>
      </c>
      <c r="BA2235" t="s">
        <v>1465</v>
      </c>
      <c r="BB2235" t="s">
        <v>1466</v>
      </c>
      <c r="BC2235">
        <v>36</v>
      </c>
      <c r="BD2235">
        <v>36</v>
      </c>
      <c r="BE2235">
        <v>36</v>
      </c>
      <c r="BF2235">
        <v>36</v>
      </c>
      <c r="BK2235" s="4">
        <v>3654</v>
      </c>
      <c r="BL2235" s="4">
        <v>3835</v>
      </c>
      <c r="BM2235" s="4">
        <v>4019</v>
      </c>
      <c r="BN2235" s="4">
        <v>4200</v>
      </c>
      <c r="BR2235">
        <v>6131</v>
      </c>
      <c r="BT2235">
        <v>8</v>
      </c>
      <c r="BU2235">
        <v>9</v>
      </c>
      <c r="BV2235">
        <v>3</v>
      </c>
      <c r="BX2235">
        <v>3.53</v>
      </c>
      <c r="BZ2235">
        <v>3.21</v>
      </c>
      <c r="CK2235" t="s">
        <v>2828</v>
      </c>
      <c r="CM2235">
        <v>1911</v>
      </c>
    </row>
    <row r="2236" spans="1:91" x14ac:dyDescent="0.3">
      <c r="A2236" t="s">
        <v>3209</v>
      </c>
      <c r="B2236">
        <v>46578</v>
      </c>
      <c r="D2236">
        <v>12</v>
      </c>
      <c r="I2236">
        <v>30000</v>
      </c>
      <c r="U2236">
        <v>10</v>
      </c>
      <c r="Y2236">
        <v>10</v>
      </c>
      <c r="AA2236">
        <v>11.75</v>
      </c>
      <c r="AC2236" s="3">
        <v>11.75</v>
      </c>
      <c r="AE2236" s="3">
        <v>11.75</v>
      </c>
      <c r="AI2236">
        <v>11.75</v>
      </c>
      <c r="AK2236" s="3"/>
      <c r="BG2236">
        <v>6</v>
      </c>
      <c r="BH2236">
        <v>6</v>
      </c>
      <c r="BI2236">
        <v>6</v>
      </c>
      <c r="BJ2236">
        <v>6</v>
      </c>
      <c r="BK2236" s="4">
        <v>3744</v>
      </c>
      <c r="BL2236" s="4">
        <v>3927</v>
      </c>
      <c r="BM2236" s="4">
        <v>4109</v>
      </c>
      <c r="BN2236" s="4">
        <v>4292</v>
      </c>
      <c r="BS2236" t="s">
        <v>385</v>
      </c>
      <c r="BT2236">
        <v>5</v>
      </c>
      <c r="BU2236">
        <v>2</v>
      </c>
      <c r="BV2236">
        <v>3</v>
      </c>
      <c r="BX2236">
        <v>12.31</v>
      </c>
      <c r="BZ2236">
        <v>11.46</v>
      </c>
      <c r="CK2236" t="s">
        <v>360</v>
      </c>
      <c r="CM2236">
        <v>1911</v>
      </c>
    </row>
    <row r="2237" spans="1:91" x14ac:dyDescent="0.3">
      <c r="A2237" t="s">
        <v>3210</v>
      </c>
      <c r="B2237">
        <v>46586</v>
      </c>
      <c r="D2237">
        <v>12</v>
      </c>
      <c r="I2237">
        <v>100776</v>
      </c>
      <c r="U2237">
        <v>1</v>
      </c>
      <c r="Y2237">
        <v>1</v>
      </c>
      <c r="AA2237">
        <v>0.71</v>
      </c>
      <c r="AC2237" s="3">
        <v>0.71</v>
      </c>
      <c r="AE2237" s="3">
        <v>0.71</v>
      </c>
      <c r="AI2237">
        <v>0.71</v>
      </c>
      <c r="AK2237" s="3"/>
      <c r="AX2237" t="s">
        <v>823</v>
      </c>
      <c r="BB2237" t="s">
        <v>823</v>
      </c>
      <c r="BG2237">
        <v>7</v>
      </c>
      <c r="BH2237">
        <v>4</v>
      </c>
      <c r="BI2237">
        <v>7</v>
      </c>
      <c r="BJ2237">
        <v>4</v>
      </c>
      <c r="BK2237" s="4">
        <v>3713</v>
      </c>
      <c r="BL2237" s="4">
        <v>3866</v>
      </c>
      <c r="BM2237" s="4">
        <v>4078</v>
      </c>
      <c r="BN2237" s="4">
        <v>4231</v>
      </c>
      <c r="BR2237">
        <v>6476</v>
      </c>
      <c r="BT2237">
        <v>7</v>
      </c>
      <c r="BU2237">
        <v>13</v>
      </c>
      <c r="BV2237">
        <v>0</v>
      </c>
      <c r="BX2237">
        <v>0.75</v>
      </c>
      <c r="BZ2237">
        <v>0.68</v>
      </c>
      <c r="CK2237" t="s">
        <v>360</v>
      </c>
      <c r="CM2237">
        <v>1911</v>
      </c>
    </row>
    <row r="2238" spans="1:91" x14ac:dyDescent="0.3">
      <c r="A2238" t="s">
        <v>3211</v>
      </c>
      <c r="B2238">
        <v>46614</v>
      </c>
      <c r="D2238">
        <v>12</v>
      </c>
      <c r="I2238">
        <v>112000</v>
      </c>
      <c r="U2238">
        <v>5</v>
      </c>
      <c r="Y2238">
        <v>5</v>
      </c>
      <c r="AA2238">
        <v>3.28</v>
      </c>
      <c r="AC2238" s="3">
        <v>3.46</v>
      </c>
      <c r="AE2238" s="3">
        <v>3.31</v>
      </c>
      <c r="AI2238">
        <v>3.43</v>
      </c>
      <c r="AK2238" s="3"/>
      <c r="AX2238" t="s">
        <v>823</v>
      </c>
      <c r="BB2238" t="s">
        <v>823</v>
      </c>
      <c r="BG2238">
        <v>5</v>
      </c>
      <c r="BH2238">
        <v>5</v>
      </c>
      <c r="BI2238">
        <v>5</v>
      </c>
      <c r="BJ2238">
        <v>5</v>
      </c>
      <c r="BK2238" s="4">
        <v>3685</v>
      </c>
      <c r="BL2238" s="4">
        <v>3866</v>
      </c>
      <c r="BM2238" s="4">
        <v>4050</v>
      </c>
      <c r="BN2238" s="4">
        <v>4231</v>
      </c>
      <c r="BR2238">
        <v>395958</v>
      </c>
      <c r="BS2238" t="s">
        <v>3212</v>
      </c>
      <c r="BT2238">
        <v>7</v>
      </c>
      <c r="BU2238">
        <v>5</v>
      </c>
      <c r="BV2238">
        <v>6</v>
      </c>
      <c r="BX2238">
        <v>3.84</v>
      </c>
      <c r="BZ2238">
        <v>2.71</v>
      </c>
      <c r="CK2238" t="s">
        <v>3213</v>
      </c>
      <c r="CM2238">
        <v>1911</v>
      </c>
    </row>
    <row r="2239" spans="1:91" x14ac:dyDescent="0.3">
      <c r="A2239" t="s">
        <v>3211</v>
      </c>
      <c r="B2239">
        <v>46615</v>
      </c>
      <c r="C2239" t="s">
        <v>817</v>
      </c>
      <c r="D2239">
        <v>12</v>
      </c>
      <c r="I2239">
        <v>95757</v>
      </c>
      <c r="U2239">
        <v>5</v>
      </c>
      <c r="Y2239">
        <v>5</v>
      </c>
      <c r="AA2239">
        <v>3.12</v>
      </c>
      <c r="AC2239" s="3">
        <v>3.34</v>
      </c>
      <c r="AE2239" s="3">
        <v>3.18</v>
      </c>
      <c r="AI2239">
        <v>3.18</v>
      </c>
      <c r="AK2239" s="3"/>
      <c r="AV2239" t="s">
        <v>421</v>
      </c>
      <c r="AX2239" t="s">
        <v>421</v>
      </c>
      <c r="AZ2239" t="s">
        <v>421</v>
      </c>
      <c r="BB2239" t="s">
        <v>421</v>
      </c>
      <c r="BO2239" t="s">
        <v>367</v>
      </c>
      <c r="BR2239">
        <v>395958</v>
      </c>
      <c r="BS2239" t="s">
        <v>3212</v>
      </c>
      <c r="BT2239">
        <v>7</v>
      </c>
      <c r="BU2239">
        <v>17</v>
      </c>
      <c r="BV2239">
        <v>0</v>
      </c>
      <c r="BX2239">
        <v>3.53</v>
      </c>
      <c r="BZ2239">
        <v>2.9</v>
      </c>
      <c r="CM2239">
        <v>1911</v>
      </c>
    </row>
    <row r="2240" spans="1:91" x14ac:dyDescent="0.3">
      <c r="A2240" t="s">
        <v>3211</v>
      </c>
      <c r="B2240">
        <v>46616</v>
      </c>
      <c r="C2240" t="s">
        <v>2591</v>
      </c>
      <c r="D2240">
        <v>12</v>
      </c>
      <c r="I2240">
        <v>332855</v>
      </c>
      <c r="J2240" t="s">
        <v>800</v>
      </c>
      <c r="V2240" t="s">
        <v>350</v>
      </c>
      <c r="Y2240">
        <v>100</v>
      </c>
      <c r="AA2240">
        <v>79.5</v>
      </c>
      <c r="AC2240" s="3">
        <v>79.5</v>
      </c>
      <c r="AE2240" s="3">
        <v>77.5</v>
      </c>
      <c r="AI2240">
        <v>77.5</v>
      </c>
      <c r="AJ2240" t="s">
        <v>379</v>
      </c>
      <c r="AK2240" s="3"/>
      <c r="AV2240" t="s">
        <v>370</v>
      </c>
      <c r="AX2240" t="s">
        <v>370</v>
      </c>
      <c r="AZ2240" t="s">
        <v>370</v>
      </c>
      <c r="BB2240" t="s">
        <v>370</v>
      </c>
      <c r="BO2240" t="s">
        <v>367</v>
      </c>
      <c r="BR2240">
        <v>395958</v>
      </c>
      <c r="BS2240" t="s">
        <v>3212</v>
      </c>
      <c r="BT2240">
        <v>5</v>
      </c>
      <c r="BU2240">
        <v>3</v>
      </c>
      <c r="BV2240">
        <v>3</v>
      </c>
      <c r="BX2240">
        <v>81</v>
      </c>
      <c r="BZ2240">
        <v>76</v>
      </c>
      <c r="CM2240">
        <v>1911</v>
      </c>
    </row>
    <row r="2241" spans="1:91" x14ac:dyDescent="0.3">
      <c r="A2241" t="s">
        <v>3214</v>
      </c>
      <c r="B2241">
        <v>46656</v>
      </c>
      <c r="D2241">
        <v>12</v>
      </c>
      <c r="I2241">
        <v>70000</v>
      </c>
      <c r="U2241">
        <v>5</v>
      </c>
      <c r="Y2241">
        <v>5</v>
      </c>
      <c r="AA2241">
        <v>5.5</v>
      </c>
      <c r="AC2241" s="3">
        <v>5.5</v>
      </c>
      <c r="AE2241" s="3">
        <v>5.5</v>
      </c>
      <c r="AI2241">
        <v>5.5</v>
      </c>
      <c r="AK2241" s="3"/>
      <c r="AV2241" t="s">
        <v>536</v>
      </c>
      <c r="AX2241" t="s">
        <v>536</v>
      </c>
      <c r="AZ2241" t="s">
        <v>536</v>
      </c>
      <c r="BB2241" t="s">
        <v>536</v>
      </c>
      <c r="BO2241" t="s">
        <v>367</v>
      </c>
      <c r="BR2241">
        <v>238358</v>
      </c>
      <c r="BT2241">
        <v>5</v>
      </c>
      <c r="BU2241">
        <v>0</v>
      </c>
      <c r="BV2241">
        <v>0</v>
      </c>
      <c r="BX2241">
        <v>5.62</v>
      </c>
      <c r="BZ2241">
        <v>5.37</v>
      </c>
      <c r="CK2241" t="s">
        <v>360</v>
      </c>
      <c r="CM2241">
        <v>1911</v>
      </c>
    </row>
    <row r="2242" spans="1:91" x14ac:dyDescent="0.3">
      <c r="A2242" t="s">
        <v>3215</v>
      </c>
      <c r="B2242">
        <v>46788</v>
      </c>
      <c r="D2242">
        <v>12</v>
      </c>
      <c r="I2242">
        <v>170000</v>
      </c>
      <c r="U2242">
        <v>1</v>
      </c>
      <c r="Y2242">
        <v>1</v>
      </c>
      <c r="AA2242">
        <v>0.12</v>
      </c>
      <c r="AC2242" s="3">
        <v>0.12</v>
      </c>
      <c r="AE2242" s="3">
        <v>0.12</v>
      </c>
      <c r="AI2242">
        <v>0.12</v>
      </c>
      <c r="AK2242" s="3"/>
      <c r="AV2242" t="s">
        <v>385</v>
      </c>
      <c r="BB2242" t="s">
        <v>810</v>
      </c>
      <c r="BH2242">
        <v>7</v>
      </c>
      <c r="BI2242">
        <v>10</v>
      </c>
      <c r="BL2242" s="4">
        <v>2313</v>
      </c>
      <c r="BM2242" s="4">
        <v>2678</v>
      </c>
      <c r="BR2242">
        <v>37661</v>
      </c>
      <c r="BW2242" t="s">
        <v>802</v>
      </c>
      <c r="BX2242">
        <v>0.37</v>
      </c>
      <c r="BZ2242">
        <v>0.12</v>
      </c>
      <c r="CM2242">
        <v>1911</v>
      </c>
    </row>
    <row r="2243" spans="1:91" x14ac:dyDescent="0.3">
      <c r="A2243" t="s">
        <v>3216</v>
      </c>
      <c r="B2243">
        <v>46771</v>
      </c>
      <c r="D2243">
        <v>12</v>
      </c>
      <c r="I2243">
        <v>24500</v>
      </c>
      <c r="U2243">
        <v>4</v>
      </c>
      <c r="Y2243">
        <v>4</v>
      </c>
      <c r="AA2243">
        <v>2.25</v>
      </c>
      <c r="AC2243" s="3">
        <v>2.25</v>
      </c>
      <c r="AE2243" s="3">
        <v>2.0299999999999998</v>
      </c>
      <c r="AI2243">
        <v>2.25</v>
      </c>
      <c r="AK2243" s="3"/>
      <c r="AX2243" t="s">
        <v>823</v>
      </c>
      <c r="BB2243" t="s">
        <v>823</v>
      </c>
      <c r="BG2243">
        <v>4</v>
      </c>
      <c r="BH2243">
        <v>4</v>
      </c>
      <c r="BI2243">
        <v>4</v>
      </c>
      <c r="BJ2243">
        <v>3</v>
      </c>
      <c r="BK2243" s="4">
        <v>3593</v>
      </c>
      <c r="BL2243" s="4">
        <v>3774</v>
      </c>
      <c r="BM2243" s="4">
        <v>3958</v>
      </c>
      <c r="BN2243" s="4">
        <v>4139</v>
      </c>
      <c r="BR2243">
        <v>4739</v>
      </c>
      <c r="BS2243" t="s">
        <v>3217</v>
      </c>
      <c r="BT2243">
        <v>6</v>
      </c>
      <c r="BU2243">
        <v>13</v>
      </c>
      <c r="BV2243">
        <v>3</v>
      </c>
      <c r="BX2243">
        <v>2.5</v>
      </c>
      <c r="BZ2243">
        <v>2</v>
      </c>
      <c r="CK2243" t="s">
        <v>360</v>
      </c>
      <c r="CM2243">
        <v>1911</v>
      </c>
    </row>
    <row r="2244" spans="1:91" x14ac:dyDescent="0.3">
      <c r="A2244" t="s">
        <v>3218</v>
      </c>
      <c r="B2244">
        <v>46807</v>
      </c>
      <c r="D2244">
        <v>12</v>
      </c>
      <c r="I2244">
        <v>424624</v>
      </c>
      <c r="U2244">
        <v>1</v>
      </c>
      <c r="Y2244">
        <v>1</v>
      </c>
      <c r="AA2244">
        <v>0.75</v>
      </c>
      <c r="AC2244" s="3">
        <v>0.78</v>
      </c>
      <c r="AE2244" s="3">
        <v>0.71</v>
      </c>
      <c r="AI2244">
        <v>0.75</v>
      </c>
      <c r="AK2244" s="3"/>
      <c r="AX2244" t="s">
        <v>823</v>
      </c>
      <c r="BB2244" t="s">
        <v>823</v>
      </c>
      <c r="BG2244">
        <v>4</v>
      </c>
      <c r="BH2244">
        <v>6</v>
      </c>
      <c r="BI2244">
        <v>8</v>
      </c>
      <c r="BJ2244">
        <v>6</v>
      </c>
      <c r="BK2244" s="4">
        <v>3713</v>
      </c>
      <c r="BL2244" s="4">
        <v>3866</v>
      </c>
      <c r="BM2244" s="4">
        <v>4078</v>
      </c>
      <c r="BN2244" s="4">
        <v>4231</v>
      </c>
      <c r="BR2244">
        <v>32068</v>
      </c>
      <c r="BT2244">
        <v>9</v>
      </c>
      <c r="BU2244">
        <v>6</v>
      </c>
      <c r="BV2244">
        <v>9</v>
      </c>
      <c r="BX2244">
        <v>0.81</v>
      </c>
      <c r="BZ2244">
        <v>0.71</v>
      </c>
      <c r="CK2244" t="s">
        <v>360</v>
      </c>
      <c r="CL2244" t="s">
        <v>457</v>
      </c>
      <c r="CM2244">
        <v>1911</v>
      </c>
    </row>
    <row r="2245" spans="1:91" x14ac:dyDescent="0.3">
      <c r="A2245" t="s">
        <v>3219</v>
      </c>
      <c r="B2245">
        <v>46810</v>
      </c>
      <c r="D2245">
        <v>12</v>
      </c>
      <c r="I2245">
        <v>300000</v>
      </c>
      <c r="U2245">
        <v>1</v>
      </c>
      <c r="Y2245">
        <v>1</v>
      </c>
      <c r="AA2245">
        <v>1</v>
      </c>
      <c r="AC2245" s="3">
        <v>1.1499999999999999</v>
      </c>
      <c r="AE2245" s="3">
        <v>1</v>
      </c>
      <c r="AI2245">
        <v>1.0900000000000001</v>
      </c>
      <c r="AK2245" s="3"/>
      <c r="AV2245" t="s">
        <v>815</v>
      </c>
      <c r="AX2245" t="s">
        <v>815</v>
      </c>
      <c r="AZ2245" t="s">
        <v>815</v>
      </c>
      <c r="BB2245" t="s">
        <v>815</v>
      </c>
      <c r="BG2245">
        <v>7.5</v>
      </c>
      <c r="BH2245">
        <v>10</v>
      </c>
      <c r="BI2245">
        <v>7.5</v>
      </c>
      <c r="BJ2245">
        <v>7.5</v>
      </c>
      <c r="BK2245" s="4">
        <v>3014</v>
      </c>
      <c r="BL2245" s="4">
        <v>3379</v>
      </c>
      <c r="BM2245" s="4">
        <v>3744</v>
      </c>
      <c r="BN2245" s="4">
        <v>4109</v>
      </c>
      <c r="BR2245">
        <v>372203</v>
      </c>
      <c r="BS2245" t="s">
        <v>3220</v>
      </c>
      <c r="BT2245">
        <v>6</v>
      </c>
      <c r="BU2245">
        <v>17</v>
      </c>
      <c r="BV2245">
        <v>3</v>
      </c>
      <c r="BX2245">
        <v>1.21</v>
      </c>
      <c r="BZ2245">
        <v>1</v>
      </c>
      <c r="CK2245" t="s">
        <v>360</v>
      </c>
      <c r="CM2245">
        <v>1911</v>
      </c>
    </row>
    <row r="2246" spans="1:91" x14ac:dyDescent="0.3">
      <c r="A2246" t="s">
        <v>3219</v>
      </c>
      <c r="B2246">
        <v>46812</v>
      </c>
      <c r="C2246" t="s">
        <v>2025</v>
      </c>
      <c r="D2246">
        <v>12</v>
      </c>
      <c r="I2246">
        <v>150000</v>
      </c>
      <c r="U2246">
        <v>1</v>
      </c>
      <c r="Y2246">
        <v>1</v>
      </c>
      <c r="AA2246">
        <v>1.0900000000000001</v>
      </c>
      <c r="AC2246" s="3">
        <v>1.0900000000000001</v>
      </c>
      <c r="AE2246" s="3">
        <v>1.03</v>
      </c>
      <c r="AI2246">
        <v>1.0900000000000001</v>
      </c>
      <c r="AK2246" s="3"/>
      <c r="AX2246" t="s">
        <v>823</v>
      </c>
      <c r="BB2246" t="s">
        <v>823</v>
      </c>
      <c r="BG2246">
        <v>8</v>
      </c>
      <c r="BH2246">
        <v>6</v>
      </c>
      <c r="BI2246">
        <v>8</v>
      </c>
      <c r="BJ2246">
        <v>6</v>
      </c>
      <c r="BK2246" s="4">
        <v>3744</v>
      </c>
      <c r="BL2246" s="4">
        <v>3927</v>
      </c>
      <c r="BM2246" s="4">
        <v>4109</v>
      </c>
      <c r="BN2246" s="4">
        <v>4292</v>
      </c>
      <c r="BR2246">
        <v>372203</v>
      </c>
      <c r="BS2246" t="s">
        <v>3220</v>
      </c>
      <c r="BT2246">
        <v>6</v>
      </c>
      <c r="BU2246">
        <v>8</v>
      </c>
      <c r="BV2246">
        <v>0</v>
      </c>
      <c r="BX2246">
        <v>1.18</v>
      </c>
      <c r="BZ2246">
        <v>1.03</v>
      </c>
      <c r="CM2246">
        <v>1911</v>
      </c>
    </row>
    <row r="2247" spans="1:91" x14ac:dyDescent="0.3">
      <c r="A2247" t="s">
        <v>3219</v>
      </c>
      <c r="B2247">
        <v>46813</v>
      </c>
      <c r="C2247" t="s">
        <v>3221</v>
      </c>
      <c r="D2247">
        <v>12</v>
      </c>
      <c r="I2247">
        <v>50000</v>
      </c>
      <c r="U2247">
        <v>1</v>
      </c>
      <c r="Y2247">
        <v>1</v>
      </c>
      <c r="AA2247">
        <v>1.06</v>
      </c>
      <c r="AC2247" s="3">
        <v>1.06</v>
      </c>
      <c r="AE2247" s="3">
        <v>1.06</v>
      </c>
      <c r="AI2247">
        <v>1.06</v>
      </c>
      <c r="AK2247" s="3"/>
      <c r="AX2247" t="s">
        <v>823</v>
      </c>
      <c r="BB2247" t="s">
        <v>823</v>
      </c>
      <c r="BG2247">
        <v>8</v>
      </c>
      <c r="BH2247">
        <v>6</v>
      </c>
      <c r="BI2247">
        <v>8</v>
      </c>
      <c r="BJ2247">
        <v>6</v>
      </c>
      <c r="BK2247" s="4">
        <v>3744</v>
      </c>
      <c r="BL2247" s="4">
        <v>3927</v>
      </c>
      <c r="BM2247" s="4">
        <v>4109</v>
      </c>
      <c r="BN2247" s="4">
        <v>4292</v>
      </c>
      <c r="BR2247">
        <v>372203</v>
      </c>
      <c r="BS2247" t="s">
        <v>3220</v>
      </c>
      <c r="BT2247">
        <v>6</v>
      </c>
      <c r="BU2247">
        <v>11</v>
      </c>
      <c r="BV2247">
        <v>9</v>
      </c>
      <c r="BX2247">
        <v>1.18</v>
      </c>
      <c r="BZ2247">
        <v>1.06</v>
      </c>
      <c r="CM2247">
        <v>1911</v>
      </c>
    </row>
    <row r="2248" spans="1:91" x14ac:dyDescent="0.3">
      <c r="A2248" t="s">
        <v>3222</v>
      </c>
      <c r="B2248">
        <v>46826</v>
      </c>
      <c r="D2248">
        <v>12</v>
      </c>
      <c r="I2248">
        <v>41988</v>
      </c>
      <c r="U2248">
        <v>10</v>
      </c>
      <c r="Y2248">
        <v>10</v>
      </c>
      <c r="AA2248">
        <v>8.6199999999999992</v>
      </c>
      <c r="AC2248" s="3">
        <v>8.8699999999999992</v>
      </c>
      <c r="AE2248" s="3">
        <v>5.5</v>
      </c>
      <c r="AI2248">
        <v>8.75</v>
      </c>
      <c r="AK2248" s="3"/>
      <c r="AX2248" t="s">
        <v>823</v>
      </c>
      <c r="BB2248" t="s">
        <v>823</v>
      </c>
      <c r="BG2248">
        <v>8</v>
      </c>
      <c r="BH2248">
        <v>3</v>
      </c>
      <c r="BI2248">
        <v>9</v>
      </c>
      <c r="BJ2248">
        <v>3</v>
      </c>
      <c r="BK2248" s="4">
        <v>3774</v>
      </c>
      <c r="BL2248" s="4">
        <v>3927</v>
      </c>
      <c r="BM2248" s="4">
        <v>4139</v>
      </c>
      <c r="BN2248" s="4">
        <v>4292</v>
      </c>
      <c r="BR2248">
        <v>120423</v>
      </c>
      <c r="BS2248" t="s">
        <v>3223</v>
      </c>
      <c r="BT2248">
        <v>6</v>
      </c>
      <c r="BU2248">
        <v>17</v>
      </c>
      <c r="BV2248">
        <v>3</v>
      </c>
      <c r="BX2248">
        <v>9.5</v>
      </c>
      <c r="BZ2248">
        <v>7.5</v>
      </c>
      <c r="CK2248" t="s">
        <v>360</v>
      </c>
      <c r="CM2248">
        <v>1911</v>
      </c>
    </row>
    <row r="2249" spans="1:91" x14ac:dyDescent="0.3">
      <c r="A2249" t="s">
        <v>3222</v>
      </c>
      <c r="B2249">
        <v>46828</v>
      </c>
      <c r="C2249" t="s">
        <v>817</v>
      </c>
      <c r="D2249">
        <v>12</v>
      </c>
      <c r="I2249">
        <v>20000</v>
      </c>
      <c r="U2249">
        <v>10</v>
      </c>
      <c r="Y2249">
        <v>10</v>
      </c>
      <c r="AA2249">
        <v>9.8699999999999992</v>
      </c>
      <c r="AC2249" s="3">
        <v>10.06</v>
      </c>
      <c r="AE2249" s="3">
        <v>9.6199999999999992</v>
      </c>
      <c r="AI2249">
        <v>9.6199999999999992</v>
      </c>
      <c r="AJ2249" t="s">
        <v>379</v>
      </c>
      <c r="AK2249" s="3"/>
      <c r="AV2249" t="s">
        <v>370</v>
      </c>
      <c r="AX2249" t="s">
        <v>370</v>
      </c>
      <c r="AZ2249" t="s">
        <v>370</v>
      </c>
      <c r="BB2249" t="s">
        <v>370</v>
      </c>
      <c r="BO2249" t="s">
        <v>367</v>
      </c>
      <c r="BR2249">
        <v>120423</v>
      </c>
      <c r="BS2249" t="s">
        <v>3223</v>
      </c>
      <c r="BT2249">
        <v>5</v>
      </c>
      <c r="BU2249">
        <v>3</v>
      </c>
      <c r="BV2249">
        <v>9</v>
      </c>
      <c r="BX2249">
        <v>10.5</v>
      </c>
      <c r="BZ2249">
        <v>8.75</v>
      </c>
      <c r="CM2249">
        <v>1911</v>
      </c>
    </row>
    <row r="2250" spans="1:91" x14ac:dyDescent="0.3">
      <c r="A2250" t="s">
        <v>3224</v>
      </c>
      <c r="B2250">
        <v>46851</v>
      </c>
      <c r="D2250">
        <v>12</v>
      </c>
      <c r="I2250">
        <v>126000</v>
      </c>
      <c r="U2250">
        <v>1</v>
      </c>
      <c r="Z2250" t="s">
        <v>1856</v>
      </c>
      <c r="AA2250">
        <v>0.87</v>
      </c>
      <c r="AC2250" s="3">
        <v>0.87</v>
      </c>
      <c r="AE2250" s="3">
        <v>0.87</v>
      </c>
      <c r="AI2250">
        <v>0.87</v>
      </c>
      <c r="AK2250" s="3"/>
      <c r="AU2250" t="s">
        <v>1717</v>
      </c>
      <c r="AV2250" t="s">
        <v>1718</v>
      </c>
      <c r="AW2250" t="s">
        <v>1717</v>
      </c>
      <c r="AX2250" t="s">
        <v>1719</v>
      </c>
      <c r="AZ2250" t="s">
        <v>969</v>
      </c>
      <c r="BA2250" t="s">
        <v>2340</v>
      </c>
      <c r="BB2250" t="s">
        <v>3225</v>
      </c>
      <c r="BC2250">
        <v>12</v>
      </c>
      <c r="BD2250">
        <v>12</v>
      </c>
      <c r="BF2250">
        <v>6</v>
      </c>
      <c r="BK2250" s="4">
        <v>2862</v>
      </c>
      <c r="BL2250" s="4">
        <v>3075</v>
      </c>
      <c r="BM2250" t="s">
        <v>811</v>
      </c>
      <c r="BN2250" s="4">
        <v>4323</v>
      </c>
      <c r="BR2250">
        <v>17581</v>
      </c>
      <c r="BT2250">
        <v>14</v>
      </c>
      <c r="BU2250">
        <v>5</v>
      </c>
      <c r="BV2250">
        <v>9</v>
      </c>
      <c r="BX2250">
        <v>1.06</v>
      </c>
      <c r="BZ2250">
        <v>0.78</v>
      </c>
      <c r="CK2250" t="s">
        <v>360</v>
      </c>
      <c r="CM2250">
        <v>1911</v>
      </c>
    </row>
    <row r="2251" spans="1:91" x14ac:dyDescent="0.3">
      <c r="A2251" t="s">
        <v>3226</v>
      </c>
      <c r="B2251">
        <v>46880</v>
      </c>
      <c r="D2251">
        <v>12</v>
      </c>
      <c r="I2251">
        <v>110000</v>
      </c>
      <c r="U2251">
        <v>1</v>
      </c>
      <c r="Y2251">
        <v>1</v>
      </c>
      <c r="AA2251">
        <v>1.43</v>
      </c>
      <c r="AC2251" s="3">
        <v>1.43</v>
      </c>
      <c r="AE2251" s="3">
        <v>1.31</v>
      </c>
      <c r="AI2251">
        <v>1.43</v>
      </c>
      <c r="AK2251" s="3"/>
      <c r="AV2251" t="s">
        <v>823</v>
      </c>
      <c r="AZ2251" t="s">
        <v>823</v>
      </c>
      <c r="BG2251">
        <v>5</v>
      </c>
      <c r="BH2251">
        <v>7.5</v>
      </c>
      <c r="BI2251">
        <v>10</v>
      </c>
      <c r="BJ2251">
        <v>15</v>
      </c>
      <c r="BK2251" s="4">
        <v>3654</v>
      </c>
      <c r="BL2251" s="4">
        <v>3835</v>
      </c>
      <c r="BM2251" s="4">
        <v>4019</v>
      </c>
      <c r="BN2251" s="4">
        <v>4200</v>
      </c>
      <c r="BR2251">
        <v>16500</v>
      </c>
      <c r="BT2251">
        <v>8</v>
      </c>
      <c r="BU2251">
        <v>13</v>
      </c>
      <c r="BV2251">
        <v>9</v>
      </c>
      <c r="BX2251">
        <v>1.59</v>
      </c>
      <c r="BZ2251">
        <v>1.18</v>
      </c>
      <c r="CK2251" t="s">
        <v>360</v>
      </c>
      <c r="CM2251">
        <v>1911</v>
      </c>
    </row>
    <row r="2252" spans="1:91" x14ac:dyDescent="0.3">
      <c r="A2252" t="s">
        <v>3227</v>
      </c>
      <c r="B2252">
        <v>46922</v>
      </c>
      <c r="D2252">
        <v>12</v>
      </c>
      <c r="I2252">
        <v>298800</v>
      </c>
      <c r="J2252" t="s">
        <v>800</v>
      </c>
      <c r="U2252">
        <v>100</v>
      </c>
      <c r="Y2252">
        <v>100</v>
      </c>
      <c r="AA2252">
        <v>105.5</v>
      </c>
      <c r="AC2252" s="3">
        <v>107</v>
      </c>
      <c r="AE2252" s="3">
        <v>105.5</v>
      </c>
      <c r="AI2252">
        <v>106.5</v>
      </c>
      <c r="AK2252" s="3"/>
      <c r="BG2252">
        <v>6</v>
      </c>
      <c r="BH2252">
        <v>6</v>
      </c>
      <c r="BI2252">
        <v>6</v>
      </c>
      <c r="BJ2252">
        <v>6</v>
      </c>
      <c r="BK2252" s="4">
        <v>3654</v>
      </c>
      <c r="BL2252" s="4">
        <v>3835</v>
      </c>
      <c r="BM2252" s="4">
        <v>4019</v>
      </c>
      <c r="BN2252" s="4">
        <v>4200</v>
      </c>
      <c r="BS2252" t="s">
        <v>385</v>
      </c>
      <c r="BT2252">
        <v>5</v>
      </c>
      <c r="BU2252">
        <v>16</v>
      </c>
      <c r="BV2252">
        <v>0</v>
      </c>
      <c r="BX2252">
        <v>108</v>
      </c>
      <c r="BZ2252">
        <v>103.5</v>
      </c>
      <c r="CM2252">
        <v>1911</v>
      </c>
    </row>
    <row r="2253" spans="1:91" x14ac:dyDescent="0.3">
      <c r="A2253" t="s">
        <v>3228</v>
      </c>
      <c r="B2253">
        <v>47003</v>
      </c>
      <c r="D2253">
        <v>12</v>
      </c>
      <c r="I2253">
        <v>500000</v>
      </c>
      <c r="U2253">
        <v>1</v>
      </c>
      <c r="Y2253">
        <v>1</v>
      </c>
      <c r="AA2253">
        <v>0.56000000000000005</v>
      </c>
      <c r="AC2253" s="3">
        <v>0.62</v>
      </c>
      <c r="AE2253" s="3">
        <v>0.56000000000000005</v>
      </c>
      <c r="AI2253">
        <v>0.59</v>
      </c>
      <c r="AJ2253" t="s">
        <v>379</v>
      </c>
      <c r="AK2253" s="3"/>
      <c r="AV2253" t="s">
        <v>370</v>
      </c>
      <c r="AX2253" t="s">
        <v>370</v>
      </c>
      <c r="AZ2253" t="s">
        <v>370</v>
      </c>
      <c r="BB2253" t="s">
        <v>370</v>
      </c>
      <c r="BO2253" t="s">
        <v>367</v>
      </c>
      <c r="BR2253">
        <v>11688</v>
      </c>
      <c r="BT2253">
        <v>8</v>
      </c>
      <c r="BU2253">
        <v>8</v>
      </c>
      <c r="BV2253">
        <v>9</v>
      </c>
      <c r="BX2253">
        <v>0.75</v>
      </c>
      <c r="BZ2253">
        <v>0.53</v>
      </c>
      <c r="CM2253">
        <v>1911</v>
      </c>
    </row>
    <row r="2254" spans="1:91" x14ac:dyDescent="0.3">
      <c r="A2254" t="s">
        <v>3229</v>
      </c>
      <c r="B2254">
        <v>47013</v>
      </c>
      <c r="D2254">
        <v>12</v>
      </c>
      <c r="I2254">
        <v>70000</v>
      </c>
      <c r="U2254">
        <v>1</v>
      </c>
      <c r="Y2254">
        <v>1</v>
      </c>
      <c r="AA2254">
        <v>1.1200000000000001</v>
      </c>
      <c r="AC2254" s="3">
        <v>1.1200000000000001</v>
      </c>
      <c r="AE2254" s="3">
        <v>1.1200000000000001</v>
      </c>
      <c r="AI2254">
        <v>1.1200000000000001</v>
      </c>
      <c r="AK2254" s="3"/>
      <c r="AX2254" t="s">
        <v>823</v>
      </c>
      <c r="BB2254" t="s">
        <v>823</v>
      </c>
      <c r="BG2254">
        <v>9</v>
      </c>
      <c r="BH2254">
        <v>6</v>
      </c>
      <c r="BI2254">
        <v>9</v>
      </c>
      <c r="BJ2254">
        <v>6</v>
      </c>
      <c r="BK2254" s="4">
        <v>3744</v>
      </c>
      <c r="BL2254" s="4">
        <v>3897</v>
      </c>
      <c r="BM2254" s="4">
        <v>4109</v>
      </c>
      <c r="BN2254" s="4">
        <v>4262</v>
      </c>
      <c r="BR2254">
        <v>14735</v>
      </c>
      <c r="BS2254" t="s">
        <v>3230</v>
      </c>
      <c r="BT2254">
        <v>6</v>
      </c>
      <c r="BU2254">
        <v>13</v>
      </c>
      <c r="BV2254">
        <v>3</v>
      </c>
      <c r="BX2254">
        <v>1.1499999999999999</v>
      </c>
      <c r="BZ2254">
        <v>1</v>
      </c>
      <c r="CK2254" t="s">
        <v>360</v>
      </c>
      <c r="CM2254">
        <v>1911</v>
      </c>
    </row>
    <row r="2255" spans="1:91" x14ac:dyDescent="0.3">
      <c r="A2255" t="s">
        <v>3229</v>
      </c>
      <c r="B2255">
        <v>47014</v>
      </c>
      <c r="C2255" t="s">
        <v>817</v>
      </c>
      <c r="D2255">
        <v>12</v>
      </c>
      <c r="I2255">
        <v>70000</v>
      </c>
      <c r="U2255">
        <v>1</v>
      </c>
      <c r="Y2255">
        <v>1</v>
      </c>
      <c r="AA2255">
        <v>0.96</v>
      </c>
      <c r="AC2255" s="3">
        <v>0.96</v>
      </c>
      <c r="AE2255" s="3">
        <v>0.96</v>
      </c>
      <c r="AI2255">
        <v>0.96</v>
      </c>
      <c r="AK2255" s="3"/>
      <c r="AV2255" t="s">
        <v>373</v>
      </c>
      <c r="AX2255" t="s">
        <v>373</v>
      </c>
      <c r="AZ2255" t="s">
        <v>373</v>
      </c>
      <c r="BB2255" t="s">
        <v>373</v>
      </c>
      <c r="BO2255" t="s">
        <v>367</v>
      </c>
      <c r="BR2255">
        <v>14735</v>
      </c>
      <c r="BS2255" t="s">
        <v>3230</v>
      </c>
      <c r="BT2255">
        <v>5</v>
      </c>
      <c r="BU2255">
        <v>3</v>
      </c>
      <c r="BV2255">
        <v>3</v>
      </c>
      <c r="BX2255">
        <v>1</v>
      </c>
      <c r="BZ2255">
        <v>0.9</v>
      </c>
      <c r="CK2255" t="s">
        <v>360</v>
      </c>
      <c r="CM2255">
        <v>1911</v>
      </c>
    </row>
    <row r="2256" spans="1:91" x14ac:dyDescent="0.3">
      <c r="A2256" t="s">
        <v>3231</v>
      </c>
      <c r="B2256">
        <v>47022</v>
      </c>
      <c r="D2256">
        <v>12</v>
      </c>
      <c r="I2256">
        <v>400000</v>
      </c>
      <c r="U2256">
        <v>1</v>
      </c>
      <c r="Y2256">
        <v>1</v>
      </c>
      <c r="AA2256">
        <v>3.25</v>
      </c>
      <c r="AC2256" s="3">
        <v>3.62</v>
      </c>
      <c r="AE2256" s="3">
        <v>3.28</v>
      </c>
      <c r="AI2256">
        <v>3.5</v>
      </c>
      <c r="AK2256" s="3"/>
      <c r="AV2256" t="s">
        <v>3232</v>
      </c>
      <c r="AW2256" t="s">
        <v>1582</v>
      </c>
      <c r="AX2256" t="s">
        <v>1760</v>
      </c>
      <c r="AZ2256" t="s">
        <v>3233</v>
      </c>
      <c r="BB2256" t="s">
        <v>3234</v>
      </c>
      <c r="BD2256">
        <v>24</v>
      </c>
      <c r="BG2256">
        <v>10</v>
      </c>
      <c r="BI2256">
        <v>10</v>
      </c>
      <c r="BK2256" t="s">
        <v>913</v>
      </c>
      <c r="BL2256" t="s">
        <v>811</v>
      </c>
      <c r="BM2256" t="s">
        <v>1226</v>
      </c>
      <c r="BR2256">
        <v>386727</v>
      </c>
      <c r="BT2256">
        <v>2</v>
      </c>
      <c r="BU2256">
        <v>17</v>
      </c>
      <c r="BV2256">
        <v>0</v>
      </c>
      <c r="BX2256">
        <v>4</v>
      </c>
      <c r="BZ2256">
        <v>3.56</v>
      </c>
      <c r="CK2256" t="s">
        <v>360</v>
      </c>
      <c r="CM2256">
        <v>1911</v>
      </c>
    </row>
    <row r="2257" spans="1:91" x14ac:dyDescent="0.3">
      <c r="A2257" t="s">
        <v>3235</v>
      </c>
      <c r="B2257">
        <v>47044</v>
      </c>
      <c r="D2257">
        <v>12</v>
      </c>
      <c r="I2257">
        <v>228540</v>
      </c>
      <c r="U2257">
        <v>10</v>
      </c>
      <c r="Y2257">
        <v>10</v>
      </c>
      <c r="AA2257">
        <v>18.62</v>
      </c>
      <c r="AC2257" s="3">
        <v>18.62</v>
      </c>
      <c r="AE2257" s="3">
        <v>18.5</v>
      </c>
      <c r="AI2257">
        <v>18.62</v>
      </c>
      <c r="AK2257" s="3"/>
      <c r="AV2257" t="s">
        <v>815</v>
      </c>
      <c r="AX2257" t="s">
        <v>815</v>
      </c>
      <c r="AZ2257" t="s">
        <v>815</v>
      </c>
      <c r="BB2257" t="s">
        <v>815</v>
      </c>
      <c r="BG2257">
        <v>10</v>
      </c>
      <c r="BH2257">
        <v>10</v>
      </c>
      <c r="BI2257">
        <v>10</v>
      </c>
      <c r="BJ2257">
        <v>10</v>
      </c>
      <c r="BK2257" s="4">
        <v>3075</v>
      </c>
      <c r="BL2257" s="4">
        <v>3440</v>
      </c>
      <c r="BM2257" s="4">
        <v>3805</v>
      </c>
      <c r="BN2257" s="4">
        <v>4170</v>
      </c>
      <c r="BR2257">
        <v>506852</v>
      </c>
      <c r="BS2257" t="s">
        <v>3236</v>
      </c>
      <c r="BT2257">
        <v>5</v>
      </c>
      <c r="BU2257">
        <v>7</v>
      </c>
      <c r="BV2257">
        <v>6</v>
      </c>
      <c r="BX2257">
        <v>19.25</v>
      </c>
      <c r="BZ2257">
        <v>17.5</v>
      </c>
      <c r="CK2257" t="s">
        <v>360</v>
      </c>
      <c r="CM2257">
        <v>1911</v>
      </c>
    </row>
    <row r="2258" spans="1:91" x14ac:dyDescent="0.3">
      <c r="A2258" t="s">
        <v>3235</v>
      </c>
      <c r="B2258">
        <v>47045</v>
      </c>
      <c r="C2258" t="s">
        <v>817</v>
      </c>
      <c r="D2258">
        <v>12</v>
      </c>
      <c r="I2258">
        <v>100000</v>
      </c>
      <c r="U2258">
        <v>10</v>
      </c>
      <c r="Y2258">
        <v>10</v>
      </c>
      <c r="AA2258">
        <v>11.5</v>
      </c>
      <c r="AB2258" t="s">
        <v>379</v>
      </c>
      <c r="AC2258" s="3">
        <v>11.87</v>
      </c>
      <c r="AE2258" s="3">
        <v>11.25</v>
      </c>
      <c r="AI2258">
        <v>11.75</v>
      </c>
      <c r="AK2258" s="3"/>
      <c r="AV2258" t="s">
        <v>421</v>
      </c>
      <c r="AX2258" t="s">
        <v>421</v>
      </c>
      <c r="AZ2258" t="s">
        <v>421</v>
      </c>
      <c r="BB2258" t="s">
        <v>421</v>
      </c>
      <c r="BO2258" t="s">
        <v>367</v>
      </c>
      <c r="BR2258">
        <v>506852</v>
      </c>
      <c r="BS2258" t="s">
        <v>3236</v>
      </c>
      <c r="BT2258">
        <v>4</v>
      </c>
      <c r="BU2258">
        <v>7</v>
      </c>
      <c r="BV2258">
        <v>0</v>
      </c>
      <c r="BX2258">
        <v>12.12</v>
      </c>
      <c r="BZ2258">
        <v>11.12</v>
      </c>
      <c r="CM2258">
        <v>1911</v>
      </c>
    </row>
    <row r="2259" spans="1:91" x14ac:dyDescent="0.3">
      <c r="A2259" t="s">
        <v>3237</v>
      </c>
      <c r="B2259">
        <v>46676</v>
      </c>
      <c r="D2259">
        <v>12</v>
      </c>
      <c r="I2259">
        <v>10000</v>
      </c>
      <c r="U2259">
        <v>20</v>
      </c>
      <c r="Y2259">
        <v>5</v>
      </c>
      <c r="AA2259">
        <v>10.75</v>
      </c>
      <c r="AC2259" s="3">
        <v>10.75</v>
      </c>
      <c r="AE2259" s="3">
        <v>10.75</v>
      </c>
      <c r="AI2259">
        <v>10.75</v>
      </c>
      <c r="AK2259" s="3"/>
      <c r="BG2259">
        <v>13</v>
      </c>
      <c r="BH2259">
        <v>13</v>
      </c>
      <c r="BI2259">
        <v>13</v>
      </c>
      <c r="BJ2259">
        <v>13</v>
      </c>
      <c r="BK2259" s="4">
        <v>3685</v>
      </c>
      <c r="BL2259" s="4">
        <v>3866</v>
      </c>
      <c r="BM2259" s="4">
        <v>4050</v>
      </c>
      <c r="BN2259" s="4">
        <v>4231</v>
      </c>
      <c r="BR2259">
        <v>130482</v>
      </c>
      <c r="BT2259">
        <v>6</v>
      </c>
      <c r="BU2259">
        <v>1</v>
      </c>
      <c r="BV2259">
        <v>0</v>
      </c>
      <c r="BX2259">
        <v>11.12</v>
      </c>
      <c r="BZ2259">
        <v>10</v>
      </c>
      <c r="CK2259" t="s">
        <v>541</v>
      </c>
      <c r="CM2259">
        <v>1911</v>
      </c>
    </row>
    <row r="2260" spans="1:91" x14ac:dyDescent="0.3">
      <c r="A2260" t="s">
        <v>3238</v>
      </c>
      <c r="B2260">
        <v>47059</v>
      </c>
      <c r="D2260">
        <v>12</v>
      </c>
      <c r="I2260">
        <v>20000</v>
      </c>
      <c r="U2260">
        <v>3</v>
      </c>
      <c r="Y2260">
        <v>1.5</v>
      </c>
      <c r="AA2260">
        <v>1.25</v>
      </c>
      <c r="AC2260" s="3">
        <v>1.28</v>
      </c>
      <c r="AE2260" s="3">
        <v>1.25</v>
      </c>
      <c r="AI2260">
        <v>1.28</v>
      </c>
      <c r="AK2260" s="3"/>
      <c r="AU2260" t="s">
        <v>2340</v>
      </c>
      <c r="AV2260" t="s">
        <v>2341</v>
      </c>
      <c r="AW2260" t="s">
        <v>2340</v>
      </c>
      <c r="AX2260" t="s">
        <v>2341</v>
      </c>
      <c r="AY2260" t="s">
        <v>2340</v>
      </c>
      <c r="AZ2260" t="s">
        <v>2341</v>
      </c>
      <c r="BB2260" t="s">
        <v>810</v>
      </c>
      <c r="BC2260">
        <v>6</v>
      </c>
      <c r="BD2260">
        <v>6</v>
      </c>
      <c r="BE2260">
        <v>6</v>
      </c>
      <c r="BK2260" s="4">
        <v>3258</v>
      </c>
      <c r="BL2260" s="4">
        <v>3348</v>
      </c>
      <c r="BM2260" s="4">
        <v>3440</v>
      </c>
      <c r="BR2260">
        <v>6520</v>
      </c>
      <c r="BS2260" t="s">
        <v>1731</v>
      </c>
      <c r="BW2260" t="s">
        <v>802</v>
      </c>
      <c r="BX2260">
        <v>1.28</v>
      </c>
      <c r="BZ2260">
        <v>1.06</v>
      </c>
      <c r="CK2260" t="s">
        <v>2828</v>
      </c>
      <c r="CM2260">
        <v>1911</v>
      </c>
    </row>
    <row r="2261" spans="1:91" x14ac:dyDescent="0.3">
      <c r="A2261" t="s">
        <v>3239</v>
      </c>
      <c r="B2261">
        <v>47172</v>
      </c>
      <c r="D2261">
        <v>12</v>
      </c>
      <c r="I2261">
        <v>12500</v>
      </c>
      <c r="U2261">
        <v>10</v>
      </c>
      <c r="Y2261">
        <v>10</v>
      </c>
      <c r="AA2261">
        <v>23</v>
      </c>
      <c r="AC2261" s="3">
        <v>23</v>
      </c>
      <c r="AE2261" s="3">
        <v>22</v>
      </c>
      <c r="AI2261">
        <v>23</v>
      </c>
      <c r="AK2261" s="3"/>
      <c r="AX2261" t="s">
        <v>823</v>
      </c>
      <c r="BB2261" t="s">
        <v>823</v>
      </c>
      <c r="BG2261">
        <v>20</v>
      </c>
      <c r="BH2261">
        <v>10</v>
      </c>
      <c r="BI2261">
        <v>20</v>
      </c>
      <c r="BJ2261">
        <v>10</v>
      </c>
      <c r="BK2261" s="4">
        <v>3713</v>
      </c>
      <c r="BL2261" s="4">
        <v>3897</v>
      </c>
      <c r="BM2261" s="4">
        <v>4078</v>
      </c>
      <c r="BN2261" s="4">
        <v>4262</v>
      </c>
      <c r="BR2261">
        <v>88785</v>
      </c>
      <c r="BS2261" t="s">
        <v>3240</v>
      </c>
      <c r="BT2261">
        <v>6</v>
      </c>
      <c r="BU2261">
        <v>10</v>
      </c>
      <c r="BV2261">
        <v>6</v>
      </c>
      <c r="BX2261">
        <v>25</v>
      </c>
      <c r="BZ2261">
        <v>22</v>
      </c>
      <c r="CK2261" t="s">
        <v>360</v>
      </c>
      <c r="CM2261">
        <v>1911</v>
      </c>
    </row>
    <row r="2262" spans="1:91" x14ac:dyDescent="0.3">
      <c r="A2262" t="s">
        <v>3239</v>
      </c>
      <c r="B2262">
        <v>47173</v>
      </c>
      <c r="C2262" t="s">
        <v>844</v>
      </c>
      <c r="D2262">
        <v>12</v>
      </c>
      <c r="I2262">
        <v>10000</v>
      </c>
      <c r="U2262">
        <v>10</v>
      </c>
      <c r="Y2262">
        <v>10</v>
      </c>
      <c r="AA2262">
        <v>12.75</v>
      </c>
      <c r="AC2262" s="3">
        <v>12.75</v>
      </c>
      <c r="AE2262" s="3">
        <v>12.75</v>
      </c>
      <c r="AI2262">
        <v>12.75</v>
      </c>
      <c r="AK2262" s="3"/>
      <c r="AV2262" t="s">
        <v>366</v>
      </c>
      <c r="AX2262" t="s">
        <v>366</v>
      </c>
      <c r="AZ2262" t="s">
        <v>366</v>
      </c>
      <c r="BB2262" t="s">
        <v>366</v>
      </c>
      <c r="BO2262" t="s">
        <v>367</v>
      </c>
      <c r="BR2262">
        <v>88785</v>
      </c>
      <c r="BS2262" t="s">
        <v>3240</v>
      </c>
      <c r="BT2262">
        <v>4</v>
      </c>
      <c r="BU2262">
        <v>14</v>
      </c>
      <c r="BV2262">
        <v>0</v>
      </c>
      <c r="BX2262">
        <v>13.5</v>
      </c>
      <c r="BZ2262">
        <v>12.5</v>
      </c>
      <c r="CM2262">
        <v>1911</v>
      </c>
    </row>
    <row r="2263" spans="1:91" x14ac:dyDescent="0.3">
      <c r="A2263" t="s">
        <v>3241</v>
      </c>
      <c r="B2263">
        <v>47191</v>
      </c>
      <c r="D2263">
        <v>12</v>
      </c>
      <c r="I2263">
        <v>300000</v>
      </c>
      <c r="J2263" t="s">
        <v>800</v>
      </c>
      <c r="U2263">
        <v>100</v>
      </c>
      <c r="V2263" t="s">
        <v>615</v>
      </c>
      <c r="Y2263">
        <v>100</v>
      </c>
      <c r="Z2263" t="s">
        <v>615</v>
      </c>
      <c r="AA2263">
        <v>92.5</v>
      </c>
      <c r="AC2263" s="3">
        <v>92.5</v>
      </c>
      <c r="AE2263" s="3">
        <v>92.5</v>
      </c>
      <c r="AI2263">
        <v>92.5</v>
      </c>
      <c r="AK2263" s="3"/>
      <c r="AV2263" t="s">
        <v>370</v>
      </c>
      <c r="AX2263" t="s">
        <v>370</v>
      </c>
      <c r="AZ2263" t="s">
        <v>370</v>
      </c>
      <c r="BB2263" t="s">
        <v>370</v>
      </c>
      <c r="BO2263" t="s">
        <v>367</v>
      </c>
      <c r="BS2263" t="s">
        <v>385</v>
      </c>
      <c r="BT2263">
        <v>6</v>
      </c>
      <c r="BU2263">
        <v>13</v>
      </c>
      <c r="BV2263">
        <v>6</v>
      </c>
      <c r="BY2263" t="s">
        <v>385</v>
      </c>
      <c r="CA2263" t="s">
        <v>385</v>
      </c>
      <c r="CM2263">
        <v>1911</v>
      </c>
    </row>
    <row r="2264" spans="1:91" x14ac:dyDescent="0.3">
      <c r="A2264" t="s">
        <v>3242</v>
      </c>
      <c r="B2264">
        <v>47208</v>
      </c>
      <c r="D2264">
        <v>12</v>
      </c>
      <c r="I2264" s="2">
        <v>1250000</v>
      </c>
      <c r="J2264" t="s">
        <v>773</v>
      </c>
      <c r="U2264">
        <v>100</v>
      </c>
      <c r="V2264" t="s">
        <v>773</v>
      </c>
      <c r="Y2264">
        <v>100</v>
      </c>
      <c r="Z2264" t="s">
        <v>773</v>
      </c>
      <c r="AA2264">
        <v>135.5</v>
      </c>
      <c r="AC2264" s="3">
        <v>135.5</v>
      </c>
      <c r="AE2264" s="3">
        <v>130.5</v>
      </c>
      <c r="AI2264">
        <v>130.5</v>
      </c>
      <c r="AJ2264" t="s">
        <v>379</v>
      </c>
      <c r="AK2264" s="3"/>
      <c r="BG2264">
        <v>8</v>
      </c>
      <c r="BH2264">
        <v>8</v>
      </c>
      <c r="BI2264">
        <v>8</v>
      </c>
      <c r="BJ2264">
        <v>8</v>
      </c>
      <c r="BK2264" s="4">
        <v>4109</v>
      </c>
      <c r="BL2264" s="4">
        <v>4200</v>
      </c>
      <c r="BM2264" s="4">
        <v>4292</v>
      </c>
      <c r="BN2264" s="4">
        <v>4384</v>
      </c>
      <c r="BR2264">
        <v>434051</v>
      </c>
      <c r="BS2264" t="s">
        <v>773</v>
      </c>
      <c r="BT2264">
        <v>6</v>
      </c>
      <c r="BU2264">
        <v>2</v>
      </c>
      <c r="BV2264">
        <v>6</v>
      </c>
      <c r="BX2264">
        <v>137.5</v>
      </c>
      <c r="BZ2264">
        <v>126</v>
      </c>
      <c r="CM2264">
        <v>1911</v>
      </c>
    </row>
    <row r="2265" spans="1:91" x14ac:dyDescent="0.3">
      <c r="A2265" t="s">
        <v>3243</v>
      </c>
      <c r="B2265">
        <v>47244</v>
      </c>
      <c r="D2265">
        <v>12</v>
      </c>
      <c r="I2265">
        <v>12500</v>
      </c>
      <c r="U2265">
        <v>5</v>
      </c>
      <c r="Y2265">
        <v>4</v>
      </c>
      <c r="AA2265">
        <v>5.34</v>
      </c>
      <c r="AC2265" s="3">
        <v>5.34</v>
      </c>
      <c r="AE2265" s="3">
        <v>5.34</v>
      </c>
      <c r="AI2265">
        <v>5.34</v>
      </c>
      <c r="AK2265" s="3"/>
      <c r="BG2265">
        <v>10</v>
      </c>
      <c r="BH2265">
        <v>10</v>
      </c>
      <c r="BI2265">
        <v>10</v>
      </c>
      <c r="BJ2265">
        <v>10</v>
      </c>
      <c r="BK2265" s="4">
        <v>4019</v>
      </c>
      <c r="BL2265" s="4">
        <v>4109</v>
      </c>
      <c r="BM2265" s="4">
        <v>4200</v>
      </c>
      <c r="BN2265" s="4">
        <v>4292</v>
      </c>
      <c r="BR2265">
        <v>18979</v>
      </c>
      <c r="BT2265">
        <v>7</v>
      </c>
      <c r="BU2265">
        <v>9</v>
      </c>
      <c r="BV2265">
        <v>3</v>
      </c>
      <c r="BX2265">
        <v>5.34</v>
      </c>
      <c r="BZ2265">
        <v>4.84</v>
      </c>
      <c r="CK2265" t="s">
        <v>2828</v>
      </c>
      <c r="CM2265">
        <v>1911</v>
      </c>
    </row>
    <row r="2266" spans="1:91" x14ac:dyDescent="0.3">
      <c r="A2266" t="s">
        <v>3244</v>
      </c>
      <c r="B2266">
        <v>47330</v>
      </c>
      <c r="D2266">
        <v>12</v>
      </c>
      <c r="I2266">
        <v>100000</v>
      </c>
      <c r="U2266">
        <v>1</v>
      </c>
      <c r="Y2266">
        <v>1</v>
      </c>
      <c r="AA2266">
        <v>0.65</v>
      </c>
      <c r="AC2266" s="3">
        <v>0.65</v>
      </c>
      <c r="AE2266" s="3">
        <v>0.5</v>
      </c>
      <c r="AI2266">
        <v>0.56000000000000005</v>
      </c>
      <c r="AK2266" s="3"/>
      <c r="BG2266">
        <v>5.5</v>
      </c>
      <c r="BH2266">
        <v>5.5</v>
      </c>
      <c r="BI2266">
        <v>5.5</v>
      </c>
      <c r="BJ2266">
        <v>5.5</v>
      </c>
      <c r="BK2266" s="4">
        <v>3744</v>
      </c>
      <c r="BL2266" s="4">
        <v>3927</v>
      </c>
      <c r="BM2266" s="4">
        <v>4109</v>
      </c>
      <c r="BN2266" s="4">
        <v>4292</v>
      </c>
      <c r="BR2266">
        <v>5561</v>
      </c>
      <c r="BS2266" t="s">
        <v>3245</v>
      </c>
      <c r="BT2266">
        <v>9</v>
      </c>
      <c r="BU2266">
        <v>15</v>
      </c>
      <c r="BV2266">
        <v>6</v>
      </c>
      <c r="BX2266">
        <v>0.71</v>
      </c>
      <c r="BZ2266">
        <v>0.5</v>
      </c>
      <c r="CM2266">
        <v>1911</v>
      </c>
    </row>
    <row r="2267" spans="1:91" x14ac:dyDescent="0.3">
      <c r="A2267" t="s">
        <v>3244</v>
      </c>
      <c r="B2267">
        <v>47331</v>
      </c>
      <c r="C2267" t="s">
        <v>878</v>
      </c>
      <c r="D2267">
        <v>12</v>
      </c>
      <c r="I2267">
        <v>100000</v>
      </c>
      <c r="J2267" t="s">
        <v>800</v>
      </c>
      <c r="V2267" t="s">
        <v>350</v>
      </c>
      <c r="Y2267">
        <v>100</v>
      </c>
      <c r="AA2267">
        <v>79</v>
      </c>
      <c r="AC2267" s="3">
        <v>79</v>
      </c>
      <c r="AE2267" s="3">
        <v>79</v>
      </c>
      <c r="AI2267">
        <v>79</v>
      </c>
      <c r="AK2267" s="3"/>
      <c r="AV2267" t="s">
        <v>536</v>
      </c>
      <c r="AX2267" t="s">
        <v>536</v>
      </c>
      <c r="AZ2267" t="s">
        <v>536</v>
      </c>
      <c r="BB2267" t="s">
        <v>536</v>
      </c>
      <c r="BO2267" t="s">
        <v>367</v>
      </c>
      <c r="BR2267">
        <v>5561</v>
      </c>
      <c r="BS2267" t="s">
        <v>3245</v>
      </c>
      <c r="BT2267">
        <v>5</v>
      </c>
      <c r="BU2267">
        <v>8</v>
      </c>
      <c r="BV2267">
        <v>3</v>
      </c>
      <c r="BX2267">
        <v>82</v>
      </c>
      <c r="BZ2267">
        <v>78.25</v>
      </c>
      <c r="CM2267">
        <v>1911</v>
      </c>
    </row>
    <row r="2268" spans="1:91" x14ac:dyDescent="0.3">
      <c r="A2268" t="s">
        <v>3246</v>
      </c>
      <c r="B2268">
        <v>47368</v>
      </c>
      <c r="D2268">
        <v>12</v>
      </c>
      <c r="I2268">
        <v>375000</v>
      </c>
      <c r="U2268">
        <v>1</v>
      </c>
      <c r="Y2268">
        <v>1</v>
      </c>
      <c r="AA2268">
        <v>6.62</v>
      </c>
      <c r="AC2268" s="3">
        <v>6.75</v>
      </c>
      <c r="AE2268" s="3">
        <v>6.25</v>
      </c>
      <c r="AI2268">
        <v>6.25</v>
      </c>
      <c r="AK2268" s="3"/>
      <c r="AV2268" t="s">
        <v>3247</v>
      </c>
      <c r="AX2268" t="s">
        <v>823</v>
      </c>
      <c r="BB2268" t="s">
        <v>823</v>
      </c>
      <c r="BG2268">
        <v>35</v>
      </c>
      <c r="BH2268">
        <v>40</v>
      </c>
      <c r="BI2268">
        <v>50</v>
      </c>
      <c r="BJ2268">
        <v>30</v>
      </c>
      <c r="BK2268" t="s">
        <v>913</v>
      </c>
      <c r="BL2268" s="4">
        <v>3927</v>
      </c>
      <c r="BM2268" s="4">
        <v>4139</v>
      </c>
      <c r="BN2268" s="4">
        <v>4323</v>
      </c>
      <c r="BR2268">
        <v>61820</v>
      </c>
      <c r="BS2268" t="s">
        <v>3248</v>
      </c>
      <c r="BT2268">
        <v>6</v>
      </c>
      <c r="BU2268">
        <v>8</v>
      </c>
      <c r="BV2268">
        <v>0</v>
      </c>
      <c r="BX2268">
        <v>7.75</v>
      </c>
      <c r="BZ2268">
        <v>6.25</v>
      </c>
      <c r="CM2268">
        <v>1911</v>
      </c>
    </row>
    <row r="2269" spans="1:91" x14ac:dyDescent="0.3">
      <c r="A2269" t="s">
        <v>3246</v>
      </c>
      <c r="B2269">
        <v>47369</v>
      </c>
      <c r="C2269" t="s">
        <v>549</v>
      </c>
      <c r="D2269">
        <v>12</v>
      </c>
      <c r="I2269">
        <v>375000</v>
      </c>
      <c r="U2269">
        <v>1</v>
      </c>
      <c r="Z2269" t="s">
        <v>3181</v>
      </c>
      <c r="AA2269">
        <v>2.75</v>
      </c>
      <c r="AC2269" s="3">
        <v>3.25</v>
      </c>
      <c r="AE2269" s="3">
        <v>2.59</v>
      </c>
      <c r="AI2269">
        <v>3.12</v>
      </c>
      <c r="AK2269" s="3"/>
      <c r="AV2269" t="s">
        <v>385</v>
      </c>
      <c r="AX2269" t="s">
        <v>823</v>
      </c>
      <c r="BB2269" t="s">
        <v>823</v>
      </c>
      <c r="BH2269">
        <v>40</v>
      </c>
      <c r="BI2269">
        <v>50</v>
      </c>
      <c r="BJ2269">
        <v>30</v>
      </c>
      <c r="BL2269" s="4">
        <v>3958</v>
      </c>
      <c r="BM2269" s="4">
        <v>4139</v>
      </c>
      <c r="BN2269" s="4">
        <v>4323</v>
      </c>
      <c r="BR2269">
        <v>61820</v>
      </c>
      <c r="BS2269" t="s">
        <v>3248</v>
      </c>
      <c r="BT2269">
        <v>4</v>
      </c>
      <c r="BU2269">
        <v>4</v>
      </c>
      <c r="BV2269">
        <v>9</v>
      </c>
      <c r="BX2269">
        <v>4.03</v>
      </c>
      <c r="BZ2269">
        <v>2.5</v>
      </c>
      <c r="CM2269">
        <v>1911</v>
      </c>
    </row>
    <row r="2270" spans="1:91" x14ac:dyDescent="0.3">
      <c r="A2270" t="s">
        <v>3246</v>
      </c>
      <c r="B2270">
        <v>47370</v>
      </c>
      <c r="C2270" t="s">
        <v>1062</v>
      </c>
      <c r="D2270">
        <v>12</v>
      </c>
      <c r="I2270">
        <v>125000</v>
      </c>
      <c r="U2270">
        <v>1</v>
      </c>
      <c r="Y2270">
        <v>1</v>
      </c>
      <c r="AA2270">
        <v>1.31</v>
      </c>
      <c r="AC2270" s="3">
        <v>1.31</v>
      </c>
      <c r="AE2270" s="3">
        <v>1.25</v>
      </c>
      <c r="AI2270">
        <v>1.25</v>
      </c>
      <c r="AJ2270" t="s">
        <v>379</v>
      </c>
      <c r="AK2270" s="3"/>
      <c r="AV2270" t="s">
        <v>370</v>
      </c>
      <c r="AX2270" t="s">
        <v>370</v>
      </c>
      <c r="AZ2270" t="s">
        <v>370</v>
      </c>
      <c r="BB2270" t="s">
        <v>370</v>
      </c>
      <c r="BO2270" t="s">
        <v>367</v>
      </c>
      <c r="BR2270">
        <v>61820</v>
      </c>
      <c r="BS2270" t="s">
        <v>3248</v>
      </c>
      <c r="BT2270">
        <v>5</v>
      </c>
      <c r="BU2270">
        <v>12</v>
      </c>
      <c r="BV2270">
        <v>0</v>
      </c>
      <c r="BX2270">
        <v>1.37</v>
      </c>
      <c r="BZ2270">
        <v>1.25</v>
      </c>
      <c r="CM2270">
        <v>1911</v>
      </c>
    </row>
    <row r="2271" spans="1:91" x14ac:dyDescent="0.3">
      <c r="A2271" t="s">
        <v>3249</v>
      </c>
      <c r="B2271">
        <v>47412</v>
      </c>
      <c r="D2271">
        <v>12</v>
      </c>
      <c r="I2271">
        <v>10000</v>
      </c>
      <c r="U2271">
        <v>10</v>
      </c>
      <c r="Y2271">
        <v>10</v>
      </c>
      <c r="AA2271">
        <v>2.5</v>
      </c>
      <c r="AC2271" s="3">
        <v>2.5</v>
      </c>
      <c r="AE2271" s="3">
        <v>2.5</v>
      </c>
      <c r="AI2271">
        <v>2.5</v>
      </c>
      <c r="AK2271" s="3"/>
      <c r="BB2271" t="s">
        <v>810</v>
      </c>
      <c r="BG2271">
        <v>5.5</v>
      </c>
      <c r="BH2271">
        <v>5.5</v>
      </c>
      <c r="BI2271">
        <v>5.5</v>
      </c>
      <c r="BK2271" s="4">
        <v>2983</v>
      </c>
      <c r="BL2271" s="4">
        <v>3167</v>
      </c>
      <c r="BM2271" s="4">
        <v>3348</v>
      </c>
      <c r="BS2271" t="s">
        <v>385</v>
      </c>
      <c r="BW2271" t="s">
        <v>802</v>
      </c>
      <c r="BX2271">
        <v>2.5</v>
      </c>
      <c r="BZ2271">
        <v>2</v>
      </c>
      <c r="CK2271" t="s">
        <v>360</v>
      </c>
      <c r="CM2271">
        <v>1911</v>
      </c>
    </row>
    <row r="2272" spans="1:91" x14ac:dyDescent="0.3">
      <c r="A2272" t="s">
        <v>3250</v>
      </c>
      <c r="B2272">
        <v>47417</v>
      </c>
      <c r="D2272">
        <v>12</v>
      </c>
      <c r="I2272">
        <v>200000</v>
      </c>
      <c r="V2272" t="s">
        <v>1758</v>
      </c>
      <c r="Z2272" t="s">
        <v>3251</v>
      </c>
      <c r="AA2272">
        <v>0.81</v>
      </c>
      <c r="AC2272" s="3">
        <v>0.84</v>
      </c>
      <c r="AE2272" s="3">
        <v>0.78</v>
      </c>
      <c r="AI2272">
        <v>0.81</v>
      </c>
      <c r="AK2272" s="3"/>
      <c r="AV2272" t="s">
        <v>815</v>
      </c>
      <c r="AX2272" t="s">
        <v>815</v>
      </c>
      <c r="AZ2272" t="s">
        <v>815</v>
      </c>
      <c r="BB2272" t="s">
        <v>815</v>
      </c>
      <c r="BG2272">
        <v>10</v>
      </c>
      <c r="BH2272">
        <v>20</v>
      </c>
      <c r="BI2272">
        <v>20</v>
      </c>
      <c r="BJ2272">
        <v>20</v>
      </c>
      <c r="BK2272" s="4">
        <v>3320</v>
      </c>
      <c r="BL2272" s="4">
        <v>3532</v>
      </c>
      <c r="BM2272" s="4">
        <v>3897</v>
      </c>
      <c r="BN2272" s="4">
        <v>4262</v>
      </c>
      <c r="BR2272">
        <v>38619</v>
      </c>
      <c r="BT2272">
        <v>10</v>
      </c>
      <c r="BU2272">
        <v>13</v>
      </c>
      <c r="BV2272">
        <v>3</v>
      </c>
      <c r="BX2272">
        <v>1.06</v>
      </c>
      <c r="BZ2272">
        <v>0.71</v>
      </c>
      <c r="CK2272" t="s">
        <v>360</v>
      </c>
      <c r="CM2272">
        <v>1911</v>
      </c>
    </row>
    <row r="2273" spans="1:91" x14ac:dyDescent="0.3">
      <c r="A2273" t="s">
        <v>3252</v>
      </c>
      <c r="B2273">
        <v>47431</v>
      </c>
      <c r="D2273">
        <v>12</v>
      </c>
      <c r="I2273">
        <v>250000</v>
      </c>
      <c r="U2273">
        <v>1</v>
      </c>
      <c r="Y2273">
        <v>1</v>
      </c>
      <c r="AA2273">
        <v>2</v>
      </c>
      <c r="AC2273" s="3">
        <v>2.0299999999999998</v>
      </c>
      <c r="AE2273" s="3">
        <v>1.93</v>
      </c>
      <c r="AI2273">
        <v>2</v>
      </c>
      <c r="AK2273" s="3"/>
      <c r="AX2273" t="s">
        <v>823</v>
      </c>
      <c r="BB2273" t="s">
        <v>823</v>
      </c>
      <c r="BG2273">
        <v>20</v>
      </c>
      <c r="BH2273">
        <v>10</v>
      </c>
      <c r="BI2273">
        <v>20</v>
      </c>
      <c r="BJ2273">
        <v>10</v>
      </c>
      <c r="BK2273" s="4">
        <v>3713</v>
      </c>
      <c r="BL2273" s="4">
        <v>3866</v>
      </c>
      <c r="BM2273" s="4">
        <v>4078</v>
      </c>
      <c r="BN2273" s="4">
        <v>4231</v>
      </c>
      <c r="BR2273">
        <v>179680</v>
      </c>
      <c r="BS2273" t="s">
        <v>3253</v>
      </c>
      <c r="BT2273">
        <v>7</v>
      </c>
      <c r="BU2273">
        <v>10</v>
      </c>
      <c r="BV2273">
        <v>0</v>
      </c>
      <c r="BX2273">
        <v>2.12</v>
      </c>
      <c r="BZ2273">
        <v>1.62</v>
      </c>
      <c r="CK2273" t="s">
        <v>360</v>
      </c>
      <c r="CM2273">
        <v>1911</v>
      </c>
    </row>
    <row r="2274" spans="1:91" x14ac:dyDescent="0.3">
      <c r="A2274" t="s">
        <v>3252</v>
      </c>
      <c r="B2274">
        <v>47432</v>
      </c>
      <c r="C2274" t="s">
        <v>844</v>
      </c>
      <c r="D2274">
        <v>12</v>
      </c>
      <c r="I2274">
        <v>50000</v>
      </c>
      <c r="U2274">
        <v>5</v>
      </c>
      <c r="Y2274">
        <v>5</v>
      </c>
      <c r="AA2274">
        <v>5.25</v>
      </c>
      <c r="AC2274" s="3">
        <v>5.34</v>
      </c>
      <c r="AE2274" s="3">
        <v>5.12</v>
      </c>
      <c r="AI2274">
        <v>5.12</v>
      </c>
      <c r="AJ2274" t="s">
        <v>379</v>
      </c>
      <c r="AK2274" s="3"/>
      <c r="AV2274" t="s">
        <v>370</v>
      </c>
      <c r="AX2274" t="s">
        <v>370</v>
      </c>
      <c r="AZ2274" t="s">
        <v>370</v>
      </c>
      <c r="BB2274" t="s">
        <v>370</v>
      </c>
      <c r="BO2274" t="s">
        <v>367</v>
      </c>
      <c r="BR2274">
        <v>179680</v>
      </c>
      <c r="BS2274" t="s">
        <v>3253</v>
      </c>
      <c r="BT2274">
        <v>5</v>
      </c>
      <c r="BU2274">
        <v>17</v>
      </c>
      <c r="BV2274">
        <v>0</v>
      </c>
      <c r="BX2274">
        <v>5.75</v>
      </c>
      <c r="BZ2274">
        <v>5.12</v>
      </c>
      <c r="CM2274">
        <v>1911</v>
      </c>
    </row>
    <row r="2275" spans="1:91" x14ac:dyDescent="0.3">
      <c r="A2275" t="s">
        <v>3254</v>
      </c>
      <c r="B2275">
        <v>47490</v>
      </c>
      <c r="D2275">
        <v>12</v>
      </c>
      <c r="I2275">
        <v>72000</v>
      </c>
      <c r="U2275">
        <v>1</v>
      </c>
      <c r="Y2275">
        <v>1</v>
      </c>
      <c r="AA2275">
        <v>0.56000000000000005</v>
      </c>
      <c r="AC2275" s="3">
        <v>0.56000000000000005</v>
      </c>
      <c r="AE2275" s="3">
        <v>0.56000000000000005</v>
      </c>
      <c r="AI2275">
        <v>0.56000000000000005</v>
      </c>
      <c r="AK2275" s="3"/>
      <c r="AX2275" t="s">
        <v>823</v>
      </c>
      <c r="BB2275" t="s">
        <v>823</v>
      </c>
      <c r="BG2275">
        <v>5</v>
      </c>
      <c r="BH2275">
        <v>5</v>
      </c>
      <c r="BI2275">
        <v>6</v>
      </c>
      <c r="BJ2275">
        <v>5</v>
      </c>
      <c r="BK2275" s="4">
        <v>3713</v>
      </c>
      <c r="BL2275" s="4">
        <v>3835</v>
      </c>
      <c r="BM2275" s="4">
        <v>4078</v>
      </c>
      <c r="BN2275" s="4">
        <v>4200</v>
      </c>
      <c r="BR2275">
        <v>17313</v>
      </c>
      <c r="BT2275">
        <v>9</v>
      </c>
      <c r="BU2275">
        <v>15</v>
      </c>
      <c r="BV2275">
        <v>6</v>
      </c>
      <c r="BX2275">
        <v>0.56000000000000005</v>
      </c>
      <c r="BZ2275">
        <v>0.5</v>
      </c>
      <c r="CM2275">
        <v>1911</v>
      </c>
    </row>
    <row r="2276" spans="1:91" x14ac:dyDescent="0.3">
      <c r="A2276" t="s">
        <v>3255</v>
      </c>
      <c r="B2276">
        <v>47492</v>
      </c>
      <c r="D2276">
        <v>12</v>
      </c>
      <c r="I2276">
        <v>70000</v>
      </c>
      <c r="U2276">
        <v>5</v>
      </c>
      <c r="Y2276">
        <v>5</v>
      </c>
      <c r="AA2276">
        <v>5</v>
      </c>
      <c r="AC2276" s="3">
        <v>5.12</v>
      </c>
      <c r="AE2276" s="3">
        <v>5</v>
      </c>
      <c r="AI2276">
        <v>5</v>
      </c>
      <c r="AK2276" s="3"/>
      <c r="BG2276">
        <v>6</v>
      </c>
      <c r="BH2276">
        <v>6</v>
      </c>
      <c r="BI2276">
        <v>6</v>
      </c>
      <c r="BJ2276">
        <v>6</v>
      </c>
      <c r="BK2276" s="4">
        <v>3744</v>
      </c>
      <c r="BL2276" s="4">
        <v>3927</v>
      </c>
      <c r="BM2276" s="4">
        <v>4109</v>
      </c>
      <c r="BN2276" s="4">
        <v>4292</v>
      </c>
      <c r="BR2276">
        <v>111974</v>
      </c>
      <c r="BS2276" t="s">
        <v>3256</v>
      </c>
      <c r="BT2276">
        <v>6</v>
      </c>
      <c r="BU2276">
        <v>0</v>
      </c>
      <c r="BV2276">
        <v>0</v>
      </c>
      <c r="BX2276">
        <v>5.12</v>
      </c>
      <c r="BZ2276">
        <v>4.5</v>
      </c>
      <c r="CK2276" t="s">
        <v>360</v>
      </c>
      <c r="CM2276">
        <v>1911</v>
      </c>
    </row>
    <row r="2277" spans="1:91" x14ac:dyDescent="0.3">
      <c r="A2277" t="s">
        <v>3255</v>
      </c>
      <c r="B2277">
        <v>47493</v>
      </c>
      <c r="C2277" t="s">
        <v>878</v>
      </c>
      <c r="D2277">
        <v>12</v>
      </c>
      <c r="I2277">
        <v>150000</v>
      </c>
      <c r="J2277" t="s">
        <v>800</v>
      </c>
      <c r="V2277" t="s">
        <v>350</v>
      </c>
      <c r="Y2277">
        <v>100</v>
      </c>
      <c r="AA2277">
        <v>92.5</v>
      </c>
      <c r="AC2277" s="3">
        <v>92.5</v>
      </c>
      <c r="AE2277" s="3">
        <v>92.5</v>
      </c>
      <c r="AI2277">
        <v>92.5</v>
      </c>
      <c r="AK2277" s="3"/>
      <c r="AV2277" t="s">
        <v>536</v>
      </c>
      <c r="AX2277" t="s">
        <v>536</v>
      </c>
      <c r="AZ2277" t="s">
        <v>536</v>
      </c>
      <c r="BB2277" t="s">
        <v>536</v>
      </c>
      <c r="BO2277" t="s">
        <v>367</v>
      </c>
      <c r="BR2277">
        <v>111974</v>
      </c>
      <c r="BS2277" t="s">
        <v>3256</v>
      </c>
      <c r="BT2277">
        <v>4</v>
      </c>
      <c r="BU2277">
        <v>12</v>
      </c>
      <c r="BV2277">
        <v>9</v>
      </c>
      <c r="BX2277">
        <v>93.25</v>
      </c>
      <c r="BZ2277">
        <v>83.5</v>
      </c>
      <c r="CM2277">
        <v>1911</v>
      </c>
    </row>
    <row r="2278" spans="1:91" x14ac:dyDescent="0.3">
      <c r="A2278" t="s">
        <v>3257</v>
      </c>
      <c r="B2278">
        <v>47504</v>
      </c>
      <c r="D2278">
        <v>12</v>
      </c>
      <c r="I2278">
        <v>46000</v>
      </c>
      <c r="U2278">
        <v>10</v>
      </c>
      <c r="Y2278">
        <v>6</v>
      </c>
      <c r="AA2278">
        <v>3</v>
      </c>
      <c r="AC2278" s="3">
        <v>3.06</v>
      </c>
      <c r="AE2278" s="3">
        <v>3</v>
      </c>
      <c r="AI2278">
        <v>3</v>
      </c>
      <c r="AK2278" s="3"/>
      <c r="AX2278" t="s">
        <v>823</v>
      </c>
      <c r="BB2278" t="s">
        <v>823</v>
      </c>
      <c r="BG2278">
        <v>3.33</v>
      </c>
      <c r="BH2278">
        <v>4.16</v>
      </c>
      <c r="BI2278">
        <v>3.83</v>
      </c>
      <c r="BJ2278">
        <v>4.16</v>
      </c>
      <c r="BK2278" s="4">
        <v>3685</v>
      </c>
      <c r="BL2278" s="4">
        <v>3866</v>
      </c>
      <c r="BM2278" s="4">
        <v>4050</v>
      </c>
      <c r="BN2278" s="4">
        <v>4231</v>
      </c>
      <c r="BR2278">
        <v>38357</v>
      </c>
      <c r="BT2278">
        <v>8</v>
      </c>
      <c r="BU2278">
        <v>0</v>
      </c>
      <c r="BV2278">
        <v>0</v>
      </c>
      <c r="BX2278">
        <v>3.25</v>
      </c>
      <c r="BZ2278">
        <v>2.62</v>
      </c>
      <c r="CK2278" t="s">
        <v>360</v>
      </c>
      <c r="CM2278">
        <v>1911</v>
      </c>
    </row>
    <row r="2279" spans="1:91" x14ac:dyDescent="0.3">
      <c r="A2279" t="s">
        <v>3258</v>
      </c>
      <c r="B2279">
        <v>47515</v>
      </c>
      <c r="D2279">
        <v>12</v>
      </c>
      <c r="I2279">
        <v>250000</v>
      </c>
      <c r="U2279">
        <v>1</v>
      </c>
      <c r="Y2279">
        <v>1</v>
      </c>
      <c r="AA2279">
        <v>0.56000000000000005</v>
      </c>
      <c r="AC2279" s="3">
        <v>0.62</v>
      </c>
      <c r="AE2279" s="3">
        <v>0.56000000000000005</v>
      </c>
      <c r="AI2279">
        <v>0.59</v>
      </c>
      <c r="AK2279" s="3"/>
      <c r="BG2279">
        <v>6</v>
      </c>
      <c r="BH2279">
        <v>6</v>
      </c>
      <c r="BI2279">
        <v>6</v>
      </c>
      <c r="BJ2279">
        <v>6</v>
      </c>
      <c r="BK2279" s="4">
        <v>3289</v>
      </c>
      <c r="BL2279" s="4">
        <v>3470</v>
      </c>
      <c r="BM2279" s="4">
        <v>3654</v>
      </c>
      <c r="BN2279" s="4">
        <v>3835</v>
      </c>
      <c r="BR2279">
        <v>55571</v>
      </c>
      <c r="BW2279" t="s">
        <v>385</v>
      </c>
      <c r="BX2279">
        <v>0.68</v>
      </c>
      <c r="BZ2279">
        <v>0.53</v>
      </c>
      <c r="CK2279" t="s">
        <v>360</v>
      </c>
      <c r="CM2279">
        <v>1911</v>
      </c>
    </row>
    <row r="2280" spans="1:91" x14ac:dyDescent="0.3">
      <c r="A2280" t="s">
        <v>3259</v>
      </c>
      <c r="B2280">
        <v>47509</v>
      </c>
      <c r="D2280">
        <v>12</v>
      </c>
      <c r="I2280">
        <v>320000</v>
      </c>
      <c r="U2280">
        <v>1</v>
      </c>
      <c r="Y2280">
        <v>1</v>
      </c>
      <c r="AA2280">
        <v>1.81</v>
      </c>
      <c r="AC2280" s="3">
        <v>1.81</v>
      </c>
      <c r="AE2280" s="3">
        <v>1.75</v>
      </c>
      <c r="AI2280">
        <v>1.78</v>
      </c>
      <c r="AK2280" s="3"/>
      <c r="BG2280">
        <v>8</v>
      </c>
      <c r="BH2280">
        <v>12</v>
      </c>
      <c r="BI2280">
        <v>8</v>
      </c>
      <c r="BJ2280">
        <v>12</v>
      </c>
      <c r="BK2280" s="4">
        <v>3744</v>
      </c>
      <c r="BL2280" s="4">
        <v>3927</v>
      </c>
      <c r="BM2280" s="4">
        <v>4109</v>
      </c>
      <c r="BN2280" s="4">
        <v>4292</v>
      </c>
      <c r="BR2280">
        <v>91499</v>
      </c>
      <c r="BS2280" t="s">
        <v>3260</v>
      </c>
      <c r="BT2280">
        <v>5</v>
      </c>
      <c r="BU2280">
        <v>12</v>
      </c>
      <c r="BV2280">
        <v>3</v>
      </c>
      <c r="BX2280">
        <v>1.84</v>
      </c>
      <c r="BZ2280">
        <v>1.65</v>
      </c>
      <c r="CK2280" t="s">
        <v>360</v>
      </c>
      <c r="CM2280">
        <v>1911</v>
      </c>
    </row>
    <row r="2281" spans="1:91" x14ac:dyDescent="0.3">
      <c r="A2281" t="s">
        <v>3259</v>
      </c>
      <c r="B2281">
        <v>47511</v>
      </c>
      <c r="C2281" t="s">
        <v>844</v>
      </c>
      <c r="D2281">
        <v>12</v>
      </c>
      <c r="I2281">
        <v>20000</v>
      </c>
      <c r="U2281">
        <v>10</v>
      </c>
      <c r="Y2281">
        <v>10</v>
      </c>
      <c r="AA2281">
        <v>12.62</v>
      </c>
      <c r="AC2281" s="3">
        <v>12.81</v>
      </c>
      <c r="AE2281" s="3">
        <v>12.5</v>
      </c>
      <c r="AI2281">
        <v>12.75</v>
      </c>
      <c r="AK2281" s="3"/>
      <c r="AV2281" t="s">
        <v>536</v>
      </c>
      <c r="AX2281" t="s">
        <v>536</v>
      </c>
      <c r="AZ2281" t="s">
        <v>536</v>
      </c>
      <c r="BB2281" t="s">
        <v>536</v>
      </c>
      <c r="BO2281" t="s">
        <v>367</v>
      </c>
      <c r="BR2281">
        <v>91499</v>
      </c>
      <c r="BS2281" t="s">
        <v>3260</v>
      </c>
      <c r="BT2281">
        <v>4</v>
      </c>
      <c r="BU2281">
        <v>14</v>
      </c>
      <c r="BV2281">
        <v>0</v>
      </c>
      <c r="BX2281">
        <v>12.93</v>
      </c>
      <c r="BZ2281">
        <v>12.12</v>
      </c>
      <c r="CM2281">
        <v>1911</v>
      </c>
    </row>
    <row r="2282" spans="1:91" x14ac:dyDescent="0.3">
      <c r="A2282" t="s">
        <v>3259</v>
      </c>
      <c r="B2282">
        <v>47510</v>
      </c>
      <c r="C2282" t="s">
        <v>1050</v>
      </c>
      <c r="D2282">
        <v>12</v>
      </c>
      <c r="I2282">
        <v>200000</v>
      </c>
      <c r="J2282" t="s">
        <v>800</v>
      </c>
      <c r="V2282" t="s">
        <v>350</v>
      </c>
      <c r="Y2282">
        <v>100</v>
      </c>
      <c r="AA2282">
        <v>116.5</v>
      </c>
      <c r="AC2282" s="3">
        <v>116.5</v>
      </c>
      <c r="AE2282" s="3">
        <v>114.5</v>
      </c>
      <c r="AI2282">
        <v>114.5</v>
      </c>
      <c r="AJ2282" t="s">
        <v>379</v>
      </c>
      <c r="AK2282" s="3"/>
      <c r="AV2282" t="s">
        <v>370</v>
      </c>
      <c r="AX2282" t="s">
        <v>370</v>
      </c>
      <c r="AZ2282" t="s">
        <v>370</v>
      </c>
      <c r="BB2282" t="s">
        <v>370</v>
      </c>
      <c r="BO2282" t="s">
        <v>367</v>
      </c>
      <c r="BR2282">
        <v>91499</v>
      </c>
      <c r="BS2282" t="s">
        <v>3260</v>
      </c>
      <c r="BT2282">
        <v>4</v>
      </c>
      <c r="BU2282">
        <v>7</v>
      </c>
      <c r="BV2282">
        <v>3</v>
      </c>
      <c r="BX2282">
        <v>118</v>
      </c>
      <c r="BZ2282">
        <v>113.5</v>
      </c>
      <c r="CM2282">
        <v>1911</v>
      </c>
    </row>
    <row r="2283" spans="1:91" x14ac:dyDescent="0.3">
      <c r="A2283" t="s">
        <v>3261</v>
      </c>
      <c r="B2283">
        <v>47531</v>
      </c>
      <c r="D2283">
        <v>12</v>
      </c>
      <c r="I2283">
        <v>50000</v>
      </c>
      <c r="U2283">
        <v>5</v>
      </c>
      <c r="Y2283">
        <v>5</v>
      </c>
      <c r="AA2283">
        <v>3.75</v>
      </c>
      <c r="AB2283" t="s">
        <v>379</v>
      </c>
      <c r="AC2283" s="3">
        <v>3.75</v>
      </c>
      <c r="AE2283" s="3">
        <v>3.43</v>
      </c>
      <c r="AI2283">
        <v>3.75</v>
      </c>
      <c r="AK2283" s="3"/>
      <c r="BG2283">
        <v>5.5</v>
      </c>
      <c r="BH2283">
        <v>5.5</v>
      </c>
      <c r="BI2283">
        <v>5.5</v>
      </c>
      <c r="BJ2283">
        <v>5.5</v>
      </c>
      <c r="BK2283" s="4">
        <v>3623</v>
      </c>
      <c r="BL2283" s="4">
        <v>3805</v>
      </c>
      <c r="BM2283" s="4">
        <v>3988</v>
      </c>
      <c r="BN2283" s="4">
        <v>4170</v>
      </c>
      <c r="BR2283">
        <v>17567</v>
      </c>
      <c r="BT2283">
        <v>7</v>
      </c>
      <c r="BU2283">
        <v>6</v>
      </c>
      <c r="BV2283">
        <v>9</v>
      </c>
      <c r="BX2283">
        <v>3.81</v>
      </c>
      <c r="BZ2283">
        <v>3.62</v>
      </c>
      <c r="CK2283" t="s">
        <v>360</v>
      </c>
      <c r="CM2283">
        <v>1911</v>
      </c>
    </row>
    <row r="2284" spans="1:91" x14ac:dyDescent="0.3">
      <c r="A2284" t="s">
        <v>3262</v>
      </c>
      <c r="B2284">
        <v>47534</v>
      </c>
      <c r="D2284">
        <v>12</v>
      </c>
      <c r="I2284">
        <v>353500</v>
      </c>
      <c r="J2284" t="s">
        <v>800</v>
      </c>
      <c r="U2284">
        <v>100</v>
      </c>
      <c r="Y2284">
        <v>100</v>
      </c>
      <c r="AA2284">
        <v>103</v>
      </c>
      <c r="AC2284" s="3">
        <v>103</v>
      </c>
      <c r="AE2284" s="3">
        <v>103</v>
      </c>
      <c r="AI2284">
        <v>103</v>
      </c>
      <c r="AK2284" s="3"/>
      <c r="AV2284" t="s">
        <v>370</v>
      </c>
      <c r="AX2284" t="s">
        <v>370</v>
      </c>
      <c r="AZ2284" t="s">
        <v>370</v>
      </c>
      <c r="BB2284" t="s">
        <v>370</v>
      </c>
      <c r="BO2284" t="s">
        <v>367</v>
      </c>
      <c r="BS2284" t="s">
        <v>385</v>
      </c>
      <c r="BT2284">
        <v>4</v>
      </c>
      <c r="BU2284">
        <v>19</v>
      </c>
      <c r="BV2284">
        <v>3</v>
      </c>
      <c r="BX2284">
        <v>104.5</v>
      </c>
      <c r="BZ2284">
        <v>99</v>
      </c>
      <c r="CM2284">
        <v>1911</v>
      </c>
    </row>
    <row r="2285" spans="1:91" x14ac:dyDescent="0.3">
      <c r="A2285" t="s">
        <v>3263</v>
      </c>
      <c r="B2285">
        <v>47542</v>
      </c>
      <c r="D2285">
        <v>12</v>
      </c>
      <c r="I2285">
        <v>20000</v>
      </c>
      <c r="U2285">
        <v>5</v>
      </c>
      <c r="Y2285">
        <v>5</v>
      </c>
      <c r="AA2285">
        <v>2</v>
      </c>
      <c r="AC2285" s="3">
        <v>2</v>
      </c>
      <c r="AE2285" s="3">
        <v>1.9</v>
      </c>
      <c r="AI2285">
        <v>2</v>
      </c>
      <c r="AK2285" s="3"/>
      <c r="AV2285" t="s">
        <v>823</v>
      </c>
      <c r="AZ2285" t="s">
        <v>823</v>
      </c>
      <c r="BB2285" t="s">
        <v>810</v>
      </c>
      <c r="BG2285">
        <v>4</v>
      </c>
      <c r="BH2285">
        <v>4</v>
      </c>
      <c r="BI2285">
        <v>4</v>
      </c>
      <c r="BK2285" s="4">
        <v>1859</v>
      </c>
      <c r="BL2285" s="4">
        <v>2040</v>
      </c>
      <c r="BM2285" s="4">
        <v>2252</v>
      </c>
      <c r="BR2285">
        <v>2592</v>
      </c>
      <c r="BS2285" t="s">
        <v>3264</v>
      </c>
      <c r="BW2285" t="s">
        <v>802</v>
      </c>
      <c r="BX2285">
        <v>2.12</v>
      </c>
      <c r="BZ2285">
        <v>1.62</v>
      </c>
      <c r="CK2285" t="s">
        <v>360</v>
      </c>
      <c r="CM2285">
        <v>1911</v>
      </c>
    </row>
    <row r="2286" spans="1:91" x14ac:dyDescent="0.3">
      <c r="A2286" t="s">
        <v>3263</v>
      </c>
      <c r="B2286">
        <v>47544</v>
      </c>
      <c r="C2286" t="s">
        <v>817</v>
      </c>
      <c r="D2286">
        <v>12</v>
      </c>
      <c r="I2286">
        <v>20000</v>
      </c>
      <c r="U2286">
        <v>5</v>
      </c>
      <c r="Y2286">
        <v>5</v>
      </c>
      <c r="AA2286">
        <v>3.75</v>
      </c>
      <c r="AC2286" s="3">
        <v>3.75</v>
      </c>
      <c r="AE2286" s="3">
        <v>3.59</v>
      </c>
      <c r="AI2286">
        <v>3.75</v>
      </c>
      <c r="AK2286" s="3"/>
      <c r="AX2286" t="s">
        <v>3265</v>
      </c>
      <c r="BG2286">
        <v>9</v>
      </c>
      <c r="BK2286" s="4">
        <v>4231</v>
      </c>
      <c r="BR2286">
        <v>2592</v>
      </c>
      <c r="BS2286" t="s">
        <v>3264</v>
      </c>
      <c r="BT2286">
        <v>6</v>
      </c>
      <c r="BU2286">
        <v>13</v>
      </c>
      <c r="BV2286">
        <v>3</v>
      </c>
      <c r="BX2286">
        <v>3.87</v>
      </c>
      <c r="BZ2286">
        <v>3.43</v>
      </c>
      <c r="CM2286">
        <v>1911</v>
      </c>
    </row>
    <row r="2287" spans="1:91" x14ac:dyDescent="0.3">
      <c r="A2287" t="s">
        <v>3266</v>
      </c>
      <c r="B2287">
        <v>47554</v>
      </c>
      <c r="D2287">
        <v>12</v>
      </c>
      <c r="I2287">
        <v>60000</v>
      </c>
      <c r="U2287">
        <v>5</v>
      </c>
      <c r="Y2287">
        <v>5</v>
      </c>
      <c r="AA2287">
        <v>2.12</v>
      </c>
      <c r="AC2287" s="3">
        <v>2.12</v>
      </c>
      <c r="AE2287" s="3">
        <v>1.93</v>
      </c>
      <c r="AI2287">
        <v>2.12</v>
      </c>
      <c r="AK2287" s="3"/>
      <c r="AX2287" t="s">
        <v>815</v>
      </c>
      <c r="AZ2287" t="s">
        <v>815</v>
      </c>
      <c r="BB2287" t="s">
        <v>815</v>
      </c>
      <c r="BG2287">
        <v>5.5</v>
      </c>
      <c r="BH2287">
        <v>4.25</v>
      </c>
      <c r="BI2287">
        <v>5.75</v>
      </c>
      <c r="BJ2287">
        <v>2.5</v>
      </c>
      <c r="BK2287" s="4">
        <v>2954</v>
      </c>
      <c r="BL2287" s="4">
        <v>3501</v>
      </c>
      <c r="BM2287" s="4">
        <v>3866</v>
      </c>
      <c r="BN2287" s="4">
        <v>4231</v>
      </c>
      <c r="BR2287">
        <v>240</v>
      </c>
      <c r="BS2287" t="s">
        <v>3267</v>
      </c>
      <c r="BT2287">
        <v>5</v>
      </c>
      <c r="BU2287">
        <v>17</v>
      </c>
      <c r="BV2287">
        <v>9</v>
      </c>
      <c r="BX2287">
        <v>3.12</v>
      </c>
      <c r="BZ2287">
        <v>1.93</v>
      </c>
      <c r="CK2287" t="s">
        <v>360</v>
      </c>
      <c r="CM2287">
        <v>1911</v>
      </c>
    </row>
    <row r="2288" spans="1:91" x14ac:dyDescent="0.3">
      <c r="A2288" t="s">
        <v>3266</v>
      </c>
      <c r="B2288">
        <v>47555</v>
      </c>
      <c r="C2288" t="s">
        <v>1188</v>
      </c>
      <c r="D2288">
        <v>12</v>
      </c>
      <c r="I2288">
        <v>200000</v>
      </c>
      <c r="J2288" t="s">
        <v>800</v>
      </c>
      <c r="V2288" t="s">
        <v>350</v>
      </c>
      <c r="Y2288">
        <v>100</v>
      </c>
      <c r="AA2288">
        <v>70.5</v>
      </c>
      <c r="AC2288" s="3">
        <v>70.5</v>
      </c>
      <c r="AE2288" s="3">
        <v>70.5</v>
      </c>
      <c r="AI2288">
        <v>70.5</v>
      </c>
      <c r="AK2288" s="3"/>
      <c r="AV2288" t="s">
        <v>366</v>
      </c>
      <c r="AX2288" t="s">
        <v>366</v>
      </c>
      <c r="AZ2288" t="s">
        <v>366</v>
      </c>
      <c r="BB2288" t="s">
        <v>366</v>
      </c>
      <c r="BO2288" t="s">
        <v>367</v>
      </c>
      <c r="BR2288">
        <v>240</v>
      </c>
      <c r="BS2288" t="s">
        <v>3267</v>
      </c>
      <c r="BT2288">
        <v>4</v>
      </c>
      <c r="BU2288">
        <v>19</v>
      </c>
      <c r="BV2288">
        <v>6</v>
      </c>
      <c r="BX2288">
        <v>73.5</v>
      </c>
      <c r="BZ2288">
        <v>68</v>
      </c>
      <c r="CM2288">
        <v>1911</v>
      </c>
    </row>
    <row r="2289" spans="1:91" x14ac:dyDescent="0.3">
      <c r="A2289" t="s">
        <v>3268</v>
      </c>
      <c r="B2289">
        <v>47549</v>
      </c>
      <c r="D2289">
        <v>12</v>
      </c>
      <c r="I2289">
        <v>300000</v>
      </c>
      <c r="U2289">
        <v>1</v>
      </c>
      <c r="Y2289">
        <v>1</v>
      </c>
      <c r="AA2289">
        <v>1</v>
      </c>
      <c r="AC2289" s="3">
        <v>1</v>
      </c>
      <c r="AE2289" s="3">
        <v>0.93</v>
      </c>
      <c r="AI2289">
        <v>1</v>
      </c>
      <c r="AJ2289" t="s">
        <v>379</v>
      </c>
      <c r="AK2289" s="3"/>
      <c r="BG2289">
        <v>5</v>
      </c>
      <c r="BH2289">
        <v>5</v>
      </c>
      <c r="BI2289">
        <v>5</v>
      </c>
      <c r="BJ2289">
        <v>5</v>
      </c>
      <c r="BK2289" s="4">
        <v>3654</v>
      </c>
      <c r="BL2289" s="4">
        <v>3835</v>
      </c>
      <c r="BM2289" s="4">
        <v>4019</v>
      </c>
      <c r="BN2289" s="4">
        <v>4200</v>
      </c>
      <c r="BR2289">
        <v>116271</v>
      </c>
      <c r="BS2289" t="s">
        <v>3269</v>
      </c>
      <c r="BT2289">
        <v>5</v>
      </c>
      <c r="BU2289">
        <v>0</v>
      </c>
      <c r="BV2289">
        <v>0</v>
      </c>
      <c r="BX2289">
        <v>1.06</v>
      </c>
      <c r="BZ2289">
        <v>0.93</v>
      </c>
      <c r="CK2289" t="s">
        <v>360</v>
      </c>
      <c r="CM2289">
        <v>1911</v>
      </c>
    </row>
    <row r="2290" spans="1:91" x14ac:dyDescent="0.3">
      <c r="A2290" t="s">
        <v>3268</v>
      </c>
      <c r="B2290">
        <v>47550</v>
      </c>
      <c r="C2290" t="s">
        <v>860</v>
      </c>
      <c r="D2290">
        <v>12</v>
      </c>
      <c r="I2290">
        <v>300000</v>
      </c>
      <c r="J2290" t="s">
        <v>800</v>
      </c>
      <c r="V2290" t="s">
        <v>350</v>
      </c>
      <c r="Y2290">
        <v>100</v>
      </c>
      <c r="AA2290">
        <v>90.5</v>
      </c>
      <c r="AC2290" s="3">
        <v>90.5</v>
      </c>
      <c r="AE2290" s="3">
        <v>88.5</v>
      </c>
      <c r="AI2290">
        <v>88.5</v>
      </c>
      <c r="AJ2290" t="s">
        <v>379</v>
      </c>
      <c r="AK2290" s="3"/>
      <c r="AV2290" t="s">
        <v>370</v>
      </c>
      <c r="AX2290" t="s">
        <v>370</v>
      </c>
      <c r="AZ2290" t="s">
        <v>370</v>
      </c>
      <c r="BB2290" t="s">
        <v>370</v>
      </c>
      <c r="BO2290" t="s">
        <v>367</v>
      </c>
      <c r="BR2290">
        <v>116271</v>
      </c>
      <c r="BS2290" t="s">
        <v>3269</v>
      </c>
      <c r="BT2290">
        <v>4</v>
      </c>
      <c r="BU2290">
        <v>10</v>
      </c>
      <c r="BV2290">
        <v>6</v>
      </c>
      <c r="BX2290">
        <v>92.75</v>
      </c>
      <c r="BZ2290">
        <v>88</v>
      </c>
      <c r="CM2290">
        <v>1911</v>
      </c>
    </row>
    <row r="2291" spans="1:91" x14ac:dyDescent="0.3">
      <c r="A2291" t="s">
        <v>3270</v>
      </c>
      <c r="B2291">
        <v>47595</v>
      </c>
      <c r="D2291">
        <v>12</v>
      </c>
      <c r="I2291">
        <v>160362</v>
      </c>
      <c r="U2291">
        <v>1</v>
      </c>
      <c r="Y2291">
        <v>1</v>
      </c>
      <c r="AA2291">
        <v>2.68</v>
      </c>
      <c r="AC2291" s="3">
        <v>2.84</v>
      </c>
      <c r="AE2291" s="3">
        <v>2.68</v>
      </c>
      <c r="AI2291">
        <v>2.84</v>
      </c>
      <c r="AK2291" s="3"/>
      <c r="AX2291" t="s">
        <v>823</v>
      </c>
      <c r="BB2291" t="s">
        <v>823</v>
      </c>
      <c r="BG2291">
        <v>30</v>
      </c>
      <c r="BH2291">
        <v>15</v>
      </c>
      <c r="BI2291">
        <v>25</v>
      </c>
      <c r="BJ2291">
        <v>15</v>
      </c>
      <c r="BK2291" s="4">
        <v>3713</v>
      </c>
      <c r="BL2291" s="4">
        <v>3897</v>
      </c>
      <c r="BM2291" s="4">
        <v>4078</v>
      </c>
      <c r="BN2291" s="4">
        <v>4262</v>
      </c>
      <c r="BR2291">
        <v>10716</v>
      </c>
      <c r="BS2291" t="s">
        <v>3271</v>
      </c>
      <c r="BT2291">
        <v>7</v>
      </c>
      <c r="BU2291">
        <v>0</v>
      </c>
      <c r="BV2291">
        <v>6</v>
      </c>
      <c r="BX2291">
        <v>2.87</v>
      </c>
      <c r="BZ2291">
        <v>2.65</v>
      </c>
      <c r="CK2291" t="s">
        <v>393</v>
      </c>
      <c r="CL2291" t="s">
        <v>457</v>
      </c>
      <c r="CM2291">
        <v>1911</v>
      </c>
    </row>
    <row r="2292" spans="1:91" x14ac:dyDescent="0.3">
      <c r="A2292" t="s">
        <v>3270</v>
      </c>
      <c r="B2292">
        <v>40010</v>
      </c>
      <c r="C2292" t="s">
        <v>3272</v>
      </c>
      <c r="D2292">
        <v>12</v>
      </c>
      <c r="I2292">
        <v>108432</v>
      </c>
      <c r="U2292">
        <v>1</v>
      </c>
      <c r="Y2292">
        <v>1</v>
      </c>
      <c r="AA2292">
        <v>1.1499999999999999</v>
      </c>
      <c r="AC2292" s="3">
        <v>1.1499999999999999</v>
      </c>
      <c r="AE2292" s="3">
        <v>1.1499999999999999</v>
      </c>
      <c r="AI2292">
        <v>1.1499999999999999</v>
      </c>
      <c r="AK2292" s="3"/>
      <c r="AV2292" t="s">
        <v>373</v>
      </c>
      <c r="AX2292" t="s">
        <v>373</v>
      </c>
      <c r="AZ2292" t="s">
        <v>373</v>
      </c>
      <c r="BB2292" t="s">
        <v>373</v>
      </c>
      <c r="BO2292" t="s">
        <v>367</v>
      </c>
      <c r="BR2292">
        <v>10716</v>
      </c>
      <c r="BS2292" t="s">
        <v>3271</v>
      </c>
      <c r="BT2292">
        <v>4</v>
      </c>
      <c r="BU2292">
        <v>6</v>
      </c>
      <c r="BV2292">
        <v>6</v>
      </c>
      <c r="BX2292">
        <v>1.18</v>
      </c>
      <c r="BZ2292">
        <v>1.1200000000000001</v>
      </c>
      <c r="CM2292">
        <v>1911</v>
      </c>
    </row>
    <row r="2293" spans="1:91" x14ac:dyDescent="0.3">
      <c r="A2293" t="s">
        <v>3270</v>
      </c>
      <c r="B2293">
        <v>47597</v>
      </c>
      <c r="C2293" t="s">
        <v>3273</v>
      </c>
      <c r="D2293">
        <v>12</v>
      </c>
      <c r="I2293">
        <v>192442</v>
      </c>
      <c r="U2293">
        <v>1</v>
      </c>
      <c r="Y2293">
        <v>1</v>
      </c>
      <c r="AA2293">
        <v>1.0900000000000001</v>
      </c>
      <c r="AC2293" s="3">
        <v>1.0900000000000001</v>
      </c>
      <c r="AE2293" s="3">
        <v>1.0900000000000001</v>
      </c>
      <c r="AI2293">
        <v>1.0900000000000001</v>
      </c>
      <c r="AK2293" s="3"/>
      <c r="AV2293" t="s">
        <v>373</v>
      </c>
      <c r="AX2293" t="s">
        <v>373</v>
      </c>
      <c r="AZ2293" t="s">
        <v>373</v>
      </c>
      <c r="BB2293" t="s">
        <v>373</v>
      </c>
      <c r="BO2293" t="s">
        <v>367</v>
      </c>
      <c r="BR2293">
        <v>10716</v>
      </c>
      <c r="BS2293" t="s">
        <v>3271</v>
      </c>
      <c r="BT2293">
        <v>4</v>
      </c>
      <c r="BU2293">
        <v>11</v>
      </c>
      <c r="BV2293">
        <v>6</v>
      </c>
      <c r="BX2293">
        <v>1.1200000000000001</v>
      </c>
      <c r="BZ2293">
        <v>0.87</v>
      </c>
      <c r="CM2293">
        <v>1911</v>
      </c>
    </row>
    <row r="2294" spans="1:91" x14ac:dyDescent="0.3">
      <c r="A2294" t="s">
        <v>3274</v>
      </c>
      <c r="B2294">
        <v>47650</v>
      </c>
      <c r="D2294">
        <v>12</v>
      </c>
      <c r="I2294">
        <v>42784</v>
      </c>
      <c r="U2294">
        <v>10</v>
      </c>
      <c r="Y2294">
        <v>10</v>
      </c>
      <c r="AA2294">
        <v>0.5</v>
      </c>
      <c r="AC2294" s="3">
        <v>0.5</v>
      </c>
      <c r="AE2294" s="3">
        <v>0.5</v>
      </c>
      <c r="AI2294">
        <v>0.5</v>
      </c>
      <c r="AK2294" s="3"/>
      <c r="AV2294" t="s">
        <v>802</v>
      </c>
      <c r="BB2294" t="s">
        <v>810</v>
      </c>
      <c r="BH2294">
        <v>4</v>
      </c>
      <c r="BI2294">
        <v>4</v>
      </c>
      <c r="BL2294" t="s">
        <v>3120</v>
      </c>
      <c r="BM2294" s="4">
        <v>306</v>
      </c>
      <c r="BS2294" t="s">
        <v>385</v>
      </c>
      <c r="BW2294" t="s">
        <v>802</v>
      </c>
      <c r="BX2294">
        <v>0.68</v>
      </c>
      <c r="BZ2294">
        <v>0.46</v>
      </c>
      <c r="CK2294" t="s">
        <v>360</v>
      </c>
      <c r="CM2294">
        <v>1911</v>
      </c>
    </row>
    <row r="2295" spans="1:91" x14ac:dyDescent="0.3">
      <c r="A2295" t="s">
        <v>3275</v>
      </c>
      <c r="B2295">
        <v>47651</v>
      </c>
      <c r="D2295">
        <v>12</v>
      </c>
      <c r="I2295">
        <v>42784</v>
      </c>
      <c r="U2295">
        <v>10</v>
      </c>
      <c r="Y2295">
        <v>10</v>
      </c>
      <c r="AA2295">
        <v>3</v>
      </c>
      <c r="AC2295" s="3">
        <v>3</v>
      </c>
      <c r="AE2295" s="3">
        <v>3</v>
      </c>
      <c r="AI2295">
        <v>3</v>
      </c>
      <c r="AK2295" s="3"/>
      <c r="BB2295" t="s">
        <v>810</v>
      </c>
      <c r="BG2295">
        <v>8</v>
      </c>
      <c r="BH2295">
        <v>8</v>
      </c>
      <c r="BI2295">
        <v>8</v>
      </c>
      <c r="BK2295" s="4">
        <v>1797</v>
      </c>
      <c r="BL2295" s="4">
        <v>2162</v>
      </c>
      <c r="BM2295" s="4">
        <v>2527</v>
      </c>
      <c r="BS2295" t="s">
        <v>385</v>
      </c>
      <c r="BW2295" t="s">
        <v>802</v>
      </c>
      <c r="BX2295">
        <v>3.25</v>
      </c>
      <c r="BZ2295">
        <v>2.5</v>
      </c>
      <c r="CM2295">
        <v>1911</v>
      </c>
    </row>
    <row r="2296" spans="1:91" x14ac:dyDescent="0.3">
      <c r="A2296" t="s">
        <v>3275</v>
      </c>
      <c r="B2296">
        <v>47653</v>
      </c>
      <c r="C2296" t="s">
        <v>3276</v>
      </c>
      <c r="D2296">
        <v>12</v>
      </c>
      <c r="I2296">
        <v>875000</v>
      </c>
      <c r="J2296" t="s">
        <v>800</v>
      </c>
      <c r="U2296">
        <v>100</v>
      </c>
      <c r="Y2296">
        <v>100</v>
      </c>
      <c r="AA2296">
        <v>95.5</v>
      </c>
      <c r="AC2296" s="3">
        <v>97</v>
      </c>
      <c r="AE2296" s="3">
        <v>95.5</v>
      </c>
      <c r="AI2296">
        <v>95.5</v>
      </c>
      <c r="AK2296" s="3"/>
      <c r="BG2296">
        <v>6</v>
      </c>
      <c r="BH2296">
        <v>6</v>
      </c>
      <c r="BI2296">
        <v>6</v>
      </c>
      <c r="BJ2296">
        <v>6</v>
      </c>
      <c r="BK2296" s="4">
        <v>3774</v>
      </c>
      <c r="BL2296" s="4">
        <v>3958</v>
      </c>
      <c r="BM2296" s="4">
        <v>4139</v>
      </c>
      <c r="BN2296" s="4">
        <v>4323</v>
      </c>
      <c r="BS2296" t="s">
        <v>385</v>
      </c>
      <c r="BT2296">
        <v>5</v>
      </c>
      <c r="BU2296">
        <v>6</v>
      </c>
      <c r="BV2296">
        <v>0</v>
      </c>
      <c r="BX2296">
        <v>99.5</v>
      </c>
      <c r="BZ2296">
        <v>95.5</v>
      </c>
      <c r="CM2296">
        <v>1911</v>
      </c>
    </row>
    <row r="2297" spans="1:91" x14ac:dyDescent="0.3">
      <c r="A2297" t="s">
        <v>3277</v>
      </c>
      <c r="B2297">
        <v>47657</v>
      </c>
      <c r="D2297">
        <v>12</v>
      </c>
      <c r="I2297">
        <v>30000</v>
      </c>
      <c r="U2297">
        <v>5</v>
      </c>
      <c r="Y2297">
        <v>5</v>
      </c>
      <c r="AA2297">
        <v>5.43</v>
      </c>
      <c r="AC2297" s="3">
        <v>5.43</v>
      </c>
      <c r="AE2297" s="3">
        <v>5.43</v>
      </c>
      <c r="AI2297">
        <v>5.37</v>
      </c>
      <c r="AK2297" s="3"/>
      <c r="AX2297" t="s">
        <v>823</v>
      </c>
      <c r="BB2297" t="s">
        <v>823</v>
      </c>
      <c r="BG2297">
        <v>7</v>
      </c>
      <c r="BH2297">
        <v>5</v>
      </c>
      <c r="BI2297">
        <v>7</v>
      </c>
      <c r="BJ2297">
        <v>5</v>
      </c>
      <c r="BK2297" s="4">
        <v>3713</v>
      </c>
      <c r="BL2297" s="4">
        <v>3897</v>
      </c>
      <c r="BM2297" s="4">
        <v>4078</v>
      </c>
      <c r="BN2297" s="4">
        <v>4262</v>
      </c>
      <c r="BR2297">
        <v>46014</v>
      </c>
      <c r="BS2297" t="s">
        <v>3278</v>
      </c>
      <c r="BT2297">
        <v>6</v>
      </c>
      <c r="BU2297">
        <v>10</v>
      </c>
      <c r="BV2297">
        <v>3</v>
      </c>
      <c r="BX2297">
        <v>5.81</v>
      </c>
      <c r="BZ2297">
        <v>5.25</v>
      </c>
      <c r="CK2297" t="s">
        <v>1179</v>
      </c>
      <c r="CM2297">
        <v>1911</v>
      </c>
    </row>
    <row r="2298" spans="1:91" x14ac:dyDescent="0.3">
      <c r="A2298" t="s">
        <v>3279</v>
      </c>
      <c r="B2298">
        <v>47669</v>
      </c>
      <c r="D2298">
        <v>12</v>
      </c>
      <c r="I2298">
        <v>175000</v>
      </c>
      <c r="U2298">
        <v>1</v>
      </c>
      <c r="Y2298">
        <v>1</v>
      </c>
      <c r="AA2298">
        <v>0.68</v>
      </c>
      <c r="AC2298" s="3">
        <v>0.71</v>
      </c>
      <c r="AE2298" s="3">
        <v>0.68</v>
      </c>
      <c r="AI2298">
        <v>0.68</v>
      </c>
      <c r="AK2298" s="3"/>
      <c r="BG2298">
        <v>5</v>
      </c>
      <c r="BH2298">
        <v>5</v>
      </c>
      <c r="BI2298">
        <v>5</v>
      </c>
      <c r="BJ2298">
        <v>5</v>
      </c>
      <c r="BK2298" s="4">
        <v>2983</v>
      </c>
      <c r="BL2298" s="4">
        <v>3348</v>
      </c>
      <c r="BM2298" s="4">
        <v>3713</v>
      </c>
      <c r="BN2298" s="4">
        <v>4078</v>
      </c>
      <c r="BR2298">
        <v>17243</v>
      </c>
      <c r="BS2298" t="s">
        <v>3280</v>
      </c>
      <c r="BT2298">
        <v>7</v>
      </c>
      <c r="BU2298">
        <v>5</v>
      </c>
      <c r="BV2298">
        <v>9</v>
      </c>
      <c r="BX2298">
        <v>0.71</v>
      </c>
      <c r="BZ2298">
        <v>0.5</v>
      </c>
      <c r="CK2298" t="s">
        <v>360</v>
      </c>
      <c r="CM2298">
        <v>1911</v>
      </c>
    </row>
    <row r="2299" spans="1:91" x14ac:dyDescent="0.3">
      <c r="A2299" t="s">
        <v>3281</v>
      </c>
      <c r="B2299">
        <v>47670</v>
      </c>
      <c r="D2299">
        <v>12</v>
      </c>
      <c r="I2299">
        <v>20000</v>
      </c>
      <c r="U2299">
        <v>5</v>
      </c>
      <c r="Y2299">
        <v>5</v>
      </c>
      <c r="AA2299">
        <v>4</v>
      </c>
      <c r="AC2299" s="3">
        <v>4</v>
      </c>
      <c r="AE2299" s="3">
        <v>3.75</v>
      </c>
      <c r="AI2299">
        <v>4</v>
      </c>
      <c r="AK2299" s="3"/>
      <c r="AV2299" t="s">
        <v>373</v>
      </c>
      <c r="AX2299" t="s">
        <v>373</v>
      </c>
      <c r="AZ2299" t="s">
        <v>373</v>
      </c>
      <c r="BB2299" t="s">
        <v>373</v>
      </c>
      <c r="BO2299" t="s">
        <v>367</v>
      </c>
      <c r="BR2299">
        <v>17243</v>
      </c>
      <c r="BS2299" t="s">
        <v>3280</v>
      </c>
      <c r="BT2299">
        <v>6</v>
      </c>
      <c r="BU2299">
        <v>5</v>
      </c>
      <c r="BV2299">
        <v>0</v>
      </c>
      <c r="BX2299">
        <v>4.25</v>
      </c>
      <c r="BZ2299">
        <v>3.75</v>
      </c>
      <c r="CM2299">
        <v>1911</v>
      </c>
    </row>
    <row r="2300" spans="1:91" x14ac:dyDescent="0.3">
      <c r="A2300" t="s">
        <v>3282</v>
      </c>
      <c r="B2300">
        <v>47762</v>
      </c>
      <c r="D2300">
        <v>12</v>
      </c>
      <c r="I2300">
        <v>250000</v>
      </c>
      <c r="V2300" t="s">
        <v>3283</v>
      </c>
      <c r="Z2300" t="s">
        <v>3283</v>
      </c>
      <c r="AA2300">
        <v>0.12</v>
      </c>
      <c r="AC2300" s="3">
        <v>0.12</v>
      </c>
      <c r="AE2300" s="3">
        <v>0.12</v>
      </c>
      <c r="AI2300">
        <v>0.12</v>
      </c>
      <c r="AK2300" s="3"/>
      <c r="AV2300" t="s">
        <v>815</v>
      </c>
      <c r="AX2300" t="s">
        <v>815</v>
      </c>
      <c r="AZ2300" t="s">
        <v>802</v>
      </c>
      <c r="BB2300" t="s">
        <v>815</v>
      </c>
      <c r="BG2300">
        <v>7.5</v>
      </c>
      <c r="BH2300">
        <v>7.5</v>
      </c>
      <c r="BJ2300">
        <v>10</v>
      </c>
      <c r="BK2300" s="4">
        <v>3167</v>
      </c>
      <c r="BL2300" s="4">
        <v>3532</v>
      </c>
      <c r="BM2300">
        <v>1910</v>
      </c>
      <c r="BN2300" s="4">
        <v>4262</v>
      </c>
      <c r="BR2300">
        <v>49210</v>
      </c>
      <c r="BS2300" t="s">
        <v>3284</v>
      </c>
      <c r="BT2300">
        <v>16</v>
      </c>
      <c r="BU2300">
        <v>0</v>
      </c>
      <c r="BV2300">
        <v>0</v>
      </c>
      <c r="BX2300">
        <v>0.18</v>
      </c>
      <c r="BZ2300">
        <v>0.09</v>
      </c>
      <c r="CK2300" t="s">
        <v>3285</v>
      </c>
      <c r="CM2300">
        <v>1911</v>
      </c>
    </row>
    <row r="2301" spans="1:91" x14ac:dyDescent="0.3">
      <c r="A2301" t="s">
        <v>3282</v>
      </c>
      <c r="B2301">
        <v>47761</v>
      </c>
      <c r="C2301" t="s">
        <v>2207</v>
      </c>
      <c r="D2301">
        <v>12</v>
      </c>
      <c r="I2301">
        <v>250000</v>
      </c>
      <c r="U2301">
        <v>0.5</v>
      </c>
      <c r="Y2301">
        <v>0.5</v>
      </c>
      <c r="AA2301">
        <v>0.31</v>
      </c>
      <c r="AC2301" s="3">
        <v>0.34</v>
      </c>
      <c r="AE2301" s="3">
        <v>0.31</v>
      </c>
      <c r="AI2301">
        <v>0.34</v>
      </c>
      <c r="AK2301" s="3"/>
      <c r="AV2301" t="s">
        <v>815</v>
      </c>
      <c r="AX2301" t="s">
        <v>815</v>
      </c>
      <c r="AZ2301" t="s">
        <v>815</v>
      </c>
      <c r="BB2301" t="s">
        <v>815</v>
      </c>
      <c r="BG2301">
        <v>7.5</v>
      </c>
      <c r="BH2301">
        <v>7.5</v>
      </c>
      <c r="BI2301">
        <v>7.5</v>
      </c>
      <c r="BJ2301">
        <v>7.5</v>
      </c>
      <c r="BK2301" s="4">
        <v>3167</v>
      </c>
      <c r="BL2301" s="4">
        <v>3532</v>
      </c>
      <c r="BM2301" s="4">
        <v>3897</v>
      </c>
      <c r="BN2301" s="4">
        <v>4262</v>
      </c>
      <c r="BR2301">
        <v>49210</v>
      </c>
      <c r="BS2301" t="s">
        <v>3284</v>
      </c>
      <c r="BT2301">
        <v>10</v>
      </c>
      <c r="BU2301">
        <v>18</v>
      </c>
      <c r="BV2301">
        <v>0</v>
      </c>
      <c r="BX2301">
        <v>0.37</v>
      </c>
      <c r="BZ2301">
        <v>0.28000000000000003</v>
      </c>
      <c r="CM2301">
        <v>1911</v>
      </c>
    </row>
    <row r="2302" spans="1:91" x14ac:dyDescent="0.3">
      <c r="A2302" t="s">
        <v>3286</v>
      </c>
      <c r="B2302">
        <v>47772</v>
      </c>
      <c r="D2302">
        <v>12</v>
      </c>
      <c r="I2302" s="2">
        <v>1000000</v>
      </c>
      <c r="J2302" t="s">
        <v>800</v>
      </c>
      <c r="U2302">
        <v>100</v>
      </c>
      <c r="Y2302">
        <v>100</v>
      </c>
      <c r="Z2302" t="s">
        <v>615</v>
      </c>
      <c r="AA2302">
        <v>87.5</v>
      </c>
      <c r="AC2302" s="3">
        <v>87.5</v>
      </c>
      <c r="AE2302" s="3">
        <v>86.5</v>
      </c>
      <c r="AI2302">
        <v>87.5</v>
      </c>
      <c r="AK2302" s="3"/>
      <c r="AV2302" t="s">
        <v>366</v>
      </c>
      <c r="AX2302" t="s">
        <v>366</v>
      </c>
      <c r="AZ2302" t="s">
        <v>366</v>
      </c>
      <c r="BB2302" t="s">
        <v>366</v>
      </c>
      <c r="BO2302" t="s">
        <v>367</v>
      </c>
      <c r="BS2302" t="s">
        <v>385</v>
      </c>
      <c r="BT2302">
        <v>5</v>
      </c>
      <c r="BU2302">
        <v>14</v>
      </c>
      <c r="BV2302">
        <v>6</v>
      </c>
      <c r="BX2302">
        <v>88.75</v>
      </c>
      <c r="BZ2302">
        <v>86</v>
      </c>
      <c r="CM2302">
        <v>1911</v>
      </c>
    </row>
    <row r="2303" spans="1:91" x14ac:dyDescent="0.3">
      <c r="A2303" t="s">
        <v>3287</v>
      </c>
      <c r="B2303">
        <v>47773</v>
      </c>
      <c r="D2303">
        <v>12</v>
      </c>
      <c r="I2303">
        <v>37500</v>
      </c>
      <c r="U2303">
        <v>16</v>
      </c>
      <c r="Y2303">
        <v>16</v>
      </c>
      <c r="AA2303">
        <v>34</v>
      </c>
      <c r="AC2303" s="3">
        <v>34.5</v>
      </c>
      <c r="AE2303" s="3">
        <v>33.25</v>
      </c>
      <c r="AI2303">
        <v>34.5</v>
      </c>
      <c r="AK2303" s="3"/>
      <c r="AU2303" t="s">
        <v>1837</v>
      </c>
      <c r="AV2303" t="s">
        <v>3288</v>
      </c>
      <c r="AW2303" t="s">
        <v>3289</v>
      </c>
      <c r="AX2303" t="s">
        <v>3290</v>
      </c>
      <c r="AY2303" t="s">
        <v>1837</v>
      </c>
      <c r="AZ2303" t="s">
        <v>3288</v>
      </c>
      <c r="BA2303" t="s">
        <v>3289</v>
      </c>
      <c r="BB2303" t="s">
        <v>3290</v>
      </c>
      <c r="BC2303">
        <v>240</v>
      </c>
      <c r="BD2303">
        <v>180</v>
      </c>
      <c r="BE2303">
        <v>240</v>
      </c>
      <c r="BF2303">
        <v>180</v>
      </c>
      <c r="BK2303" s="4">
        <v>3713</v>
      </c>
      <c r="BL2303" s="4">
        <v>3897</v>
      </c>
      <c r="BM2303" s="4">
        <v>4078</v>
      </c>
      <c r="BN2303" s="4">
        <v>4262</v>
      </c>
      <c r="BR2303">
        <v>111353</v>
      </c>
      <c r="BT2303">
        <v>5</v>
      </c>
      <c r="BU2303">
        <v>1</v>
      </c>
      <c r="BV2303">
        <v>6</v>
      </c>
      <c r="BX2303">
        <v>35.75</v>
      </c>
      <c r="BZ2303">
        <v>33</v>
      </c>
      <c r="CK2303" t="s">
        <v>360</v>
      </c>
      <c r="CM2303">
        <v>1911</v>
      </c>
    </row>
    <row r="2304" spans="1:91" x14ac:dyDescent="0.3">
      <c r="A2304" t="s">
        <v>3291</v>
      </c>
      <c r="B2304">
        <v>47806</v>
      </c>
      <c r="D2304">
        <v>12</v>
      </c>
      <c r="I2304">
        <v>500000</v>
      </c>
      <c r="J2304" t="s">
        <v>800</v>
      </c>
      <c r="U2304">
        <v>100</v>
      </c>
      <c r="V2304" t="s">
        <v>615</v>
      </c>
      <c r="Y2304">
        <v>100</v>
      </c>
      <c r="AA2304">
        <v>93</v>
      </c>
      <c r="AC2304" s="3">
        <v>93.25</v>
      </c>
      <c r="AE2304" s="3">
        <v>93</v>
      </c>
      <c r="AI2304">
        <v>93</v>
      </c>
      <c r="AK2304" s="3"/>
      <c r="AV2304" t="s">
        <v>506</v>
      </c>
      <c r="AX2304" t="s">
        <v>506</v>
      </c>
      <c r="AZ2304" t="s">
        <v>506</v>
      </c>
      <c r="BB2304" t="s">
        <v>506</v>
      </c>
      <c r="BO2304" t="s">
        <v>367</v>
      </c>
      <c r="BS2304" t="s">
        <v>385</v>
      </c>
      <c r="BT2304">
        <v>5</v>
      </c>
      <c r="BU2304">
        <v>9</v>
      </c>
      <c r="BV2304">
        <v>0</v>
      </c>
      <c r="BX2304">
        <v>94.25</v>
      </c>
      <c r="BZ2304">
        <v>90.5</v>
      </c>
      <c r="CM2304">
        <v>1911</v>
      </c>
    </row>
    <row r="2305" spans="1:91" x14ac:dyDescent="0.3">
      <c r="A2305" t="s">
        <v>3292</v>
      </c>
      <c r="B2305">
        <v>47829</v>
      </c>
      <c r="D2305">
        <v>12</v>
      </c>
      <c r="I2305">
        <v>10000</v>
      </c>
      <c r="U2305">
        <v>5</v>
      </c>
      <c r="Y2305">
        <v>5</v>
      </c>
      <c r="AA2305">
        <v>5.5</v>
      </c>
      <c r="AC2305" s="3">
        <v>5.5</v>
      </c>
      <c r="AE2305" s="3">
        <v>5.5</v>
      </c>
      <c r="AI2305">
        <v>5.5</v>
      </c>
      <c r="AK2305" s="3"/>
      <c r="AX2305" t="s">
        <v>823</v>
      </c>
      <c r="BB2305" t="s">
        <v>823</v>
      </c>
      <c r="BG2305">
        <v>6</v>
      </c>
      <c r="BH2305">
        <v>6</v>
      </c>
      <c r="BI2305">
        <v>6</v>
      </c>
      <c r="BJ2305">
        <v>6</v>
      </c>
      <c r="BK2305" s="4">
        <v>3744</v>
      </c>
      <c r="BL2305" s="4">
        <v>3927</v>
      </c>
      <c r="BM2305" s="4">
        <v>4109</v>
      </c>
      <c r="BN2305" s="4">
        <v>4292</v>
      </c>
      <c r="BR2305">
        <v>12128</v>
      </c>
      <c r="BS2305" t="s">
        <v>3293</v>
      </c>
      <c r="BT2305">
        <v>5</v>
      </c>
      <c r="BU2305">
        <v>9</v>
      </c>
      <c r="BV2305">
        <v>0</v>
      </c>
      <c r="BX2305">
        <v>5.53</v>
      </c>
      <c r="BZ2305">
        <v>5</v>
      </c>
      <c r="CM2305">
        <v>1911</v>
      </c>
    </row>
    <row r="2306" spans="1:91" x14ac:dyDescent="0.3">
      <c r="A2306" t="s">
        <v>3292</v>
      </c>
      <c r="B2306">
        <v>47830</v>
      </c>
      <c r="C2306" t="s">
        <v>3294</v>
      </c>
      <c r="D2306">
        <v>12</v>
      </c>
      <c r="I2306">
        <v>100000</v>
      </c>
      <c r="J2306" t="s">
        <v>800</v>
      </c>
      <c r="V2306" t="s">
        <v>350</v>
      </c>
      <c r="Y2306">
        <v>100</v>
      </c>
      <c r="AA2306">
        <v>99.5</v>
      </c>
      <c r="AC2306" s="3">
        <v>99.5</v>
      </c>
      <c r="AE2306" s="3">
        <v>98.5</v>
      </c>
      <c r="AI2306">
        <v>98.5</v>
      </c>
      <c r="AJ2306" t="s">
        <v>379</v>
      </c>
      <c r="AK2306" s="3"/>
      <c r="AV2306" t="s">
        <v>370</v>
      </c>
      <c r="AX2306" t="s">
        <v>370</v>
      </c>
      <c r="AZ2306" t="s">
        <v>370</v>
      </c>
      <c r="BB2306" t="s">
        <v>370</v>
      </c>
      <c r="BO2306" t="s">
        <v>367</v>
      </c>
      <c r="BR2306">
        <v>12128</v>
      </c>
      <c r="BS2306" t="s">
        <v>3293</v>
      </c>
      <c r="BT2306">
        <v>5</v>
      </c>
      <c r="BU2306">
        <v>1</v>
      </c>
      <c r="BV2306">
        <v>6</v>
      </c>
      <c r="BX2306">
        <v>99.5</v>
      </c>
      <c r="BZ2306">
        <v>95</v>
      </c>
      <c r="CK2306" t="s">
        <v>360</v>
      </c>
      <c r="CM2306">
        <v>1911</v>
      </c>
    </row>
    <row r="2307" spans="1:91" x14ac:dyDescent="0.3">
      <c r="A2307" t="s">
        <v>3295</v>
      </c>
      <c r="B2307">
        <v>47867</v>
      </c>
      <c r="D2307">
        <v>12</v>
      </c>
      <c r="I2307">
        <v>290000</v>
      </c>
      <c r="J2307" t="s">
        <v>800</v>
      </c>
      <c r="V2307" t="s">
        <v>350</v>
      </c>
      <c r="Y2307">
        <v>100</v>
      </c>
      <c r="AA2307">
        <v>65</v>
      </c>
      <c r="AC2307" s="3">
        <v>65</v>
      </c>
      <c r="AE2307" s="3">
        <v>65</v>
      </c>
      <c r="AI2307">
        <v>65</v>
      </c>
      <c r="AK2307" s="3"/>
      <c r="BG2307">
        <v>4</v>
      </c>
      <c r="BH2307">
        <v>4</v>
      </c>
      <c r="BI2307">
        <v>4</v>
      </c>
      <c r="BJ2307">
        <v>4</v>
      </c>
      <c r="BK2307" s="4">
        <v>3685</v>
      </c>
      <c r="BL2307" s="4">
        <v>3866</v>
      </c>
      <c r="BM2307" s="4">
        <v>4050</v>
      </c>
      <c r="BN2307" s="4">
        <v>4231</v>
      </c>
      <c r="BR2307">
        <v>3177</v>
      </c>
      <c r="BT2307">
        <v>6</v>
      </c>
      <c r="BU2307">
        <v>4</v>
      </c>
      <c r="BV2307">
        <v>9</v>
      </c>
      <c r="BX2307">
        <v>68.5</v>
      </c>
      <c r="BZ2307">
        <v>62.75</v>
      </c>
      <c r="CM2307">
        <v>1911</v>
      </c>
    </row>
    <row r="2308" spans="1:91" x14ac:dyDescent="0.3">
      <c r="A2308" t="s">
        <v>3296</v>
      </c>
      <c r="B2308">
        <v>47931</v>
      </c>
      <c r="D2308">
        <v>12</v>
      </c>
      <c r="I2308">
        <v>18000</v>
      </c>
      <c r="U2308">
        <v>5</v>
      </c>
      <c r="Y2308">
        <v>3</v>
      </c>
      <c r="AA2308">
        <v>8.1199999999999992</v>
      </c>
      <c r="AC2308" s="3">
        <v>8.1199999999999992</v>
      </c>
      <c r="AE2308" s="3">
        <v>8.1199999999999992</v>
      </c>
      <c r="AI2308">
        <v>8.1199999999999992</v>
      </c>
      <c r="AK2308" s="3"/>
      <c r="AX2308" t="s">
        <v>823</v>
      </c>
      <c r="BB2308" t="s">
        <v>823</v>
      </c>
      <c r="BG2308">
        <v>10</v>
      </c>
      <c r="BH2308">
        <v>12.5</v>
      </c>
      <c r="BI2308">
        <v>15</v>
      </c>
      <c r="BJ2308">
        <v>15</v>
      </c>
      <c r="BK2308" s="4">
        <v>3685</v>
      </c>
      <c r="BL2308" s="4">
        <v>3866</v>
      </c>
      <c r="BM2308" s="4">
        <v>4050</v>
      </c>
      <c r="BN2308" s="4">
        <v>4231</v>
      </c>
      <c r="BR2308">
        <v>52903</v>
      </c>
      <c r="BS2308" t="s">
        <v>3297</v>
      </c>
      <c r="BT2308">
        <v>5</v>
      </c>
      <c r="BU2308">
        <v>10</v>
      </c>
      <c r="BV2308">
        <v>9</v>
      </c>
      <c r="BX2308">
        <v>8.25</v>
      </c>
      <c r="BZ2308">
        <v>7</v>
      </c>
      <c r="CK2308" t="s">
        <v>399</v>
      </c>
      <c r="CM2308">
        <v>1911</v>
      </c>
    </row>
    <row r="2309" spans="1:91" x14ac:dyDescent="0.3">
      <c r="A2309" t="s">
        <v>3296</v>
      </c>
      <c r="B2309">
        <v>47933</v>
      </c>
      <c r="C2309" t="s">
        <v>2215</v>
      </c>
      <c r="D2309">
        <v>12</v>
      </c>
      <c r="I2309">
        <v>54000</v>
      </c>
      <c r="U2309">
        <v>1</v>
      </c>
      <c r="Y2309">
        <v>1</v>
      </c>
      <c r="AA2309">
        <v>1.0900000000000001</v>
      </c>
      <c r="AC2309" s="3">
        <v>1.0900000000000001</v>
      </c>
      <c r="AE2309" s="3">
        <v>1.0900000000000001</v>
      </c>
      <c r="AI2309">
        <v>1.0900000000000001</v>
      </c>
      <c r="AK2309" s="3"/>
      <c r="AV2309" t="s">
        <v>506</v>
      </c>
      <c r="AX2309" t="s">
        <v>506</v>
      </c>
      <c r="AZ2309" t="s">
        <v>506</v>
      </c>
      <c r="BB2309" t="s">
        <v>506</v>
      </c>
      <c r="BO2309" t="s">
        <v>367</v>
      </c>
      <c r="BR2309">
        <v>52903</v>
      </c>
      <c r="BS2309" t="s">
        <v>3297</v>
      </c>
      <c r="BT2309">
        <v>4</v>
      </c>
      <c r="BU2309">
        <v>11</v>
      </c>
      <c r="BV2309">
        <v>6</v>
      </c>
      <c r="BX2309">
        <v>1.1200000000000001</v>
      </c>
      <c r="BZ2309">
        <v>1.06</v>
      </c>
      <c r="CM2309">
        <v>1911</v>
      </c>
    </row>
    <row r="2310" spans="1:91" x14ac:dyDescent="0.3">
      <c r="A2310" t="s">
        <v>3298</v>
      </c>
      <c r="B2310">
        <v>47960</v>
      </c>
      <c r="D2310">
        <v>12</v>
      </c>
      <c r="I2310">
        <v>100000</v>
      </c>
      <c r="U2310">
        <v>1</v>
      </c>
      <c r="Y2310">
        <v>1</v>
      </c>
      <c r="AA2310">
        <v>1.62</v>
      </c>
      <c r="AC2310" s="3">
        <v>1.65</v>
      </c>
      <c r="AE2310" s="3">
        <v>1.62</v>
      </c>
      <c r="AI2310">
        <v>1.62</v>
      </c>
      <c r="AK2310" s="3"/>
      <c r="AX2310" t="s">
        <v>823</v>
      </c>
      <c r="BB2310" t="s">
        <v>823</v>
      </c>
      <c r="BG2310">
        <v>12</v>
      </c>
      <c r="BH2310">
        <v>8</v>
      </c>
      <c r="BI2310">
        <v>12</v>
      </c>
      <c r="BJ2310">
        <v>8</v>
      </c>
      <c r="BK2310" s="4">
        <v>3713</v>
      </c>
      <c r="BL2310" s="4">
        <v>3897</v>
      </c>
      <c r="BM2310" s="4">
        <v>4078</v>
      </c>
      <c r="BN2310" s="4">
        <v>4262</v>
      </c>
      <c r="BR2310">
        <v>51346</v>
      </c>
      <c r="BS2310" t="s">
        <v>3299</v>
      </c>
      <c r="BT2310">
        <v>6</v>
      </c>
      <c r="BU2310">
        <v>3</v>
      </c>
      <c r="BV2310">
        <v>0</v>
      </c>
      <c r="BX2310">
        <v>1.65</v>
      </c>
      <c r="BZ2310">
        <v>1.37</v>
      </c>
      <c r="CM2310">
        <v>1911</v>
      </c>
    </row>
    <row r="2311" spans="1:91" x14ac:dyDescent="0.3">
      <c r="A2311" t="s">
        <v>3298</v>
      </c>
      <c r="B2311">
        <v>47962</v>
      </c>
      <c r="C2311" t="s">
        <v>817</v>
      </c>
      <c r="D2311">
        <v>12</v>
      </c>
      <c r="I2311">
        <v>100000</v>
      </c>
      <c r="U2311">
        <v>1</v>
      </c>
      <c r="Y2311">
        <v>1</v>
      </c>
      <c r="AA2311">
        <v>1.06</v>
      </c>
      <c r="AC2311" s="3">
        <v>1.06</v>
      </c>
      <c r="AE2311" s="3">
        <v>1.06</v>
      </c>
      <c r="AI2311">
        <v>1.06</v>
      </c>
      <c r="AK2311" s="3"/>
      <c r="AV2311" t="s">
        <v>373</v>
      </c>
      <c r="AX2311" t="s">
        <v>373</v>
      </c>
      <c r="AZ2311" t="s">
        <v>373</v>
      </c>
      <c r="BB2311" t="s">
        <v>373</v>
      </c>
      <c r="BO2311" t="s">
        <v>367</v>
      </c>
      <c r="BR2311">
        <v>51346</v>
      </c>
      <c r="BS2311" t="s">
        <v>3299</v>
      </c>
      <c r="BT2311">
        <v>4</v>
      </c>
      <c r="BU2311">
        <v>14</v>
      </c>
      <c r="BV2311">
        <v>0</v>
      </c>
      <c r="BX2311">
        <v>1.1200000000000001</v>
      </c>
      <c r="BZ2311">
        <v>1</v>
      </c>
      <c r="CM2311">
        <v>1911</v>
      </c>
    </row>
    <row r="2312" spans="1:91" x14ac:dyDescent="0.3">
      <c r="A2312" t="s">
        <v>3300</v>
      </c>
      <c r="B2312">
        <v>47981</v>
      </c>
      <c r="D2312">
        <v>12</v>
      </c>
      <c r="I2312">
        <v>10000</v>
      </c>
      <c r="U2312">
        <v>10</v>
      </c>
      <c r="Y2312">
        <v>10</v>
      </c>
      <c r="AA2312">
        <v>8.8699999999999992</v>
      </c>
      <c r="AC2312" s="3">
        <v>8.8699999999999992</v>
      </c>
      <c r="AE2312" s="3">
        <v>8.75</v>
      </c>
      <c r="AI2312">
        <v>8.75</v>
      </c>
      <c r="AK2312" s="3"/>
      <c r="BG2312">
        <v>6</v>
      </c>
      <c r="BH2312">
        <v>6</v>
      </c>
      <c r="BI2312">
        <v>6</v>
      </c>
      <c r="BJ2312">
        <v>6</v>
      </c>
      <c r="BK2312" s="4">
        <v>3713</v>
      </c>
      <c r="BL2312" s="4">
        <v>3897</v>
      </c>
      <c r="BM2312" s="4">
        <v>4078</v>
      </c>
      <c r="BN2312" s="4">
        <v>4262</v>
      </c>
      <c r="BR2312">
        <v>2154</v>
      </c>
      <c r="BT2312">
        <v>6</v>
      </c>
      <c r="BU2312">
        <v>17</v>
      </c>
      <c r="BV2312">
        <v>3</v>
      </c>
      <c r="BX2312">
        <v>9.5</v>
      </c>
      <c r="BZ2312">
        <v>8.75</v>
      </c>
      <c r="CK2312" t="s">
        <v>360</v>
      </c>
      <c r="CM2312">
        <v>1911</v>
      </c>
    </row>
    <row r="2313" spans="1:91" x14ac:dyDescent="0.3">
      <c r="A2313" t="s">
        <v>3301</v>
      </c>
      <c r="B2313">
        <v>47992</v>
      </c>
      <c r="D2313">
        <v>12</v>
      </c>
      <c r="I2313">
        <v>200000</v>
      </c>
      <c r="U2313">
        <v>1</v>
      </c>
      <c r="Y2313">
        <v>1</v>
      </c>
      <c r="AA2313">
        <v>1.1200000000000001</v>
      </c>
      <c r="AC2313" s="3">
        <v>1.1200000000000001</v>
      </c>
      <c r="AE2313" s="3">
        <v>1.1200000000000001</v>
      </c>
      <c r="AI2313">
        <v>1.1200000000000001</v>
      </c>
      <c r="AJ2313" t="s">
        <v>379</v>
      </c>
      <c r="AK2313" s="3"/>
      <c r="BG2313">
        <v>5.5</v>
      </c>
      <c r="BH2313">
        <v>5.5</v>
      </c>
      <c r="BI2313">
        <v>5.5</v>
      </c>
      <c r="BJ2313">
        <v>5.5</v>
      </c>
      <c r="BK2313" s="4">
        <v>3654</v>
      </c>
      <c r="BL2313" s="4">
        <v>3835</v>
      </c>
      <c r="BM2313" s="4">
        <v>4019</v>
      </c>
      <c r="BN2313" s="4">
        <v>4200</v>
      </c>
      <c r="BR2313">
        <v>61706</v>
      </c>
      <c r="BS2313" t="s">
        <v>3302</v>
      </c>
      <c r="BT2313">
        <v>4</v>
      </c>
      <c r="BU2313">
        <v>17</v>
      </c>
      <c r="BV2313">
        <v>9</v>
      </c>
      <c r="BX2313">
        <v>1.1200000000000001</v>
      </c>
      <c r="BZ2313">
        <v>1.03</v>
      </c>
      <c r="CK2313" t="s">
        <v>360</v>
      </c>
      <c r="CM2313">
        <v>1911</v>
      </c>
    </row>
    <row r="2314" spans="1:91" x14ac:dyDescent="0.3">
      <c r="A2314" t="s">
        <v>3301</v>
      </c>
      <c r="B2314">
        <v>47993</v>
      </c>
      <c r="C2314" t="s">
        <v>3303</v>
      </c>
      <c r="D2314">
        <v>12</v>
      </c>
      <c r="I2314">
        <v>150000</v>
      </c>
      <c r="J2314" t="s">
        <v>800</v>
      </c>
      <c r="V2314" t="s">
        <v>350</v>
      </c>
      <c r="Y2314">
        <v>100</v>
      </c>
      <c r="AA2314">
        <v>102.5</v>
      </c>
      <c r="AC2314" s="3">
        <v>102.5</v>
      </c>
      <c r="AE2314" s="3">
        <v>101.5</v>
      </c>
      <c r="AI2314">
        <v>101.5</v>
      </c>
      <c r="AJ2314" t="s">
        <v>379</v>
      </c>
      <c r="AK2314" s="3"/>
      <c r="AV2314" t="s">
        <v>370</v>
      </c>
      <c r="AX2314" t="s">
        <v>370</v>
      </c>
      <c r="AZ2314" t="s">
        <v>370</v>
      </c>
      <c r="BB2314" t="s">
        <v>370</v>
      </c>
      <c r="BO2314" t="s">
        <v>367</v>
      </c>
      <c r="BR2314">
        <v>61706</v>
      </c>
      <c r="BS2314" t="s">
        <v>3302</v>
      </c>
      <c r="BT2314">
        <v>4</v>
      </c>
      <c r="BU2314">
        <v>13</v>
      </c>
      <c r="BV2314">
        <v>6</v>
      </c>
      <c r="BX2314">
        <v>103.5</v>
      </c>
      <c r="BZ2314">
        <v>101</v>
      </c>
      <c r="CM2314">
        <v>1911</v>
      </c>
    </row>
    <row r="2315" spans="1:91" x14ac:dyDescent="0.3">
      <c r="A2315" t="s">
        <v>3304</v>
      </c>
      <c r="B2315">
        <v>48049</v>
      </c>
      <c r="D2315">
        <v>12</v>
      </c>
      <c r="I2315">
        <v>72246</v>
      </c>
      <c r="U2315">
        <v>5</v>
      </c>
      <c r="Y2315">
        <v>5</v>
      </c>
      <c r="AA2315">
        <v>4.62</v>
      </c>
      <c r="AC2315" s="3">
        <v>4.62</v>
      </c>
      <c r="AE2315" s="3">
        <v>4.5</v>
      </c>
      <c r="AI2315">
        <v>4.62</v>
      </c>
      <c r="AK2315" s="3"/>
      <c r="BG2315">
        <v>5</v>
      </c>
      <c r="BH2315">
        <v>5</v>
      </c>
      <c r="BI2315">
        <v>5</v>
      </c>
      <c r="BJ2315">
        <v>5</v>
      </c>
      <c r="BK2315" s="4">
        <v>3744</v>
      </c>
      <c r="BL2315" s="4">
        <v>3927</v>
      </c>
      <c r="BM2315" s="4">
        <v>4109</v>
      </c>
      <c r="BN2315" s="4">
        <v>4292</v>
      </c>
      <c r="BR2315">
        <v>46617</v>
      </c>
      <c r="BT2315">
        <v>5</v>
      </c>
      <c r="BU2315">
        <v>8</v>
      </c>
      <c r="BV2315">
        <v>0</v>
      </c>
      <c r="BX2315">
        <v>4.87</v>
      </c>
      <c r="BZ2315">
        <v>4.37</v>
      </c>
      <c r="CK2315" t="s">
        <v>360</v>
      </c>
      <c r="CM2315">
        <v>1911</v>
      </c>
    </row>
    <row r="2316" spans="1:91" x14ac:dyDescent="0.3">
      <c r="A2316" t="s">
        <v>3305</v>
      </c>
      <c r="B2316">
        <v>48069</v>
      </c>
      <c r="D2316">
        <v>12</v>
      </c>
      <c r="I2316">
        <v>238555</v>
      </c>
      <c r="U2316">
        <v>5</v>
      </c>
      <c r="Y2316">
        <v>5</v>
      </c>
      <c r="AA2316">
        <v>3.87</v>
      </c>
      <c r="AC2316" s="3">
        <v>3.93</v>
      </c>
      <c r="AE2316" s="3">
        <v>3.81</v>
      </c>
      <c r="AI2316">
        <v>3.87</v>
      </c>
      <c r="AK2316" s="3"/>
      <c r="AX2316" t="s">
        <v>823</v>
      </c>
      <c r="BB2316" t="s">
        <v>823</v>
      </c>
      <c r="BG2316">
        <v>5</v>
      </c>
      <c r="BH2316">
        <v>5</v>
      </c>
      <c r="BI2316">
        <v>5</v>
      </c>
      <c r="BJ2316">
        <v>5</v>
      </c>
      <c r="BK2316" s="4">
        <v>3744</v>
      </c>
      <c r="BL2316" s="4">
        <v>3927</v>
      </c>
      <c r="BM2316" s="4">
        <v>4109</v>
      </c>
      <c r="BN2316" s="4">
        <v>4292</v>
      </c>
      <c r="BR2316">
        <v>46744</v>
      </c>
      <c r="BS2316" t="s">
        <v>3306</v>
      </c>
      <c r="BT2316">
        <v>6</v>
      </c>
      <c r="BU2316">
        <v>9</v>
      </c>
      <c r="BV2316">
        <v>0</v>
      </c>
      <c r="BX2316">
        <v>4.37</v>
      </c>
      <c r="BZ2316">
        <v>3.62</v>
      </c>
      <c r="CK2316" t="s">
        <v>360</v>
      </c>
      <c r="CM2316">
        <v>1911</v>
      </c>
    </row>
    <row r="2317" spans="1:91" x14ac:dyDescent="0.3">
      <c r="A2317" t="s">
        <v>3305</v>
      </c>
      <c r="B2317">
        <v>48072</v>
      </c>
      <c r="C2317" t="s">
        <v>3307</v>
      </c>
      <c r="D2317">
        <v>12</v>
      </c>
      <c r="I2317">
        <v>67700</v>
      </c>
      <c r="J2317" t="s">
        <v>800</v>
      </c>
      <c r="U2317">
        <v>100</v>
      </c>
      <c r="Y2317">
        <v>100</v>
      </c>
      <c r="AA2317">
        <v>100</v>
      </c>
      <c r="AC2317" s="3">
        <v>100</v>
      </c>
      <c r="AE2317" s="3">
        <v>99.5</v>
      </c>
      <c r="AI2317">
        <v>100</v>
      </c>
      <c r="AK2317" s="3"/>
      <c r="AV2317" t="s">
        <v>536</v>
      </c>
      <c r="AX2317" t="s">
        <v>536</v>
      </c>
      <c r="AZ2317" t="s">
        <v>536</v>
      </c>
      <c r="BB2317" t="s">
        <v>536</v>
      </c>
      <c r="BO2317" t="s">
        <v>367</v>
      </c>
      <c r="BR2317">
        <v>46744</v>
      </c>
      <c r="BS2317" t="s">
        <v>3306</v>
      </c>
      <c r="BT2317">
        <v>5</v>
      </c>
      <c r="BU2317">
        <v>0</v>
      </c>
      <c r="BV2317">
        <v>6</v>
      </c>
      <c r="BX2317">
        <v>102</v>
      </c>
      <c r="BZ2317">
        <v>99.5</v>
      </c>
      <c r="CM2317">
        <v>1911</v>
      </c>
    </row>
    <row r="2318" spans="1:91" x14ac:dyDescent="0.3">
      <c r="A2318" t="s">
        <v>3305</v>
      </c>
      <c r="B2318">
        <v>48073</v>
      </c>
      <c r="C2318" t="s">
        <v>3308</v>
      </c>
      <c r="D2318">
        <v>12</v>
      </c>
      <c r="I2318">
        <v>654500</v>
      </c>
      <c r="J2318" t="s">
        <v>800</v>
      </c>
      <c r="U2318">
        <v>100</v>
      </c>
      <c r="Y2318">
        <v>100</v>
      </c>
      <c r="AA2318">
        <v>101</v>
      </c>
      <c r="AC2318" s="3">
        <v>101</v>
      </c>
      <c r="AE2318" s="3">
        <v>99</v>
      </c>
      <c r="AI2318">
        <v>99</v>
      </c>
      <c r="AK2318" s="3"/>
      <c r="AV2318" t="s">
        <v>421</v>
      </c>
      <c r="AX2318" t="s">
        <v>421</v>
      </c>
      <c r="AZ2318" t="s">
        <v>421</v>
      </c>
      <c r="BB2318" t="s">
        <v>421</v>
      </c>
      <c r="BO2318" t="s">
        <v>367</v>
      </c>
      <c r="BR2318">
        <v>46744</v>
      </c>
      <c r="BS2318" t="s">
        <v>3306</v>
      </c>
      <c r="BT2318">
        <v>5</v>
      </c>
      <c r="BU2318">
        <v>1</v>
      </c>
      <c r="BV2318">
        <v>0</v>
      </c>
      <c r="BX2318">
        <v>102</v>
      </c>
      <c r="BZ2318">
        <v>99</v>
      </c>
      <c r="CM2318">
        <v>1911</v>
      </c>
    </row>
    <row r="2319" spans="1:91" x14ac:dyDescent="0.3">
      <c r="A2319" t="s">
        <v>3309</v>
      </c>
      <c r="B2319">
        <v>47886</v>
      </c>
      <c r="D2319">
        <v>12</v>
      </c>
      <c r="I2319">
        <v>413057</v>
      </c>
      <c r="U2319">
        <v>1</v>
      </c>
      <c r="Y2319">
        <v>1</v>
      </c>
      <c r="AA2319">
        <v>2.75</v>
      </c>
      <c r="AC2319" s="3">
        <v>2.78</v>
      </c>
      <c r="AE2319" s="3">
        <v>2.59</v>
      </c>
      <c r="AI2319">
        <v>2.75</v>
      </c>
      <c r="AK2319" s="3"/>
      <c r="AX2319" t="s">
        <v>823</v>
      </c>
      <c r="BB2319" t="s">
        <v>823</v>
      </c>
      <c r="BG2319">
        <v>17.5</v>
      </c>
      <c r="BH2319">
        <v>12.5</v>
      </c>
      <c r="BI2319">
        <v>17.5</v>
      </c>
      <c r="BJ2319">
        <v>12.5</v>
      </c>
      <c r="BK2319" s="4">
        <v>3654</v>
      </c>
      <c r="BL2319" s="4">
        <v>3835</v>
      </c>
      <c r="BM2319" s="4">
        <v>4019</v>
      </c>
      <c r="BN2319" s="4">
        <v>4200</v>
      </c>
      <c r="BR2319">
        <v>109588</v>
      </c>
      <c r="BT2319">
        <v>5</v>
      </c>
      <c r="BU2319">
        <v>9</v>
      </c>
      <c r="BV2319">
        <v>0</v>
      </c>
      <c r="BX2319">
        <v>2.87</v>
      </c>
      <c r="BZ2319">
        <v>2.31</v>
      </c>
      <c r="CK2319" t="s">
        <v>360</v>
      </c>
      <c r="CM2319">
        <v>1911</v>
      </c>
    </row>
    <row r="2320" spans="1:91" x14ac:dyDescent="0.3">
      <c r="A2320" t="s">
        <v>3310</v>
      </c>
      <c r="B2320">
        <v>47884</v>
      </c>
      <c r="D2320">
        <v>12</v>
      </c>
      <c r="I2320">
        <v>400000</v>
      </c>
      <c r="U2320">
        <v>1</v>
      </c>
      <c r="Y2320">
        <v>1</v>
      </c>
      <c r="AA2320">
        <v>1.1200000000000001</v>
      </c>
      <c r="AC2320" s="3">
        <v>1.31</v>
      </c>
      <c r="AE2320" s="3">
        <v>1.1200000000000001</v>
      </c>
      <c r="AI2320">
        <v>1.31</v>
      </c>
      <c r="AK2320" s="3"/>
      <c r="AX2320" t="s">
        <v>815</v>
      </c>
      <c r="AZ2320" t="s">
        <v>815</v>
      </c>
      <c r="BB2320" t="s">
        <v>815</v>
      </c>
      <c r="BG2320">
        <v>5</v>
      </c>
      <c r="BH2320">
        <v>10</v>
      </c>
      <c r="BI2320">
        <v>10</v>
      </c>
      <c r="BJ2320">
        <v>15</v>
      </c>
      <c r="BK2320" s="4">
        <v>2374</v>
      </c>
      <c r="BL2320" s="4">
        <v>3379</v>
      </c>
      <c r="BM2320" s="4">
        <v>3744</v>
      </c>
      <c r="BN2320" s="4">
        <v>4109</v>
      </c>
      <c r="BR2320">
        <v>232923</v>
      </c>
      <c r="BS2320" t="s">
        <v>3311</v>
      </c>
      <c r="BT2320">
        <v>11</v>
      </c>
      <c r="BU2320">
        <v>8</v>
      </c>
      <c r="BV2320">
        <v>6</v>
      </c>
      <c r="BX2320">
        <v>1.68</v>
      </c>
      <c r="BZ2320">
        <v>1</v>
      </c>
      <c r="CK2320" t="s">
        <v>360</v>
      </c>
      <c r="CM2320">
        <v>1911</v>
      </c>
    </row>
    <row r="2321" spans="1:91" x14ac:dyDescent="0.3">
      <c r="A2321" t="s">
        <v>3310</v>
      </c>
      <c r="B2321">
        <v>47885</v>
      </c>
      <c r="C2321" t="s">
        <v>3312</v>
      </c>
      <c r="D2321">
        <v>12</v>
      </c>
      <c r="I2321">
        <v>50000</v>
      </c>
      <c r="U2321">
        <v>1</v>
      </c>
      <c r="Y2321">
        <v>1</v>
      </c>
      <c r="AA2321">
        <v>1.25</v>
      </c>
      <c r="AC2321" s="3">
        <v>1.25</v>
      </c>
      <c r="AE2321" s="3">
        <v>1.25</v>
      </c>
      <c r="AI2321">
        <v>1.25</v>
      </c>
      <c r="AK2321" s="3"/>
      <c r="AV2321" t="s">
        <v>815</v>
      </c>
      <c r="AX2321" t="s">
        <v>815</v>
      </c>
      <c r="AZ2321" t="s">
        <v>815</v>
      </c>
      <c r="BB2321" t="s">
        <v>815</v>
      </c>
      <c r="BG2321">
        <v>10</v>
      </c>
      <c r="BH2321">
        <v>10</v>
      </c>
      <c r="BI2321">
        <v>10</v>
      </c>
      <c r="BJ2321">
        <v>10</v>
      </c>
      <c r="BK2321" s="4">
        <v>3014</v>
      </c>
      <c r="BL2321" s="4">
        <v>3379</v>
      </c>
      <c r="BM2321" s="4">
        <v>3744</v>
      </c>
      <c r="BN2321" s="4">
        <v>4109</v>
      </c>
      <c r="BR2321">
        <v>232923</v>
      </c>
      <c r="BS2321" t="s">
        <v>3311</v>
      </c>
      <c r="BT2321">
        <v>8</v>
      </c>
      <c r="BU2321">
        <v>0</v>
      </c>
      <c r="BV2321">
        <v>0</v>
      </c>
      <c r="BX2321">
        <v>1.5</v>
      </c>
      <c r="BZ2321">
        <v>1.1200000000000001</v>
      </c>
      <c r="CM2321">
        <v>1911</v>
      </c>
    </row>
    <row r="2322" spans="1:91" x14ac:dyDescent="0.3">
      <c r="A2322" t="s">
        <v>3313</v>
      </c>
      <c r="B2322">
        <v>48117</v>
      </c>
      <c r="D2322">
        <v>12</v>
      </c>
      <c r="I2322">
        <v>77500</v>
      </c>
      <c r="V2322" t="s">
        <v>1758</v>
      </c>
      <c r="Z2322" t="s">
        <v>1758</v>
      </c>
      <c r="AA2322">
        <v>0.31</v>
      </c>
      <c r="AC2322" s="3">
        <v>0.43</v>
      </c>
      <c r="AE2322" s="3">
        <v>0.31</v>
      </c>
      <c r="AI2322">
        <v>0.37</v>
      </c>
      <c r="AK2322" s="3"/>
      <c r="AV2322" t="s">
        <v>385</v>
      </c>
      <c r="AX2322" t="s">
        <v>385</v>
      </c>
      <c r="BB2322" t="s">
        <v>823</v>
      </c>
      <c r="BI2322">
        <v>8</v>
      </c>
      <c r="BJ2322">
        <v>8</v>
      </c>
      <c r="BL2322" t="s">
        <v>811</v>
      </c>
      <c r="BM2322" s="4">
        <v>4109</v>
      </c>
      <c r="BN2322" s="4">
        <v>4292</v>
      </c>
      <c r="BS2322" t="s">
        <v>385</v>
      </c>
      <c r="BT2322">
        <v>10</v>
      </c>
      <c r="BU2322">
        <v>13</v>
      </c>
      <c r="BV2322">
        <v>3</v>
      </c>
      <c r="BX2322">
        <v>0.4</v>
      </c>
      <c r="BZ2322">
        <v>0.31</v>
      </c>
      <c r="CK2322" t="s">
        <v>360</v>
      </c>
      <c r="CM2322">
        <v>1911</v>
      </c>
    </row>
    <row r="2323" spans="1:91" x14ac:dyDescent="0.3">
      <c r="A2323" t="s">
        <v>3313</v>
      </c>
      <c r="B2323">
        <v>48118</v>
      </c>
      <c r="C2323" t="s">
        <v>850</v>
      </c>
      <c r="D2323">
        <v>12</v>
      </c>
      <c r="I2323">
        <v>90000</v>
      </c>
      <c r="U2323">
        <v>1</v>
      </c>
      <c r="Y2323">
        <v>1</v>
      </c>
      <c r="AA2323">
        <v>0.62</v>
      </c>
      <c r="AC2323" s="3">
        <v>0.62</v>
      </c>
      <c r="AE2323" s="3">
        <v>0.62</v>
      </c>
      <c r="AI2323">
        <v>0.62</v>
      </c>
      <c r="AK2323" s="3"/>
      <c r="AV2323" t="s">
        <v>536</v>
      </c>
      <c r="AX2323" t="s">
        <v>536</v>
      </c>
      <c r="AZ2323" t="s">
        <v>536</v>
      </c>
      <c r="BB2323" t="s">
        <v>536</v>
      </c>
      <c r="BO2323" t="s">
        <v>367</v>
      </c>
      <c r="BS2323" t="s">
        <v>385</v>
      </c>
      <c r="BT2323">
        <v>8</v>
      </c>
      <c r="BU2323">
        <v>0</v>
      </c>
      <c r="BV2323">
        <v>0</v>
      </c>
      <c r="BX2323">
        <v>0.68</v>
      </c>
      <c r="BZ2323">
        <v>0.56000000000000005</v>
      </c>
      <c r="CM2323">
        <v>1911</v>
      </c>
    </row>
    <row r="2324" spans="1:91" x14ac:dyDescent="0.3">
      <c r="A2324" t="s">
        <v>3314</v>
      </c>
      <c r="B2324">
        <v>48133</v>
      </c>
      <c r="D2324">
        <v>12</v>
      </c>
      <c r="I2324">
        <v>200000</v>
      </c>
      <c r="U2324">
        <v>1</v>
      </c>
      <c r="Y2324">
        <v>1</v>
      </c>
      <c r="AA2324">
        <v>0.75</v>
      </c>
      <c r="AC2324" s="3">
        <v>0.75</v>
      </c>
      <c r="AE2324" s="3">
        <v>0.75</v>
      </c>
      <c r="AI2324">
        <v>0.75</v>
      </c>
      <c r="AK2324" s="3"/>
      <c r="BG2324">
        <v>5</v>
      </c>
      <c r="BH2324">
        <v>5</v>
      </c>
      <c r="BI2324">
        <v>5</v>
      </c>
      <c r="BJ2324">
        <v>5</v>
      </c>
      <c r="BK2324" s="4">
        <v>3562</v>
      </c>
      <c r="BL2324" s="4">
        <v>3744</v>
      </c>
      <c r="BM2324" s="4">
        <v>3927</v>
      </c>
      <c r="BN2324" s="4">
        <v>4109</v>
      </c>
      <c r="BR2324">
        <v>58401</v>
      </c>
      <c r="BS2324" t="s">
        <v>3315</v>
      </c>
      <c r="BT2324">
        <v>6</v>
      </c>
      <c r="BU2324">
        <v>13</v>
      </c>
      <c r="BV2324">
        <v>3</v>
      </c>
      <c r="BX2324">
        <v>0.87</v>
      </c>
      <c r="BZ2324">
        <v>0.68</v>
      </c>
      <c r="CK2324" t="s">
        <v>3316</v>
      </c>
      <c r="CM2324">
        <v>1911</v>
      </c>
    </row>
    <row r="2325" spans="1:91" x14ac:dyDescent="0.3">
      <c r="A2325" t="s">
        <v>3314</v>
      </c>
      <c r="B2325">
        <v>48134</v>
      </c>
      <c r="C2325" t="s">
        <v>860</v>
      </c>
      <c r="D2325">
        <v>12</v>
      </c>
      <c r="I2325">
        <v>200000</v>
      </c>
      <c r="J2325" t="s">
        <v>800</v>
      </c>
      <c r="V2325" t="s">
        <v>350</v>
      </c>
      <c r="Y2325">
        <v>100</v>
      </c>
      <c r="AA2325">
        <v>90.5</v>
      </c>
      <c r="AC2325" s="3">
        <v>90.5</v>
      </c>
      <c r="AE2325" s="3">
        <v>90.5</v>
      </c>
      <c r="AI2325">
        <v>90.5</v>
      </c>
      <c r="AK2325" s="3"/>
      <c r="AV2325" t="s">
        <v>536</v>
      </c>
      <c r="AX2325" t="s">
        <v>536</v>
      </c>
      <c r="AZ2325" t="s">
        <v>536</v>
      </c>
      <c r="BB2325" t="s">
        <v>536</v>
      </c>
      <c r="BO2325" t="s">
        <v>367</v>
      </c>
      <c r="BR2325">
        <v>58401</v>
      </c>
      <c r="BS2325" t="s">
        <v>3315</v>
      </c>
      <c r="BT2325">
        <v>4</v>
      </c>
      <c r="BU2325">
        <v>10</v>
      </c>
      <c r="BV2325">
        <v>9</v>
      </c>
      <c r="BX2325">
        <v>92</v>
      </c>
      <c r="BZ2325">
        <v>90</v>
      </c>
      <c r="CM2325">
        <v>1911</v>
      </c>
    </row>
    <row r="2326" spans="1:91" x14ac:dyDescent="0.3">
      <c r="A2326" t="s">
        <v>3317</v>
      </c>
      <c r="B2326">
        <v>48189</v>
      </c>
      <c r="D2326">
        <v>12</v>
      </c>
      <c r="I2326">
        <v>300000</v>
      </c>
      <c r="U2326">
        <v>1</v>
      </c>
      <c r="Y2326">
        <v>1</v>
      </c>
      <c r="AA2326">
        <v>1.31</v>
      </c>
      <c r="AC2326" s="3">
        <v>1.31</v>
      </c>
      <c r="AE2326" s="3">
        <v>1.25</v>
      </c>
      <c r="AI2326">
        <v>1.31</v>
      </c>
      <c r="AK2326" s="3"/>
      <c r="AX2326" t="s">
        <v>823</v>
      </c>
      <c r="BB2326" t="s">
        <v>823</v>
      </c>
      <c r="BG2326">
        <v>7</v>
      </c>
      <c r="BH2326">
        <v>7</v>
      </c>
      <c r="BI2326">
        <v>7</v>
      </c>
      <c r="BJ2326">
        <v>7</v>
      </c>
      <c r="BK2326" s="4">
        <v>3713</v>
      </c>
      <c r="BL2326" s="4">
        <v>3897</v>
      </c>
      <c r="BM2326" s="4">
        <v>4078</v>
      </c>
      <c r="BN2326" s="4">
        <v>4262</v>
      </c>
      <c r="BR2326">
        <v>130438</v>
      </c>
      <c r="BS2326" t="s">
        <v>3318</v>
      </c>
      <c r="BT2326">
        <v>5</v>
      </c>
      <c r="BU2326">
        <v>6</v>
      </c>
      <c r="BV2326">
        <v>9</v>
      </c>
      <c r="BX2326">
        <v>1.34</v>
      </c>
      <c r="BZ2326">
        <v>1.18</v>
      </c>
      <c r="CK2326" t="s">
        <v>360</v>
      </c>
      <c r="CM2326">
        <v>1911</v>
      </c>
    </row>
    <row r="2327" spans="1:91" x14ac:dyDescent="0.3">
      <c r="A2327" t="s">
        <v>3317</v>
      </c>
      <c r="B2327">
        <v>48190</v>
      </c>
      <c r="C2327" t="s">
        <v>850</v>
      </c>
      <c r="D2327">
        <v>12</v>
      </c>
      <c r="I2327">
        <v>200000</v>
      </c>
      <c r="U2327">
        <v>1</v>
      </c>
      <c r="Y2327">
        <v>1</v>
      </c>
      <c r="AA2327">
        <v>1.06</v>
      </c>
      <c r="AC2327" s="3">
        <v>1.06</v>
      </c>
      <c r="AE2327" s="3">
        <v>1.03</v>
      </c>
      <c r="AI2327">
        <v>1.06</v>
      </c>
      <c r="AK2327" s="3"/>
      <c r="AV2327" t="s">
        <v>373</v>
      </c>
      <c r="AX2327" t="s">
        <v>373</v>
      </c>
      <c r="AZ2327" t="s">
        <v>373</v>
      </c>
      <c r="BB2327" t="s">
        <v>373</v>
      </c>
      <c r="BO2327" t="s">
        <v>367</v>
      </c>
      <c r="BR2327">
        <v>130438</v>
      </c>
      <c r="BS2327" t="s">
        <v>3318</v>
      </c>
      <c r="BT2327">
        <v>4</v>
      </c>
      <c r="BU2327">
        <v>14</v>
      </c>
      <c r="BV2327">
        <v>0</v>
      </c>
      <c r="BX2327">
        <v>1.1200000000000001</v>
      </c>
      <c r="BZ2327">
        <v>1.03</v>
      </c>
      <c r="CM2327">
        <v>1911</v>
      </c>
    </row>
    <row r="2328" spans="1:91" x14ac:dyDescent="0.3">
      <c r="A2328" t="s">
        <v>3317</v>
      </c>
      <c r="B2328">
        <v>48191</v>
      </c>
      <c r="C2328" t="s">
        <v>867</v>
      </c>
      <c r="D2328">
        <v>12</v>
      </c>
      <c r="I2328">
        <v>200000</v>
      </c>
      <c r="J2328" t="s">
        <v>800</v>
      </c>
      <c r="V2328" t="s">
        <v>350</v>
      </c>
      <c r="Y2328">
        <v>100</v>
      </c>
      <c r="AA2328">
        <v>99</v>
      </c>
      <c r="AC2328" s="3">
        <v>99</v>
      </c>
      <c r="AE2328" s="3">
        <v>99</v>
      </c>
      <c r="AI2328">
        <v>99</v>
      </c>
      <c r="AK2328" s="3"/>
      <c r="AV2328" t="s">
        <v>370</v>
      </c>
      <c r="AX2328" t="s">
        <v>370</v>
      </c>
      <c r="AZ2328" t="s">
        <v>370</v>
      </c>
      <c r="BB2328" t="s">
        <v>370</v>
      </c>
      <c r="BO2328" t="s">
        <v>367</v>
      </c>
      <c r="BR2328">
        <v>130438</v>
      </c>
      <c r="BS2328" t="s">
        <v>3318</v>
      </c>
      <c r="BT2328">
        <v>4</v>
      </c>
      <c r="BU2328">
        <v>2</v>
      </c>
      <c r="BV2328">
        <v>3</v>
      </c>
      <c r="BX2328">
        <v>100.5</v>
      </c>
      <c r="BZ2328">
        <v>95.37</v>
      </c>
      <c r="CM2328">
        <v>1911</v>
      </c>
    </row>
    <row r="2329" spans="1:91" x14ac:dyDescent="0.3">
      <c r="A2329" t="s">
        <v>3319</v>
      </c>
      <c r="B2329">
        <v>48206</v>
      </c>
      <c r="D2329">
        <v>12</v>
      </c>
      <c r="I2329">
        <v>138668</v>
      </c>
      <c r="U2329">
        <v>1</v>
      </c>
      <c r="Y2329">
        <v>1</v>
      </c>
      <c r="AA2329">
        <v>0.62</v>
      </c>
      <c r="AC2329" s="3">
        <v>0.68</v>
      </c>
      <c r="AE2329" s="3">
        <v>0.9</v>
      </c>
      <c r="AI2329">
        <v>0.68</v>
      </c>
      <c r="AK2329" s="3"/>
      <c r="AV2329" t="s">
        <v>815</v>
      </c>
      <c r="AX2329" t="s">
        <v>815</v>
      </c>
      <c r="AZ2329" t="s">
        <v>815</v>
      </c>
      <c r="BB2329" t="s">
        <v>815</v>
      </c>
      <c r="BG2329">
        <v>10</v>
      </c>
      <c r="BH2329">
        <v>10</v>
      </c>
      <c r="BI2329">
        <v>5</v>
      </c>
      <c r="BJ2329">
        <v>5</v>
      </c>
      <c r="BK2329" s="4">
        <v>2497</v>
      </c>
      <c r="BL2329" s="4">
        <v>2862</v>
      </c>
      <c r="BM2329" s="4">
        <v>3958</v>
      </c>
      <c r="BN2329" s="4">
        <v>4323</v>
      </c>
      <c r="BR2329">
        <v>12728</v>
      </c>
      <c r="BT2329">
        <v>7</v>
      </c>
      <c r="BU2329">
        <v>5</v>
      </c>
      <c r="BV2329">
        <v>9</v>
      </c>
      <c r="BX2329">
        <v>0.96</v>
      </c>
      <c r="BZ2329">
        <v>0.59</v>
      </c>
      <c r="CM2329">
        <v>1911</v>
      </c>
    </row>
    <row r="2330" spans="1:91" x14ac:dyDescent="0.3">
      <c r="A2330" t="s">
        <v>3320</v>
      </c>
      <c r="B2330">
        <v>48237</v>
      </c>
      <c r="D2330">
        <v>12</v>
      </c>
      <c r="I2330">
        <v>12000</v>
      </c>
      <c r="U2330">
        <v>5</v>
      </c>
      <c r="Y2330">
        <v>2</v>
      </c>
      <c r="AA2330">
        <v>2.68</v>
      </c>
      <c r="AC2330" s="3">
        <v>2.68</v>
      </c>
      <c r="AE2330" s="3">
        <v>2.68</v>
      </c>
      <c r="AI2330">
        <v>2.68</v>
      </c>
      <c r="AK2330" s="3"/>
      <c r="BG2330">
        <v>10</v>
      </c>
      <c r="BH2330">
        <v>10</v>
      </c>
      <c r="BI2330">
        <v>10</v>
      </c>
      <c r="BJ2330">
        <v>10</v>
      </c>
      <c r="BK2330" s="4">
        <v>3289</v>
      </c>
      <c r="BL2330" s="4">
        <v>3835</v>
      </c>
      <c r="BM2330" s="4">
        <v>4019</v>
      </c>
      <c r="BN2330" s="4">
        <v>4200</v>
      </c>
      <c r="BS2330" t="s">
        <v>385</v>
      </c>
      <c r="BT2330">
        <v>7</v>
      </c>
      <c r="BU2330">
        <v>9</v>
      </c>
      <c r="BV2330">
        <v>0</v>
      </c>
      <c r="BX2330">
        <v>2.71</v>
      </c>
      <c r="BZ2330">
        <v>2.62</v>
      </c>
      <c r="CK2330" t="s">
        <v>2828</v>
      </c>
      <c r="CM2330">
        <v>1911</v>
      </c>
    </row>
    <row r="2331" spans="1:91" x14ac:dyDescent="0.3">
      <c r="A2331" t="s">
        <v>3321</v>
      </c>
      <c r="B2331">
        <v>48242</v>
      </c>
      <c r="D2331">
        <v>12</v>
      </c>
      <c r="I2331">
        <v>100000</v>
      </c>
      <c r="U2331">
        <v>1</v>
      </c>
      <c r="Y2331">
        <v>1</v>
      </c>
      <c r="AA2331">
        <v>0.53</v>
      </c>
      <c r="AC2331" s="3">
        <v>0.81</v>
      </c>
      <c r="AE2331" s="3">
        <v>0.53</v>
      </c>
      <c r="AI2331">
        <v>0.81</v>
      </c>
      <c r="AK2331" s="3"/>
      <c r="AV2331" t="s">
        <v>815</v>
      </c>
      <c r="AX2331" t="s">
        <v>815</v>
      </c>
      <c r="AZ2331" t="s">
        <v>815</v>
      </c>
      <c r="BB2331" t="s">
        <v>810</v>
      </c>
      <c r="BG2331">
        <v>10</v>
      </c>
      <c r="BH2331">
        <v>10</v>
      </c>
      <c r="BI2331">
        <v>10</v>
      </c>
      <c r="BK2331" s="4">
        <v>2862</v>
      </c>
      <c r="BL2331" s="4">
        <v>3228</v>
      </c>
      <c r="BM2331" s="4">
        <v>3593</v>
      </c>
      <c r="BR2331">
        <v>34767</v>
      </c>
      <c r="BS2331" t="s">
        <v>3322</v>
      </c>
      <c r="BW2331" t="s">
        <v>802</v>
      </c>
      <c r="BX2331">
        <v>0.81</v>
      </c>
      <c r="BZ2331">
        <v>0.5</v>
      </c>
      <c r="CM2331">
        <v>1911</v>
      </c>
    </row>
    <row r="2332" spans="1:91" x14ac:dyDescent="0.3">
      <c r="A2332" t="s">
        <v>3323</v>
      </c>
      <c r="B2332">
        <v>48275</v>
      </c>
      <c r="D2332">
        <v>12</v>
      </c>
      <c r="I2332">
        <v>39145</v>
      </c>
      <c r="U2332">
        <v>20</v>
      </c>
      <c r="Y2332">
        <v>15</v>
      </c>
      <c r="AA2332">
        <v>25.93</v>
      </c>
      <c r="AC2332" s="3">
        <v>26.25</v>
      </c>
      <c r="AE2332" s="3">
        <v>25.93</v>
      </c>
      <c r="AI2332">
        <v>26.25</v>
      </c>
      <c r="AK2332" s="3"/>
      <c r="BG2332">
        <v>10</v>
      </c>
      <c r="BH2332">
        <v>10</v>
      </c>
      <c r="BI2332">
        <v>10</v>
      </c>
      <c r="BJ2332">
        <v>10</v>
      </c>
      <c r="BK2332" s="4">
        <v>3685</v>
      </c>
      <c r="BL2332" s="4">
        <v>3866</v>
      </c>
      <c r="BM2332" s="4">
        <v>4050</v>
      </c>
      <c r="BN2332" s="4">
        <v>4231</v>
      </c>
      <c r="BR2332">
        <v>739148</v>
      </c>
      <c r="BS2332" t="s">
        <v>3324</v>
      </c>
      <c r="BT2332">
        <v>5</v>
      </c>
      <c r="BU2332">
        <v>14</v>
      </c>
      <c r="BV2332">
        <v>3</v>
      </c>
      <c r="BX2332">
        <v>28</v>
      </c>
      <c r="BZ2332">
        <v>25.87</v>
      </c>
      <c r="CK2332" t="s">
        <v>399</v>
      </c>
      <c r="CM2332">
        <v>1911</v>
      </c>
    </row>
    <row r="2333" spans="1:91" x14ac:dyDescent="0.3">
      <c r="A2333" t="s">
        <v>3323</v>
      </c>
      <c r="B2333">
        <v>48276</v>
      </c>
      <c r="C2333" t="s">
        <v>3325</v>
      </c>
      <c r="D2333">
        <v>12</v>
      </c>
      <c r="I2333">
        <v>60855</v>
      </c>
      <c r="U2333">
        <v>20</v>
      </c>
      <c r="Y2333">
        <v>20</v>
      </c>
      <c r="AA2333">
        <v>31</v>
      </c>
      <c r="AC2333" s="3">
        <v>31</v>
      </c>
      <c r="AE2333" s="3">
        <v>30.75</v>
      </c>
      <c r="AI2333">
        <v>30.93</v>
      </c>
      <c r="AK2333" s="3"/>
      <c r="BG2333">
        <v>8.75</v>
      </c>
      <c r="BH2333">
        <v>8.75</v>
      </c>
      <c r="BI2333">
        <v>8.75</v>
      </c>
      <c r="BJ2333">
        <v>8.75</v>
      </c>
      <c r="BK2333" s="4">
        <v>3685</v>
      </c>
      <c r="BL2333" s="4">
        <v>3866</v>
      </c>
      <c r="BM2333" s="4">
        <v>4050</v>
      </c>
      <c r="BN2333" s="4">
        <v>4231</v>
      </c>
      <c r="BR2333">
        <v>739148</v>
      </c>
      <c r="BS2333" t="s">
        <v>3324</v>
      </c>
      <c r="BT2333">
        <v>5</v>
      </c>
      <c r="BU2333">
        <v>13</v>
      </c>
      <c r="BV2333">
        <v>0</v>
      </c>
      <c r="BX2333">
        <v>33.25</v>
      </c>
      <c r="BZ2333">
        <v>30.75</v>
      </c>
      <c r="CM2333">
        <v>1911</v>
      </c>
    </row>
    <row r="2334" spans="1:91" x14ac:dyDescent="0.3">
      <c r="A2334" t="s">
        <v>3326</v>
      </c>
      <c r="B2334">
        <v>48339</v>
      </c>
      <c r="D2334">
        <v>12</v>
      </c>
      <c r="I2334">
        <v>500000</v>
      </c>
      <c r="U2334">
        <v>1</v>
      </c>
      <c r="Y2334">
        <v>1</v>
      </c>
      <c r="AA2334">
        <v>2.46</v>
      </c>
      <c r="AC2334" s="3">
        <v>2.5</v>
      </c>
      <c r="AE2334" s="3">
        <v>2.4300000000000002</v>
      </c>
      <c r="AI2334">
        <v>2.5</v>
      </c>
      <c r="AJ2334" t="s">
        <v>379</v>
      </c>
      <c r="AK2334" s="3"/>
      <c r="AV2334" t="s">
        <v>370</v>
      </c>
      <c r="AX2334" t="s">
        <v>370</v>
      </c>
      <c r="AZ2334" t="s">
        <v>370</v>
      </c>
      <c r="BB2334" t="s">
        <v>370</v>
      </c>
      <c r="BO2334" t="s">
        <v>367</v>
      </c>
      <c r="BR2334">
        <v>48925</v>
      </c>
      <c r="BT2334">
        <v>4</v>
      </c>
      <c r="BU2334">
        <v>0</v>
      </c>
      <c r="BV2334">
        <v>0</v>
      </c>
      <c r="BX2334">
        <v>2.5299999999999998</v>
      </c>
      <c r="BZ2334">
        <v>2.4300000000000002</v>
      </c>
      <c r="CK2334" t="s">
        <v>360</v>
      </c>
      <c r="CM2334">
        <v>1911</v>
      </c>
    </row>
    <row r="2335" spans="1:91" x14ac:dyDescent="0.3">
      <c r="A2335" t="s">
        <v>3327</v>
      </c>
      <c r="B2335">
        <v>48350</v>
      </c>
      <c r="D2335">
        <v>12</v>
      </c>
      <c r="I2335">
        <v>200000</v>
      </c>
      <c r="U2335">
        <v>4</v>
      </c>
      <c r="Y2335">
        <v>4</v>
      </c>
      <c r="AA2335">
        <v>0.62</v>
      </c>
      <c r="AC2335" s="3">
        <v>0.65</v>
      </c>
      <c r="AE2335" s="3">
        <v>0.59</v>
      </c>
      <c r="AI2335">
        <v>0.65</v>
      </c>
      <c r="AK2335" s="3"/>
      <c r="AV2335" t="s">
        <v>815</v>
      </c>
      <c r="AX2335" t="s">
        <v>969</v>
      </c>
      <c r="AZ2335" t="s">
        <v>815</v>
      </c>
      <c r="BB2335" t="s">
        <v>810</v>
      </c>
      <c r="BG2335">
        <v>1</v>
      </c>
      <c r="BI2335">
        <v>1.25</v>
      </c>
      <c r="BK2335" t="s">
        <v>3328</v>
      </c>
      <c r="BL2335" t="s">
        <v>811</v>
      </c>
      <c r="BM2335" s="4">
        <v>2983</v>
      </c>
      <c r="BR2335">
        <v>197157</v>
      </c>
      <c r="BS2335" t="s">
        <v>3329</v>
      </c>
      <c r="BW2335" t="s">
        <v>802</v>
      </c>
      <c r="BX2335">
        <v>0.84</v>
      </c>
      <c r="BZ2335">
        <v>0.56000000000000005</v>
      </c>
      <c r="CK2335" t="s">
        <v>3330</v>
      </c>
      <c r="CM2335">
        <v>1911</v>
      </c>
    </row>
    <row r="2336" spans="1:91" x14ac:dyDescent="0.3">
      <c r="A2336" t="s">
        <v>3327</v>
      </c>
      <c r="B2336">
        <v>48352</v>
      </c>
      <c r="C2336" t="s">
        <v>905</v>
      </c>
      <c r="D2336">
        <v>12</v>
      </c>
      <c r="I2336">
        <v>100000</v>
      </c>
      <c r="U2336">
        <v>6</v>
      </c>
      <c r="Y2336">
        <v>6</v>
      </c>
      <c r="AA2336">
        <v>3.75</v>
      </c>
      <c r="AC2336" s="3">
        <v>4</v>
      </c>
      <c r="AE2336" s="3">
        <v>3.75</v>
      </c>
      <c r="AI2336">
        <v>4</v>
      </c>
      <c r="AJ2336" t="s">
        <v>379</v>
      </c>
      <c r="AK2336" s="3"/>
      <c r="AV2336" t="s">
        <v>815</v>
      </c>
      <c r="AX2336" t="s">
        <v>815</v>
      </c>
      <c r="AZ2336" t="s">
        <v>815</v>
      </c>
      <c r="BB2336" t="s">
        <v>815</v>
      </c>
      <c r="BG2336">
        <v>8.66</v>
      </c>
      <c r="BH2336">
        <v>5</v>
      </c>
      <c r="BI2336">
        <v>4.16</v>
      </c>
      <c r="BJ2336">
        <v>4.16</v>
      </c>
      <c r="BK2336" s="4">
        <v>2983</v>
      </c>
      <c r="BL2336" s="4">
        <v>3348</v>
      </c>
      <c r="BM2336" s="4">
        <v>3713</v>
      </c>
      <c r="BN2336" s="4">
        <v>4078</v>
      </c>
      <c r="BR2336">
        <v>197157</v>
      </c>
      <c r="BS2336" t="s">
        <v>3331</v>
      </c>
      <c r="BT2336">
        <v>6</v>
      </c>
      <c r="BU2336">
        <v>5</v>
      </c>
      <c r="BV2336">
        <v>0</v>
      </c>
      <c r="BX2336">
        <v>4.68</v>
      </c>
      <c r="BZ2336">
        <v>3.53</v>
      </c>
      <c r="CM2336">
        <v>1911</v>
      </c>
    </row>
    <row r="2337" spans="1:91" x14ac:dyDescent="0.3">
      <c r="A2337" t="s">
        <v>3327</v>
      </c>
      <c r="B2337">
        <v>48351</v>
      </c>
      <c r="C2337" t="s">
        <v>805</v>
      </c>
      <c r="D2337">
        <v>12</v>
      </c>
      <c r="I2337" s="2">
        <v>1000000</v>
      </c>
      <c r="J2337" t="s">
        <v>800</v>
      </c>
      <c r="V2337" t="s">
        <v>350</v>
      </c>
      <c r="Y2337">
        <v>100</v>
      </c>
      <c r="AA2337">
        <v>87.5</v>
      </c>
      <c r="AC2337" s="3">
        <v>87.5</v>
      </c>
      <c r="AE2337" s="3">
        <v>87.5</v>
      </c>
      <c r="AI2337">
        <v>87.5</v>
      </c>
      <c r="AK2337" s="3"/>
      <c r="AV2337" t="s">
        <v>370</v>
      </c>
      <c r="AX2337" t="s">
        <v>370</v>
      </c>
      <c r="AZ2337" t="s">
        <v>370</v>
      </c>
      <c r="BB2337" t="s">
        <v>370</v>
      </c>
      <c r="BO2337" t="s">
        <v>367</v>
      </c>
      <c r="BR2337">
        <v>197157</v>
      </c>
      <c r="BS2337" t="s">
        <v>3331</v>
      </c>
      <c r="BT2337">
        <v>5</v>
      </c>
      <c r="BU2337">
        <v>4</v>
      </c>
      <c r="BV2337">
        <v>9</v>
      </c>
      <c r="BX2337">
        <v>95</v>
      </c>
      <c r="BZ2337">
        <v>86</v>
      </c>
      <c r="CM2337">
        <v>1911</v>
      </c>
    </row>
    <row r="2338" spans="1:91" x14ac:dyDescent="0.3">
      <c r="A2338" t="s">
        <v>3332</v>
      </c>
      <c r="B2338">
        <v>48366</v>
      </c>
      <c r="D2338">
        <v>12</v>
      </c>
      <c r="I2338">
        <v>20000</v>
      </c>
      <c r="U2338">
        <v>10</v>
      </c>
      <c r="Y2338">
        <v>10</v>
      </c>
      <c r="AA2338">
        <v>12.5</v>
      </c>
      <c r="AC2338" s="3">
        <v>12.5</v>
      </c>
      <c r="AE2338" s="3">
        <v>12.37</v>
      </c>
      <c r="AI2338">
        <v>12.37</v>
      </c>
      <c r="AK2338" s="3"/>
      <c r="AV2338" t="s">
        <v>823</v>
      </c>
      <c r="AZ2338" t="s">
        <v>823</v>
      </c>
      <c r="BG2338">
        <v>8</v>
      </c>
      <c r="BH2338">
        <v>12</v>
      </c>
      <c r="BI2338">
        <v>8</v>
      </c>
      <c r="BJ2338">
        <v>12</v>
      </c>
      <c r="BK2338" s="4">
        <v>3501</v>
      </c>
      <c r="BL2338" s="4">
        <v>3713</v>
      </c>
      <c r="BM2338" s="4">
        <v>3866</v>
      </c>
      <c r="BN2338" s="4">
        <v>4078</v>
      </c>
      <c r="BR2338">
        <v>112855</v>
      </c>
      <c r="BT2338">
        <v>8</v>
      </c>
      <c r="BU2338">
        <v>1</v>
      </c>
      <c r="BV2338">
        <v>6</v>
      </c>
      <c r="BX2338">
        <v>14.25</v>
      </c>
      <c r="BZ2338">
        <v>12.37</v>
      </c>
      <c r="CK2338" t="s">
        <v>1867</v>
      </c>
      <c r="CM2338">
        <v>1911</v>
      </c>
    </row>
    <row r="2339" spans="1:91" x14ac:dyDescent="0.3">
      <c r="A2339" t="s">
        <v>3333</v>
      </c>
      <c r="B2339">
        <v>48394</v>
      </c>
      <c r="D2339">
        <v>12</v>
      </c>
      <c r="I2339">
        <v>148000</v>
      </c>
      <c r="U2339">
        <v>1</v>
      </c>
      <c r="Y2339">
        <v>1</v>
      </c>
      <c r="AA2339">
        <v>1.28</v>
      </c>
      <c r="AB2339" t="s">
        <v>379</v>
      </c>
      <c r="AC2339" s="3">
        <v>1.28</v>
      </c>
      <c r="AE2339" s="3">
        <v>1.18</v>
      </c>
      <c r="AI2339">
        <v>1.28</v>
      </c>
      <c r="AK2339" s="3"/>
      <c r="AX2339" t="s">
        <v>823</v>
      </c>
      <c r="BB2339" t="s">
        <v>823</v>
      </c>
      <c r="BG2339">
        <v>10</v>
      </c>
      <c r="BH2339">
        <v>5</v>
      </c>
      <c r="BI2339">
        <v>10</v>
      </c>
      <c r="BJ2339">
        <v>5</v>
      </c>
      <c r="BK2339" s="4">
        <v>3805</v>
      </c>
      <c r="BL2339" s="4">
        <v>3988</v>
      </c>
      <c r="BM2339" s="4">
        <v>4170</v>
      </c>
      <c r="BN2339" s="4">
        <v>4353</v>
      </c>
      <c r="BR2339">
        <v>24354</v>
      </c>
      <c r="BT2339">
        <v>5</v>
      </c>
      <c r="BU2339">
        <v>17</v>
      </c>
      <c r="BV2339">
        <v>0</v>
      </c>
      <c r="BX2339">
        <v>1.28</v>
      </c>
      <c r="BZ2339">
        <v>1.06</v>
      </c>
      <c r="CK2339" t="s">
        <v>360</v>
      </c>
      <c r="CM2339">
        <v>1911</v>
      </c>
    </row>
    <row r="2340" spans="1:91" x14ac:dyDescent="0.3">
      <c r="A2340" t="s">
        <v>3334</v>
      </c>
      <c r="B2340">
        <v>48396</v>
      </c>
      <c r="D2340">
        <v>12</v>
      </c>
      <c r="I2340">
        <v>30000</v>
      </c>
      <c r="U2340">
        <v>100</v>
      </c>
      <c r="V2340" t="s">
        <v>773</v>
      </c>
      <c r="Y2340">
        <v>100</v>
      </c>
      <c r="Z2340" t="s">
        <v>773</v>
      </c>
      <c r="AA2340">
        <v>160.5</v>
      </c>
      <c r="AC2340" s="3">
        <v>160.5</v>
      </c>
      <c r="AE2340" s="3">
        <v>160.5</v>
      </c>
      <c r="AI2340">
        <v>160.5</v>
      </c>
      <c r="AK2340" s="3"/>
      <c r="AV2340" t="s">
        <v>815</v>
      </c>
      <c r="AX2340" t="s">
        <v>815</v>
      </c>
      <c r="AZ2340" t="s">
        <v>815</v>
      </c>
      <c r="BB2340" t="s">
        <v>815</v>
      </c>
      <c r="BG2340">
        <v>10</v>
      </c>
      <c r="BH2340">
        <v>12</v>
      </c>
      <c r="BI2340">
        <v>12</v>
      </c>
      <c r="BJ2340">
        <v>15</v>
      </c>
      <c r="BK2340">
        <v>1907</v>
      </c>
      <c r="BL2340">
        <v>1908</v>
      </c>
      <c r="BM2340">
        <v>1909</v>
      </c>
      <c r="BN2340">
        <v>1910</v>
      </c>
      <c r="BS2340" t="s">
        <v>385</v>
      </c>
      <c r="BT2340">
        <v>9</v>
      </c>
      <c r="BU2340">
        <v>7</v>
      </c>
      <c r="BV2340">
        <v>0</v>
      </c>
      <c r="BX2340">
        <v>192.5</v>
      </c>
      <c r="BZ2340">
        <v>158.5</v>
      </c>
      <c r="CM2340">
        <v>1911</v>
      </c>
    </row>
    <row r="2341" spans="1:91" x14ac:dyDescent="0.3">
      <c r="A2341" t="s">
        <v>3334</v>
      </c>
      <c r="B2341">
        <v>48397</v>
      </c>
      <c r="C2341" t="s">
        <v>3335</v>
      </c>
      <c r="D2341">
        <v>12</v>
      </c>
      <c r="I2341">
        <v>249300</v>
      </c>
      <c r="J2341" t="s">
        <v>800</v>
      </c>
      <c r="U2341">
        <v>100</v>
      </c>
      <c r="Y2341">
        <v>100</v>
      </c>
      <c r="AA2341">
        <v>100</v>
      </c>
      <c r="AC2341" s="3">
        <v>100</v>
      </c>
      <c r="AE2341" s="3">
        <v>100</v>
      </c>
      <c r="AI2341">
        <v>100</v>
      </c>
      <c r="AK2341" s="3"/>
      <c r="AV2341" t="s">
        <v>366</v>
      </c>
      <c r="AX2341" t="s">
        <v>366</v>
      </c>
      <c r="AZ2341" t="s">
        <v>366</v>
      </c>
      <c r="BB2341" t="s">
        <v>366</v>
      </c>
      <c r="BO2341" t="s">
        <v>367</v>
      </c>
      <c r="BS2341" t="s">
        <v>385</v>
      </c>
      <c r="BT2341">
        <v>5</v>
      </c>
      <c r="BU2341">
        <v>0</v>
      </c>
      <c r="BV2341">
        <v>0</v>
      </c>
      <c r="BX2341">
        <v>103</v>
      </c>
      <c r="BZ2341">
        <v>98</v>
      </c>
      <c r="CM2341">
        <v>1911</v>
      </c>
    </row>
    <row r="2342" spans="1:91" x14ac:dyDescent="0.3">
      <c r="A2342" t="s">
        <v>3336</v>
      </c>
      <c r="B2342">
        <v>48438</v>
      </c>
      <c r="D2342">
        <v>12</v>
      </c>
      <c r="I2342">
        <v>30780</v>
      </c>
      <c r="U2342">
        <v>10</v>
      </c>
      <c r="Y2342">
        <v>10</v>
      </c>
      <c r="AA2342">
        <v>5.25</v>
      </c>
      <c r="AC2342" s="3">
        <v>5.43</v>
      </c>
      <c r="AE2342" s="3">
        <v>5.25</v>
      </c>
      <c r="AI2342">
        <v>5.25</v>
      </c>
      <c r="AK2342" s="3"/>
      <c r="AX2342" t="s">
        <v>823</v>
      </c>
      <c r="BB2342" t="s">
        <v>823</v>
      </c>
      <c r="BG2342">
        <v>5</v>
      </c>
      <c r="BH2342">
        <v>5</v>
      </c>
      <c r="BI2342">
        <v>5</v>
      </c>
      <c r="BJ2342">
        <v>5</v>
      </c>
      <c r="BK2342" s="4">
        <v>3744</v>
      </c>
      <c r="BL2342" s="4">
        <v>3927</v>
      </c>
      <c r="BM2342" s="4">
        <v>4109</v>
      </c>
      <c r="BN2342" s="4">
        <v>4292</v>
      </c>
      <c r="BR2342">
        <v>75526</v>
      </c>
      <c r="BS2342" t="s">
        <v>3337</v>
      </c>
      <c r="BT2342">
        <v>9</v>
      </c>
      <c r="BU2342">
        <v>10</v>
      </c>
      <c r="BV2342">
        <v>6</v>
      </c>
      <c r="BX2342">
        <v>7.81</v>
      </c>
      <c r="BZ2342">
        <v>5</v>
      </c>
      <c r="CK2342" t="s">
        <v>360</v>
      </c>
      <c r="CM2342">
        <v>1911</v>
      </c>
    </row>
    <row r="2343" spans="1:91" x14ac:dyDescent="0.3">
      <c r="A2343" t="s">
        <v>3336</v>
      </c>
      <c r="B2343">
        <v>48441</v>
      </c>
      <c r="C2343" t="s">
        <v>2183</v>
      </c>
      <c r="D2343">
        <v>12</v>
      </c>
      <c r="I2343">
        <v>25000</v>
      </c>
      <c r="U2343">
        <v>10</v>
      </c>
      <c r="Y2343">
        <v>10</v>
      </c>
      <c r="AA2343">
        <v>8.25</v>
      </c>
      <c r="AC2343" s="3">
        <v>8.25</v>
      </c>
      <c r="AE2343" s="3">
        <v>8.25</v>
      </c>
      <c r="AI2343">
        <v>8.25</v>
      </c>
      <c r="AK2343" s="3"/>
      <c r="AV2343" t="s">
        <v>536</v>
      </c>
      <c r="AX2343" t="s">
        <v>536</v>
      </c>
      <c r="AZ2343" t="s">
        <v>536</v>
      </c>
      <c r="BB2343" t="s">
        <v>536</v>
      </c>
      <c r="BO2343" t="s">
        <v>367</v>
      </c>
      <c r="BR2343">
        <v>75526</v>
      </c>
      <c r="BS2343" t="s">
        <v>3337</v>
      </c>
      <c r="BT2343">
        <v>8</v>
      </c>
      <c r="BU2343">
        <v>9</v>
      </c>
      <c r="BV2343">
        <v>9</v>
      </c>
      <c r="BX2343">
        <v>9.8699999999999992</v>
      </c>
      <c r="BZ2343">
        <v>7.25</v>
      </c>
      <c r="CM2343">
        <v>1911</v>
      </c>
    </row>
    <row r="2344" spans="1:91" x14ac:dyDescent="0.3">
      <c r="A2344" t="s">
        <v>3336</v>
      </c>
      <c r="B2344">
        <v>48439</v>
      </c>
      <c r="C2344" t="s">
        <v>974</v>
      </c>
      <c r="D2344">
        <v>12</v>
      </c>
      <c r="I2344">
        <v>450000</v>
      </c>
      <c r="J2344" t="s">
        <v>800</v>
      </c>
      <c r="V2344" t="s">
        <v>350</v>
      </c>
      <c r="Y2344">
        <v>100</v>
      </c>
      <c r="AA2344">
        <v>89.5</v>
      </c>
      <c r="AC2344" s="3">
        <v>89.5</v>
      </c>
      <c r="AE2344" s="3">
        <v>87.5</v>
      </c>
      <c r="AI2344">
        <v>87.5</v>
      </c>
      <c r="AJ2344" t="s">
        <v>379</v>
      </c>
      <c r="AK2344" s="3"/>
      <c r="AV2344" t="s">
        <v>370</v>
      </c>
      <c r="AX2344" t="s">
        <v>370</v>
      </c>
      <c r="AZ2344" t="s">
        <v>370</v>
      </c>
      <c r="BB2344" t="s">
        <v>370</v>
      </c>
      <c r="BO2344" t="s">
        <v>367</v>
      </c>
      <c r="BR2344">
        <v>75526</v>
      </c>
      <c r="BS2344" t="s">
        <v>3337</v>
      </c>
      <c r="BT2344">
        <v>4</v>
      </c>
      <c r="BU2344">
        <v>11</v>
      </c>
      <c r="BV2344">
        <v>6</v>
      </c>
      <c r="BX2344">
        <v>92.5</v>
      </c>
      <c r="BZ2344">
        <v>86</v>
      </c>
      <c r="CM2344">
        <v>1911</v>
      </c>
    </row>
    <row r="2345" spans="1:91" x14ac:dyDescent="0.3">
      <c r="A2345" t="s">
        <v>3336</v>
      </c>
      <c r="B2345">
        <v>48440</v>
      </c>
      <c r="C2345" t="s">
        <v>651</v>
      </c>
      <c r="D2345">
        <v>12</v>
      </c>
      <c r="I2345">
        <v>125000</v>
      </c>
      <c r="J2345" t="s">
        <v>800</v>
      </c>
      <c r="U2345">
        <v>100</v>
      </c>
      <c r="Y2345">
        <v>100</v>
      </c>
      <c r="AA2345">
        <v>93.5</v>
      </c>
      <c r="AC2345" s="3">
        <v>93.5</v>
      </c>
      <c r="AE2345" s="3">
        <v>93.5</v>
      </c>
      <c r="AI2345">
        <v>93.5</v>
      </c>
      <c r="AK2345" s="3"/>
      <c r="AV2345" t="s">
        <v>370</v>
      </c>
      <c r="AX2345" t="s">
        <v>370</v>
      </c>
      <c r="AZ2345" t="s">
        <v>370</v>
      </c>
      <c r="BB2345" t="s">
        <v>370</v>
      </c>
      <c r="BO2345" t="s">
        <v>367</v>
      </c>
      <c r="BR2345">
        <v>75526</v>
      </c>
      <c r="BS2345" t="s">
        <v>3337</v>
      </c>
      <c r="BT2345">
        <v>5</v>
      </c>
      <c r="BU2345">
        <v>9</v>
      </c>
      <c r="BV2345">
        <v>3</v>
      </c>
      <c r="BX2345">
        <v>95.5</v>
      </c>
      <c r="BZ2345">
        <v>90</v>
      </c>
      <c r="CM2345">
        <v>1911</v>
      </c>
    </row>
    <row r="2346" spans="1:91" x14ac:dyDescent="0.3">
      <c r="A2346" t="s">
        <v>3336</v>
      </c>
      <c r="B2346">
        <v>48442</v>
      </c>
      <c r="C2346" t="s">
        <v>3338</v>
      </c>
      <c r="D2346">
        <v>12</v>
      </c>
      <c r="I2346">
        <v>482000</v>
      </c>
      <c r="J2346" t="s">
        <v>800</v>
      </c>
      <c r="V2346" t="s">
        <v>350</v>
      </c>
      <c r="Y2346">
        <v>100</v>
      </c>
      <c r="AA2346">
        <v>74.5</v>
      </c>
      <c r="AC2346" s="3">
        <v>75.25</v>
      </c>
      <c r="AE2346" s="3">
        <v>74.5</v>
      </c>
      <c r="AI2346">
        <v>74.5</v>
      </c>
      <c r="AK2346" s="3"/>
      <c r="AV2346" t="s">
        <v>506</v>
      </c>
      <c r="AX2346" t="s">
        <v>506</v>
      </c>
      <c r="AZ2346" t="s">
        <v>506</v>
      </c>
      <c r="BB2346" t="s">
        <v>506</v>
      </c>
      <c r="BO2346" t="s">
        <v>367</v>
      </c>
      <c r="BR2346">
        <v>75526</v>
      </c>
      <c r="BS2346" t="s">
        <v>3337</v>
      </c>
      <c r="BT2346">
        <v>6</v>
      </c>
      <c r="BU2346">
        <v>16</v>
      </c>
      <c r="BV2346">
        <v>0</v>
      </c>
      <c r="BX2346">
        <v>86.75</v>
      </c>
      <c r="BZ2346">
        <v>71.5</v>
      </c>
      <c r="CM2346">
        <v>1911</v>
      </c>
    </row>
    <row r="2347" spans="1:91" x14ac:dyDescent="0.3">
      <c r="A2347" t="s">
        <v>3336</v>
      </c>
      <c r="B2347">
        <v>48443</v>
      </c>
      <c r="C2347" t="s">
        <v>3339</v>
      </c>
      <c r="D2347">
        <v>12</v>
      </c>
      <c r="I2347">
        <v>116200</v>
      </c>
      <c r="J2347" t="s">
        <v>800</v>
      </c>
      <c r="U2347">
        <v>100</v>
      </c>
      <c r="Y2347">
        <v>100</v>
      </c>
      <c r="AA2347">
        <v>93.5</v>
      </c>
      <c r="AC2347" s="3">
        <v>100.5</v>
      </c>
      <c r="AE2347" s="3">
        <v>93.5</v>
      </c>
      <c r="AI2347">
        <v>100.5</v>
      </c>
      <c r="AK2347" s="3"/>
      <c r="AV2347" t="s">
        <v>373</v>
      </c>
      <c r="AX2347" t="s">
        <v>373</v>
      </c>
      <c r="AZ2347" t="s">
        <v>373</v>
      </c>
      <c r="BB2347" t="s">
        <v>373</v>
      </c>
      <c r="BO2347" t="s">
        <v>367</v>
      </c>
      <c r="BR2347">
        <v>75526</v>
      </c>
      <c r="BS2347" t="s">
        <v>3337</v>
      </c>
      <c r="BT2347">
        <v>5</v>
      </c>
      <c r="BU2347">
        <v>11</v>
      </c>
      <c r="BV2347">
        <v>9</v>
      </c>
      <c r="BX2347">
        <v>100.5</v>
      </c>
      <c r="BZ2347">
        <v>93.5</v>
      </c>
      <c r="CM2347">
        <v>1911</v>
      </c>
    </row>
    <row r="2348" spans="1:91" x14ac:dyDescent="0.3">
      <c r="A2348" t="s">
        <v>3340</v>
      </c>
      <c r="B2348">
        <v>48437</v>
      </c>
      <c r="D2348">
        <v>12</v>
      </c>
      <c r="I2348">
        <v>140000</v>
      </c>
      <c r="J2348" t="s">
        <v>800</v>
      </c>
      <c r="U2348">
        <v>100</v>
      </c>
      <c r="Y2348">
        <v>100</v>
      </c>
      <c r="AA2348">
        <v>73.5</v>
      </c>
      <c r="AC2348" s="3">
        <v>73.5</v>
      </c>
      <c r="AE2348" s="3">
        <v>73.5</v>
      </c>
      <c r="AI2348">
        <v>73.5</v>
      </c>
      <c r="AK2348" s="3"/>
      <c r="BG2348">
        <v>5</v>
      </c>
      <c r="BH2348">
        <v>5</v>
      </c>
      <c r="BI2348">
        <v>5</v>
      </c>
      <c r="BJ2348">
        <v>5</v>
      </c>
      <c r="BK2348" s="4">
        <v>2374</v>
      </c>
      <c r="BL2348" s="4">
        <v>3379</v>
      </c>
      <c r="BM2348" s="4">
        <v>3744</v>
      </c>
      <c r="BN2348" s="4">
        <v>4109</v>
      </c>
      <c r="BR2348">
        <v>75526</v>
      </c>
      <c r="BS2348" t="s">
        <v>3337</v>
      </c>
      <c r="BT2348">
        <v>6</v>
      </c>
      <c r="BU2348">
        <v>19</v>
      </c>
      <c r="BV2348">
        <v>9</v>
      </c>
      <c r="BX2348">
        <v>77.5</v>
      </c>
      <c r="BZ2348">
        <v>61.5</v>
      </c>
      <c r="CK2348" t="s">
        <v>360</v>
      </c>
      <c r="CM2348">
        <v>1911</v>
      </c>
    </row>
    <row r="2349" spans="1:91" x14ac:dyDescent="0.3">
      <c r="A2349" t="s">
        <v>3341</v>
      </c>
      <c r="B2349">
        <v>48459</v>
      </c>
      <c r="D2349">
        <v>12</v>
      </c>
      <c r="I2349">
        <v>300000</v>
      </c>
      <c r="U2349">
        <v>1</v>
      </c>
      <c r="Y2349">
        <v>1</v>
      </c>
      <c r="AA2349">
        <v>1.1200000000000001</v>
      </c>
      <c r="AC2349" s="3">
        <v>1.1200000000000001</v>
      </c>
      <c r="AE2349" s="3">
        <v>1.0900000000000001</v>
      </c>
      <c r="AI2349">
        <v>1.0900000000000001</v>
      </c>
      <c r="AK2349" s="3"/>
      <c r="AX2349" t="s">
        <v>823</v>
      </c>
      <c r="BB2349" t="s">
        <v>823</v>
      </c>
      <c r="BG2349">
        <v>7</v>
      </c>
      <c r="BH2349">
        <v>7</v>
      </c>
      <c r="BI2349">
        <v>7</v>
      </c>
      <c r="BJ2349">
        <v>7</v>
      </c>
      <c r="BK2349" s="4">
        <v>3774</v>
      </c>
      <c r="BL2349" s="4">
        <v>3927</v>
      </c>
      <c r="BM2349" s="4">
        <v>4139</v>
      </c>
      <c r="BN2349" s="4">
        <v>4292</v>
      </c>
      <c r="BR2349">
        <v>66176</v>
      </c>
      <c r="BS2349" t="s">
        <v>3342</v>
      </c>
      <c r="BT2349">
        <v>6</v>
      </c>
      <c r="BU2349">
        <v>7</v>
      </c>
      <c r="BV2349">
        <v>0</v>
      </c>
      <c r="BX2349">
        <v>1.18</v>
      </c>
      <c r="BZ2349">
        <v>1</v>
      </c>
      <c r="CK2349" t="s">
        <v>360</v>
      </c>
      <c r="CM2349">
        <v>1911</v>
      </c>
    </row>
    <row r="2350" spans="1:91" x14ac:dyDescent="0.3">
      <c r="A2350" t="s">
        <v>3341</v>
      </c>
      <c r="B2350">
        <v>48458</v>
      </c>
      <c r="C2350" t="s">
        <v>2301</v>
      </c>
      <c r="D2350">
        <v>12</v>
      </c>
      <c r="I2350">
        <v>350000</v>
      </c>
      <c r="U2350">
        <v>1</v>
      </c>
      <c r="Y2350">
        <v>1</v>
      </c>
      <c r="AA2350">
        <v>0.34</v>
      </c>
      <c r="AC2350" s="3">
        <v>0.4</v>
      </c>
      <c r="AE2350" s="3">
        <v>0.34</v>
      </c>
      <c r="AI2350">
        <v>0.37</v>
      </c>
      <c r="AK2350" s="3"/>
      <c r="AV2350" t="s">
        <v>815</v>
      </c>
      <c r="AX2350" t="s">
        <v>815</v>
      </c>
      <c r="AZ2350" t="s">
        <v>815</v>
      </c>
      <c r="BB2350" t="s">
        <v>815</v>
      </c>
      <c r="BG2350">
        <v>4</v>
      </c>
      <c r="BH2350">
        <v>4</v>
      </c>
      <c r="BI2350">
        <v>3</v>
      </c>
      <c r="BJ2350">
        <v>2</v>
      </c>
      <c r="BK2350" s="4">
        <v>3044</v>
      </c>
      <c r="BL2350" s="4">
        <v>3409</v>
      </c>
      <c r="BM2350" s="4">
        <v>3774</v>
      </c>
      <c r="BN2350" s="4">
        <v>4139</v>
      </c>
      <c r="BR2350">
        <v>66176</v>
      </c>
      <c r="BS2350" t="s">
        <v>3342</v>
      </c>
      <c r="BT2350">
        <v>5</v>
      </c>
      <c r="BU2350">
        <v>6</v>
      </c>
      <c r="BV2350">
        <v>9</v>
      </c>
      <c r="BX2350">
        <v>0.43</v>
      </c>
      <c r="BZ2350">
        <v>0.25</v>
      </c>
      <c r="CM2350">
        <v>1911</v>
      </c>
    </row>
    <row r="2351" spans="1:91" x14ac:dyDescent="0.3">
      <c r="A2351" t="s">
        <v>3341</v>
      </c>
      <c r="B2351">
        <v>48457</v>
      </c>
      <c r="C2351" t="s">
        <v>850</v>
      </c>
      <c r="D2351">
        <v>12</v>
      </c>
      <c r="I2351">
        <v>300000</v>
      </c>
      <c r="U2351">
        <v>1</v>
      </c>
      <c r="Y2351">
        <v>1</v>
      </c>
      <c r="AA2351">
        <v>1</v>
      </c>
      <c r="AC2351" s="3">
        <v>1.03</v>
      </c>
      <c r="AE2351" s="3">
        <v>1</v>
      </c>
      <c r="AI2351">
        <v>1</v>
      </c>
      <c r="AK2351" s="3"/>
      <c r="AV2351" t="s">
        <v>536</v>
      </c>
      <c r="AX2351" t="s">
        <v>536</v>
      </c>
      <c r="AZ2351" t="s">
        <v>536</v>
      </c>
      <c r="BB2351" t="s">
        <v>536</v>
      </c>
      <c r="BO2351" t="s">
        <v>367</v>
      </c>
      <c r="BR2351">
        <v>66176</v>
      </c>
      <c r="BS2351" t="s">
        <v>3342</v>
      </c>
      <c r="BT2351">
        <v>5</v>
      </c>
      <c r="BU2351">
        <v>0</v>
      </c>
      <c r="BV2351">
        <v>0</v>
      </c>
      <c r="BX2351">
        <v>1.06</v>
      </c>
      <c r="BZ2351">
        <v>0.93</v>
      </c>
      <c r="CM2351">
        <v>1911</v>
      </c>
    </row>
    <row r="2352" spans="1:91" x14ac:dyDescent="0.3">
      <c r="A2352" t="s">
        <v>3341</v>
      </c>
      <c r="B2352">
        <v>48456</v>
      </c>
      <c r="C2352" t="s">
        <v>3343</v>
      </c>
      <c r="D2352">
        <v>12</v>
      </c>
      <c r="I2352">
        <v>300000</v>
      </c>
      <c r="J2352" t="s">
        <v>800</v>
      </c>
      <c r="V2352" t="s">
        <v>350</v>
      </c>
      <c r="Y2352">
        <v>100</v>
      </c>
      <c r="AA2352">
        <v>89</v>
      </c>
      <c r="AC2352" s="3">
        <v>89</v>
      </c>
      <c r="AE2352" s="3">
        <v>88.5</v>
      </c>
      <c r="AI2352">
        <v>89</v>
      </c>
      <c r="AK2352" s="3"/>
      <c r="AV2352" t="s">
        <v>366</v>
      </c>
      <c r="AX2352" t="s">
        <v>366</v>
      </c>
      <c r="AZ2352" t="s">
        <v>366</v>
      </c>
      <c r="BB2352" t="s">
        <v>366</v>
      </c>
      <c r="BO2352" t="s">
        <v>367</v>
      </c>
      <c r="BR2352">
        <v>66176</v>
      </c>
      <c r="BS2352" t="s">
        <v>3342</v>
      </c>
      <c r="BT2352">
        <v>4</v>
      </c>
      <c r="BU2352">
        <v>10</v>
      </c>
      <c r="BV2352">
        <v>9</v>
      </c>
      <c r="BX2352">
        <v>92.62</v>
      </c>
      <c r="BZ2352">
        <v>88.5</v>
      </c>
      <c r="CM2352">
        <v>1911</v>
      </c>
    </row>
    <row r="2353" spans="1:91" x14ac:dyDescent="0.3">
      <c r="A2353" t="s">
        <v>3344</v>
      </c>
      <c r="B2353">
        <v>48479</v>
      </c>
      <c r="D2353">
        <v>12</v>
      </c>
      <c r="I2353">
        <v>18000</v>
      </c>
      <c r="U2353">
        <v>10</v>
      </c>
      <c r="Y2353">
        <v>10</v>
      </c>
      <c r="AA2353">
        <v>12.75</v>
      </c>
      <c r="AC2353" s="3">
        <v>12.87</v>
      </c>
      <c r="AE2353" s="3">
        <v>12.37</v>
      </c>
      <c r="AI2353">
        <v>12.87</v>
      </c>
      <c r="AK2353" s="3"/>
      <c r="AX2353" t="s">
        <v>823</v>
      </c>
      <c r="BB2353" t="s">
        <v>823</v>
      </c>
      <c r="BG2353">
        <v>6</v>
      </c>
      <c r="BH2353">
        <v>6</v>
      </c>
      <c r="BI2353">
        <v>6</v>
      </c>
      <c r="BJ2353">
        <v>6</v>
      </c>
      <c r="BK2353" s="4">
        <v>3685</v>
      </c>
      <c r="BL2353" s="4">
        <v>3866</v>
      </c>
      <c r="BM2353" s="4">
        <v>4050</v>
      </c>
      <c r="BN2353" s="4">
        <v>4231</v>
      </c>
      <c r="BR2353">
        <v>43400</v>
      </c>
      <c r="BS2353" t="s">
        <v>3345</v>
      </c>
      <c r="BT2353">
        <v>4</v>
      </c>
      <c r="BU2353">
        <v>13</v>
      </c>
      <c r="BV2353">
        <v>0</v>
      </c>
      <c r="BX2353">
        <v>13.06</v>
      </c>
      <c r="BZ2353">
        <v>12.43</v>
      </c>
      <c r="CK2353" t="s">
        <v>454</v>
      </c>
      <c r="CM2353">
        <v>1911</v>
      </c>
    </row>
    <row r="2354" spans="1:91" x14ac:dyDescent="0.3">
      <c r="A2354" t="s">
        <v>3344</v>
      </c>
      <c r="B2354">
        <v>48480</v>
      </c>
      <c r="C2354" t="s">
        <v>549</v>
      </c>
      <c r="D2354">
        <v>12</v>
      </c>
      <c r="I2354">
        <v>18000</v>
      </c>
      <c r="U2354">
        <v>10</v>
      </c>
      <c r="Y2354">
        <v>4</v>
      </c>
      <c r="AA2354">
        <v>4.0599999999999996</v>
      </c>
      <c r="AC2354" s="3">
        <v>4.18</v>
      </c>
      <c r="AE2354" s="3">
        <v>4.0599999999999996</v>
      </c>
      <c r="AI2354">
        <v>4.18</v>
      </c>
      <c r="AK2354" s="3"/>
      <c r="AX2354" t="s">
        <v>823</v>
      </c>
      <c r="BB2354" t="s">
        <v>823</v>
      </c>
      <c r="BG2354">
        <v>6</v>
      </c>
      <c r="BH2354">
        <v>6</v>
      </c>
      <c r="BI2354">
        <v>6</v>
      </c>
      <c r="BJ2354">
        <v>6</v>
      </c>
      <c r="BK2354" s="4">
        <v>3685</v>
      </c>
      <c r="BL2354" s="4">
        <v>3866</v>
      </c>
      <c r="BM2354" s="4">
        <v>4050</v>
      </c>
      <c r="BN2354" s="4">
        <v>4231</v>
      </c>
      <c r="BR2354">
        <v>43400</v>
      </c>
      <c r="BS2354" t="s">
        <v>3345</v>
      </c>
      <c r="BT2354">
        <v>5</v>
      </c>
      <c r="BU2354">
        <v>14</v>
      </c>
      <c r="BV2354">
        <v>0</v>
      </c>
      <c r="BX2354">
        <v>4.3099999999999996</v>
      </c>
      <c r="BZ2354">
        <v>4.03</v>
      </c>
      <c r="CM2354">
        <v>1911</v>
      </c>
    </row>
    <row r="2355" spans="1:91" x14ac:dyDescent="0.3">
      <c r="A2355" t="s">
        <v>3346</v>
      </c>
      <c r="B2355">
        <v>48598</v>
      </c>
      <c r="D2355">
        <v>12</v>
      </c>
      <c r="I2355">
        <v>396200</v>
      </c>
      <c r="J2355" t="s">
        <v>800</v>
      </c>
      <c r="U2355">
        <v>100</v>
      </c>
      <c r="Y2355">
        <v>100</v>
      </c>
      <c r="AA2355">
        <v>77</v>
      </c>
      <c r="AC2355" s="3">
        <v>77.5</v>
      </c>
      <c r="AE2355" s="3">
        <v>76.5</v>
      </c>
      <c r="AI2355">
        <v>77</v>
      </c>
      <c r="AK2355" s="3"/>
      <c r="AV2355" t="s">
        <v>536</v>
      </c>
      <c r="AX2355" t="s">
        <v>536</v>
      </c>
      <c r="AZ2355" t="s">
        <v>536</v>
      </c>
      <c r="BB2355" t="s">
        <v>536</v>
      </c>
      <c r="BO2355" t="s">
        <v>367</v>
      </c>
      <c r="BR2355">
        <v>7340</v>
      </c>
      <c r="BT2355">
        <v>6</v>
      </c>
      <c r="BU2355">
        <v>11</v>
      </c>
      <c r="BV2355">
        <v>6</v>
      </c>
      <c r="BX2355">
        <v>82</v>
      </c>
      <c r="BZ2355">
        <v>71.5</v>
      </c>
      <c r="CM2355">
        <v>1911</v>
      </c>
    </row>
    <row r="2356" spans="1:91" x14ac:dyDescent="0.3">
      <c r="A2356" t="s">
        <v>3347</v>
      </c>
      <c r="B2356">
        <v>48656</v>
      </c>
      <c r="D2356">
        <v>12</v>
      </c>
      <c r="I2356">
        <v>14000</v>
      </c>
      <c r="U2356">
        <v>3.75</v>
      </c>
      <c r="Y2356">
        <v>2.75</v>
      </c>
      <c r="AA2356">
        <v>2.0299999999999998</v>
      </c>
      <c r="AC2356" s="3">
        <v>2.09</v>
      </c>
      <c r="AE2356" s="3">
        <v>2.0299999999999998</v>
      </c>
      <c r="AI2356">
        <v>2.09</v>
      </c>
      <c r="AK2356" s="3"/>
      <c r="AV2356" t="s">
        <v>385</v>
      </c>
      <c r="AX2356" t="s">
        <v>385</v>
      </c>
      <c r="AY2356" t="s">
        <v>1582</v>
      </c>
      <c r="AZ2356" t="s">
        <v>1760</v>
      </c>
      <c r="BA2356" t="s">
        <v>1582</v>
      </c>
      <c r="BB2356" t="s">
        <v>1760</v>
      </c>
      <c r="BE2356">
        <v>24</v>
      </c>
      <c r="BF2356">
        <v>24</v>
      </c>
      <c r="BL2356" t="s">
        <v>811</v>
      </c>
      <c r="BM2356" s="4">
        <v>3897</v>
      </c>
      <c r="BN2356" s="4">
        <v>4078</v>
      </c>
      <c r="BR2356">
        <v>1367</v>
      </c>
      <c r="BT2356">
        <v>4</v>
      </c>
      <c r="BU2356">
        <v>15</v>
      </c>
      <c r="BV2356">
        <v>9</v>
      </c>
      <c r="BX2356">
        <v>2.09</v>
      </c>
      <c r="BZ2356">
        <v>1.62</v>
      </c>
      <c r="CK2356" t="s">
        <v>2828</v>
      </c>
      <c r="CM2356">
        <v>1911</v>
      </c>
    </row>
    <row r="2357" spans="1:91" x14ac:dyDescent="0.3">
      <c r="A2357" t="s">
        <v>3348</v>
      </c>
      <c r="B2357">
        <v>48776</v>
      </c>
      <c r="D2357">
        <v>12</v>
      </c>
      <c r="I2357">
        <v>12500</v>
      </c>
      <c r="U2357">
        <v>10</v>
      </c>
      <c r="Y2357">
        <v>10</v>
      </c>
      <c r="AA2357">
        <v>8.5</v>
      </c>
      <c r="AC2357" s="3">
        <v>8.5</v>
      </c>
      <c r="AE2357" s="3">
        <v>8.5</v>
      </c>
      <c r="AI2357">
        <v>8.5</v>
      </c>
      <c r="AK2357" s="3"/>
      <c r="BG2357">
        <v>6</v>
      </c>
      <c r="BH2357">
        <v>6</v>
      </c>
      <c r="BI2357">
        <v>6</v>
      </c>
      <c r="BJ2357">
        <v>6</v>
      </c>
      <c r="BK2357" s="4">
        <v>3744</v>
      </c>
      <c r="BL2357" s="4">
        <v>3927</v>
      </c>
      <c r="BM2357" s="4">
        <v>4109</v>
      </c>
      <c r="BN2357" s="4">
        <v>4292</v>
      </c>
      <c r="BR2357">
        <v>24512</v>
      </c>
      <c r="BS2357" t="s">
        <v>3349</v>
      </c>
      <c r="BT2357">
        <v>7</v>
      </c>
      <c r="BU2357">
        <v>1</v>
      </c>
      <c r="BV2357">
        <v>3</v>
      </c>
      <c r="BX2357">
        <v>8.5</v>
      </c>
      <c r="BZ2357">
        <v>7.5</v>
      </c>
      <c r="CK2357" t="s">
        <v>360</v>
      </c>
      <c r="CM2357">
        <v>1911</v>
      </c>
    </row>
    <row r="2358" spans="1:91" x14ac:dyDescent="0.3">
      <c r="A2358" t="s">
        <v>3348</v>
      </c>
      <c r="B2358">
        <v>48777</v>
      </c>
      <c r="C2358" t="s">
        <v>3350</v>
      </c>
      <c r="D2358">
        <v>12</v>
      </c>
      <c r="I2358">
        <v>12500</v>
      </c>
      <c r="U2358">
        <v>10</v>
      </c>
      <c r="Y2358">
        <v>10</v>
      </c>
      <c r="AA2358">
        <v>7.87</v>
      </c>
      <c r="AC2358" s="3">
        <v>8.1199999999999992</v>
      </c>
      <c r="AE2358" s="3">
        <v>7.87</v>
      </c>
      <c r="AI2358">
        <v>8.1199999999999992</v>
      </c>
      <c r="AK2358" s="3"/>
      <c r="AV2358" t="s">
        <v>823</v>
      </c>
      <c r="AZ2358" t="s">
        <v>823</v>
      </c>
      <c r="BG2358">
        <v>6</v>
      </c>
      <c r="BH2358">
        <v>6</v>
      </c>
      <c r="BI2358">
        <v>6</v>
      </c>
      <c r="BJ2358">
        <v>6</v>
      </c>
      <c r="BK2358" s="4">
        <v>4019</v>
      </c>
      <c r="BL2358" s="4">
        <v>4109</v>
      </c>
      <c r="BM2358" s="4">
        <v>4200</v>
      </c>
      <c r="BN2358" s="4">
        <v>4323</v>
      </c>
      <c r="BR2358">
        <v>24512</v>
      </c>
      <c r="BS2358" t="s">
        <v>3349</v>
      </c>
      <c r="BT2358">
        <v>7</v>
      </c>
      <c r="BU2358">
        <v>7</v>
      </c>
      <c r="BV2358">
        <v>6</v>
      </c>
      <c r="BX2358">
        <v>8.1199999999999992</v>
      </c>
      <c r="BZ2358">
        <v>6.87</v>
      </c>
      <c r="CM2358">
        <v>1911</v>
      </c>
    </row>
    <row r="2359" spans="1:91" x14ac:dyDescent="0.3">
      <c r="A2359" t="s">
        <v>3351</v>
      </c>
      <c r="B2359">
        <v>48861</v>
      </c>
      <c r="D2359">
        <v>12</v>
      </c>
      <c r="I2359">
        <v>255000</v>
      </c>
      <c r="U2359">
        <v>1</v>
      </c>
      <c r="Y2359">
        <v>1</v>
      </c>
      <c r="AA2359">
        <v>0.93</v>
      </c>
      <c r="AC2359" s="3">
        <v>0.93</v>
      </c>
      <c r="AE2359" s="3">
        <v>0.78</v>
      </c>
      <c r="AI2359">
        <v>0.84</v>
      </c>
      <c r="AK2359" s="3"/>
      <c r="AV2359" t="s">
        <v>823</v>
      </c>
      <c r="AZ2359" t="s">
        <v>823</v>
      </c>
      <c r="BG2359">
        <v>8</v>
      </c>
      <c r="BH2359">
        <v>8</v>
      </c>
      <c r="BI2359">
        <v>7</v>
      </c>
      <c r="BJ2359">
        <v>7</v>
      </c>
      <c r="BK2359" s="4">
        <v>3805</v>
      </c>
      <c r="BL2359" s="4">
        <v>3988</v>
      </c>
      <c r="BM2359" s="4">
        <v>4170</v>
      </c>
      <c r="BN2359" s="4">
        <v>4353</v>
      </c>
      <c r="BR2359">
        <v>74342</v>
      </c>
      <c r="BS2359" t="s">
        <v>3352</v>
      </c>
      <c r="BT2359">
        <v>8</v>
      </c>
      <c r="BU2359">
        <v>6</v>
      </c>
      <c r="BV2359">
        <v>3</v>
      </c>
      <c r="BX2359">
        <v>1.25</v>
      </c>
      <c r="BZ2359">
        <v>0.78</v>
      </c>
      <c r="CK2359" t="s">
        <v>360</v>
      </c>
      <c r="CM2359">
        <v>1911</v>
      </c>
    </row>
    <row r="2360" spans="1:91" x14ac:dyDescent="0.3">
      <c r="A2360" t="s">
        <v>3351</v>
      </c>
      <c r="B2360">
        <v>48862</v>
      </c>
      <c r="C2360" t="s">
        <v>1754</v>
      </c>
      <c r="D2360">
        <v>12</v>
      </c>
      <c r="I2360">
        <v>100000</v>
      </c>
      <c r="U2360">
        <v>1</v>
      </c>
      <c r="Y2360">
        <v>1</v>
      </c>
      <c r="AA2360">
        <v>1</v>
      </c>
      <c r="AC2360" s="3">
        <v>1</v>
      </c>
      <c r="AE2360" s="3">
        <v>0.87</v>
      </c>
      <c r="AI2360">
        <v>0.93</v>
      </c>
      <c r="AJ2360" t="s">
        <v>379</v>
      </c>
      <c r="AK2360" s="3"/>
      <c r="AV2360" t="s">
        <v>370</v>
      </c>
      <c r="AX2360" t="s">
        <v>370</v>
      </c>
      <c r="AZ2360" t="s">
        <v>370</v>
      </c>
      <c r="BB2360" t="s">
        <v>370</v>
      </c>
      <c r="BO2360" t="s">
        <v>367</v>
      </c>
      <c r="BR2360">
        <v>74342</v>
      </c>
      <c r="BS2360" t="s">
        <v>3352</v>
      </c>
      <c r="BT2360">
        <v>6</v>
      </c>
      <c r="BU2360">
        <v>8</v>
      </c>
      <c r="BV2360">
        <v>0</v>
      </c>
      <c r="BX2360">
        <v>1.06</v>
      </c>
      <c r="BZ2360">
        <v>0.87</v>
      </c>
      <c r="CM2360">
        <v>1911</v>
      </c>
    </row>
    <row r="2361" spans="1:91" x14ac:dyDescent="0.3">
      <c r="A2361" t="s">
        <v>3351</v>
      </c>
      <c r="B2361">
        <v>48863</v>
      </c>
      <c r="C2361" t="s">
        <v>3353</v>
      </c>
      <c r="D2361">
        <v>12</v>
      </c>
      <c r="I2361">
        <v>100000</v>
      </c>
      <c r="J2361" t="s">
        <v>800</v>
      </c>
      <c r="V2361" t="s">
        <v>350</v>
      </c>
      <c r="Y2361">
        <v>100</v>
      </c>
      <c r="AA2361">
        <v>90</v>
      </c>
      <c r="AC2361" s="3">
        <v>90</v>
      </c>
      <c r="AE2361" s="3">
        <v>90</v>
      </c>
      <c r="AI2361">
        <v>90</v>
      </c>
      <c r="AJ2361" t="s">
        <v>379</v>
      </c>
      <c r="AK2361" s="3"/>
      <c r="AV2361" t="s">
        <v>370</v>
      </c>
      <c r="AX2361" t="s">
        <v>370</v>
      </c>
      <c r="AZ2361" t="s">
        <v>370</v>
      </c>
      <c r="BB2361" t="s">
        <v>370</v>
      </c>
      <c r="BO2361" t="s">
        <v>367</v>
      </c>
      <c r="BR2361">
        <v>74342</v>
      </c>
      <c r="BS2361" t="s">
        <v>3352</v>
      </c>
      <c r="BT2361">
        <v>5</v>
      </c>
      <c r="BU2361">
        <v>0</v>
      </c>
      <c r="BV2361">
        <v>0</v>
      </c>
      <c r="BX2361">
        <v>93</v>
      </c>
      <c r="BZ2361">
        <v>88</v>
      </c>
      <c r="CM2361">
        <v>1911</v>
      </c>
    </row>
    <row r="2362" spans="1:91" x14ac:dyDescent="0.3">
      <c r="A2362" t="s">
        <v>3354</v>
      </c>
      <c r="B2362">
        <v>48870</v>
      </c>
      <c r="D2362">
        <v>12</v>
      </c>
      <c r="I2362">
        <v>110000</v>
      </c>
      <c r="U2362">
        <v>1</v>
      </c>
      <c r="Y2362">
        <v>1</v>
      </c>
      <c r="AA2362">
        <v>0.96</v>
      </c>
      <c r="AC2362" s="3">
        <v>1.06</v>
      </c>
      <c r="AE2362" s="3">
        <v>0.96</v>
      </c>
      <c r="AI2362">
        <v>1.06</v>
      </c>
      <c r="AK2362" s="3"/>
      <c r="AV2362" t="s">
        <v>385</v>
      </c>
      <c r="AX2362" t="s">
        <v>385</v>
      </c>
      <c r="AZ2362" t="s">
        <v>385</v>
      </c>
      <c r="BB2362" t="s">
        <v>385</v>
      </c>
      <c r="BS2362" t="s">
        <v>385</v>
      </c>
      <c r="BW2362" t="s">
        <v>385</v>
      </c>
      <c r="BX2362">
        <v>1.06</v>
      </c>
      <c r="BZ2362">
        <v>0.93</v>
      </c>
      <c r="CM2362">
        <v>1911</v>
      </c>
    </row>
    <row r="2363" spans="1:91" x14ac:dyDescent="0.3">
      <c r="A2363" t="s">
        <v>3354</v>
      </c>
      <c r="B2363">
        <v>48869</v>
      </c>
      <c r="C2363" t="s">
        <v>1754</v>
      </c>
      <c r="D2363">
        <v>12</v>
      </c>
      <c r="I2363">
        <v>66666</v>
      </c>
      <c r="U2363">
        <v>1</v>
      </c>
      <c r="Y2363">
        <v>1</v>
      </c>
      <c r="AA2363">
        <v>1</v>
      </c>
      <c r="AC2363" s="3">
        <v>1</v>
      </c>
      <c r="AE2363" s="3">
        <v>1</v>
      </c>
      <c r="AI2363">
        <v>1</v>
      </c>
      <c r="AK2363" s="3"/>
      <c r="AV2363" t="s">
        <v>385</v>
      </c>
      <c r="AX2363" t="s">
        <v>385</v>
      </c>
      <c r="AZ2363" t="s">
        <v>385</v>
      </c>
      <c r="BB2363" t="s">
        <v>385</v>
      </c>
      <c r="BS2363" t="s">
        <v>385</v>
      </c>
      <c r="BW2363" t="s">
        <v>385</v>
      </c>
      <c r="BX2363">
        <v>1.06</v>
      </c>
      <c r="BZ2363">
        <v>1</v>
      </c>
      <c r="CM2363">
        <v>1911</v>
      </c>
    </row>
    <row r="2364" spans="1:91" x14ac:dyDescent="0.3">
      <c r="A2364" t="s">
        <v>3355</v>
      </c>
      <c r="B2364">
        <v>48873</v>
      </c>
      <c r="D2364">
        <v>12</v>
      </c>
      <c r="I2364">
        <v>5000</v>
      </c>
      <c r="U2364">
        <v>10</v>
      </c>
      <c r="Y2364">
        <v>10</v>
      </c>
      <c r="AA2364">
        <v>26.5</v>
      </c>
      <c r="AC2364" s="3">
        <v>26.5</v>
      </c>
      <c r="AE2364" s="3">
        <v>26.5</v>
      </c>
      <c r="AI2364">
        <v>26.5</v>
      </c>
      <c r="AK2364" s="3"/>
      <c r="AV2364" t="s">
        <v>823</v>
      </c>
      <c r="AZ2364" t="s">
        <v>823</v>
      </c>
      <c r="BG2364">
        <v>12.5</v>
      </c>
      <c r="BH2364">
        <v>12.5</v>
      </c>
      <c r="BI2364">
        <v>12.5</v>
      </c>
      <c r="BJ2364">
        <v>12.5</v>
      </c>
      <c r="BK2364" s="4">
        <v>3685</v>
      </c>
      <c r="BL2364" s="4">
        <v>3897</v>
      </c>
      <c r="BM2364" s="4">
        <v>4050</v>
      </c>
      <c r="BN2364" s="4">
        <v>4262</v>
      </c>
      <c r="BR2364">
        <v>10000</v>
      </c>
      <c r="BT2364">
        <v>4</v>
      </c>
      <c r="BU2364">
        <v>14</v>
      </c>
      <c r="BV2364">
        <v>3</v>
      </c>
      <c r="BX2364">
        <v>27.5</v>
      </c>
      <c r="BZ2364">
        <v>26.5</v>
      </c>
      <c r="CK2364" t="s">
        <v>399</v>
      </c>
      <c r="CM2364">
        <v>1911</v>
      </c>
    </row>
    <row r="2365" spans="1:91" x14ac:dyDescent="0.3">
      <c r="A2365" t="s">
        <v>3356</v>
      </c>
      <c r="B2365">
        <v>48896</v>
      </c>
      <c r="D2365">
        <v>12</v>
      </c>
      <c r="I2365">
        <v>250000</v>
      </c>
      <c r="U2365">
        <v>1</v>
      </c>
      <c r="Y2365">
        <v>1</v>
      </c>
      <c r="AA2365">
        <v>0.68</v>
      </c>
      <c r="AC2365" s="3">
        <v>0.78</v>
      </c>
      <c r="AE2365" s="3">
        <v>0.68</v>
      </c>
      <c r="AI2365">
        <v>0.75</v>
      </c>
      <c r="AK2365" s="3"/>
      <c r="AV2365" t="s">
        <v>815</v>
      </c>
      <c r="AX2365" t="s">
        <v>815</v>
      </c>
      <c r="AZ2365" t="s">
        <v>815</v>
      </c>
      <c r="BB2365" t="s">
        <v>815</v>
      </c>
      <c r="BG2365">
        <v>10</v>
      </c>
      <c r="BH2365">
        <v>10</v>
      </c>
      <c r="BI2365">
        <v>10</v>
      </c>
      <c r="BK2365" s="4">
        <v>3228</v>
      </c>
      <c r="BL2365" s="4">
        <v>3593</v>
      </c>
      <c r="BM2365" s="4">
        <v>3927</v>
      </c>
      <c r="BR2365">
        <v>78981</v>
      </c>
      <c r="BS2365" t="s">
        <v>3322</v>
      </c>
      <c r="BW2365" t="s">
        <v>802</v>
      </c>
      <c r="BX2365">
        <v>1.03</v>
      </c>
      <c r="BZ2365">
        <v>0.68</v>
      </c>
      <c r="CM2365">
        <v>1911</v>
      </c>
    </row>
    <row r="2366" spans="1:91" x14ac:dyDescent="0.3">
      <c r="A2366" t="s">
        <v>3357</v>
      </c>
      <c r="B2366">
        <v>49069</v>
      </c>
      <c r="D2366">
        <v>12</v>
      </c>
      <c r="I2366">
        <v>60000</v>
      </c>
      <c r="U2366">
        <v>5</v>
      </c>
      <c r="Y2366">
        <v>5</v>
      </c>
      <c r="AA2366">
        <v>5.0599999999999996</v>
      </c>
      <c r="AC2366" s="3">
        <v>5.25</v>
      </c>
      <c r="AE2366" s="3">
        <v>5.0599999999999996</v>
      </c>
      <c r="AI2366">
        <v>5.12</v>
      </c>
      <c r="AK2366" s="3"/>
      <c r="AX2366" t="s">
        <v>823</v>
      </c>
      <c r="BB2366" t="s">
        <v>823</v>
      </c>
      <c r="BG2366">
        <v>7</v>
      </c>
      <c r="BH2366">
        <v>5</v>
      </c>
      <c r="BI2366">
        <v>9</v>
      </c>
      <c r="BJ2366">
        <v>5</v>
      </c>
      <c r="BK2366" s="4">
        <v>3713</v>
      </c>
      <c r="BL2366" s="4">
        <v>3866</v>
      </c>
      <c r="BM2366" s="4">
        <v>4078</v>
      </c>
      <c r="BN2366" s="4">
        <v>4231</v>
      </c>
      <c r="BR2366">
        <v>98021</v>
      </c>
      <c r="BS2366" t="s">
        <v>3358</v>
      </c>
      <c r="BT2366">
        <v>6</v>
      </c>
      <c r="BU2366">
        <v>16</v>
      </c>
      <c r="BV2366">
        <v>6</v>
      </c>
      <c r="BX2366">
        <v>5.31</v>
      </c>
      <c r="BZ2366">
        <v>4.75</v>
      </c>
      <c r="CK2366" t="s">
        <v>1107</v>
      </c>
      <c r="CM2366">
        <v>1911</v>
      </c>
    </row>
    <row r="2367" spans="1:91" x14ac:dyDescent="0.3">
      <c r="A2367" t="s">
        <v>3357</v>
      </c>
      <c r="B2367">
        <v>49070</v>
      </c>
      <c r="C2367" t="s">
        <v>817</v>
      </c>
      <c r="D2367">
        <v>12</v>
      </c>
      <c r="I2367">
        <v>30000</v>
      </c>
      <c r="U2367">
        <v>5</v>
      </c>
      <c r="Y2367">
        <v>5</v>
      </c>
      <c r="AA2367">
        <v>5</v>
      </c>
      <c r="AC2367" s="3">
        <v>5.12</v>
      </c>
      <c r="AE2367" s="3">
        <v>5</v>
      </c>
      <c r="AI2367">
        <v>5.12</v>
      </c>
      <c r="AK2367" s="3"/>
      <c r="AV2367" t="s">
        <v>1256</v>
      </c>
      <c r="AX2367" t="s">
        <v>1256</v>
      </c>
      <c r="AZ2367" t="s">
        <v>1256</v>
      </c>
      <c r="BB2367" t="s">
        <v>1256</v>
      </c>
      <c r="BO2367" t="s">
        <v>367</v>
      </c>
      <c r="BR2367">
        <v>98021</v>
      </c>
      <c r="BS2367" t="s">
        <v>3358</v>
      </c>
      <c r="BT2367">
        <v>5</v>
      </c>
      <c r="BU2367">
        <v>0</v>
      </c>
      <c r="BV2367">
        <v>0</v>
      </c>
      <c r="BX2367">
        <v>5.31</v>
      </c>
      <c r="BZ2367">
        <v>4.87</v>
      </c>
      <c r="CM2367">
        <v>1911</v>
      </c>
    </row>
    <row r="2368" spans="1:91" x14ac:dyDescent="0.3">
      <c r="A2368" t="s">
        <v>3359</v>
      </c>
      <c r="B2368">
        <v>49076</v>
      </c>
      <c r="D2368">
        <v>12</v>
      </c>
      <c r="I2368">
        <v>35000</v>
      </c>
      <c r="U2368">
        <v>10</v>
      </c>
      <c r="Y2368">
        <v>10</v>
      </c>
      <c r="AA2368">
        <v>9.3699999999999992</v>
      </c>
      <c r="AB2368" t="s">
        <v>379</v>
      </c>
      <c r="AC2368" s="3">
        <v>9.3699999999999992</v>
      </c>
      <c r="AE2368" s="3">
        <v>9.1199999999999992</v>
      </c>
      <c r="AI2368">
        <v>9.3699999999999992</v>
      </c>
      <c r="AK2368" s="3"/>
      <c r="BG2368">
        <v>5</v>
      </c>
      <c r="BH2368">
        <v>5</v>
      </c>
      <c r="BI2368">
        <v>5</v>
      </c>
      <c r="BJ2368">
        <v>5</v>
      </c>
      <c r="BK2368" s="4">
        <v>3623</v>
      </c>
      <c r="BL2368" s="4">
        <v>3805</v>
      </c>
      <c r="BM2368" s="4">
        <v>3988</v>
      </c>
      <c r="BN2368" s="4">
        <v>4170</v>
      </c>
      <c r="BR2368">
        <v>69857</v>
      </c>
      <c r="BT2368">
        <v>5</v>
      </c>
      <c r="BU2368">
        <v>6</v>
      </c>
      <c r="BV2368">
        <v>9</v>
      </c>
      <c r="BX2368">
        <v>9.75</v>
      </c>
      <c r="BZ2368">
        <v>9</v>
      </c>
      <c r="CK2368" t="s">
        <v>360</v>
      </c>
      <c r="CM2368">
        <v>1911</v>
      </c>
    </row>
    <row r="2369" spans="1:91" x14ac:dyDescent="0.3">
      <c r="A2369" t="s">
        <v>3360</v>
      </c>
      <c r="B2369">
        <v>49078</v>
      </c>
      <c r="D2369">
        <v>12</v>
      </c>
      <c r="I2369">
        <v>360000</v>
      </c>
      <c r="U2369">
        <v>1</v>
      </c>
      <c r="Y2369">
        <v>1</v>
      </c>
      <c r="AA2369">
        <v>0.12</v>
      </c>
      <c r="AC2369" s="3">
        <v>0.21</v>
      </c>
      <c r="AE2369" s="3">
        <v>0.12</v>
      </c>
      <c r="AI2369">
        <v>0.21</v>
      </c>
      <c r="AK2369" s="3"/>
      <c r="AV2369" t="s">
        <v>385</v>
      </c>
      <c r="AX2369" t="s">
        <v>385</v>
      </c>
      <c r="AZ2369" t="s">
        <v>385</v>
      </c>
      <c r="BB2369" t="s">
        <v>385</v>
      </c>
      <c r="BR2369">
        <v>45215</v>
      </c>
      <c r="BS2369" t="s">
        <v>3361</v>
      </c>
      <c r="BW2369" t="s">
        <v>802</v>
      </c>
      <c r="BX2369">
        <v>0.37</v>
      </c>
      <c r="BZ2369">
        <v>0.09</v>
      </c>
      <c r="CK2369" t="s">
        <v>360</v>
      </c>
      <c r="CM2369">
        <v>1911</v>
      </c>
    </row>
    <row r="2370" spans="1:91" x14ac:dyDescent="0.3">
      <c r="A2370" t="s">
        <v>3360</v>
      </c>
      <c r="B2370">
        <v>49086</v>
      </c>
      <c r="C2370" t="s">
        <v>844</v>
      </c>
      <c r="D2370">
        <v>12</v>
      </c>
      <c r="I2370">
        <v>360000</v>
      </c>
      <c r="U2370">
        <v>1</v>
      </c>
      <c r="Y2370">
        <v>1</v>
      </c>
      <c r="AA2370">
        <v>0.75</v>
      </c>
      <c r="AC2370" s="3">
        <v>0.28000000000000003</v>
      </c>
      <c r="AE2370" s="3">
        <v>0.12</v>
      </c>
      <c r="AI2370">
        <v>0.59</v>
      </c>
      <c r="AK2370" s="3"/>
      <c r="AV2370" t="s">
        <v>385</v>
      </c>
      <c r="AX2370" t="s">
        <v>385</v>
      </c>
      <c r="BB2370" t="s">
        <v>810</v>
      </c>
      <c r="BI2370">
        <v>6</v>
      </c>
      <c r="BL2370" t="s">
        <v>811</v>
      </c>
      <c r="BM2370" s="4">
        <v>2923</v>
      </c>
      <c r="BR2370">
        <v>45215</v>
      </c>
      <c r="BS2370" t="s">
        <v>3361</v>
      </c>
      <c r="BW2370" t="s">
        <v>802</v>
      </c>
      <c r="BX2370">
        <v>0.37</v>
      </c>
      <c r="BZ2370">
        <v>0.09</v>
      </c>
      <c r="CM2370">
        <v>1911</v>
      </c>
    </row>
    <row r="2371" spans="1:91" x14ac:dyDescent="0.3">
      <c r="A2371" t="s">
        <v>3360</v>
      </c>
      <c r="B2371">
        <v>49079</v>
      </c>
      <c r="C2371" t="s">
        <v>3362</v>
      </c>
      <c r="D2371">
        <v>12</v>
      </c>
      <c r="I2371">
        <v>220000</v>
      </c>
      <c r="J2371" t="s">
        <v>800</v>
      </c>
      <c r="U2371">
        <v>100</v>
      </c>
      <c r="Y2371">
        <v>100</v>
      </c>
      <c r="AA2371">
        <v>84</v>
      </c>
      <c r="AC2371" s="3">
        <v>84</v>
      </c>
      <c r="AE2371" s="3">
        <v>84</v>
      </c>
      <c r="AI2371">
        <v>84</v>
      </c>
      <c r="AK2371" s="3"/>
      <c r="BG2371">
        <v>5</v>
      </c>
      <c r="BH2371">
        <v>5</v>
      </c>
      <c r="BI2371">
        <v>5</v>
      </c>
      <c r="BJ2371">
        <v>5</v>
      </c>
      <c r="BK2371" s="4">
        <v>3654</v>
      </c>
      <c r="BL2371" s="4">
        <v>3835</v>
      </c>
      <c r="BM2371" s="4">
        <v>4019</v>
      </c>
      <c r="BN2371" s="4">
        <v>4200</v>
      </c>
      <c r="BR2371">
        <v>45215</v>
      </c>
      <c r="BS2371" t="s">
        <v>3361</v>
      </c>
      <c r="BT2371">
        <v>6</v>
      </c>
      <c r="BU2371">
        <v>2</v>
      </c>
      <c r="BV2371">
        <v>0</v>
      </c>
      <c r="BX2371">
        <v>89.5</v>
      </c>
      <c r="BZ2371">
        <v>74</v>
      </c>
      <c r="CM2371">
        <v>1911</v>
      </c>
    </row>
    <row r="2372" spans="1:91" x14ac:dyDescent="0.3">
      <c r="A2372" t="s">
        <v>3360</v>
      </c>
      <c r="B2372">
        <v>49080</v>
      </c>
      <c r="C2372" t="s">
        <v>3363</v>
      </c>
      <c r="D2372">
        <v>12</v>
      </c>
      <c r="I2372">
        <v>200000</v>
      </c>
      <c r="J2372" t="s">
        <v>800</v>
      </c>
      <c r="V2372" t="s">
        <v>350</v>
      </c>
      <c r="Y2372">
        <v>100</v>
      </c>
      <c r="AA2372">
        <v>54.5</v>
      </c>
      <c r="AC2372" s="3">
        <v>54.5</v>
      </c>
      <c r="AE2372" s="3">
        <v>50</v>
      </c>
      <c r="AI2372">
        <v>53.5</v>
      </c>
      <c r="AK2372" s="3"/>
      <c r="BG2372">
        <v>5</v>
      </c>
      <c r="BH2372">
        <v>5</v>
      </c>
      <c r="BI2372">
        <v>5</v>
      </c>
      <c r="BJ2372">
        <v>5</v>
      </c>
      <c r="BK2372" s="4">
        <v>3654</v>
      </c>
      <c r="BL2372" s="4">
        <v>3835</v>
      </c>
      <c r="BM2372" s="4">
        <v>4019</v>
      </c>
      <c r="BN2372" s="4">
        <v>4200</v>
      </c>
      <c r="BR2372">
        <v>45215</v>
      </c>
      <c r="BS2372" t="s">
        <v>3361</v>
      </c>
      <c r="BT2372">
        <v>9</v>
      </c>
      <c r="BU2372">
        <v>16</v>
      </c>
      <c r="BV2372">
        <v>0</v>
      </c>
      <c r="BX2372">
        <v>65</v>
      </c>
      <c r="BZ2372">
        <v>50</v>
      </c>
      <c r="CM2372">
        <v>1911</v>
      </c>
    </row>
    <row r="2373" spans="1:91" x14ac:dyDescent="0.3">
      <c r="A2373" t="s">
        <v>3360</v>
      </c>
      <c r="B2373">
        <v>49081</v>
      </c>
      <c r="C2373" t="s">
        <v>3364</v>
      </c>
      <c r="D2373">
        <v>12</v>
      </c>
      <c r="I2373">
        <v>190000</v>
      </c>
      <c r="J2373" t="s">
        <v>800</v>
      </c>
      <c r="V2373" t="s">
        <v>350</v>
      </c>
      <c r="Y2373">
        <v>100</v>
      </c>
      <c r="AA2373">
        <v>64.5</v>
      </c>
      <c r="AC2373" s="3">
        <v>64.5</v>
      </c>
      <c r="AE2373" s="3">
        <v>63.5</v>
      </c>
      <c r="AI2373">
        <v>63.5</v>
      </c>
      <c r="AK2373" s="3"/>
      <c r="BG2373">
        <v>5</v>
      </c>
      <c r="BH2373">
        <v>5</v>
      </c>
      <c r="BI2373">
        <v>5</v>
      </c>
      <c r="BJ2373">
        <v>5</v>
      </c>
      <c r="BK2373" s="4">
        <v>3654</v>
      </c>
      <c r="BL2373" s="4">
        <v>3835</v>
      </c>
      <c r="BM2373" s="4">
        <v>4019</v>
      </c>
      <c r="BN2373" s="4">
        <v>4566</v>
      </c>
      <c r="BR2373">
        <v>45215</v>
      </c>
      <c r="BS2373" t="s">
        <v>3361</v>
      </c>
      <c r="BT2373">
        <v>8</v>
      </c>
      <c r="BU2373">
        <v>4</v>
      </c>
      <c r="BV2373">
        <v>0</v>
      </c>
      <c r="BX2373">
        <v>72.5</v>
      </c>
      <c r="BZ2373">
        <v>54</v>
      </c>
      <c r="CM2373">
        <v>1911</v>
      </c>
    </row>
    <row r="2374" spans="1:91" x14ac:dyDescent="0.3">
      <c r="A2374" t="s">
        <v>3360</v>
      </c>
      <c r="B2374">
        <v>49082</v>
      </c>
      <c r="C2374" t="s">
        <v>3365</v>
      </c>
      <c r="D2374">
        <v>12</v>
      </c>
      <c r="I2374">
        <v>96000</v>
      </c>
      <c r="J2374" t="s">
        <v>800</v>
      </c>
      <c r="V2374" t="s">
        <v>350</v>
      </c>
      <c r="Y2374">
        <v>100</v>
      </c>
      <c r="AA2374">
        <v>67</v>
      </c>
      <c r="AC2374" s="3">
        <v>67</v>
      </c>
      <c r="AE2374" s="3">
        <v>66</v>
      </c>
      <c r="AI2374">
        <v>66</v>
      </c>
      <c r="AK2374" s="3"/>
      <c r="BG2374">
        <v>4</v>
      </c>
      <c r="BH2374">
        <v>4</v>
      </c>
      <c r="BI2374">
        <v>4</v>
      </c>
      <c r="BJ2374">
        <v>4</v>
      </c>
      <c r="BK2374" s="4">
        <v>3654</v>
      </c>
      <c r="BL2374" s="4">
        <v>3835</v>
      </c>
      <c r="BM2374" s="4">
        <v>4019</v>
      </c>
      <c r="BN2374" s="4">
        <v>4931</v>
      </c>
      <c r="BR2374">
        <v>45215</v>
      </c>
      <c r="BS2374" t="s">
        <v>3361</v>
      </c>
      <c r="BT2374">
        <v>6</v>
      </c>
      <c r="BU2374">
        <v>5</v>
      </c>
      <c r="BV2374">
        <v>0</v>
      </c>
      <c r="BX2374">
        <v>72.5</v>
      </c>
      <c r="BZ2374">
        <v>54</v>
      </c>
      <c r="CM2374">
        <v>1911</v>
      </c>
    </row>
    <row r="2375" spans="1:91" x14ac:dyDescent="0.3">
      <c r="A2375" t="s">
        <v>3366</v>
      </c>
      <c r="B2375">
        <v>49094</v>
      </c>
      <c r="D2375">
        <v>12</v>
      </c>
      <c r="I2375">
        <v>500000</v>
      </c>
      <c r="U2375">
        <v>1</v>
      </c>
      <c r="Y2375">
        <v>1</v>
      </c>
      <c r="AA2375">
        <v>1.93</v>
      </c>
      <c r="AC2375" s="3">
        <v>1.93</v>
      </c>
      <c r="AE2375" s="3">
        <v>1.93</v>
      </c>
      <c r="AI2375">
        <v>1.93</v>
      </c>
      <c r="AK2375" s="3"/>
      <c r="AX2375" t="s">
        <v>823</v>
      </c>
      <c r="BB2375" t="s">
        <v>823</v>
      </c>
      <c r="BG2375">
        <v>23</v>
      </c>
      <c r="BH2375">
        <v>5</v>
      </c>
      <c r="BI2375">
        <v>19</v>
      </c>
      <c r="BJ2375">
        <v>5</v>
      </c>
      <c r="BK2375" s="4">
        <v>3774</v>
      </c>
      <c r="BL2375" s="4">
        <v>3958</v>
      </c>
      <c r="BM2375" s="4">
        <v>4139</v>
      </c>
      <c r="BN2375" s="4">
        <v>4323</v>
      </c>
      <c r="BR2375">
        <v>424789</v>
      </c>
      <c r="BS2375" t="s">
        <v>3367</v>
      </c>
      <c r="BT2375">
        <v>6</v>
      </c>
      <c r="BU2375">
        <v>3</v>
      </c>
      <c r="BV2375">
        <v>9</v>
      </c>
      <c r="BX2375">
        <v>1.93</v>
      </c>
      <c r="BZ2375">
        <v>1.81</v>
      </c>
      <c r="CK2375" t="s">
        <v>3368</v>
      </c>
      <c r="CM2375">
        <v>1911</v>
      </c>
    </row>
    <row r="2376" spans="1:91" x14ac:dyDescent="0.3">
      <c r="A2376" t="s">
        <v>3369</v>
      </c>
      <c r="B2376">
        <v>49096</v>
      </c>
      <c r="C2376" t="s">
        <v>902</v>
      </c>
      <c r="D2376">
        <v>12</v>
      </c>
      <c r="I2376">
        <v>50000</v>
      </c>
      <c r="U2376">
        <v>10</v>
      </c>
      <c r="Y2376">
        <v>10</v>
      </c>
      <c r="AA2376">
        <v>12.87</v>
      </c>
      <c r="AC2376" s="3">
        <v>12.87</v>
      </c>
      <c r="AE2376" s="3">
        <v>12.87</v>
      </c>
      <c r="AI2376">
        <v>12.87</v>
      </c>
      <c r="AK2376" s="3"/>
      <c r="AV2376" t="s">
        <v>373</v>
      </c>
      <c r="AX2376" t="s">
        <v>373</v>
      </c>
      <c r="AZ2376" t="s">
        <v>373</v>
      </c>
      <c r="BB2376" t="s">
        <v>373</v>
      </c>
      <c r="BO2376" t="s">
        <v>367</v>
      </c>
      <c r="BR2376">
        <v>424789</v>
      </c>
      <c r="BS2376" t="s">
        <v>3370</v>
      </c>
      <c r="BT2376">
        <v>4</v>
      </c>
      <c r="BU2376">
        <v>13</v>
      </c>
      <c r="BV2376">
        <v>3</v>
      </c>
      <c r="BX2376">
        <v>13.37</v>
      </c>
      <c r="BZ2376">
        <v>12.87</v>
      </c>
      <c r="CM2376">
        <v>1911</v>
      </c>
    </row>
    <row r="2377" spans="1:91" x14ac:dyDescent="0.3">
      <c r="A2377" t="s">
        <v>3371</v>
      </c>
      <c r="B2377">
        <v>49067</v>
      </c>
      <c r="D2377">
        <v>12</v>
      </c>
      <c r="I2377">
        <v>54000</v>
      </c>
      <c r="U2377">
        <v>1</v>
      </c>
      <c r="Y2377">
        <v>1</v>
      </c>
      <c r="AA2377">
        <v>1.18</v>
      </c>
      <c r="AC2377" s="3">
        <v>1.18</v>
      </c>
      <c r="AE2377" s="3">
        <v>1.18</v>
      </c>
      <c r="AI2377">
        <v>1.18</v>
      </c>
      <c r="AK2377" s="3"/>
      <c r="AX2377" t="s">
        <v>823</v>
      </c>
      <c r="BB2377" t="s">
        <v>823</v>
      </c>
      <c r="BG2377">
        <v>10</v>
      </c>
      <c r="BH2377">
        <v>5</v>
      </c>
      <c r="BI2377">
        <v>10</v>
      </c>
      <c r="BJ2377">
        <v>5</v>
      </c>
      <c r="BK2377" s="4">
        <v>3501</v>
      </c>
      <c r="BL2377" s="4">
        <v>3685</v>
      </c>
      <c r="BM2377" s="4">
        <v>3866</v>
      </c>
      <c r="BN2377" s="4">
        <v>4078</v>
      </c>
      <c r="BR2377">
        <v>19415</v>
      </c>
      <c r="BT2377">
        <v>6</v>
      </c>
      <c r="BU2377">
        <v>6</v>
      </c>
      <c r="BV2377">
        <v>3</v>
      </c>
      <c r="BX2377">
        <v>1.25</v>
      </c>
      <c r="BZ2377">
        <v>1</v>
      </c>
      <c r="CM2377">
        <v>1911</v>
      </c>
    </row>
    <row r="2378" spans="1:91" x14ac:dyDescent="0.3">
      <c r="A2378" t="s">
        <v>3372</v>
      </c>
      <c r="B2378">
        <v>49062</v>
      </c>
      <c r="D2378">
        <v>12</v>
      </c>
      <c r="I2378">
        <v>45000</v>
      </c>
      <c r="U2378">
        <v>5</v>
      </c>
      <c r="Y2378">
        <v>5</v>
      </c>
      <c r="AA2378">
        <v>9</v>
      </c>
      <c r="AC2378" s="3">
        <v>9.1199999999999992</v>
      </c>
      <c r="AE2378" s="3">
        <v>8.75</v>
      </c>
      <c r="AI2378">
        <v>9</v>
      </c>
      <c r="AK2378" s="3"/>
      <c r="AX2378" t="s">
        <v>823</v>
      </c>
      <c r="BB2378" t="s">
        <v>823</v>
      </c>
      <c r="BG2378">
        <v>14</v>
      </c>
      <c r="BH2378">
        <v>8</v>
      </c>
      <c r="BI2378">
        <v>14</v>
      </c>
      <c r="BJ2378">
        <v>8</v>
      </c>
      <c r="BK2378" s="4">
        <v>3713</v>
      </c>
      <c r="BL2378" s="4">
        <v>3866</v>
      </c>
      <c r="BM2378" s="4">
        <v>4078</v>
      </c>
      <c r="BN2378" s="4">
        <v>4231</v>
      </c>
      <c r="BR2378">
        <v>159379</v>
      </c>
      <c r="BS2378" t="s">
        <v>3373</v>
      </c>
      <c r="BT2378">
        <v>6</v>
      </c>
      <c r="BU2378">
        <v>2</v>
      </c>
      <c r="BV2378">
        <v>3</v>
      </c>
      <c r="BX2378">
        <v>9.8699999999999992</v>
      </c>
      <c r="BZ2378">
        <v>8.75</v>
      </c>
      <c r="CK2378" t="s">
        <v>360</v>
      </c>
      <c r="CM2378">
        <v>1911</v>
      </c>
    </row>
    <row r="2379" spans="1:91" x14ac:dyDescent="0.3">
      <c r="A2379" t="s">
        <v>3372</v>
      </c>
      <c r="B2379">
        <v>49064</v>
      </c>
      <c r="C2379" t="s">
        <v>977</v>
      </c>
      <c r="D2379">
        <v>12</v>
      </c>
      <c r="I2379">
        <v>10000</v>
      </c>
      <c r="U2379">
        <v>5</v>
      </c>
      <c r="Y2379">
        <v>5</v>
      </c>
      <c r="AA2379">
        <v>4.87</v>
      </c>
      <c r="AC2379" s="3">
        <v>5</v>
      </c>
      <c r="AE2379" s="3">
        <v>4.87</v>
      </c>
      <c r="AI2379">
        <v>4.93</v>
      </c>
      <c r="AJ2379" t="s">
        <v>379</v>
      </c>
      <c r="AK2379" s="3"/>
      <c r="AV2379" t="s">
        <v>373</v>
      </c>
      <c r="AX2379" t="s">
        <v>373</v>
      </c>
      <c r="AZ2379" t="s">
        <v>373</v>
      </c>
      <c r="BB2379" t="s">
        <v>373</v>
      </c>
      <c r="BO2379" t="s">
        <v>367</v>
      </c>
      <c r="BR2379">
        <v>159379</v>
      </c>
      <c r="BS2379" t="s">
        <v>3373</v>
      </c>
      <c r="BT2379">
        <v>4</v>
      </c>
      <c r="BU2379">
        <v>11</v>
      </c>
      <c r="BV2379">
        <v>0</v>
      </c>
      <c r="BX2379">
        <v>9.8699999999999992</v>
      </c>
      <c r="BZ2379">
        <v>8.75</v>
      </c>
      <c r="CM2379">
        <v>1911</v>
      </c>
    </row>
    <row r="2380" spans="1:91" x14ac:dyDescent="0.3">
      <c r="A2380" t="s">
        <v>3374</v>
      </c>
      <c r="B2380">
        <v>49063</v>
      </c>
      <c r="C2380" t="s">
        <v>684</v>
      </c>
      <c r="D2380">
        <v>12</v>
      </c>
      <c r="I2380">
        <v>83000</v>
      </c>
      <c r="J2380" t="s">
        <v>800</v>
      </c>
      <c r="U2380">
        <v>100</v>
      </c>
      <c r="Y2380">
        <v>100</v>
      </c>
      <c r="AA2380">
        <v>93.5</v>
      </c>
      <c r="AC2380" s="3">
        <v>93.5</v>
      </c>
      <c r="AE2380" s="3">
        <v>93.5</v>
      </c>
      <c r="AI2380">
        <v>93.5</v>
      </c>
      <c r="AK2380" s="3"/>
      <c r="AV2380" t="s">
        <v>370</v>
      </c>
      <c r="AX2380" t="s">
        <v>370</v>
      </c>
      <c r="AZ2380" t="s">
        <v>370</v>
      </c>
      <c r="BB2380" t="s">
        <v>370</v>
      </c>
      <c r="BO2380" t="s">
        <v>367</v>
      </c>
      <c r="BR2380">
        <v>159379</v>
      </c>
      <c r="BS2380" t="s">
        <v>3373</v>
      </c>
      <c r="BT2380">
        <v>4</v>
      </c>
      <c r="BU2380">
        <v>7</v>
      </c>
      <c r="BV2380">
        <v>3</v>
      </c>
      <c r="BX2380">
        <v>96</v>
      </c>
      <c r="BZ2380">
        <v>91.5</v>
      </c>
      <c r="CM2380">
        <v>1911</v>
      </c>
    </row>
    <row r="2381" spans="1:91" x14ac:dyDescent="0.3">
      <c r="A2381" t="s">
        <v>3375</v>
      </c>
      <c r="B2381">
        <v>40020</v>
      </c>
      <c r="D2381">
        <v>12</v>
      </c>
      <c r="I2381">
        <v>17500</v>
      </c>
      <c r="U2381">
        <v>10</v>
      </c>
      <c r="Y2381">
        <v>10</v>
      </c>
      <c r="AA2381">
        <v>5</v>
      </c>
      <c r="AC2381" s="3">
        <v>5</v>
      </c>
      <c r="AE2381" s="3">
        <v>5</v>
      </c>
      <c r="AI2381">
        <v>5</v>
      </c>
      <c r="AK2381" s="3"/>
      <c r="AV2381" t="s">
        <v>506</v>
      </c>
      <c r="AX2381" t="s">
        <v>506</v>
      </c>
      <c r="AZ2381" t="s">
        <v>506</v>
      </c>
      <c r="BB2381" t="s">
        <v>506</v>
      </c>
      <c r="BO2381" t="s">
        <v>367</v>
      </c>
      <c r="BS2381" t="s">
        <v>385</v>
      </c>
      <c r="BT2381">
        <v>11</v>
      </c>
      <c r="BU2381">
        <v>0</v>
      </c>
      <c r="BV2381">
        <v>0</v>
      </c>
      <c r="BX2381">
        <v>5.21</v>
      </c>
      <c r="BZ2381">
        <v>5</v>
      </c>
      <c r="CK2381" t="s">
        <v>360</v>
      </c>
      <c r="CM2381">
        <v>1911</v>
      </c>
    </row>
    <row r="2382" spans="1:91" x14ac:dyDescent="0.3">
      <c r="A2382" t="s">
        <v>3375</v>
      </c>
      <c r="B2382">
        <v>40019</v>
      </c>
      <c r="C2382" t="s">
        <v>1222</v>
      </c>
      <c r="D2382">
        <v>12</v>
      </c>
      <c r="I2382">
        <v>175000</v>
      </c>
      <c r="J2382" t="s">
        <v>800</v>
      </c>
      <c r="V2382" t="s">
        <v>350</v>
      </c>
      <c r="Y2382">
        <v>100</v>
      </c>
      <c r="AA2382">
        <v>82.5</v>
      </c>
      <c r="AC2382" s="3">
        <v>82.5</v>
      </c>
      <c r="AE2382" s="3">
        <v>82.5</v>
      </c>
      <c r="AI2382">
        <v>82.5</v>
      </c>
      <c r="AJ2382" t="s">
        <v>379</v>
      </c>
      <c r="AK2382" s="3"/>
      <c r="AV2382" t="s">
        <v>370</v>
      </c>
      <c r="AX2382" t="s">
        <v>370</v>
      </c>
      <c r="AZ2382" t="s">
        <v>370</v>
      </c>
      <c r="BB2382" t="s">
        <v>370</v>
      </c>
      <c r="BO2382" t="s">
        <v>367</v>
      </c>
      <c r="BS2382" t="s">
        <v>385</v>
      </c>
      <c r="BT2382">
        <v>5</v>
      </c>
      <c r="BU2382">
        <v>11</v>
      </c>
      <c r="BV2382">
        <v>3</v>
      </c>
      <c r="BX2382">
        <v>84</v>
      </c>
      <c r="BZ2382">
        <v>81</v>
      </c>
      <c r="CM2382">
        <v>1911</v>
      </c>
    </row>
    <row r="2383" spans="1:91" x14ac:dyDescent="0.3">
      <c r="A2383" t="s">
        <v>3376</v>
      </c>
      <c r="B2383">
        <v>49167</v>
      </c>
      <c r="D2383">
        <v>12</v>
      </c>
      <c r="I2383">
        <v>13032</v>
      </c>
      <c r="U2383">
        <v>5</v>
      </c>
      <c r="Y2383">
        <v>5</v>
      </c>
      <c r="AA2383">
        <v>8.1199999999999992</v>
      </c>
      <c r="AB2383" t="s">
        <v>379</v>
      </c>
      <c r="AC2383" s="3">
        <v>8.1199999999999992</v>
      </c>
      <c r="AE2383" s="3">
        <v>8.1199999999999992</v>
      </c>
      <c r="AI2383">
        <v>8.1199999999999992</v>
      </c>
      <c r="AK2383" s="3"/>
      <c r="BG2383">
        <v>10</v>
      </c>
      <c r="BH2383">
        <v>10</v>
      </c>
      <c r="BI2383">
        <v>10</v>
      </c>
      <c r="BJ2383">
        <v>10</v>
      </c>
      <c r="BK2383" s="4">
        <v>3774</v>
      </c>
      <c r="BL2383" s="4">
        <v>3958</v>
      </c>
      <c r="BM2383" s="4">
        <v>4139</v>
      </c>
      <c r="BN2383" s="4">
        <v>4323</v>
      </c>
      <c r="BR2383">
        <v>26386</v>
      </c>
      <c r="BT2383">
        <v>6</v>
      </c>
      <c r="BU2383">
        <v>3</v>
      </c>
      <c r="BV2383">
        <v>0</v>
      </c>
      <c r="BX2383">
        <v>8.5</v>
      </c>
      <c r="BZ2383">
        <v>7.87</v>
      </c>
      <c r="CK2383" t="s">
        <v>399</v>
      </c>
      <c r="CM2383">
        <v>1911</v>
      </c>
    </row>
    <row r="2384" spans="1:91" x14ac:dyDescent="0.3">
      <c r="A2384" t="s">
        <v>3377</v>
      </c>
      <c r="B2384">
        <v>49192</v>
      </c>
      <c r="D2384">
        <v>12</v>
      </c>
      <c r="I2384">
        <v>80000</v>
      </c>
      <c r="U2384">
        <v>10</v>
      </c>
      <c r="Y2384">
        <v>10</v>
      </c>
      <c r="AA2384">
        <v>10.62</v>
      </c>
      <c r="AC2384" s="3">
        <v>10.62</v>
      </c>
      <c r="AE2384" s="3">
        <v>10.62</v>
      </c>
      <c r="AI2384">
        <v>10.62</v>
      </c>
      <c r="AK2384" s="3"/>
      <c r="AV2384" t="s">
        <v>421</v>
      </c>
      <c r="AX2384" t="s">
        <v>421</v>
      </c>
      <c r="AZ2384" t="s">
        <v>421</v>
      </c>
      <c r="BB2384" t="s">
        <v>421</v>
      </c>
      <c r="BO2384" t="s">
        <v>367</v>
      </c>
      <c r="BR2384">
        <v>18362</v>
      </c>
      <c r="BT2384">
        <v>5</v>
      </c>
      <c r="BU2384">
        <v>12</v>
      </c>
      <c r="BV2384">
        <v>9</v>
      </c>
      <c r="BX2384">
        <v>11</v>
      </c>
      <c r="BZ2384">
        <v>10.25</v>
      </c>
      <c r="CM2384">
        <v>1911</v>
      </c>
    </row>
    <row r="2385" spans="1:91" x14ac:dyDescent="0.3">
      <c r="A2385" t="s">
        <v>3378</v>
      </c>
      <c r="B2385">
        <v>49197</v>
      </c>
      <c r="D2385">
        <v>12</v>
      </c>
      <c r="I2385">
        <v>45000</v>
      </c>
      <c r="U2385">
        <v>10</v>
      </c>
      <c r="Y2385">
        <v>10</v>
      </c>
      <c r="AA2385">
        <v>9.5</v>
      </c>
      <c r="AC2385" s="3">
        <v>9.5</v>
      </c>
      <c r="AE2385" s="3">
        <v>9.5</v>
      </c>
      <c r="AI2385">
        <v>9.5</v>
      </c>
      <c r="AK2385" s="3"/>
      <c r="BG2385">
        <v>5</v>
      </c>
      <c r="BH2385">
        <v>5</v>
      </c>
      <c r="BI2385">
        <v>5</v>
      </c>
      <c r="BJ2385">
        <v>5</v>
      </c>
      <c r="BK2385" s="4">
        <v>3654</v>
      </c>
      <c r="BL2385" s="4">
        <v>3835</v>
      </c>
      <c r="BM2385" s="4">
        <v>4019</v>
      </c>
      <c r="BN2385" s="4">
        <v>4200</v>
      </c>
      <c r="BR2385">
        <v>135132</v>
      </c>
      <c r="BT2385">
        <v>5</v>
      </c>
      <c r="BU2385">
        <v>5</v>
      </c>
      <c r="BV2385">
        <v>3</v>
      </c>
      <c r="BX2385">
        <v>9.5</v>
      </c>
      <c r="BZ2385">
        <v>9.25</v>
      </c>
      <c r="CM2385">
        <v>1911</v>
      </c>
    </row>
    <row r="2386" spans="1:91" x14ac:dyDescent="0.3">
      <c r="A2386" t="s">
        <v>3379</v>
      </c>
      <c r="B2386">
        <v>49208</v>
      </c>
      <c r="D2386">
        <v>12</v>
      </c>
      <c r="I2386">
        <v>87550</v>
      </c>
      <c r="U2386">
        <v>1</v>
      </c>
      <c r="Y2386">
        <v>1</v>
      </c>
      <c r="AA2386">
        <v>1.59</v>
      </c>
      <c r="AC2386" s="3">
        <v>1.59</v>
      </c>
      <c r="AE2386" s="3">
        <v>1.59</v>
      </c>
      <c r="AI2386">
        <v>1.59</v>
      </c>
      <c r="AK2386" s="3"/>
      <c r="AX2386" t="s">
        <v>823</v>
      </c>
      <c r="BB2386" t="s">
        <v>823</v>
      </c>
      <c r="BG2386">
        <v>20</v>
      </c>
      <c r="BH2386">
        <v>20</v>
      </c>
      <c r="BI2386">
        <v>20</v>
      </c>
      <c r="BJ2386">
        <v>20</v>
      </c>
      <c r="BK2386" s="4">
        <v>3562</v>
      </c>
      <c r="BL2386" s="4">
        <v>3713</v>
      </c>
      <c r="BM2386" s="4">
        <v>3927</v>
      </c>
      <c r="BN2386" s="4">
        <v>4078</v>
      </c>
      <c r="BR2386">
        <v>26365</v>
      </c>
      <c r="BT2386">
        <v>12</v>
      </c>
      <c r="BU2386">
        <v>11</v>
      </c>
      <c r="BV2386">
        <v>0</v>
      </c>
      <c r="BX2386">
        <v>1.84</v>
      </c>
      <c r="BZ2386">
        <v>1.37</v>
      </c>
      <c r="CM2386">
        <v>1911</v>
      </c>
    </row>
    <row r="2387" spans="1:91" x14ac:dyDescent="0.3">
      <c r="A2387" t="s">
        <v>3380</v>
      </c>
      <c r="B2387">
        <v>49282</v>
      </c>
      <c r="D2387">
        <v>12</v>
      </c>
      <c r="I2387">
        <v>130000</v>
      </c>
      <c r="U2387">
        <v>1</v>
      </c>
      <c r="Y2387">
        <v>1</v>
      </c>
      <c r="AA2387">
        <v>1.62</v>
      </c>
      <c r="AC2387" s="3">
        <v>1.81</v>
      </c>
      <c r="AE2387" s="3">
        <v>1.62</v>
      </c>
      <c r="AI2387">
        <v>1.71</v>
      </c>
      <c r="AK2387" s="3"/>
      <c r="AV2387" t="s">
        <v>823</v>
      </c>
      <c r="AZ2387" t="s">
        <v>823</v>
      </c>
      <c r="BG2387">
        <v>7</v>
      </c>
      <c r="BH2387">
        <v>11</v>
      </c>
      <c r="BI2387">
        <v>7</v>
      </c>
      <c r="BJ2387">
        <v>11</v>
      </c>
      <c r="BK2387" s="4">
        <v>3774</v>
      </c>
      <c r="BL2387" s="4">
        <v>3958</v>
      </c>
      <c r="BM2387" s="4">
        <v>4139</v>
      </c>
      <c r="BN2387" s="4">
        <v>4323</v>
      </c>
      <c r="BR2387">
        <v>20320</v>
      </c>
      <c r="BS2387" t="s">
        <v>3381</v>
      </c>
      <c r="BT2387">
        <v>5</v>
      </c>
      <c r="BU2387">
        <v>4</v>
      </c>
      <c r="BV2387">
        <v>9</v>
      </c>
      <c r="BX2387">
        <v>1.81</v>
      </c>
      <c r="BZ2387">
        <v>1.28</v>
      </c>
      <c r="CM2387">
        <v>1911</v>
      </c>
    </row>
    <row r="2388" spans="1:91" x14ac:dyDescent="0.3">
      <c r="A2388" t="s">
        <v>3382</v>
      </c>
      <c r="B2388">
        <v>49283</v>
      </c>
      <c r="C2388" t="s">
        <v>3383</v>
      </c>
      <c r="D2388">
        <v>12</v>
      </c>
      <c r="I2388">
        <v>100290</v>
      </c>
      <c r="J2388" t="s">
        <v>800</v>
      </c>
      <c r="V2388" t="s">
        <v>350</v>
      </c>
      <c r="Y2388">
        <v>100</v>
      </c>
      <c r="AA2388">
        <v>99.5</v>
      </c>
      <c r="AC2388" s="3">
        <v>99.5</v>
      </c>
      <c r="AE2388" s="3">
        <v>99.12</v>
      </c>
      <c r="AI2388">
        <v>99.5</v>
      </c>
      <c r="AK2388" s="3"/>
      <c r="AV2388" t="s">
        <v>373</v>
      </c>
      <c r="AX2388" t="s">
        <v>373</v>
      </c>
      <c r="AZ2388" t="s">
        <v>373</v>
      </c>
      <c r="BB2388" t="s">
        <v>373</v>
      </c>
      <c r="BO2388" t="s">
        <v>367</v>
      </c>
      <c r="BR2388">
        <v>20320</v>
      </c>
      <c r="BS2388" t="s">
        <v>3381</v>
      </c>
      <c r="BT2388">
        <v>4</v>
      </c>
      <c r="BU2388">
        <v>11</v>
      </c>
      <c r="BV2388">
        <v>9</v>
      </c>
      <c r="BX2388">
        <v>99.5</v>
      </c>
      <c r="BZ2388">
        <v>95.5</v>
      </c>
      <c r="CM2388">
        <v>1911</v>
      </c>
    </row>
    <row r="2389" spans="1:91" x14ac:dyDescent="0.3">
      <c r="A2389" t="s">
        <v>3384</v>
      </c>
      <c r="B2389">
        <v>49337</v>
      </c>
      <c r="D2389">
        <v>12</v>
      </c>
      <c r="I2389">
        <v>15000</v>
      </c>
      <c r="U2389">
        <v>5</v>
      </c>
      <c r="Y2389">
        <v>5</v>
      </c>
      <c r="AA2389">
        <v>7.09</v>
      </c>
      <c r="AC2389" s="3">
        <v>7.09</v>
      </c>
      <c r="AE2389" s="3">
        <v>7.09</v>
      </c>
      <c r="AI2389">
        <v>7.09</v>
      </c>
      <c r="AK2389" s="3"/>
      <c r="AU2389" t="s">
        <v>2742</v>
      </c>
      <c r="AV2389" s="5">
        <v>40696</v>
      </c>
      <c r="AW2389" t="s">
        <v>2742</v>
      </c>
      <c r="AX2389" s="5">
        <v>40696</v>
      </c>
      <c r="AY2389" t="s">
        <v>2742</v>
      </c>
      <c r="AZ2389" s="5">
        <v>40696</v>
      </c>
      <c r="BA2389" t="s">
        <v>2742</v>
      </c>
      <c r="BB2389" s="5">
        <v>40696</v>
      </c>
      <c r="BC2389">
        <v>30</v>
      </c>
      <c r="BD2389">
        <v>30</v>
      </c>
      <c r="BE2389">
        <v>30</v>
      </c>
      <c r="BF2389">
        <v>30</v>
      </c>
      <c r="BK2389" s="4">
        <v>3988</v>
      </c>
      <c r="BL2389" s="4">
        <v>4078</v>
      </c>
      <c r="BM2389" s="4">
        <v>4170</v>
      </c>
      <c r="BN2389" s="4">
        <v>4262</v>
      </c>
      <c r="BR2389">
        <v>23257</v>
      </c>
      <c r="BT2389">
        <v>7</v>
      </c>
      <c r="BU2389">
        <v>0</v>
      </c>
      <c r="BV2389">
        <v>9</v>
      </c>
      <c r="BX2389">
        <v>7.09</v>
      </c>
      <c r="BZ2389">
        <v>6.75</v>
      </c>
      <c r="CK2389" t="s">
        <v>2828</v>
      </c>
      <c r="CM2389">
        <v>1911</v>
      </c>
    </row>
    <row r="2390" spans="1:91" x14ac:dyDescent="0.3">
      <c r="A2390" t="s">
        <v>3385</v>
      </c>
      <c r="B2390">
        <v>49381</v>
      </c>
      <c r="D2390">
        <v>12</v>
      </c>
      <c r="I2390">
        <v>69000</v>
      </c>
      <c r="U2390">
        <v>1</v>
      </c>
      <c r="Y2390">
        <v>1</v>
      </c>
      <c r="AA2390">
        <v>1.93</v>
      </c>
      <c r="AC2390" s="3">
        <v>1.93</v>
      </c>
      <c r="AE2390" s="3">
        <v>1.93</v>
      </c>
      <c r="AI2390">
        <v>1.93</v>
      </c>
      <c r="AK2390" s="3"/>
      <c r="AX2390" t="s">
        <v>823</v>
      </c>
      <c r="BB2390" t="s">
        <v>823</v>
      </c>
      <c r="BG2390">
        <v>17</v>
      </c>
      <c r="BH2390">
        <v>8</v>
      </c>
      <c r="BI2390">
        <v>20</v>
      </c>
      <c r="BJ2390">
        <v>8</v>
      </c>
      <c r="BK2390" s="4">
        <v>3713</v>
      </c>
      <c r="BL2390" s="4">
        <v>3866</v>
      </c>
      <c r="BM2390" s="4">
        <v>4078</v>
      </c>
      <c r="BN2390" s="4">
        <v>4231</v>
      </c>
      <c r="BR2390">
        <v>47138</v>
      </c>
      <c r="BT2390">
        <v>7</v>
      </c>
      <c r="BU2390">
        <v>4</v>
      </c>
      <c r="BV2390">
        <v>6</v>
      </c>
      <c r="BX2390">
        <v>2.1800000000000002</v>
      </c>
      <c r="BZ2390">
        <v>1.75</v>
      </c>
      <c r="CK2390" t="s">
        <v>360</v>
      </c>
      <c r="CM2390">
        <v>1911</v>
      </c>
    </row>
    <row r="2391" spans="1:91" x14ac:dyDescent="0.3">
      <c r="A2391" t="s">
        <v>3386</v>
      </c>
      <c r="B2391">
        <v>49496</v>
      </c>
      <c r="D2391">
        <v>12</v>
      </c>
      <c r="I2391">
        <v>150000</v>
      </c>
      <c r="U2391">
        <v>1</v>
      </c>
      <c r="Y2391">
        <v>1</v>
      </c>
      <c r="AA2391">
        <v>1.18</v>
      </c>
      <c r="AC2391" s="3">
        <v>1.18</v>
      </c>
      <c r="AE2391" s="3">
        <v>1.1200000000000001</v>
      </c>
      <c r="AI2391">
        <v>1.1200000000000001</v>
      </c>
      <c r="AJ2391" t="s">
        <v>379</v>
      </c>
      <c r="AK2391" s="3"/>
      <c r="AX2391" t="s">
        <v>823</v>
      </c>
      <c r="BB2391" t="s">
        <v>823</v>
      </c>
      <c r="BG2391">
        <v>5</v>
      </c>
      <c r="BH2391">
        <v>5</v>
      </c>
      <c r="BI2391">
        <v>15</v>
      </c>
      <c r="BJ2391">
        <v>5</v>
      </c>
      <c r="BK2391" s="4">
        <v>3654</v>
      </c>
      <c r="BL2391" s="4">
        <v>3835</v>
      </c>
      <c r="BM2391" s="4">
        <v>4019</v>
      </c>
      <c r="BN2391" s="4">
        <v>4200</v>
      </c>
      <c r="BR2391">
        <v>37153</v>
      </c>
      <c r="BS2391" t="s">
        <v>3387</v>
      </c>
      <c r="BT2391">
        <v>8</v>
      </c>
      <c r="BU2391">
        <v>17</v>
      </c>
      <c r="BV2391">
        <v>9</v>
      </c>
      <c r="BX2391">
        <v>1.31</v>
      </c>
      <c r="BZ2391">
        <v>0.9</v>
      </c>
      <c r="CK2391" t="s">
        <v>1117</v>
      </c>
      <c r="CM2391">
        <v>1911</v>
      </c>
    </row>
    <row r="2392" spans="1:91" x14ac:dyDescent="0.3">
      <c r="A2392" t="s">
        <v>3386</v>
      </c>
      <c r="B2392">
        <v>49495</v>
      </c>
      <c r="C2392" t="s">
        <v>844</v>
      </c>
      <c r="D2392">
        <v>12</v>
      </c>
      <c r="I2392">
        <v>150000</v>
      </c>
      <c r="U2392">
        <v>1</v>
      </c>
      <c r="Y2392">
        <v>1</v>
      </c>
      <c r="AA2392">
        <v>1.06</v>
      </c>
      <c r="AC2392" s="3">
        <v>1.06</v>
      </c>
      <c r="AE2392" s="3">
        <v>1.06</v>
      </c>
      <c r="AI2392">
        <v>1.06</v>
      </c>
      <c r="AK2392" s="3"/>
      <c r="AV2392" t="s">
        <v>370</v>
      </c>
      <c r="AX2392" t="s">
        <v>370</v>
      </c>
      <c r="AZ2392" t="s">
        <v>370</v>
      </c>
      <c r="BB2392" t="s">
        <v>370</v>
      </c>
      <c r="BO2392" t="s">
        <v>367</v>
      </c>
      <c r="BR2392">
        <v>37153</v>
      </c>
      <c r="BS2392" t="s">
        <v>3387</v>
      </c>
      <c r="BT2392">
        <v>5</v>
      </c>
      <c r="BU2392">
        <v>13</v>
      </c>
      <c r="BV2392">
        <v>0</v>
      </c>
      <c r="BX2392">
        <v>1.06</v>
      </c>
      <c r="BZ2392">
        <v>0.93</v>
      </c>
      <c r="CM2392">
        <v>1911</v>
      </c>
    </row>
    <row r="2393" spans="1:91" x14ac:dyDescent="0.3">
      <c r="A2393" t="s">
        <v>3388</v>
      </c>
      <c r="B2393">
        <v>49500</v>
      </c>
      <c r="D2393">
        <v>12</v>
      </c>
      <c r="I2393">
        <v>500000</v>
      </c>
      <c r="J2393" t="s">
        <v>800</v>
      </c>
      <c r="V2393" t="s">
        <v>350</v>
      </c>
      <c r="Y2393">
        <v>100</v>
      </c>
      <c r="AA2393">
        <v>110.5</v>
      </c>
      <c r="AC2393" s="3">
        <v>111</v>
      </c>
      <c r="AE2393" s="3">
        <v>110</v>
      </c>
      <c r="AI2393">
        <v>110</v>
      </c>
      <c r="AJ2393" t="s">
        <v>379</v>
      </c>
      <c r="AK2393" s="3"/>
      <c r="AV2393" t="s">
        <v>370</v>
      </c>
      <c r="AX2393" t="s">
        <v>370</v>
      </c>
      <c r="AZ2393" t="s">
        <v>370</v>
      </c>
      <c r="BB2393" t="s">
        <v>370</v>
      </c>
      <c r="BO2393" t="s">
        <v>367</v>
      </c>
      <c r="BR2393">
        <v>62016</v>
      </c>
      <c r="BT2393">
        <v>4</v>
      </c>
      <c r="BU2393">
        <v>1</v>
      </c>
      <c r="BV2393">
        <v>9</v>
      </c>
      <c r="BX2393">
        <v>112.25</v>
      </c>
      <c r="BZ2393">
        <v>109.5</v>
      </c>
      <c r="CK2393" t="s">
        <v>360</v>
      </c>
      <c r="CM2393">
        <v>1911</v>
      </c>
    </row>
    <row r="2394" spans="1:91" x14ac:dyDescent="0.3">
      <c r="A2394" t="s">
        <v>3389</v>
      </c>
      <c r="B2394">
        <v>49522</v>
      </c>
      <c r="D2394">
        <v>12</v>
      </c>
      <c r="I2394">
        <v>20000</v>
      </c>
      <c r="U2394">
        <v>5</v>
      </c>
      <c r="Y2394">
        <v>5</v>
      </c>
      <c r="AA2394">
        <v>3.25</v>
      </c>
      <c r="AC2394" s="3">
        <v>3.25</v>
      </c>
      <c r="AE2394" s="3">
        <v>3</v>
      </c>
      <c r="AI2394">
        <v>3</v>
      </c>
      <c r="AJ2394" t="s">
        <v>379</v>
      </c>
      <c r="AK2394" s="3"/>
      <c r="AV2394" t="s">
        <v>370</v>
      </c>
      <c r="AX2394" t="s">
        <v>370</v>
      </c>
      <c r="AZ2394" t="s">
        <v>370</v>
      </c>
      <c r="BB2394" t="s">
        <v>370</v>
      </c>
      <c r="BO2394" t="s">
        <v>367</v>
      </c>
      <c r="BS2394" t="s">
        <v>385</v>
      </c>
      <c r="BT2394">
        <v>9</v>
      </c>
      <c r="BU2394">
        <v>3</v>
      </c>
      <c r="BV2394">
        <v>3</v>
      </c>
      <c r="BX2394">
        <v>3.25</v>
      </c>
      <c r="BZ2394">
        <v>2.87</v>
      </c>
      <c r="CK2394" t="s">
        <v>360</v>
      </c>
      <c r="CM2394">
        <v>1911</v>
      </c>
    </row>
    <row r="2395" spans="1:91" x14ac:dyDescent="0.3">
      <c r="A2395" t="s">
        <v>3390</v>
      </c>
      <c r="B2395">
        <v>49524</v>
      </c>
      <c r="D2395">
        <v>12</v>
      </c>
      <c r="I2395">
        <v>37350</v>
      </c>
      <c r="U2395">
        <v>12</v>
      </c>
      <c r="Y2395">
        <v>12</v>
      </c>
      <c r="AA2395">
        <v>36</v>
      </c>
      <c r="AC2395" s="3">
        <v>36</v>
      </c>
      <c r="AE2395" s="3">
        <v>34.5</v>
      </c>
      <c r="AI2395">
        <v>35</v>
      </c>
      <c r="AK2395" s="3"/>
      <c r="AX2395" t="s">
        <v>823</v>
      </c>
      <c r="BB2395" t="s">
        <v>823</v>
      </c>
      <c r="BG2395">
        <v>25</v>
      </c>
      <c r="BH2395">
        <v>10</v>
      </c>
      <c r="BI2395">
        <v>30</v>
      </c>
      <c r="BJ2395">
        <v>10</v>
      </c>
      <c r="BK2395" s="4">
        <v>3713</v>
      </c>
      <c r="BL2395" s="4">
        <v>3835</v>
      </c>
      <c r="BM2395" s="4">
        <v>4078</v>
      </c>
      <c r="BN2395" s="4">
        <v>4200</v>
      </c>
      <c r="BR2395">
        <v>182577</v>
      </c>
      <c r="BS2395" t="s">
        <v>3391</v>
      </c>
      <c r="BT2395">
        <v>6</v>
      </c>
      <c r="BU2395">
        <v>17</v>
      </c>
      <c r="BV2395">
        <v>3</v>
      </c>
      <c r="BX2395">
        <v>40</v>
      </c>
      <c r="BZ2395">
        <v>34</v>
      </c>
      <c r="CK2395" t="s">
        <v>360</v>
      </c>
      <c r="CM2395">
        <v>1911</v>
      </c>
    </row>
    <row r="2396" spans="1:91" x14ac:dyDescent="0.3">
      <c r="A2396" t="s">
        <v>3390</v>
      </c>
      <c r="B2396">
        <v>49531</v>
      </c>
      <c r="C2396" t="s">
        <v>3392</v>
      </c>
      <c r="D2396">
        <v>12</v>
      </c>
      <c r="I2396">
        <v>140000</v>
      </c>
      <c r="J2396" t="s">
        <v>800</v>
      </c>
      <c r="U2396">
        <v>100</v>
      </c>
      <c r="Y2396">
        <v>100</v>
      </c>
      <c r="AA2396">
        <v>101</v>
      </c>
      <c r="AC2396" s="3">
        <v>102</v>
      </c>
      <c r="AE2396" s="3">
        <v>101</v>
      </c>
      <c r="AI2396">
        <v>102</v>
      </c>
      <c r="AK2396" s="3"/>
      <c r="AV2396" t="s">
        <v>370</v>
      </c>
      <c r="AX2396" t="s">
        <v>370</v>
      </c>
      <c r="AZ2396" t="s">
        <v>370</v>
      </c>
      <c r="BB2396" t="s">
        <v>370</v>
      </c>
      <c r="BO2396" t="s">
        <v>367</v>
      </c>
      <c r="BR2396">
        <v>182577</v>
      </c>
      <c r="BS2396" t="s">
        <v>3391</v>
      </c>
      <c r="BT2396">
        <v>4</v>
      </c>
      <c r="BU2396">
        <v>0</v>
      </c>
      <c r="BV2396">
        <v>0</v>
      </c>
      <c r="BX2396">
        <v>102.5</v>
      </c>
      <c r="BZ2396">
        <v>100</v>
      </c>
      <c r="CM2396">
        <v>1911</v>
      </c>
    </row>
    <row r="2397" spans="1:91" x14ac:dyDescent="0.3">
      <c r="A2397" t="s">
        <v>3393</v>
      </c>
      <c r="B2397">
        <v>49570</v>
      </c>
      <c r="D2397">
        <v>12</v>
      </c>
      <c r="I2397">
        <v>124000</v>
      </c>
      <c r="U2397">
        <v>1</v>
      </c>
      <c r="Z2397" t="s">
        <v>1675</v>
      </c>
      <c r="AA2397">
        <v>1</v>
      </c>
      <c r="AC2397" s="3">
        <v>1.03</v>
      </c>
      <c r="AE2397" s="3">
        <v>0.96</v>
      </c>
      <c r="AI2397">
        <v>1</v>
      </c>
      <c r="AK2397" s="3"/>
      <c r="AV2397" t="s">
        <v>815</v>
      </c>
      <c r="AX2397" t="s">
        <v>815</v>
      </c>
      <c r="AZ2397" t="s">
        <v>815</v>
      </c>
      <c r="BB2397" t="s">
        <v>815</v>
      </c>
      <c r="BG2397">
        <v>10</v>
      </c>
      <c r="BH2397">
        <v>10</v>
      </c>
      <c r="BI2397">
        <v>15</v>
      </c>
      <c r="BJ2397">
        <v>15</v>
      </c>
      <c r="BK2397" s="4">
        <v>3167</v>
      </c>
      <c r="BL2397" s="4">
        <v>3532</v>
      </c>
      <c r="BM2397" s="4">
        <v>3897</v>
      </c>
      <c r="BN2397" s="4">
        <v>4262</v>
      </c>
      <c r="BR2397">
        <v>28540</v>
      </c>
      <c r="BT2397">
        <v>11</v>
      </c>
      <c r="BU2397">
        <v>4</v>
      </c>
      <c r="BV2397">
        <v>9</v>
      </c>
      <c r="BX2397">
        <v>1.21</v>
      </c>
      <c r="BZ2397">
        <v>0.96</v>
      </c>
      <c r="CK2397" t="s">
        <v>360</v>
      </c>
      <c r="CM2397">
        <v>1911</v>
      </c>
    </row>
    <row r="2398" spans="1:91" x14ac:dyDescent="0.3">
      <c r="A2398" t="s">
        <v>3394</v>
      </c>
      <c r="B2398">
        <v>49605</v>
      </c>
      <c r="D2398">
        <v>12</v>
      </c>
      <c r="I2398">
        <v>60000</v>
      </c>
      <c r="U2398">
        <v>5</v>
      </c>
      <c r="Y2398">
        <v>5</v>
      </c>
      <c r="AA2398">
        <v>4</v>
      </c>
      <c r="AC2398" s="3">
        <v>4.68</v>
      </c>
      <c r="AE2398" s="3">
        <v>3.96</v>
      </c>
      <c r="AI2398">
        <v>4.5</v>
      </c>
      <c r="AJ2398" t="s">
        <v>379</v>
      </c>
      <c r="AK2398" s="3"/>
      <c r="BG2398">
        <v>5.5</v>
      </c>
      <c r="BH2398">
        <v>5.5</v>
      </c>
      <c r="BI2398">
        <v>5.5</v>
      </c>
      <c r="BJ2398">
        <v>5.5</v>
      </c>
      <c r="BK2398" s="4">
        <v>3654</v>
      </c>
      <c r="BL2398" s="4">
        <v>3835</v>
      </c>
      <c r="BM2398" s="4">
        <v>4019</v>
      </c>
      <c r="BN2398" s="4">
        <v>4200</v>
      </c>
      <c r="BR2398">
        <v>34280</v>
      </c>
      <c r="BS2398" t="s">
        <v>3395</v>
      </c>
      <c r="BT2398">
        <v>6</v>
      </c>
      <c r="BU2398">
        <v>2</v>
      </c>
      <c r="BV2398">
        <v>3</v>
      </c>
      <c r="BX2398">
        <v>4.75</v>
      </c>
      <c r="BZ2398">
        <v>3.75</v>
      </c>
      <c r="CK2398" t="s">
        <v>360</v>
      </c>
      <c r="CM2398">
        <v>1911</v>
      </c>
    </row>
    <row r="2399" spans="1:91" x14ac:dyDescent="0.3">
      <c r="A2399" t="s">
        <v>3394</v>
      </c>
      <c r="B2399">
        <v>49602</v>
      </c>
      <c r="C2399" t="s">
        <v>922</v>
      </c>
      <c r="D2399">
        <v>12</v>
      </c>
      <c r="I2399">
        <v>75000</v>
      </c>
      <c r="J2399" t="s">
        <v>800</v>
      </c>
      <c r="U2399">
        <v>20</v>
      </c>
      <c r="Y2399">
        <v>100</v>
      </c>
      <c r="Z2399" t="s">
        <v>615</v>
      </c>
      <c r="AA2399">
        <v>81.5</v>
      </c>
      <c r="AC2399" s="3">
        <v>81.5</v>
      </c>
      <c r="AE2399" s="3">
        <v>81</v>
      </c>
      <c r="AI2399">
        <v>81.5</v>
      </c>
      <c r="AK2399" s="3"/>
      <c r="AV2399" t="s">
        <v>370</v>
      </c>
      <c r="AX2399" t="s">
        <v>370</v>
      </c>
      <c r="AZ2399" t="s">
        <v>370</v>
      </c>
      <c r="BB2399" t="s">
        <v>370</v>
      </c>
      <c r="BO2399" t="s">
        <v>367</v>
      </c>
      <c r="BR2399">
        <v>34280</v>
      </c>
      <c r="BS2399" t="s">
        <v>3395</v>
      </c>
      <c r="BT2399">
        <v>4</v>
      </c>
      <c r="BU2399">
        <v>13</v>
      </c>
      <c r="BV2399">
        <v>6</v>
      </c>
      <c r="BX2399">
        <v>85.25</v>
      </c>
      <c r="BZ2399">
        <v>81</v>
      </c>
      <c r="CM2399">
        <v>1911</v>
      </c>
    </row>
    <row r="2400" spans="1:91" x14ac:dyDescent="0.3">
      <c r="A2400" t="s">
        <v>3396</v>
      </c>
      <c r="B2400">
        <v>49616</v>
      </c>
      <c r="D2400">
        <v>12</v>
      </c>
      <c r="I2400">
        <v>30000</v>
      </c>
      <c r="U2400">
        <v>10</v>
      </c>
      <c r="Y2400">
        <v>10</v>
      </c>
      <c r="AA2400">
        <v>12.5</v>
      </c>
      <c r="AC2400" s="3">
        <v>12.5</v>
      </c>
      <c r="AE2400" s="3">
        <v>12.5</v>
      </c>
      <c r="AI2400">
        <v>12.5</v>
      </c>
      <c r="AK2400" s="3"/>
      <c r="AV2400" t="s">
        <v>823</v>
      </c>
      <c r="AZ2400" t="s">
        <v>823</v>
      </c>
      <c r="BG2400">
        <v>8</v>
      </c>
      <c r="BH2400">
        <v>12</v>
      </c>
      <c r="BI2400">
        <v>8</v>
      </c>
      <c r="BJ2400">
        <v>12</v>
      </c>
      <c r="BK2400" s="4">
        <v>3501</v>
      </c>
      <c r="BL2400" s="4">
        <v>3713</v>
      </c>
      <c r="BM2400" s="4">
        <v>3866</v>
      </c>
      <c r="BN2400" s="4">
        <v>4078</v>
      </c>
      <c r="BR2400">
        <v>165812</v>
      </c>
      <c r="BT2400">
        <v>8</v>
      </c>
      <c r="BU2400">
        <v>0</v>
      </c>
      <c r="BV2400">
        <v>0</v>
      </c>
      <c r="BX2400">
        <v>13.75</v>
      </c>
      <c r="BZ2400">
        <v>12.5</v>
      </c>
      <c r="CK2400" t="s">
        <v>1867</v>
      </c>
      <c r="CM2400">
        <v>1911</v>
      </c>
    </row>
    <row r="2401" spans="1:91" x14ac:dyDescent="0.3">
      <c r="A2401" t="s">
        <v>3397</v>
      </c>
      <c r="B2401">
        <v>49661</v>
      </c>
      <c r="D2401">
        <v>12</v>
      </c>
      <c r="I2401">
        <v>96000</v>
      </c>
      <c r="U2401">
        <v>1</v>
      </c>
      <c r="Y2401">
        <v>1</v>
      </c>
      <c r="AA2401">
        <v>0.18</v>
      </c>
      <c r="AC2401" s="3">
        <v>0.18</v>
      </c>
      <c r="AE2401" s="3">
        <v>0.12</v>
      </c>
      <c r="AI2401">
        <v>0.12</v>
      </c>
      <c r="AK2401" s="3"/>
      <c r="AV2401" t="s">
        <v>815</v>
      </c>
      <c r="AX2401" t="s">
        <v>815</v>
      </c>
      <c r="AZ2401" t="s">
        <v>815</v>
      </c>
      <c r="BB2401" t="s">
        <v>810</v>
      </c>
      <c r="BG2401">
        <v>2.1</v>
      </c>
      <c r="BH2401">
        <v>4.2</v>
      </c>
      <c r="BI2401">
        <v>2.5</v>
      </c>
      <c r="BK2401" t="s">
        <v>1266</v>
      </c>
      <c r="BL2401" t="s">
        <v>1224</v>
      </c>
      <c r="BM2401" s="4">
        <v>3440</v>
      </c>
      <c r="BR2401">
        <v>3566</v>
      </c>
      <c r="BS2401" t="s">
        <v>3398</v>
      </c>
      <c r="BW2401" t="s">
        <v>802</v>
      </c>
      <c r="BX2401">
        <v>0.21</v>
      </c>
      <c r="BZ2401">
        <v>0.12</v>
      </c>
      <c r="CK2401" t="s">
        <v>360</v>
      </c>
      <c r="CM2401">
        <v>1911</v>
      </c>
    </row>
    <row r="2402" spans="1:91" x14ac:dyDescent="0.3">
      <c r="A2402" t="s">
        <v>3397</v>
      </c>
      <c r="B2402">
        <v>49663</v>
      </c>
      <c r="C2402" t="s">
        <v>817</v>
      </c>
      <c r="D2402">
        <v>12</v>
      </c>
      <c r="I2402">
        <v>20000</v>
      </c>
      <c r="U2402">
        <v>5</v>
      </c>
      <c r="Y2402">
        <v>5</v>
      </c>
      <c r="AA2402">
        <v>1.75</v>
      </c>
      <c r="AC2402" s="3">
        <v>1.75</v>
      </c>
      <c r="AE2402" s="3">
        <v>1.75</v>
      </c>
      <c r="AI2402">
        <v>1.75</v>
      </c>
      <c r="AK2402" s="3"/>
      <c r="BB2402" t="s">
        <v>810</v>
      </c>
      <c r="BG2402">
        <v>5</v>
      </c>
      <c r="BH2402">
        <v>5</v>
      </c>
      <c r="BI2402">
        <v>5</v>
      </c>
      <c r="BK2402" s="4">
        <v>3562</v>
      </c>
      <c r="BL2402" s="4">
        <v>3744</v>
      </c>
      <c r="BM2402" s="4">
        <v>3927</v>
      </c>
      <c r="BR2402">
        <v>3566</v>
      </c>
      <c r="BS2402" t="s">
        <v>3398</v>
      </c>
      <c r="BW2402" t="s">
        <v>802</v>
      </c>
      <c r="BX2402">
        <v>2.75</v>
      </c>
      <c r="BZ2402">
        <v>1.5</v>
      </c>
      <c r="CM2402">
        <v>1911</v>
      </c>
    </row>
    <row r="2403" spans="1:91" x14ac:dyDescent="0.3">
      <c r="A2403" t="s">
        <v>3399</v>
      </c>
      <c r="B2403">
        <v>49696</v>
      </c>
      <c r="D2403">
        <v>12</v>
      </c>
      <c r="I2403">
        <v>200000</v>
      </c>
      <c r="U2403">
        <v>1</v>
      </c>
      <c r="Y2403">
        <v>1</v>
      </c>
      <c r="AA2403">
        <v>1.25</v>
      </c>
      <c r="AC2403" s="3">
        <v>1.28</v>
      </c>
      <c r="AE2403" s="3">
        <v>1.21</v>
      </c>
      <c r="AI2403">
        <v>1.25</v>
      </c>
      <c r="AK2403" s="3"/>
      <c r="AV2403" t="s">
        <v>823</v>
      </c>
      <c r="AZ2403" t="s">
        <v>815</v>
      </c>
      <c r="BB2403" t="s">
        <v>815</v>
      </c>
      <c r="BG2403">
        <v>5</v>
      </c>
      <c r="BH2403">
        <v>5</v>
      </c>
      <c r="BI2403">
        <v>5</v>
      </c>
      <c r="BJ2403">
        <v>6</v>
      </c>
      <c r="BK2403" s="4">
        <v>2770</v>
      </c>
      <c r="BL2403" s="4">
        <v>2983</v>
      </c>
      <c r="BM2403" s="4">
        <v>3713</v>
      </c>
      <c r="BN2403" s="4">
        <v>4078</v>
      </c>
      <c r="BR2403">
        <v>40915</v>
      </c>
      <c r="BS2403" t="s">
        <v>3400</v>
      </c>
      <c r="BT2403">
        <v>4</v>
      </c>
      <c r="BU2403">
        <v>16</v>
      </c>
      <c r="BV2403">
        <v>0</v>
      </c>
      <c r="BX2403">
        <v>1.28</v>
      </c>
      <c r="BZ2403">
        <v>0.84</v>
      </c>
      <c r="CK2403" t="s">
        <v>360</v>
      </c>
      <c r="CM2403">
        <v>1911</v>
      </c>
    </row>
    <row r="2404" spans="1:91" x14ac:dyDescent="0.3">
      <c r="A2404" t="s">
        <v>3399</v>
      </c>
      <c r="B2404">
        <v>49694</v>
      </c>
      <c r="C2404" t="s">
        <v>859</v>
      </c>
      <c r="D2404">
        <v>12</v>
      </c>
      <c r="I2404">
        <v>12500</v>
      </c>
      <c r="U2404">
        <v>10</v>
      </c>
      <c r="Y2404">
        <v>10</v>
      </c>
      <c r="AA2404">
        <v>8.8699999999999992</v>
      </c>
      <c r="AC2404" s="3">
        <v>8.8699999999999992</v>
      </c>
      <c r="AE2404" s="3">
        <v>8.75</v>
      </c>
      <c r="AI2404">
        <v>8.8699999999999992</v>
      </c>
      <c r="AK2404" s="3"/>
      <c r="BG2404">
        <v>5</v>
      </c>
      <c r="BH2404">
        <v>5</v>
      </c>
      <c r="BI2404">
        <v>5</v>
      </c>
      <c r="BJ2404">
        <v>5</v>
      </c>
      <c r="BK2404" s="4">
        <v>3713</v>
      </c>
      <c r="BL2404" s="4">
        <v>3866</v>
      </c>
      <c r="BM2404" s="4">
        <v>4078</v>
      </c>
      <c r="BN2404" s="4">
        <v>4231</v>
      </c>
      <c r="BR2404">
        <v>40915</v>
      </c>
      <c r="BS2404" t="s">
        <v>3400</v>
      </c>
      <c r="BT2404">
        <v>5</v>
      </c>
      <c r="BU2404">
        <v>12</v>
      </c>
      <c r="BV2404">
        <v>9</v>
      </c>
      <c r="BX2404">
        <v>9.31</v>
      </c>
      <c r="BZ2404">
        <v>8.3699999999999992</v>
      </c>
      <c r="CM2404">
        <v>1911</v>
      </c>
    </row>
    <row r="2405" spans="1:91" x14ac:dyDescent="0.3">
      <c r="A2405" t="s">
        <v>3399</v>
      </c>
      <c r="B2405">
        <v>49692</v>
      </c>
      <c r="C2405" t="s">
        <v>1832</v>
      </c>
      <c r="D2405">
        <v>12</v>
      </c>
      <c r="I2405">
        <v>100000</v>
      </c>
      <c r="J2405" t="s">
        <v>800</v>
      </c>
      <c r="U2405">
        <v>100</v>
      </c>
      <c r="Y2405">
        <v>100</v>
      </c>
      <c r="AA2405">
        <v>88.5</v>
      </c>
      <c r="AC2405" s="3">
        <v>90</v>
      </c>
      <c r="AE2405" s="3">
        <v>88.5</v>
      </c>
      <c r="AI2405">
        <v>88.5</v>
      </c>
      <c r="AK2405" s="3"/>
      <c r="AV2405" t="s">
        <v>506</v>
      </c>
      <c r="AX2405" t="s">
        <v>506</v>
      </c>
      <c r="AZ2405" t="s">
        <v>506</v>
      </c>
      <c r="BB2405" t="s">
        <v>506</v>
      </c>
      <c r="BO2405" t="s">
        <v>367</v>
      </c>
      <c r="BR2405">
        <v>40915</v>
      </c>
      <c r="BS2405" t="s">
        <v>3400</v>
      </c>
      <c r="BT2405">
        <v>4</v>
      </c>
      <c r="BU2405">
        <v>11</v>
      </c>
      <c r="BV2405">
        <v>9</v>
      </c>
      <c r="BX2405">
        <v>90</v>
      </c>
      <c r="BZ2405">
        <v>81.5</v>
      </c>
      <c r="CM2405">
        <v>1911</v>
      </c>
    </row>
    <row r="2406" spans="1:91" x14ac:dyDescent="0.3">
      <c r="A2406" t="s">
        <v>3401</v>
      </c>
      <c r="B2406">
        <v>49711</v>
      </c>
      <c r="D2406">
        <v>12</v>
      </c>
      <c r="I2406">
        <v>80000</v>
      </c>
      <c r="U2406">
        <v>1</v>
      </c>
      <c r="Y2406">
        <v>1</v>
      </c>
      <c r="AA2406">
        <v>2.12</v>
      </c>
      <c r="AC2406" s="3">
        <v>2.25</v>
      </c>
      <c r="AE2406" s="3">
        <v>2.09</v>
      </c>
      <c r="AI2406">
        <v>2.25</v>
      </c>
      <c r="AK2406" s="3"/>
      <c r="AV2406" t="s">
        <v>815</v>
      </c>
      <c r="AX2406" t="s">
        <v>815</v>
      </c>
      <c r="AZ2406" t="s">
        <v>815</v>
      </c>
      <c r="BB2406" t="s">
        <v>815</v>
      </c>
      <c r="BG2406">
        <v>7.5</v>
      </c>
      <c r="BH2406">
        <v>10</v>
      </c>
      <c r="BI2406">
        <v>12.5</v>
      </c>
      <c r="BJ2406">
        <v>20</v>
      </c>
      <c r="BK2406" s="4">
        <v>3228</v>
      </c>
      <c r="BL2406" s="4">
        <v>3593</v>
      </c>
      <c r="BM2406" s="4">
        <v>3958</v>
      </c>
      <c r="BN2406" s="4">
        <v>4323</v>
      </c>
      <c r="BR2406">
        <v>38366</v>
      </c>
      <c r="BT2406">
        <v>8</v>
      </c>
      <c r="BU2406">
        <v>19</v>
      </c>
      <c r="BV2406">
        <v>9</v>
      </c>
      <c r="BX2406">
        <v>2.25</v>
      </c>
      <c r="BZ2406">
        <v>1.43</v>
      </c>
      <c r="CM2406">
        <v>1911</v>
      </c>
    </row>
    <row r="2407" spans="1:91" x14ac:dyDescent="0.3">
      <c r="A2407" t="s">
        <v>3402</v>
      </c>
      <c r="B2407">
        <v>49713</v>
      </c>
      <c r="D2407">
        <v>12</v>
      </c>
      <c r="I2407">
        <v>20000</v>
      </c>
      <c r="U2407">
        <v>10</v>
      </c>
      <c r="Y2407">
        <v>10</v>
      </c>
      <c r="AA2407">
        <v>8.5</v>
      </c>
      <c r="AC2407" s="3">
        <v>8.5</v>
      </c>
      <c r="AE2407" s="3">
        <v>8.25</v>
      </c>
      <c r="AI2407">
        <v>8.25</v>
      </c>
      <c r="AJ2407" t="s">
        <v>379</v>
      </c>
      <c r="AK2407" s="3"/>
      <c r="AV2407" t="s">
        <v>421</v>
      </c>
      <c r="AX2407" t="s">
        <v>421</v>
      </c>
      <c r="AZ2407" t="s">
        <v>421</v>
      </c>
      <c r="BB2407" t="s">
        <v>421</v>
      </c>
      <c r="BO2407" t="s">
        <v>367</v>
      </c>
      <c r="BR2407">
        <v>31128</v>
      </c>
      <c r="BT2407">
        <v>6</v>
      </c>
      <c r="BU2407">
        <v>13</v>
      </c>
      <c r="BV2407">
        <v>3</v>
      </c>
      <c r="BX2407">
        <v>8.5</v>
      </c>
      <c r="BZ2407">
        <v>7.62</v>
      </c>
      <c r="CK2407" t="s">
        <v>360</v>
      </c>
      <c r="CM2407">
        <v>1911</v>
      </c>
    </row>
    <row r="2408" spans="1:91" x14ac:dyDescent="0.3">
      <c r="A2408" t="s">
        <v>3403</v>
      </c>
      <c r="B2408">
        <v>49781</v>
      </c>
      <c r="D2408">
        <v>12</v>
      </c>
      <c r="I2408">
        <v>250000</v>
      </c>
      <c r="U2408">
        <v>1</v>
      </c>
      <c r="Y2408">
        <v>1</v>
      </c>
      <c r="AA2408">
        <v>0.81</v>
      </c>
      <c r="AC2408" s="3">
        <v>0.87</v>
      </c>
      <c r="AE2408" s="3">
        <v>0.81</v>
      </c>
      <c r="AI2408">
        <v>0.84</v>
      </c>
      <c r="AK2408" s="3"/>
      <c r="AV2408" t="s">
        <v>823</v>
      </c>
      <c r="AZ2408" t="s">
        <v>823</v>
      </c>
      <c r="BG2408">
        <v>5</v>
      </c>
      <c r="BH2408">
        <v>7</v>
      </c>
      <c r="BI2408">
        <v>5</v>
      </c>
      <c r="BJ2408">
        <v>7</v>
      </c>
      <c r="BK2408" s="4">
        <v>3685</v>
      </c>
      <c r="BL2408" s="4">
        <v>3866</v>
      </c>
      <c r="BM2408" s="4">
        <v>4050</v>
      </c>
      <c r="BN2408" s="4">
        <v>4231</v>
      </c>
      <c r="BR2408">
        <v>85114</v>
      </c>
      <c r="BS2408" t="s">
        <v>3404</v>
      </c>
      <c r="BT2408">
        <v>7</v>
      </c>
      <c r="BU2408">
        <v>0</v>
      </c>
      <c r="BV2408">
        <v>6</v>
      </c>
      <c r="BX2408">
        <v>0.9</v>
      </c>
      <c r="BZ2408">
        <v>0.71</v>
      </c>
      <c r="CK2408" t="s">
        <v>360</v>
      </c>
      <c r="CM2408">
        <v>1911</v>
      </c>
    </row>
    <row r="2409" spans="1:91" x14ac:dyDescent="0.3">
      <c r="A2409" t="s">
        <v>3403</v>
      </c>
      <c r="B2409">
        <v>49782</v>
      </c>
      <c r="C2409" t="s">
        <v>921</v>
      </c>
      <c r="D2409">
        <v>12</v>
      </c>
      <c r="I2409">
        <v>50000</v>
      </c>
      <c r="U2409">
        <v>5</v>
      </c>
      <c r="Y2409">
        <v>5</v>
      </c>
      <c r="AA2409">
        <v>5.12</v>
      </c>
      <c r="AC2409" s="3">
        <v>5.12</v>
      </c>
      <c r="AE2409" s="3">
        <v>5</v>
      </c>
      <c r="AI2409">
        <v>5</v>
      </c>
      <c r="AJ2409" t="s">
        <v>379</v>
      </c>
      <c r="AK2409" s="3"/>
      <c r="AV2409" t="s">
        <v>370</v>
      </c>
      <c r="AX2409" t="s">
        <v>370</v>
      </c>
      <c r="AZ2409" t="s">
        <v>370</v>
      </c>
      <c r="BB2409" t="s">
        <v>370</v>
      </c>
      <c r="BO2409" t="s">
        <v>367</v>
      </c>
      <c r="BR2409">
        <v>85114</v>
      </c>
      <c r="BS2409" t="s">
        <v>3404</v>
      </c>
      <c r="BT2409">
        <v>5</v>
      </c>
      <c r="BU2409">
        <v>10</v>
      </c>
      <c r="BV2409">
        <v>0</v>
      </c>
      <c r="BX2409">
        <v>5.12</v>
      </c>
      <c r="BZ2409">
        <v>4.68</v>
      </c>
      <c r="CM2409">
        <v>1911</v>
      </c>
    </row>
    <row r="2410" spans="1:91" x14ac:dyDescent="0.3">
      <c r="A2410" t="s">
        <v>3405</v>
      </c>
      <c r="B2410">
        <v>49847</v>
      </c>
      <c r="D2410">
        <v>12</v>
      </c>
      <c r="I2410">
        <v>467000</v>
      </c>
      <c r="U2410">
        <v>10</v>
      </c>
      <c r="Y2410">
        <v>10</v>
      </c>
      <c r="AA2410">
        <v>2</v>
      </c>
      <c r="AC2410" s="3">
        <v>3.68</v>
      </c>
      <c r="AE2410" s="3">
        <v>1.96</v>
      </c>
      <c r="AI2410">
        <v>3.12</v>
      </c>
      <c r="AK2410" s="3"/>
      <c r="AV2410" t="s">
        <v>385</v>
      </c>
      <c r="AX2410" t="s">
        <v>385</v>
      </c>
      <c r="AZ2410" t="s">
        <v>385</v>
      </c>
      <c r="BB2410" t="s">
        <v>385</v>
      </c>
      <c r="BS2410" t="s">
        <v>385</v>
      </c>
      <c r="BW2410" t="s">
        <v>802</v>
      </c>
      <c r="BX2410">
        <v>3.68</v>
      </c>
      <c r="BZ2410">
        <v>1.5</v>
      </c>
      <c r="CK2410" t="s">
        <v>558</v>
      </c>
      <c r="CM2410">
        <v>1911</v>
      </c>
    </row>
    <row r="2411" spans="1:91" x14ac:dyDescent="0.3">
      <c r="A2411" t="s">
        <v>3406</v>
      </c>
      <c r="B2411">
        <v>49843</v>
      </c>
      <c r="D2411">
        <v>12</v>
      </c>
      <c r="I2411" s="2">
        <v>2818700</v>
      </c>
      <c r="J2411" t="s">
        <v>800</v>
      </c>
      <c r="V2411" t="s">
        <v>385</v>
      </c>
      <c r="Z2411" t="s">
        <v>385</v>
      </c>
      <c r="AA2411">
        <v>100</v>
      </c>
      <c r="AC2411" s="3">
        <v>102</v>
      </c>
      <c r="AE2411" s="3">
        <v>100.87</v>
      </c>
      <c r="AI2411">
        <v>101</v>
      </c>
      <c r="AK2411" s="3"/>
      <c r="AV2411" t="s">
        <v>370</v>
      </c>
      <c r="AX2411" t="s">
        <v>370</v>
      </c>
      <c r="AZ2411" t="s">
        <v>370</v>
      </c>
      <c r="BB2411" t="s">
        <v>370</v>
      </c>
      <c r="BO2411" t="s">
        <v>367</v>
      </c>
      <c r="BS2411" t="s">
        <v>385</v>
      </c>
      <c r="BT2411">
        <v>4</v>
      </c>
      <c r="BU2411">
        <v>11</v>
      </c>
      <c r="BV2411">
        <v>0</v>
      </c>
      <c r="BX2411">
        <v>102</v>
      </c>
      <c r="BZ2411">
        <v>93.5</v>
      </c>
      <c r="CM2411">
        <v>1911</v>
      </c>
    </row>
    <row r="2412" spans="1:91" x14ac:dyDescent="0.3">
      <c r="A2412" t="s">
        <v>3407</v>
      </c>
      <c r="B2412">
        <v>49845</v>
      </c>
      <c r="D2412">
        <v>12</v>
      </c>
      <c r="I2412" s="2">
        <v>4928050</v>
      </c>
      <c r="J2412" t="s">
        <v>800</v>
      </c>
      <c r="V2412" t="s">
        <v>385</v>
      </c>
      <c r="Z2412" t="s">
        <v>385</v>
      </c>
      <c r="AA2412">
        <v>67</v>
      </c>
      <c r="AC2412" s="3">
        <v>80.5</v>
      </c>
      <c r="AE2412" s="3">
        <v>66</v>
      </c>
      <c r="AI2412">
        <v>79</v>
      </c>
      <c r="AK2412" s="3"/>
      <c r="AV2412" t="s">
        <v>385</v>
      </c>
      <c r="BH2412">
        <v>1</v>
      </c>
      <c r="BI2412">
        <v>1</v>
      </c>
      <c r="BJ2412">
        <v>1.5</v>
      </c>
      <c r="BL2412" s="4">
        <v>3897</v>
      </c>
      <c r="BM2412" s="4">
        <v>4078</v>
      </c>
      <c r="BN2412" s="4">
        <v>4262</v>
      </c>
      <c r="BS2412" t="s">
        <v>385</v>
      </c>
      <c r="BT2412">
        <v>1</v>
      </c>
      <c r="BU2412">
        <v>11</v>
      </c>
      <c r="BV2412">
        <v>9</v>
      </c>
      <c r="BX2412">
        <v>80.5</v>
      </c>
      <c r="BZ2412">
        <v>39</v>
      </c>
      <c r="CM2412">
        <v>1911</v>
      </c>
    </row>
    <row r="2413" spans="1:91" x14ac:dyDescent="0.3">
      <c r="A2413" t="s">
        <v>3407</v>
      </c>
      <c r="B2413">
        <v>49846</v>
      </c>
      <c r="C2413" t="s">
        <v>3408</v>
      </c>
      <c r="D2413">
        <v>12</v>
      </c>
      <c r="I2413" s="2">
        <v>1000000</v>
      </c>
      <c r="J2413" t="s">
        <v>800</v>
      </c>
      <c r="V2413" t="s">
        <v>385</v>
      </c>
      <c r="Z2413" t="s">
        <v>385</v>
      </c>
      <c r="AA2413">
        <v>101</v>
      </c>
      <c r="AC2413" s="3">
        <v>101</v>
      </c>
      <c r="AE2413" s="3">
        <v>101.25</v>
      </c>
      <c r="AI2413">
        <v>101</v>
      </c>
      <c r="AK2413" s="3"/>
      <c r="AV2413" t="s">
        <v>536</v>
      </c>
      <c r="AX2413" t="s">
        <v>536</v>
      </c>
      <c r="AZ2413" t="s">
        <v>536</v>
      </c>
      <c r="BB2413" t="s">
        <v>536</v>
      </c>
      <c r="BO2413" t="s">
        <v>367</v>
      </c>
      <c r="BS2413" t="s">
        <v>385</v>
      </c>
      <c r="BT2413">
        <v>4</v>
      </c>
      <c r="BU2413">
        <v>0</v>
      </c>
      <c r="BV2413">
        <v>3</v>
      </c>
      <c r="BX2413">
        <v>102</v>
      </c>
      <c r="BZ2413">
        <v>97</v>
      </c>
      <c r="CM2413">
        <v>1911</v>
      </c>
    </row>
    <row r="2414" spans="1:91" x14ac:dyDescent="0.3">
      <c r="A2414" t="s">
        <v>3409</v>
      </c>
      <c r="B2414">
        <v>49863</v>
      </c>
      <c r="D2414">
        <v>12</v>
      </c>
      <c r="I2414">
        <v>260000</v>
      </c>
      <c r="U2414">
        <v>1</v>
      </c>
      <c r="Y2414">
        <v>1</v>
      </c>
      <c r="AA2414">
        <v>1.1200000000000001</v>
      </c>
      <c r="AC2414" s="3">
        <v>1.18</v>
      </c>
      <c r="AE2414" s="3">
        <v>1.1200000000000001</v>
      </c>
      <c r="AI2414">
        <v>1.1200000000000001</v>
      </c>
      <c r="AK2414" s="3"/>
      <c r="AV2414" t="s">
        <v>373</v>
      </c>
      <c r="AX2414" t="s">
        <v>373</v>
      </c>
      <c r="AZ2414" t="s">
        <v>373</v>
      </c>
      <c r="BB2414" t="s">
        <v>373</v>
      </c>
      <c r="BO2414" t="s">
        <v>367</v>
      </c>
      <c r="BR2414">
        <v>112486</v>
      </c>
      <c r="BS2414" t="s">
        <v>3410</v>
      </c>
      <c r="BT2414">
        <v>5</v>
      </c>
      <c r="BU2414">
        <v>6</v>
      </c>
      <c r="BV2414">
        <v>9</v>
      </c>
      <c r="BX2414">
        <v>0.81</v>
      </c>
      <c r="BZ2414">
        <v>1.0900000000000001</v>
      </c>
      <c r="CM2414">
        <v>1911</v>
      </c>
    </row>
    <row r="2415" spans="1:91" x14ac:dyDescent="0.3">
      <c r="A2415" t="s">
        <v>3409</v>
      </c>
      <c r="B2415">
        <v>49864</v>
      </c>
      <c r="C2415" t="s">
        <v>813</v>
      </c>
      <c r="D2415">
        <v>12</v>
      </c>
      <c r="I2415">
        <v>309741</v>
      </c>
      <c r="J2415" t="s">
        <v>800</v>
      </c>
      <c r="V2415" t="s">
        <v>350</v>
      </c>
      <c r="Y2415">
        <v>100</v>
      </c>
      <c r="AA2415">
        <v>97.5</v>
      </c>
      <c r="AC2415" s="3">
        <v>98</v>
      </c>
      <c r="AE2415" s="3">
        <v>95</v>
      </c>
      <c r="AI2415">
        <v>95</v>
      </c>
      <c r="AJ2415" t="s">
        <v>379</v>
      </c>
      <c r="AK2415" s="3"/>
      <c r="AV2415" t="s">
        <v>421</v>
      </c>
      <c r="AX2415" t="s">
        <v>421</v>
      </c>
      <c r="AZ2415" t="s">
        <v>421</v>
      </c>
      <c r="BB2415" t="s">
        <v>421</v>
      </c>
      <c r="BO2415" t="s">
        <v>367</v>
      </c>
      <c r="BR2415">
        <v>112486</v>
      </c>
      <c r="BS2415" t="s">
        <v>3410</v>
      </c>
      <c r="BT2415">
        <v>4</v>
      </c>
      <c r="BU2415">
        <v>14</v>
      </c>
      <c r="BV2415">
        <v>9</v>
      </c>
      <c r="BX2415">
        <v>100</v>
      </c>
      <c r="BZ2415">
        <v>95</v>
      </c>
      <c r="CM2415">
        <v>1911</v>
      </c>
    </row>
    <row r="2416" spans="1:91" x14ac:dyDescent="0.3">
      <c r="A2416" t="s">
        <v>3411</v>
      </c>
      <c r="B2416">
        <v>49895</v>
      </c>
      <c r="D2416">
        <v>12</v>
      </c>
      <c r="I2416">
        <v>299343</v>
      </c>
      <c r="U2416">
        <v>10</v>
      </c>
      <c r="Y2416">
        <v>10</v>
      </c>
      <c r="AA2416">
        <v>3.12</v>
      </c>
      <c r="AC2416" s="3">
        <v>3.25</v>
      </c>
      <c r="AE2416" s="3">
        <v>2.87</v>
      </c>
      <c r="AI2416">
        <v>3.25</v>
      </c>
      <c r="AK2416" s="3"/>
      <c r="AV2416" t="s">
        <v>815</v>
      </c>
      <c r="AX2416" t="s">
        <v>802</v>
      </c>
      <c r="AZ2416" t="s">
        <v>815</v>
      </c>
      <c r="BB2416" t="s">
        <v>815</v>
      </c>
      <c r="BG2416">
        <v>2</v>
      </c>
      <c r="BI2416">
        <v>2</v>
      </c>
      <c r="BJ2416">
        <v>2</v>
      </c>
      <c r="BK2416" s="4">
        <v>2983</v>
      </c>
      <c r="BL2416" s="4">
        <v>3348</v>
      </c>
      <c r="BM2416" s="4">
        <v>3713</v>
      </c>
      <c r="BN2416" s="4">
        <v>4078</v>
      </c>
      <c r="BR2416">
        <v>283669</v>
      </c>
      <c r="BS2416" t="s">
        <v>3412</v>
      </c>
      <c r="BT2416">
        <v>6</v>
      </c>
      <c r="BU2416">
        <v>3</v>
      </c>
      <c r="BV2416">
        <v>0</v>
      </c>
      <c r="BX2416">
        <v>3.96</v>
      </c>
      <c r="BZ2416">
        <v>2.75</v>
      </c>
      <c r="CK2416" t="s">
        <v>3413</v>
      </c>
      <c r="CM2416">
        <v>1911</v>
      </c>
    </row>
    <row r="2417" spans="1:91" x14ac:dyDescent="0.3">
      <c r="A2417" t="s">
        <v>3411</v>
      </c>
      <c r="B2417">
        <v>49897</v>
      </c>
      <c r="C2417" t="s">
        <v>1062</v>
      </c>
      <c r="D2417">
        <v>12</v>
      </c>
      <c r="I2417">
        <v>282524</v>
      </c>
      <c r="U2417">
        <v>10</v>
      </c>
      <c r="Y2417">
        <v>10</v>
      </c>
      <c r="AA2417">
        <v>12</v>
      </c>
      <c r="AC2417" s="3">
        <v>12.25</v>
      </c>
      <c r="AE2417" s="3">
        <v>11.87</v>
      </c>
      <c r="AI2417">
        <v>12</v>
      </c>
      <c r="AK2417" s="3"/>
      <c r="BG2417">
        <v>7</v>
      </c>
      <c r="BH2417">
        <v>7</v>
      </c>
      <c r="BI2417">
        <v>7</v>
      </c>
      <c r="BJ2417">
        <v>7</v>
      </c>
      <c r="BK2417" s="4">
        <v>3713</v>
      </c>
      <c r="BL2417" s="4">
        <v>3866</v>
      </c>
      <c r="BM2417" s="4">
        <v>4078</v>
      </c>
      <c r="BN2417" s="4">
        <v>4231</v>
      </c>
      <c r="BR2417">
        <v>283669</v>
      </c>
      <c r="BS2417" t="s">
        <v>3412</v>
      </c>
      <c r="BT2417">
        <v>5</v>
      </c>
      <c r="BU2417">
        <v>16</v>
      </c>
      <c r="BV2417">
        <v>9</v>
      </c>
      <c r="BX2417">
        <v>12.62</v>
      </c>
      <c r="BZ2417">
        <v>11.62</v>
      </c>
      <c r="CM2417">
        <v>1911</v>
      </c>
    </row>
    <row r="2418" spans="1:91" x14ac:dyDescent="0.3">
      <c r="A2418" t="s">
        <v>3411</v>
      </c>
      <c r="B2418">
        <v>49896</v>
      </c>
      <c r="C2418" t="s">
        <v>3414</v>
      </c>
      <c r="D2418">
        <v>12</v>
      </c>
      <c r="I2418" s="2">
        <v>2800000</v>
      </c>
      <c r="J2418" t="s">
        <v>800</v>
      </c>
      <c r="V2418" t="s">
        <v>350</v>
      </c>
      <c r="Y2418">
        <v>100</v>
      </c>
      <c r="AA2418">
        <v>112</v>
      </c>
      <c r="AC2418" s="3">
        <v>112</v>
      </c>
      <c r="AE2418" s="3">
        <v>110</v>
      </c>
      <c r="AI2418">
        <v>110</v>
      </c>
      <c r="AK2418" s="3"/>
      <c r="AV2418" t="s">
        <v>370</v>
      </c>
      <c r="AX2418" t="s">
        <v>370</v>
      </c>
      <c r="AZ2418" t="s">
        <v>370</v>
      </c>
      <c r="BB2418" t="s">
        <v>370</v>
      </c>
      <c r="BO2418" t="s">
        <v>367</v>
      </c>
      <c r="BR2418">
        <v>283669</v>
      </c>
      <c r="BS2418" t="s">
        <v>3412</v>
      </c>
      <c r="BT2418">
        <v>4</v>
      </c>
      <c r="BU2418">
        <v>11</v>
      </c>
      <c r="BV2418">
        <v>0</v>
      </c>
      <c r="BX2418">
        <v>113</v>
      </c>
      <c r="BZ2418">
        <v>109</v>
      </c>
      <c r="CK2418" t="s">
        <v>360</v>
      </c>
      <c r="CM2418">
        <v>1911</v>
      </c>
    </row>
    <row r="2419" spans="1:91" x14ac:dyDescent="0.3">
      <c r="A2419" t="s">
        <v>3415</v>
      </c>
      <c r="B2419">
        <v>49892</v>
      </c>
      <c r="D2419">
        <v>12</v>
      </c>
      <c r="I2419">
        <v>200000</v>
      </c>
      <c r="U2419">
        <v>1</v>
      </c>
      <c r="Y2419">
        <v>1</v>
      </c>
      <c r="AA2419">
        <v>0.37</v>
      </c>
      <c r="AC2419" s="3">
        <v>0.37</v>
      </c>
      <c r="AE2419" s="3">
        <v>0.37</v>
      </c>
      <c r="AI2419">
        <v>0.37</v>
      </c>
      <c r="AK2419" s="3"/>
      <c r="BB2419" t="s">
        <v>810</v>
      </c>
      <c r="BG2419">
        <v>7</v>
      </c>
      <c r="BH2419">
        <v>5</v>
      </c>
      <c r="BI2419">
        <v>3</v>
      </c>
      <c r="BK2419" s="4">
        <v>3348</v>
      </c>
      <c r="BL2419" s="4">
        <v>3501</v>
      </c>
      <c r="BM2419" s="4">
        <v>3713</v>
      </c>
      <c r="BR2419">
        <v>12617</v>
      </c>
      <c r="BW2419" t="s">
        <v>802</v>
      </c>
      <c r="BX2419">
        <v>0.56000000000000005</v>
      </c>
      <c r="BZ2419">
        <v>0.37</v>
      </c>
      <c r="CK2419" t="s">
        <v>360</v>
      </c>
      <c r="CM2419">
        <v>1911</v>
      </c>
    </row>
    <row r="2420" spans="1:91" x14ac:dyDescent="0.3">
      <c r="A2420" t="s">
        <v>3416</v>
      </c>
      <c r="B2420">
        <v>49922</v>
      </c>
      <c r="D2420">
        <v>12</v>
      </c>
      <c r="I2420">
        <v>150000</v>
      </c>
      <c r="U2420">
        <v>1</v>
      </c>
      <c r="Y2420">
        <v>1</v>
      </c>
      <c r="AA2420">
        <v>0.37</v>
      </c>
      <c r="AC2420" s="3">
        <v>0.37</v>
      </c>
      <c r="AE2420" s="3">
        <v>0.37</v>
      </c>
      <c r="AI2420">
        <v>0.37</v>
      </c>
      <c r="AK2420" s="3"/>
      <c r="AV2420" t="s">
        <v>815</v>
      </c>
      <c r="AX2420" t="s">
        <v>815</v>
      </c>
      <c r="AZ2420" t="s">
        <v>815</v>
      </c>
      <c r="BB2420" t="s">
        <v>802</v>
      </c>
      <c r="BG2420">
        <v>5</v>
      </c>
      <c r="BH2420">
        <v>2.5</v>
      </c>
      <c r="BI2420">
        <v>2.5</v>
      </c>
      <c r="BK2420" s="4">
        <v>2801</v>
      </c>
      <c r="BL2420" s="4">
        <v>3532</v>
      </c>
      <c r="BM2420" s="4">
        <v>3897</v>
      </c>
      <c r="BN2420" s="4">
        <v>4262</v>
      </c>
      <c r="BR2420">
        <v>53062</v>
      </c>
      <c r="BS2420" t="s">
        <v>3417</v>
      </c>
      <c r="BW2420" t="s">
        <v>802</v>
      </c>
      <c r="BX2420">
        <v>0.37</v>
      </c>
      <c r="BZ2420">
        <v>0.31</v>
      </c>
      <c r="CK2420" t="s">
        <v>399</v>
      </c>
      <c r="CM2420">
        <v>1911</v>
      </c>
    </row>
    <row r="2421" spans="1:91" x14ac:dyDescent="0.3">
      <c r="A2421" t="s">
        <v>3418</v>
      </c>
      <c r="B2421">
        <v>49936</v>
      </c>
      <c r="D2421">
        <v>12</v>
      </c>
      <c r="I2421">
        <v>22000</v>
      </c>
      <c r="U2421">
        <v>5</v>
      </c>
      <c r="Y2421">
        <v>5</v>
      </c>
      <c r="AA2421">
        <v>1.75</v>
      </c>
      <c r="AB2421" t="s">
        <v>379</v>
      </c>
      <c r="AC2421" s="3">
        <v>1.93</v>
      </c>
      <c r="AE2421" s="3">
        <v>1.62</v>
      </c>
      <c r="AI2421">
        <v>1.75</v>
      </c>
      <c r="AK2421" s="3"/>
      <c r="AV2421" t="s">
        <v>815</v>
      </c>
      <c r="BG2421">
        <v>5</v>
      </c>
      <c r="BH2421">
        <v>5</v>
      </c>
      <c r="BI2421">
        <v>5</v>
      </c>
      <c r="BJ2421">
        <v>5</v>
      </c>
      <c r="BK2421" t="s">
        <v>2018</v>
      </c>
      <c r="BL2421" s="4">
        <v>3774</v>
      </c>
      <c r="BM2421" s="4">
        <v>3958</v>
      </c>
      <c r="BN2421" s="4">
        <v>4139</v>
      </c>
      <c r="BS2421" t="s">
        <v>385</v>
      </c>
      <c r="BT2421">
        <v>14</v>
      </c>
      <c r="BU2421">
        <v>5</v>
      </c>
      <c r="BV2421">
        <v>9</v>
      </c>
      <c r="BX2421">
        <v>2.06</v>
      </c>
      <c r="BZ2421">
        <v>1.62</v>
      </c>
      <c r="CK2421" t="s">
        <v>360</v>
      </c>
      <c r="CM2421">
        <v>1911</v>
      </c>
    </row>
    <row r="2422" spans="1:91" x14ac:dyDescent="0.3">
      <c r="A2422" t="s">
        <v>3419</v>
      </c>
      <c r="B2422">
        <v>49893</v>
      </c>
      <c r="D2422">
        <v>12</v>
      </c>
      <c r="I2422">
        <v>240000</v>
      </c>
      <c r="U2422">
        <v>1</v>
      </c>
      <c r="Y2422">
        <v>1</v>
      </c>
      <c r="AA2422">
        <v>4.8099999999999996</v>
      </c>
      <c r="AC2422" s="3">
        <v>4.87</v>
      </c>
      <c r="AE2422" s="3">
        <v>4.6500000000000004</v>
      </c>
      <c r="AI2422">
        <v>4.8099999999999996</v>
      </c>
      <c r="AK2422" s="3"/>
      <c r="AX2422" t="s">
        <v>3420</v>
      </c>
      <c r="BB2422" t="s">
        <v>823</v>
      </c>
      <c r="BG2422">
        <v>30</v>
      </c>
      <c r="BH2422">
        <v>15</v>
      </c>
      <c r="BI2422">
        <v>25</v>
      </c>
      <c r="BJ2422">
        <v>20</v>
      </c>
      <c r="BK2422" s="4">
        <v>3654</v>
      </c>
      <c r="BL2422" s="4">
        <v>3835</v>
      </c>
      <c r="BM2422" s="4">
        <v>4019</v>
      </c>
      <c r="BN2422" s="4">
        <v>4200</v>
      </c>
      <c r="BR2422">
        <v>234185</v>
      </c>
      <c r="BS2422" t="s">
        <v>3417</v>
      </c>
      <c r="BT2422">
        <v>4</v>
      </c>
      <c r="BU2422">
        <v>13</v>
      </c>
      <c r="BV2422">
        <v>9</v>
      </c>
      <c r="BX2422">
        <v>4.87</v>
      </c>
      <c r="BZ2422">
        <v>4.37</v>
      </c>
      <c r="CK2422" t="s">
        <v>360</v>
      </c>
      <c r="CM2422">
        <v>1911</v>
      </c>
    </row>
    <row r="2423" spans="1:91" x14ac:dyDescent="0.3">
      <c r="A2423" t="s">
        <v>3421</v>
      </c>
      <c r="B2423">
        <v>49894</v>
      </c>
      <c r="D2423">
        <v>12</v>
      </c>
      <c r="I2423">
        <v>90000</v>
      </c>
      <c r="U2423">
        <v>1</v>
      </c>
      <c r="Y2423">
        <v>1</v>
      </c>
      <c r="AA2423">
        <v>1.5</v>
      </c>
      <c r="AC2423" s="3">
        <v>1.5</v>
      </c>
      <c r="AE2423" s="3">
        <v>1.5</v>
      </c>
      <c r="AI2423">
        <v>1.5</v>
      </c>
      <c r="AK2423" s="3"/>
      <c r="AX2423" t="s">
        <v>823</v>
      </c>
      <c r="BB2423" t="s">
        <v>823</v>
      </c>
      <c r="BG2423">
        <v>10</v>
      </c>
      <c r="BH2423">
        <v>10</v>
      </c>
      <c r="BI2423">
        <v>10</v>
      </c>
      <c r="BJ2423">
        <v>10</v>
      </c>
      <c r="BK2423" s="4">
        <v>3713</v>
      </c>
      <c r="BL2423" s="4">
        <v>3866</v>
      </c>
      <c r="BM2423" s="4">
        <v>4078</v>
      </c>
      <c r="BN2423" s="4">
        <v>4231</v>
      </c>
      <c r="BR2423">
        <v>36283</v>
      </c>
      <c r="BT2423">
        <v>6</v>
      </c>
      <c r="BU2423">
        <v>13</v>
      </c>
      <c r="BV2423">
        <v>3</v>
      </c>
      <c r="BX2423">
        <v>1.5</v>
      </c>
      <c r="BZ2423">
        <v>1.25</v>
      </c>
      <c r="CK2423" t="s">
        <v>360</v>
      </c>
      <c r="CM2423">
        <v>1911</v>
      </c>
    </row>
    <row r="2424" spans="1:91" x14ac:dyDescent="0.3">
      <c r="A2424" t="s">
        <v>3422</v>
      </c>
      <c r="B2424">
        <v>49954</v>
      </c>
      <c r="D2424">
        <v>12</v>
      </c>
      <c r="I2424">
        <v>20000</v>
      </c>
      <c r="U2424">
        <v>5</v>
      </c>
      <c r="Y2424">
        <v>3</v>
      </c>
      <c r="AA2424">
        <v>2.96</v>
      </c>
      <c r="AC2424" s="3">
        <v>2.96</v>
      </c>
      <c r="AE2424" s="3">
        <v>2.65</v>
      </c>
      <c r="AI2424">
        <v>2.93</v>
      </c>
      <c r="AK2424" s="3"/>
      <c r="AU2424" t="s">
        <v>1720</v>
      </c>
      <c r="AV2424" t="s">
        <v>3423</v>
      </c>
      <c r="AW2424" t="s">
        <v>1720</v>
      </c>
      <c r="AX2424" t="s">
        <v>3423</v>
      </c>
      <c r="AZ2424" t="s">
        <v>815</v>
      </c>
      <c r="BB2424" t="s">
        <v>810</v>
      </c>
      <c r="BC2424">
        <v>9</v>
      </c>
      <c r="BD2424">
        <v>9</v>
      </c>
      <c r="BI2424">
        <v>2.5</v>
      </c>
      <c r="BK2424" s="4">
        <v>3136</v>
      </c>
      <c r="BL2424" s="4">
        <v>3228</v>
      </c>
      <c r="BM2424">
        <v>1909</v>
      </c>
      <c r="BR2424">
        <v>4634</v>
      </c>
      <c r="BS2424" t="s">
        <v>1731</v>
      </c>
      <c r="BW2424" t="s">
        <v>802</v>
      </c>
      <c r="BX2424">
        <v>2.96</v>
      </c>
      <c r="BZ2424">
        <v>1.81</v>
      </c>
      <c r="CK2424" t="s">
        <v>2828</v>
      </c>
      <c r="CM2424">
        <v>1911</v>
      </c>
    </row>
    <row r="2425" spans="1:91" x14ac:dyDescent="0.3">
      <c r="A2425" t="s">
        <v>3424</v>
      </c>
      <c r="B2425">
        <v>49983</v>
      </c>
      <c r="D2425">
        <v>12</v>
      </c>
      <c r="I2425">
        <v>300000</v>
      </c>
      <c r="U2425">
        <v>1</v>
      </c>
      <c r="Y2425">
        <v>1</v>
      </c>
      <c r="AA2425">
        <v>1.1499999999999999</v>
      </c>
      <c r="AC2425" s="3">
        <v>1.1499999999999999</v>
      </c>
      <c r="AE2425" s="3">
        <v>1.1200000000000001</v>
      </c>
      <c r="AI2425">
        <v>1.1499999999999999</v>
      </c>
      <c r="AK2425" s="3"/>
      <c r="AV2425" t="s">
        <v>373</v>
      </c>
      <c r="AX2425" t="s">
        <v>373</v>
      </c>
      <c r="AZ2425" t="s">
        <v>373</v>
      </c>
      <c r="BB2425" t="s">
        <v>373</v>
      </c>
      <c r="BO2425" t="s">
        <v>367</v>
      </c>
      <c r="BS2425" t="s">
        <v>385</v>
      </c>
      <c r="BT2425">
        <v>5</v>
      </c>
      <c r="BU2425">
        <v>3</v>
      </c>
      <c r="BV2425">
        <v>9</v>
      </c>
      <c r="BX2425">
        <v>1.43</v>
      </c>
      <c r="BZ2425">
        <v>1.1200000000000001</v>
      </c>
      <c r="CM2425">
        <v>1911</v>
      </c>
    </row>
    <row r="2426" spans="1:91" x14ac:dyDescent="0.3">
      <c r="A2426" t="s">
        <v>3425</v>
      </c>
      <c r="B2426">
        <v>50016</v>
      </c>
      <c r="D2426">
        <v>12</v>
      </c>
      <c r="I2426">
        <v>196000</v>
      </c>
      <c r="U2426">
        <v>1</v>
      </c>
      <c r="Y2426">
        <v>1</v>
      </c>
      <c r="AA2426">
        <v>1.06</v>
      </c>
      <c r="AC2426" s="3">
        <v>1.06</v>
      </c>
      <c r="AE2426" s="3">
        <v>1.06</v>
      </c>
      <c r="AI2426">
        <v>1.06</v>
      </c>
      <c r="AK2426" s="3"/>
      <c r="AX2426" t="s">
        <v>823</v>
      </c>
      <c r="BB2426" t="s">
        <v>823</v>
      </c>
      <c r="BG2426">
        <v>15</v>
      </c>
      <c r="BH2426">
        <v>5</v>
      </c>
      <c r="BI2426">
        <v>12.5</v>
      </c>
      <c r="BJ2426">
        <v>5</v>
      </c>
      <c r="BK2426" s="4">
        <v>3744</v>
      </c>
      <c r="BL2426" s="4">
        <v>3927</v>
      </c>
      <c r="BM2426" s="4">
        <v>4109</v>
      </c>
      <c r="BN2426" s="4">
        <v>4292</v>
      </c>
      <c r="BR2426">
        <v>47370</v>
      </c>
      <c r="BS2426" t="s">
        <v>3417</v>
      </c>
      <c r="BT2426">
        <v>7</v>
      </c>
      <c r="BU2426">
        <v>7</v>
      </c>
      <c r="BV2426">
        <v>6</v>
      </c>
      <c r="BX2426">
        <v>1.34</v>
      </c>
      <c r="BZ2426">
        <v>1</v>
      </c>
      <c r="CK2426" t="s">
        <v>360</v>
      </c>
      <c r="CM2426">
        <v>1911</v>
      </c>
    </row>
    <row r="2427" spans="1:91" x14ac:dyDescent="0.3">
      <c r="A2427" t="s">
        <v>3426</v>
      </c>
      <c r="B2427">
        <v>50032</v>
      </c>
      <c r="D2427">
        <v>12</v>
      </c>
      <c r="I2427">
        <v>625000</v>
      </c>
      <c r="U2427">
        <v>1</v>
      </c>
      <c r="Y2427">
        <v>1</v>
      </c>
      <c r="AA2427">
        <v>2.37</v>
      </c>
      <c r="AC2427" s="3">
        <v>2.37</v>
      </c>
      <c r="AE2427" s="3">
        <v>2.2799999999999998</v>
      </c>
      <c r="AI2427">
        <v>2.2799999999999998</v>
      </c>
      <c r="AK2427" s="3"/>
      <c r="AX2427" t="s">
        <v>823</v>
      </c>
      <c r="BB2427" t="s">
        <v>823</v>
      </c>
      <c r="BG2427">
        <v>25</v>
      </c>
      <c r="BH2427">
        <v>12</v>
      </c>
      <c r="BI2427">
        <v>23</v>
      </c>
      <c r="BJ2427">
        <v>10</v>
      </c>
      <c r="BK2427" s="4">
        <v>3774</v>
      </c>
      <c r="BL2427" s="4">
        <v>3897</v>
      </c>
      <c r="BM2427" s="4">
        <v>4139</v>
      </c>
      <c r="BN2427" s="4">
        <v>4262</v>
      </c>
      <c r="BR2427">
        <v>471784</v>
      </c>
      <c r="BS2427" t="s">
        <v>3427</v>
      </c>
      <c r="BT2427">
        <v>7</v>
      </c>
      <c r="BU2427">
        <v>4</v>
      </c>
      <c r="BV2427">
        <v>6</v>
      </c>
      <c r="BX2427">
        <v>2.4300000000000002</v>
      </c>
      <c r="BZ2427">
        <v>2.06</v>
      </c>
      <c r="CK2427" t="s">
        <v>360</v>
      </c>
      <c r="CM2427">
        <v>1911</v>
      </c>
    </row>
    <row r="2428" spans="1:91" x14ac:dyDescent="0.3">
      <c r="A2428" t="s">
        <v>3426</v>
      </c>
      <c r="B2428">
        <v>50029</v>
      </c>
      <c r="C2428" t="s">
        <v>902</v>
      </c>
      <c r="D2428">
        <v>12</v>
      </c>
      <c r="I2428">
        <v>90000</v>
      </c>
      <c r="U2428">
        <v>5</v>
      </c>
      <c r="Y2428">
        <v>5</v>
      </c>
      <c r="AA2428">
        <v>6.06</v>
      </c>
      <c r="AC2428" s="3">
        <v>6.18</v>
      </c>
      <c r="AE2428" s="3">
        <v>5.93</v>
      </c>
      <c r="AI2428">
        <v>6.06</v>
      </c>
      <c r="AK2428" s="3"/>
      <c r="AV2428" t="s">
        <v>373</v>
      </c>
      <c r="AX2428" t="s">
        <v>373</v>
      </c>
      <c r="AZ2428" t="s">
        <v>373</v>
      </c>
      <c r="BB2428" t="s">
        <v>373</v>
      </c>
      <c r="BO2428" t="s">
        <v>367</v>
      </c>
      <c r="BR2428">
        <v>471784</v>
      </c>
      <c r="BS2428" t="s">
        <v>3427</v>
      </c>
      <c r="BT2428">
        <v>4</v>
      </c>
      <c r="BU2428">
        <v>19</v>
      </c>
      <c r="BV2428">
        <v>0</v>
      </c>
      <c r="BX2428">
        <v>6.37</v>
      </c>
      <c r="BZ2428">
        <v>5.78</v>
      </c>
      <c r="CM2428">
        <v>1911</v>
      </c>
    </row>
    <row r="2429" spans="1:91" x14ac:dyDescent="0.3">
      <c r="A2429" t="s">
        <v>3426</v>
      </c>
      <c r="B2429">
        <v>50030</v>
      </c>
      <c r="C2429" t="s">
        <v>1108</v>
      </c>
      <c r="D2429">
        <v>12</v>
      </c>
      <c r="I2429">
        <v>500000</v>
      </c>
      <c r="U2429">
        <v>1</v>
      </c>
      <c r="Y2429">
        <v>1</v>
      </c>
      <c r="AA2429">
        <v>1.0900000000000001</v>
      </c>
      <c r="AC2429" s="3">
        <v>1.1200000000000001</v>
      </c>
      <c r="AE2429" s="3">
        <v>1.06</v>
      </c>
      <c r="AI2429">
        <v>1.06</v>
      </c>
      <c r="AJ2429" t="s">
        <v>379</v>
      </c>
      <c r="AK2429" s="3"/>
      <c r="AV2429" t="s">
        <v>370</v>
      </c>
      <c r="AX2429" t="s">
        <v>370</v>
      </c>
      <c r="AZ2429" t="s">
        <v>370</v>
      </c>
      <c r="BB2429" t="s">
        <v>370</v>
      </c>
      <c r="BO2429" t="s">
        <v>367</v>
      </c>
      <c r="BR2429">
        <v>471784</v>
      </c>
      <c r="BS2429" t="s">
        <v>3427</v>
      </c>
      <c r="BT2429">
        <v>5</v>
      </c>
      <c r="BU2429">
        <v>13</v>
      </c>
      <c r="BV2429">
        <v>0</v>
      </c>
      <c r="BX2429">
        <v>1.1200000000000001</v>
      </c>
      <c r="BZ2429">
        <v>1</v>
      </c>
      <c r="CM2429">
        <v>1911</v>
      </c>
    </row>
    <row r="2430" spans="1:91" x14ac:dyDescent="0.3">
      <c r="A2430" t="s">
        <v>3428</v>
      </c>
      <c r="B2430">
        <v>50099</v>
      </c>
      <c r="D2430">
        <v>12</v>
      </c>
      <c r="I2430">
        <v>20000</v>
      </c>
      <c r="U2430">
        <v>10</v>
      </c>
      <c r="Y2430">
        <v>10</v>
      </c>
      <c r="AA2430">
        <v>9.5</v>
      </c>
      <c r="AC2430" s="3">
        <v>9.5</v>
      </c>
      <c r="AE2430" s="3">
        <v>9.5</v>
      </c>
      <c r="AI2430">
        <v>9.5</v>
      </c>
      <c r="AK2430" s="3"/>
      <c r="AX2430" t="s">
        <v>823</v>
      </c>
      <c r="BB2430" t="s">
        <v>810</v>
      </c>
      <c r="BG2430">
        <v>8</v>
      </c>
      <c r="BH2430">
        <v>6</v>
      </c>
      <c r="BI2430">
        <v>10</v>
      </c>
      <c r="BK2430" s="4">
        <v>3348</v>
      </c>
      <c r="BL2430" s="4">
        <v>3532</v>
      </c>
      <c r="BM2430" s="4">
        <v>3713</v>
      </c>
      <c r="BR2430">
        <v>44090</v>
      </c>
      <c r="BW2430" t="s">
        <v>802</v>
      </c>
      <c r="BX2430">
        <v>10.25</v>
      </c>
      <c r="BZ2430">
        <v>9.5</v>
      </c>
      <c r="CK2430" t="s">
        <v>1867</v>
      </c>
      <c r="CM2430">
        <v>1911</v>
      </c>
    </row>
    <row r="2431" spans="1:91" x14ac:dyDescent="0.3">
      <c r="A2431" t="s">
        <v>3429</v>
      </c>
      <c r="B2431">
        <v>50118</v>
      </c>
      <c r="D2431">
        <v>12</v>
      </c>
      <c r="I2431">
        <v>100000</v>
      </c>
      <c r="U2431">
        <v>1</v>
      </c>
      <c r="Y2431">
        <v>1</v>
      </c>
      <c r="AA2431">
        <v>1.06</v>
      </c>
      <c r="AC2431" s="3">
        <v>1.06</v>
      </c>
      <c r="AE2431" s="3">
        <v>1.06</v>
      </c>
      <c r="AI2431">
        <v>1.06</v>
      </c>
      <c r="AK2431" s="3"/>
      <c r="AV2431" t="s">
        <v>823</v>
      </c>
      <c r="BB2431" t="s">
        <v>823</v>
      </c>
      <c r="BG2431">
        <v>5</v>
      </c>
      <c r="BH2431">
        <v>5</v>
      </c>
      <c r="BI2431">
        <v>7</v>
      </c>
      <c r="BJ2431">
        <v>5</v>
      </c>
      <c r="BK2431" s="4">
        <v>3685</v>
      </c>
      <c r="BL2431" s="4">
        <v>3866</v>
      </c>
      <c r="BM2431" s="4">
        <v>4050</v>
      </c>
      <c r="BN2431" s="4">
        <v>4231</v>
      </c>
      <c r="BR2431">
        <v>38523</v>
      </c>
      <c r="BS2431" t="s">
        <v>3430</v>
      </c>
      <c r="BT2431">
        <v>6</v>
      </c>
      <c r="BU2431">
        <v>2</v>
      </c>
      <c r="BV2431">
        <v>3</v>
      </c>
      <c r="BX2431">
        <v>1.1200000000000001</v>
      </c>
      <c r="BZ2431">
        <v>0.96</v>
      </c>
      <c r="CK2431" t="s">
        <v>360</v>
      </c>
      <c r="CM2431">
        <v>1911</v>
      </c>
    </row>
    <row r="2432" spans="1:91" x14ac:dyDescent="0.3">
      <c r="A2432" t="s">
        <v>3429</v>
      </c>
      <c r="B2432">
        <v>50120</v>
      </c>
      <c r="C2432" t="s">
        <v>817</v>
      </c>
      <c r="D2432">
        <v>12</v>
      </c>
      <c r="I2432">
        <v>100000</v>
      </c>
      <c r="U2432">
        <v>1</v>
      </c>
      <c r="Y2432">
        <v>1</v>
      </c>
      <c r="AA2432">
        <v>0.87</v>
      </c>
      <c r="AC2432" s="3">
        <v>0.87</v>
      </c>
      <c r="AE2432" s="3">
        <v>0.87</v>
      </c>
      <c r="AI2432">
        <v>0.87</v>
      </c>
      <c r="AK2432" s="3"/>
      <c r="AV2432" t="s">
        <v>506</v>
      </c>
      <c r="AX2432" t="s">
        <v>506</v>
      </c>
      <c r="AZ2432" t="s">
        <v>506</v>
      </c>
      <c r="BB2432" t="s">
        <v>506</v>
      </c>
      <c r="BO2432" t="s">
        <v>367</v>
      </c>
      <c r="BR2432">
        <v>38523</v>
      </c>
      <c r="BS2432" t="s">
        <v>3430</v>
      </c>
      <c r="BT2432">
        <v>5</v>
      </c>
      <c r="BU2432">
        <v>14</v>
      </c>
      <c r="BV2432">
        <v>3</v>
      </c>
      <c r="BX2432">
        <v>1</v>
      </c>
      <c r="BZ2432">
        <v>0.81</v>
      </c>
      <c r="CM2432">
        <v>1911</v>
      </c>
    </row>
    <row r="2433" spans="1:91" x14ac:dyDescent="0.3">
      <c r="A2433" t="s">
        <v>3429</v>
      </c>
      <c r="B2433">
        <v>50119</v>
      </c>
      <c r="C2433" t="s">
        <v>860</v>
      </c>
      <c r="D2433">
        <v>12</v>
      </c>
      <c r="I2433">
        <v>75000</v>
      </c>
      <c r="J2433" t="s">
        <v>800</v>
      </c>
      <c r="V2433" t="s">
        <v>350</v>
      </c>
      <c r="Y2433">
        <v>100</v>
      </c>
      <c r="AA2433">
        <v>90.5</v>
      </c>
      <c r="AC2433" s="3">
        <v>90.5</v>
      </c>
      <c r="AE2433" s="3">
        <v>90.5</v>
      </c>
      <c r="AI2433">
        <v>90.5</v>
      </c>
      <c r="AK2433" s="3"/>
      <c r="AV2433" t="s">
        <v>506</v>
      </c>
      <c r="AX2433" t="s">
        <v>506</v>
      </c>
      <c r="AZ2433" t="s">
        <v>506</v>
      </c>
      <c r="BB2433" t="s">
        <v>506</v>
      </c>
      <c r="BO2433" t="s">
        <v>367</v>
      </c>
      <c r="BR2433">
        <v>38523</v>
      </c>
      <c r="BS2433" t="s">
        <v>3430</v>
      </c>
      <c r="BT2433">
        <v>4</v>
      </c>
      <c r="BU2433">
        <v>9</v>
      </c>
      <c r="BV2433">
        <v>3</v>
      </c>
      <c r="BX2433">
        <v>92.5</v>
      </c>
      <c r="BZ2433">
        <v>90.37</v>
      </c>
      <c r="CM2433">
        <v>1911</v>
      </c>
    </row>
    <row r="2434" spans="1:91" x14ac:dyDescent="0.3">
      <c r="A2434" t="s">
        <v>3431</v>
      </c>
      <c r="B2434">
        <v>50196</v>
      </c>
      <c r="D2434">
        <v>12</v>
      </c>
      <c r="I2434">
        <v>20000</v>
      </c>
      <c r="U2434">
        <v>10</v>
      </c>
      <c r="Y2434">
        <v>10</v>
      </c>
      <c r="AA2434">
        <v>3.37</v>
      </c>
      <c r="AC2434" s="3">
        <v>3.75</v>
      </c>
      <c r="AE2434" s="3">
        <v>3.37</v>
      </c>
      <c r="AI2434">
        <v>3.75</v>
      </c>
      <c r="AK2434" s="3"/>
      <c r="AV2434" t="s">
        <v>815</v>
      </c>
      <c r="AX2434" t="s">
        <v>815</v>
      </c>
      <c r="AZ2434" t="s">
        <v>815</v>
      </c>
      <c r="BB2434" t="s">
        <v>815</v>
      </c>
      <c r="BG2434">
        <v>6</v>
      </c>
      <c r="BH2434">
        <v>3</v>
      </c>
      <c r="BI2434">
        <v>3</v>
      </c>
      <c r="BJ2434">
        <v>3</v>
      </c>
      <c r="BK2434" s="4">
        <v>2983</v>
      </c>
      <c r="BL2434" s="4">
        <v>3348</v>
      </c>
      <c r="BM2434" s="4">
        <v>3713</v>
      </c>
      <c r="BN2434" s="4">
        <v>4078</v>
      </c>
      <c r="BR2434">
        <v>21445</v>
      </c>
      <c r="BS2434" t="s">
        <v>3432</v>
      </c>
      <c r="BT2434">
        <v>8</v>
      </c>
      <c r="BU2434">
        <v>0</v>
      </c>
      <c r="BV2434">
        <v>0</v>
      </c>
      <c r="BX2434">
        <v>3.75</v>
      </c>
      <c r="BZ2434">
        <v>2.87</v>
      </c>
      <c r="CK2434" t="s">
        <v>558</v>
      </c>
      <c r="CM2434">
        <v>1911</v>
      </c>
    </row>
    <row r="2435" spans="1:91" x14ac:dyDescent="0.3">
      <c r="A2435" t="s">
        <v>3433</v>
      </c>
      <c r="B2435">
        <v>50197</v>
      </c>
      <c r="C2435" t="s">
        <v>674</v>
      </c>
      <c r="D2435">
        <v>12</v>
      </c>
      <c r="I2435">
        <v>312200</v>
      </c>
      <c r="J2435" t="s">
        <v>800</v>
      </c>
      <c r="U2435">
        <v>100</v>
      </c>
      <c r="Y2435">
        <v>100</v>
      </c>
      <c r="AA2435">
        <v>74.5</v>
      </c>
      <c r="AC2435" s="3">
        <v>74.5</v>
      </c>
      <c r="AE2435" s="3">
        <v>74.5</v>
      </c>
      <c r="AI2435">
        <v>74.5</v>
      </c>
      <c r="AK2435" s="3"/>
      <c r="BG2435">
        <v>4.5</v>
      </c>
      <c r="BH2435">
        <v>4.5</v>
      </c>
      <c r="BI2435">
        <v>4.5</v>
      </c>
      <c r="BJ2435">
        <v>4.5</v>
      </c>
      <c r="BK2435" s="4">
        <v>3654</v>
      </c>
      <c r="BL2435" s="4">
        <v>3835</v>
      </c>
      <c r="BM2435" s="4">
        <v>4019</v>
      </c>
      <c r="BN2435" s="4">
        <v>4200</v>
      </c>
      <c r="BR2435">
        <v>21445</v>
      </c>
      <c r="BS2435" t="s">
        <v>3432</v>
      </c>
      <c r="BT2435">
        <v>6</v>
      </c>
      <c r="BU2435">
        <v>2</v>
      </c>
      <c r="BV2435">
        <v>0</v>
      </c>
      <c r="BX2435">
        <v>76.25</v>
      </c>
      <c r="BZ2435">
        <v>71.5</v>
      </c>
      <c r="CM2435">
        <v>1911</v>
      </c>
    </row>
    <row r="2436" spans="1:91" x14ac:dyDescent="0.3">
      <c r="A2436" t="s">
        <v>3434</v>
      </c>
      <c r="B2436">
        <v>50211</v>
      </c>
      <c r="D2436">
        <v>12</v>
      </c>
      <c r="I2436">
        <v>996113</v>
      </c>
      <c r="U2436">
        <v>1</v>
      </c>
      <c r="Y2436">
        <v>1</v>
      </c>
      <c r="AA2436">
        <v>0.93</v>
      </c>
      <c r="AC2436" s="3">
        <v>0.93</v>
      </c>
      <c r="AE2436" s="3">
        <v>0.93</v>
      </c>
      <c r="AI2436">
        <v>0.93</v>
      </c>
      <c r="AK2436" s="3"/>
      <c r="AV2436" t="s">
        <v>366</v>
      </c>
      <c r="AX2436" t="s">
        <v>366</v>
      </c>
      <c r="AZ2436" t="s">
        <v>366</v>
      </c>
      <c r="BB2436" t="s">
        <v>366</v>
      </c>
      <c r="BO2436" t="s">
        <v>367</v>
      </c>
      <c r="BR2436">
        <v>442718</v>
      </c>
      <c r="BT2436">
        <v>5</v>
      </c>
      <c r="BU2436">
        <v>6</v>
      </c>
      <c r="BV2436">
        <v>9</v>
      </c>
      <c r="BX2436">
        <v>1.25</v>
      </c>
      <c r="BZ2436">
        <v>0.9</v>
      </c>
      <c r="CK2436" t="s">
        <v>360</v>
      </c>
      <c r="CM2436">
        <v>1911</v>
      </c>
    </row>
    <row r="2437" spans="1:91" x14ac:dyDescent="0.3">
      <c r="A2437" t="s">
        <v>3435</v>
      </c>
      <c r="B2437">
        <v>50167</v>
      </c>
      <c r="D2437">
        <v>12</v>
      </c>
      <c r="I2437">
        <v>200000</v>
      </c>
      <c r="U2437">
        <v>1</v>
      </c>
      <c r="Y2437">
        <v>1</v>
      </c>
      <c r="AA2437">
        <v>1.18</v>
      </c>
      <c r="AC2437" s="3">
        <v>1.25</v>
      </c>
      <c r="AE2437" s="3">
        <v>1.18</v>
      </c>
      <c r="AI2437">
        <v>1.18</v>
      </c>
      <c r="AK2437" s="3"/>
      <c r="AX2437" t="s">
        <v>823</v>
      </c>
      <c r="BB2437" t="s">
        <v>823</v>
      </c>
      <c r="BG2437">
        <v>8</v>
      </c>
      <c r="BH2437">
        <v>6</v>
      </c>
      <c r="BI2437">
        <v>8</v>
      </c>
      <c r="BJ2437">
        <v>6</v>
      </c>
      <c r="BK2437" s="4">
        <v>3685</v>
      </c>
      <c r="BL2437" s="4">
        <v>3866</v>
      </c>
      <c r="BM2437" s="4">
        <v>4050</v>
      </c>
      <c r="BN2437" s="4">
        <v>4231</v>
      </c>
      <c r="BR2437">
        <v>160634</v>
      </c>
      <c r="BS2437" t="s">
        <v>3436</v>
      </c>
      <c r="BT2437">
        <v>5</v>
      </c>
      <c r="BU2437">
        <v>18</v>
      </c>
      <c r="BV2437">
        <v>0</v>
      </c>
      <c r="BX2437">
        <v>1.37</v>
      </c>
      <c r="BZ2437">
        <v>1.18</v>
      </c>
      <c r="CK2437" t="s">
        <v>360</v>
      </c>
      <c r="CM2437">
        <v>1911</v>
      </c>
    </row>
    <row r="2438" spans="1:91" x14ac:dyDescent="0.3">
      <c r="A2438" t="s">
        <v>3435</v>
      </c>
      <c r="B2438">
        <v>50168</v>
      </c>
      <c r="C2438" t="s">
        <v>844</v>
      </c>
      <c r="D2438">
        <v>12</v>
      </c>
      <c r="I2438">
        <v>30000</v>
      </c>
      <c r="U2438">
        <v>5</v>
      </c>
      <c r="Y2438">
        <v>5</v>
      </c>
      <c r="AA2438">
        <v>6.25</v>
      </c>
      <c r="AC2438" s="3">
        <v>6.31</v>
      </c>
      <c r="AE2438" s="3">
        <v>6.06</v>
      </c>
      <c r="AI2438">
        <v>6.25</v>
      </c>
      <c r="AK2438" s="3"/>
      <c r="AV2438" t="s">
        <v>506</v>
      </c>
      <c r="AX2438" t="s">
        <v>506</v>
      </c>
      <c r="AZ2438" t="s">
        <v>506</v>
      </c>
      <c r="BB2438" t="s">
        <v>506</v>
      </c>
      <c r="BO2438" t="s">
        <v>367</v>
      </c>
      <c r="BR2438">
        <v>160634</v>
      </c>
      <c r="BS2438" t="s">
        <v>3436</v>
      </c>
      <c r="BT2438">
        <v>4</v>
      </c>
      <c r="BU2438">
        <v>16</v>
      </c>
      <c r="BV2438">
        <v>0</v>
      </c>
      <c r="BX2438">
        <v>6.31</v>
      </c>
      <c r="BZ2438">
        <v>5.78</v>
      </c>
      <c r="CM2438">
        <v>1911</v>
      </c>
    </row>
    <row r="2439" spans="1:91" x14ac:dyDescent="0.3">
      <c r="A2439" t="s">
        <v>3437</v>
      </c>
      <c r="B2439">
        <v>50241</v>
      </c>
      <c r="D2439">
        <v>12</v>
      </c>
      <c r="I2439">
        <v>600000</v>
      </c>
      <c r="U2439">
        <v>1</v>
      </c>
      <c r="Y2439">
        <v>1</v>
      </c>
      <c r="AA2439">
        <v>0.06</v>
      </c>
      <c r="AC2439" s="3">
        <v>0.06</v>
      </c>
      <c r="AE2439" s="3">
        <v>0.06</v>
      </c>
      <c r="AI2439">
        <v>0.06</v>
      </c>
      <c r="AK2439" s="3"/>
      <c r="BB2439" t="s">
        <v>810</v>
      </c>
      <c r="BG2439">
        <v>7</v>
      </c>
      <c r="BH2439">
        <v>7</v>
      </c>
      <c r="BI2439">
        <v>7</v>
      </c>
      <c r="BK2439" s="4">
        <v>2466</v>
      </c>
      <c r="BL2439" s="4">
        <v>2648</v>
      </c>
      <c r="BM2439" s="4">
        <v>2831</v>
      </c>
      <c r="BR2439">
        <v>50000</v>
      </c>
      <c r="BS2439" t="s">
        <v>3438</v>
      </c>
      <c r="BW2439" t="s">
        <v>802</v>
      </c>
      <c r="BX2439">
        <v>0.06</v>
      </c>
      <c r="BZ2439">
        <v>0.03</v>
      </c>
      <c r="CK2439" t="s">
        <v>360</v>
      </c>
      <c r="CM2439">
        <v>1911</v>
      </c>
    </row>
    <row r="2440" spans="1:91" x14ac:dyDescent="0.3">
      <c r="A2440" t="s">
        <v>3437</v>
      </c>
      <c r="B2440">
        <v>50238</v>
      </c>
      <c r="C2440" t="s">
        <v>902</v>
      </c>
      <c r="D2440">
        <v>12</v>
      </c>
      <c r="I2440">
        <v>100000</v>
      </c>
      <c r="U2440">
        <v>5</v>
      </c>
      <c r="Y2440">
        <v>5</v>
      </c>
      <c r="AA2440">
        <v>0.15</v>
      </c>
      <c r="AC2440" s="3">
        <v>0.15</v>
      </c>
      <c r="AE2440" s="3">
        <v>0.15</v>
      </c>
      <c r="AI2440">
        <v>0.15</v>
      </c>
      <c r="AK2440" s="3"/>
      <c r="AV2440" t="s">
        <v>385</v>
      </c>
      <c r="BB2440" t="s">
        <v>810</v>
      </c>
      <c r="BH2440">
        <v>6</v>
      </c>
      <c r="BI2440">
        <v>6</v>
      </c>
      <c r="BL2440" s="4">
        <v>3470</v>
      </c>
      <c r="BM2440" s="4">
        <v>3562</v>
      </c>
      <c r="BR2440">
        <v>50000</v>
      </c>
      <c r="BS2440" t="s">
        <v>3438</v>
      </c>
      <c r="BW2440" t="s">
        <v>802</v>
      </c>
      <c r="BX2440">
        <v>0.5</v>
      </c>
      <c r="BZ2440">
        <v>0.06</v>
      </c>
      <c r="CM2440">
        <v>1911</v>
      </c>
    </row>
    <row r="2441" spans="1:91" x14ac:dyDescent="0.3">
      <c r="A2441" t="s">
        <v>3437</v>
      </c>
      <c r="B2441">
        <v>50239</v>
      </c>
      <c r="C2441" t="s">
        <v>3439</v>
      </c>
      <c r="D2441">
        <v>12</v>
      </c>
      <c r="I2441" s="2">
        <v>1000000</v>
      </c>
      <c r="J2441" t="s">
        <v>800</v>
      </c>
      <c r="V2441" t="s">
        <v>350</v>
      </c>
      <c r="Y2441">
        <v>100</v>
      </c>
      <c r="AA2441">
        <v>39.5</v>
      </c>
      <c r="AC2441" s="3">
        <v>39.5</v>
      </c>
      <c r="AE2441" s="3">
        <v>36</v>
      </c>
      <c r="AI2441">
        <v>38.5</v>
      </c>
      <c r="AK2441" s="3"/>
      <c r="AV2441" t="s">
        <v>385</v>
      </c>
      <c r="AX2441" t="s">
        <v>810</v>
      </c>
      <c r="BL2441" s="4">
        <v>3835</v>
      </c>
      <c r="BR2441">
        <v>50000</v>
      </c>
      <c r="BS2441" t="s">
        <v>3438</v>
      </c>
      <c r="BW2441" t="s">
        <v>802</v>
      </c>
      <c r="BX2441">
        <v>54</v>
      </c>
      <c r="BZ2441">
        <v>33.25</v>
      </c>
      <c r="CM2441">
        <v>1911</v>
      </c>
    </row>
    <row r="2442" spans="1:91" x14ac:dyDescent="0.3">
      <c r="A2442" t="s">
        <v>3440</v>
      </c>
      <c r="B2442">
        <v>50264</v>
      </c>
      <c r="D2442">
        <v>12</v>
      </c>
      <c r="I2442">
        <v>27000</v>
      </c>
      <c r="U2442">
        <v>10</v>
      </c>
      <c r="Y2442">
        <v>10</v>
      </c>
      <c r="AA2442">
        <v>35</v>
      </c>
      <c r="AC2442" s="3">
        <v>26.75</v>
      </c>
      <c r="AE2442" s="3">
        <v>24.5</v>
      </c>
      <c r="AI2442">
        <v>24.5</v>
      </c>
      <c r="AK2442" s="3"/>
      <c r="AV2442" t="s">
        <v>815</v>
      </c>
      <c r="AX2442" t="s">
        <v>815</v>
      </c>
      <c r="AZ2442" t="s">
        <v>815</v>
      </c>
      <c r="BB2442" t="s">
        <v>815</v>
      </c>
      <c r="BG2442">
        <v>15</v>
      </c>
      <c r="BH2442">
        <v>15</v>
      </c>
      <c r="BI2442">
        <v>16</v>
      </c>
      <c r="BJ2442">
        <v>16</v>
      </c>
      <c r="BK2442" s="4">
        <v>3258</v>
      </c>
      <c r="BL2442" s="4">
        <v>3623</v>
      </c>
      <c r="BM2442" s="4">
        <v>3988</v>
      </c>
      <c r="BN2442" s="4">
        <v>4353</v>
      </c>
      <c r="BR2442">
        <v>431844</v>
      </c>
      <c r="BS2442" t="s">
        <v>3441</v>
      </c>
      <c r="BT2442">
        <v>6</v>
      </c>
      <c r="BU2442">
        <v>10</v>
      </c>
      <c r="BV2442">
        <v>9</v>
      </c>
      <c r="BX2442">
        <v>26.75</v>
      </c>
      <c r="BZ2442">
        <v>23.25</v>
      </c>
      <c r="CK2442" t="s">
        <v>360</v>
      </c>
      <c r="CM2442">
        <v>1911</v>
      </c>
    </row>
    <row r="2443" spans="1:91" x14ac:dyDescent="0.3">
      <c r="A2443" t="s">
        <v>3440</v>
      </c>
      <c r="B2443">
        <v>50266</v>
      </c>
      <c r="C2443" t="s">
        <v>3442</v>
      </c>
      <c r="D2443">
        <v>12</v>
      </c>
      <c r="I2443">
        <v>54000</v>
      </c>
      <c r="U2443">
        <v>10</v>
      </c>
      <c r="Y2443">
        <v>10</v>
      </c>
      <c r="AA2443">
        <v>11.75</v>
      </c>
      <c r="AC2443" s="3">
        <v>12.25</v>
      </c>
      <c r="AE2443" s="3">
        <v>11.62</v>
      </c>
      <c r="AI2443">
        <v>12</v>
      </c>
      <c r="AK2443" s="3"/>
      <c r="AV2443" t="s">
        <v>385</v>
      </c>
      <c r="AX2443" t="s">
        <v>3443</v>
      </c>
      <c r="BH2443">
        <v>6</v>
      </c>
      <c r="BR2443">
        <v>431844</v>
      </c>
      <c r="BS2443" t="s">
        <v>3441</v>
      </c>
      <c r="BT2443">
        <v>5</v>
      </c>
      <c r="BU2443">
        <v>0</v>
      </c>
      <c r="BV2443">
        <v>0</v>
      </c>
      <c r="BX2443">
        <v>12.5</v>
      </c>
      <c r="BZ2443">
        <v>11.62</v>
      </c>
      <c r="CM2443">
        <v>1911</v>
      </c>
    </row>
    <row r="2444" spans="1:91" x14ac:dyDescent="0.3">
      <c r="A2444" t="s">
        <v>3440</v>
      </c>
      <c r="B2444">
        <v>50270</v>
      </c>
      <c r="C2444" t="s">
        <v>3444</v>
      </c>
      <c r="D2444">
        <v>12</v>
      </c>
      <c r="I2444">
        <v>54000</v>
      </c>
      <c r="U2444">
        <v>10</v>
      </c>
      <c r="Y2444">
        <v>10</v>
      </c>
      <c r="AA2444">
        <v>8</v>
      </c>
      <c r="AC2444" s="3">
        <v>8</v>
      </c>
      <c r="AE2444" s="3">
        <v>8</v>
      </c>
      <c r="AI2444">
        <v>8</v>
      </c>
      <c r="AK2444" s="3"/>
      <c r="AV2444" t="s">
        <v>373</v>
      </c>
      <c r="AX2444" t="s">
        <v>373</v>
      </c>
      <c r="AZ2444" t="s">
        <v>373</v>
      </c>
      <c r="BB2444" t="s">
        <v>373</v>
      </c>
      <c r="BO2444" t="s">
        <v>367</v>
      </c>
      <c r="BR2444">
        <v>431844</v>
      </c>
      <c r="BS2444" t="s">
        <v>3441</v>
      </c>
      <c r="BT2444">
        <v>4</v>
      </c>
      <c r="BU2444">
        <v>7</v>
      </c>
      <c r="BV2444">
        <v>6</v>
      </c>
      <c r="BX2444">
        <v>8.56</v>
      </c>
      <c r="BZ2444">
        <v>7.87</v>
      </c>
      <c r="CM2444">
        <v>1911</v>
      </c>
    </row>
    <row r="2445" spans="1:91" x14ac:dyDescent="0.3">
      <c r="A2445" t="s">
        <v>3445</v>
      </c>
      <c r="B2445">
        <v>50274</v>
      </c>
      <c r="D2445">
        <v>12</v>
      </c>
      <c r="I2445">
        <v>10000</v>
      </c>
      <c r="U2445">
        <v>10</v>
      </c>
      <c r="Y2445">
        <v>10</v>
      </c>
      <c r="AA2445">
        <v>4.25</v>
      </c>
      <c r="AC2445" s="3">
        <v>4.25</v>
      </c>
      <c r="AE2445" s="3">
        <v>4.25</v>
      </c>
      <c r="AI2445">
        <v>4.25</v>
      </c>
      <c r="AK2445" s="3"/>
      <c r="AX2445" t="s">
        <v>969</v>
      </c>
      <c r="AZ2445" t="s">
        <v>815</v>
      </c>
      <c r="BB2445" t="s">
        <v>815</v>
      </c>
      <c r="BG2445">
        <v>1</v>
      </c>
      <c r="BI2445">
        <v>3</v>
      </c>
      <c r="BJ2445">
        <v>4</v>
      </c>
      <c r="BK2445" s="4">
        <v>2558</v>
      </c>
      <c r="BL2445" t="s">
        <v>811</v>
      </c>
      <c r="BM2445" s="4">
        <v>4019</v>
      </c>
      <c r="BN2445" s="4">
        <v>4384</v>
      </c>
      <c r="BS2445" t="s">
        <v>385</v>
      </c>
      <c r="BT2445">
        <v>9</v>
      </c>
      <c r="BU2445">
        <v>8</v>
      </c>
      <c r="BV2445">
        <v>3</v>
      </c>
      <c r="BX2445">
        <v>4.5</v>
      </c>
      <c r="BZ2445">
        <v>3</v>
      </c>
      <c r="CK2445" t="s">
        <v>360</v>
      </c>
      <c r="CM2445">
        <v>1911</v>
      </c>
    </row>
    <row r="2446" spans="1:91" x14ac:dyDescent="0.3">
      <c r="A2446" t="s">
        <v>3445</v>
      </c>
      <c r="B2446">
        <v>50275</v>
      </c>
      <c r="C2446" t="s">
        <v>859</v>
      </c>
      <c r="D2446">
        <v>12</v>
      </c>
      <c r="I2446">
        <v>10000</v>
      </c>
      <c r="U2446">
        <v>10</v>
      </c>
      <c r="Y2446">
        <v>10</v>
      </c>
      <c r="AA2446">
        <v>6</v>
      </c>
      <c r="AC2446" s="3">
        <v>6</v>
      </c>
      <c r="AE2446" s="3">
        <v>6</v>
      </c>
      <c r="AI2446">
        <v>6</v>
      </c>
      <c r="AK2446" s="3"/>
      <c r="AV2446" t="s">
        <v>815</v>
      </c>
      <c r="AX2446" t="s">
        <v>815</v>
      </c>
      <c r="AZ2446" t="s">
        <v>815</v>
      </c>
      <c r="BB2446" t="s">
        <v>815</v>
      </c>
      <c r="BG2446">
        <v>3.5</v>
      </c>
      <c r="BH2446">
        <v>5</v>
      </c>
      <c r="BI2446">
        <v>5</v>
      </c>
      <c r="BJ2446">
        <v>5</v>
      </c>
      <c r="BK2446" s="4">
        <v>3289</v>
      </c>
      <c r="BL2446" s="4">
        <v>3654</v>
      </c>
      <c r="BM2446" s="4">
        <v>4019</v>
      </c>
      <c r="BN2446" s="4">
        <v>4384</v>
      </c>
      <c r="BS2446" t="s">
        <v>385</v>
      </c>
      <c r="BT2446">
        <v>8</v>
      </c>
      <c r="BU2446">
        <v>6</v>
      </c>
      <c r="BV2446">
        <v>9</v>
      </c>
      <c r="BX2446">
        <v>6</v>
      </c>
      <c r="BZ2446">
        <v>5.25</v>
      </c>
      <c r="CM2446">
        <v>1911</v>
      </c>
    </row>
    <row r="2447" spans="1:91" x14ac:dyDescent="0.3">
      <c r="A2447" t="s">
        <v>3446</v>
      </c>
      <c r="B2447">
        <v>50300</v>
      </c>
      <c r="D2447">
        <v>12</v>
      </c>
      <c r="I2447">
        <v>270000</v>
      </c>
      <c r="U2447">
        <v>1</v>
      </c>
      <c r="Y2447">
        <v>1</v>
      </c>
      <c r="AA2447">
        <v>1.43</v>
      </c>
      <c r="AC2447" s="3">
        <v>1.43</v>
      </c>
      <c r="AE2447" s="3">
        <v>1.43</v>
      </c>
      <c r="AI2447">
        <v>1.43</v>
      </c>
      <c r="AK2447" s="3"/>
      <c r="AV2447" t="s">
        <v>536</v>
      </c>
      <c r="AX2447" t="s">
        <v>536</v>
      </c>
      <c r="AZ2447" t="s">
        <v>536</v>
      </c>
      <c r="BB2447" t="s">
        <v>536</v>
      </c>
      <c r="BO2447" t="s">
        <v>367</v>
      </c>
      <c r="BR2447">
        <v>41058</v>
      </c>
      <c r="BS2447" t="s">
        <v>3447</v>
      </c>
      <c r="BT2447">
        <v>6</v>
      </c>
      <c r="BU2447">
        <v>19</v>
      </c>
      <c r="BV2447">
        <v>3</v>
      </c>
      <c r="BX2447">
        <v>1.46</v>
      </c>
      <c r="BZ2447">
        <v>1.37</v>
      </c>
      <c r="CM2447">
        <v>1911</v>
      </c>
    </row>
    <row r="2448" spans="1:91" x14ac:dyDescent="0.3">
      <c r="A2448" t="s">
        <v>3446</v>
      </c>
      <c r="B2448">
        <v>50301</v>
      </c>
      <c r="C2448" t="s">
        <v>817</v>
      </c>
      <c r="D2448">
        <v>12</v>
      </c>
      <c r="I2448">
        <v>405000</v>
      </c>
      <c r="U2448">
        <v>1</v>
      </c>
      <c r="Y2448">
        <v>1</v>
      </c>
      <c r="AA2448">
        <v>1.03</v>
      </c>
      <c r="AC2448" s="3">
        <v>1.06</v>
      </c>
      <c r="AE2448" s="3">
        <v>1.03</v>
      </c>
      <c r="AI2448">
        <v>1.03</v>
      </c>
      <c r="AK2448" s="3"/>
      <c r="AV2448" t="s">
        <v>536</v>
      </c>
      <c r="AX2448" t="s">
        <v>536</v>
      </c>
      <c r="AZ2448" t="s">
        <v>536</v>
      </c>
      <c r="BB2448" t="s">
        <v>536</v>
      </c>
      <c r="BO2448" t="s">
        <v>367</v>
      </c>
      <c r="BR2448">
        <v>41058</v>
      </c>
      <c r="BS2448" t="s">
        <v>3447</v>
      </c>
      <c r="BT2448">
        <v>4</v>
      </c>
      <c r="BU2448">
        <v>17</v>
      </c>
      <c r="BV2448">
        <v>0</v>
      </c>
      <c r="BX2448">
        <v>1.06</v>
      </c>
      <c r="BZ2448">
        <v>1.03</v>
      </c>
      <c r="CM2448">
        <v>1911</v>
      </c>
    </row>
    <row r="2449" spans="1:91" x14ac:dyDescent="0.3">
      <c r="A2449" t="s">
        <v>3448</v>
      </c>
      <c r="B2449">
        <v>50307</v>
      </c>
      <c r="D2449">
        <v>12</v>
      </c>
      <c r="I2449">
        <v>135000</v>
      </c>
      <c r="U2449">
        <v>1</v>
      </c>
      <c r="Y2449">
        <v>1</v>
      </c>
      <c r="AA2449">
        <v>0.84</v>
      </c>
      <c r="AC2449" s="3">
        <v>0.87</v>
      </c>
      <c r="AE2449" s="3">
        <v>0.81</v>
      </c>
      <c r="AI2449">
        <v>0.87</v>
      </c>
      <c r="AK2449" s="3"/>
      <c r="AX2449" t="s">
        <v>823</v>
      </c>
      <c r="BB2449" t="s">
        <v>823</v>
      </c>
      <c r="BG2449">
        <v>7</v>
      </c>
      <c r="BH2449">
        <v>5</v>
      </c>
      <c r="BI2449">
        <v>7</v>
      </c>
      <c r="BJ2449">
        <v>5</v>
      </c>
      <c r="BK2449" s="4">
        <v>3805</v>
      </c>
      <c r="BL2449" s="4">
        <v>3988</v>
      </c>
      <c r="BM2449" s="4">
        <v>4170</v>
      </c>
      <c r="BN2449" s="4">
        <v>4353</v>
      </c>
      <c r="BR2449">
        <v>25665</v>
      </c>
      <c r="BS2449" t="s">
        <v>3449</v>
      </c>
      <c r="BT2449">
        <v>6</v>
      </c>
      <c r="BU2449">
        <v>17</v>
      </c>
      <c r="BV2449">
        <v>3</v>
      </c>
      <c r="BX2449">
        <v>0.93</v>
      </c>
      <c r="BZ2449">
        <v>0.78</v>
      </c>
      <c r="CK2449" t="s">
        <v>360</v>
      </c>
      <c r="CM2449">
        <v>1911</v>
      </c>
    </row>
    <row r="2450" spans="1:91" x14ac:dyDescent="0.3">
      <c r="A2450" t="s">
        <v>3448</v>
      </c>
      <c r="B2450">
        <v>50308</v>
      </c>
      <c r="C2450" t="s">
        <v>844</v>
      </c>
      <c r="D2450">
        <v>12</v>
      </c>
      <c r="I2450">
        <v>135000</v>
      </c>
      <c r="U2450">
        <v>1</v>
      </c>
      <c r="Y2450">
        <v>1</v>
      </c>
      <c r="AA2450">
        <v>1.06</v>
      </c>
      <c r="AC2450" s="3">
        <v>1.06</v>
      </c>
      <c r="AE2450" s="3">
        <v>1.06</v>
      </c>
      <c r="AI2450">
        <v>1.06</v>
      </c>
      <c r="AK2450" s="3"/>
      <c r="AV2450" t="s">
        <v>370</v>
      </c>
      <c r="AX2450" t="s">
        <v>370</v>
      </c>
      <c r="AZ2450" t="s">
        <v>370</v>
      </c>
      <c r="BB2450" t="s">
        <v>370</v>
      </c>
      <c r="BO2450" t="s">
        <v>367</v>
      </c>
      <c r="BR2450">
        <v>25665</v>
      </c>
      <c r="BS2450" t="s">
        <v>3449</v>
      </c>
      <c r="BT2450">
        <v>5</v>
      </c>
      <c r="BU2450">
        <v>13</v>
      </c>
      <c r="BV2450">
        <v>0</v>
      </c>
      <c r="BX2450">
        <v>1.06</v>
      </c>
      <c r="BZ2450">
        <v>0.96</v>
      </c>
      <c r="CM2450">
        <v>1911</v>
      </c>
    </row>
    <row r="2451" spans="1:91" x14ac:dyDescent="0.3">
      <c r="A2451" t="s">
        <v>3450</v>
      </c>
      <c r="B2451">
        <v>50318</v>
      </c>
      <c r="D2451">
        <v>12</v>
      </c>
      <c r="I2451">
        <v>40000</v>
      </c>
      <c r="U2451">
        <v>1</v>
      </c>
      <c r="Y2451">
        <v>1</v>
      </c>
      <c r="AA2451">
        <v>0.81</v>
      </c>
      <c r="AC2451" s="3">
        <v>0.81</v>
      </c>
      <c r="AE2451" s="3">
        <v>0.81</v>
      </c>
      <c r="AI2451">
        <v>0.81</v>
      </c>
      <c r="AK2451" s="3"/>
      <c r="AX2451" t="s">
        <v>823</v>
      </c>
      <c r="BB2451" t="s">
        <v>823</v>
      </c>
      <c r="BG2451">
        <v>6.25</v>
      </c>
      <c r="BH2451">
        <v>5</v>
      </c>
      <c r="BI2451">
        <v>5</v>
      </c>
      <c r="BJ2451">
        <v>5</v>
      </c>
      <c r="BK2451" s="4">
        <v>3713</v>
      </c>
      <c r="BL2451" s="4">
        <v>3897</v>
      </c>
      <c r="BM2451" s="4">
        <v>4078</v>
      </c>
      <c r="BN2451" s="4">
        <v>4262</v>
      </c>
      <c r="BR2451">
        <v>6113</v>
      </c>
      <c r="BT2451">
        <v>6</v>
      </c>
      <c r="BU2451">
        <v>3</v>
      </c>
      <c r="BV2451">
        <v>0</v>
      </c>
      <c r="BX2451">
        <v>0.87</v>
      </c>
      <c r="BZ2451">
        <v>0.81</v>
      </c>
      <c r="CK2451" t="s">
        <v>1179</v>
      </c>
      <c r="CL2451" t="s">
        <v>457</v>
      </c>
      <c r="CM2451">
        <v>1911</v>
      </c>
    </row>
    <row r="2452" spans="1:91" x14ac:dyDescent="0.3">
      <c r="A2452" t="s">
        <v>3451</v>
      </c>
      <c r="B2452">
        <v>50323</v>
      </c>
      <c r="D2452">
        <v>12</v>
      </c>
      <c r="I2452">
        <v>180000</v>
      </c>
      <c r="U2452">
        <v>1</v>
      </c>
      <c r="Y2452">
        <v>1</v>
      </c>
      <c r="AA2452">
        <v>1.62</v>
      </c>
      <c r="AC2452" s="3">
        <v>1.65</v>
      </c>
      <c r="AE2452" s="3">
        <v>1.59</v>
      </c>
      <c r="AI2452">
        <v>1.62</v>
      </c>
      <c r="AK2452" s="3"/>
      <c r="AV2452" t="s">
        <v>823</v>
      </c>
      <c r="AZ2452" t="s">
        <v>823</v>
      </c>
      <c r="BG2452">
        <v>10</v>
      </c>
      <c r="BH2452">
        <v>10</v>
      </c>
      <c r="BI2452">
        <v>10</v>
      </c>
      <c r="BJ2452">
        <v>10</v>
      </c>
      <c r="BK2452" s="4">
        <v>3685</v>
      </c>
      <c r="BL2452" s="4">
        <v>3866</v>
      </c>
      <c r="BM2452" s="4">
        <v>4050</v>
      </c>
      <c r="BN2452" s="4">
        <v>4231</v>
      </c>
      <c r="BR2452">
        <v>53971</v>
      </c>
      <c r="BS2452" t="s">
        <v>3452</v>
      </c>
      <c r="BT2452">
        <v>6</v>
      </c>
      <c r="BU2452">
        <v>3</v>
      </c>
      <c r="BV2452">
        <v>0</v>
      </c>
      <c r="BX2452">
        <v>1.65</v>
      </c>
      <c r="BZ2452">
        <v>1.43</v>
      </c>
      <c r="CK2452" t="s">
        <v>360</v>
      </c>
      <c r="CM2452">
        <v>1911</v>
      </c>
    </row>
    <row r="2453" spans="1:91" x14ac:dyDescent="0.3">
      <c r="A2453" t="s">
        <v>3451</v>
      </c>
      <c r="B2453">
        <v>50324</v>
      </c>
      <c r="C2453" t="s">
        <v>859</v>
      </c>
      <c r="D2453">
        <v>12</v>
      </c>
      <c r="I2453">
        <v>200000</v>
      </c>
      <c r="U2453">
        <v>1</v>
      </c>
      <c r="Y2453">
        <v>1</v>
      </c>
      <c r="AA2453">
        <v>1.03</v>
      </c>
      <c r="AC2453" s="3">
        <v>1.06</v>
      </c>
      <c r="AE2453" s="3">
        <v>1</v>
      </c>
      <c r="AI2453">
        <v>1.03</v>
      </c>
      <c r="AJ2453" t="s">
        <v>379</v>
      </c>
      <c r="AK2453" s="3"/>
      <c r="AV2453" t="s">
        <v>370</v>
      </c>
      <c r="AX2453" t="s">
        <v>370</v>
      </c>
      <c r="AZ2453" t="s">
        <v>370</v>
      </c>
      <c r="BB2453" t="s">
        <v>370</v>
      </c>
      <c r="BO2453" t="s">
        <v>367</v>
      </c>
      <c r="BR2453">
        <v>53971</v>
      </c>
      <c r="BS2453" t="s">
        <v>3452</v>
      </c>
      <c r="BT2453">
        <v>4</v>
      </c>
      <c r="BU2453">
        <v>17</v>
      </c>
      <c r="BV2453">
        <v>0</v>
      </c>
      <c r="BX2453">
        <v>1.06</v>
      </c>
      <c r="BZ2453">
        <v>0.96</v>
      </c>
      <c r="CM2453">
        <v>1911</v>
      </c>
    </row>
    <row r="2454" spans="1:91" x14ac:dyDescent="0.3">
      <c r="A2454" t="s">
        <v>3453</v>
      </c>
      <c r="B2454">
        <v>50329</v>
      </c>
      <c r="D2454">
        <v>12</v>
      </c>
      <c r="I2454">
        <v>149997</v>
      </c>
      <c r="U2454">
        <v>1</v>
      </c>
      <c r="Y2454">
        <v>1</v>
      </c>
      <c r="AA2454">
        <v>1.81</v>
      </c>
      <c r="AC2454" s="3">
        <v>1.81</v>
      </c>
      <c r="AE2454" s="3">
        <v>1.65</v>
      </c>
      <c r="AI2454">
        <v>1.75</v>
      </c>
      <c r="AK2454" s="3"/>
      <c r="AX2454" t="s">
        <v>823</v>
      </c>
      <c r="BB2454" t="s">
        <v>823</v>
      </c>
      <c r="BG2454">
        <v>12</v>
      </c>
      <c r="BH2454">
        <v>8</v>
      </c>
      <c r="BI2454">
        <v>12</v>
      </c>
      <c r="BJ2454">
        <v>8</v>
      </c>
      <c r="BK2454" s="4">
        <v>3685</v>
      </c>
      <c r="BL2454" s="4">
        <v>3866</v>
      </c>
      <c r="BM2454" s="4">
        <v>4050</v>
      </c>
      <c r="BN2454" s="4">
        <v>4231</v>
      </c>
      <c r="BR2454">
        <v>54570</v>
      </c>
      <c r="BS2454" t="s">
        <v>3454</v>
      </c>
      <c r="BT2454">
        <v>5</v>
      </c>
      <c r="BU2454">
        <v>14</v>
      </c>
      <c r="BV2454">
        <v>3</v>
      </c>
      <c r="BX2454">
        <v>2</v>
      </c>
      <c r="BZ2454">
        <v>1.65</v>
      </c>
      <c r="CK2454" t="s">
        <v>360</v>
      </c>
      <c r="CL2454" t="s">
        <v>457</v>
      </c>
      <c r="CM2454">
        <v>1911</v>
      </c>
    </row>
    <row r="2455" spans="1:91" x14ac:dyDescent="0.3">
      <c r="A2455" t="s">
        <v>3453</v>
      </c>
      <c r="B2455">
        <v>50330</v>
      </c>
      <c r="C2455" t="s">
        <v>3455</v>
      </c>
      <c r="D2455">
        <v>12</v>
      </c>
      <c r="I2455">
        <v>70000</v>
      </c>
      <c r="J2455" t="s">
        <v>800</v>
      </c>
      <c r="U2455">
        <v>100</v>
      </c>
      <c r="Y2455">
        <v>100</v>
      </c>
      <c r="AA2455">
        <v>101.5</v>
      </c>
      <c r="AC2455" s="3">
        <v>101.5</v>
      </c>
      <c r="AE2455" s="3">
        <v>101.5</v>
      </c>
      <c r="AI2455">
        <v>101.5</v>
      </c>
      <c r="AK2455" s="3"/>
      <c r="AV2455" t="s">
        <v>370</v>
      </c>
      <c r="AX2455" t="s">
        <v>370</v>
      </c>
      <c r="AZ2455" t="s">
        <v>370</v>
      </c>
      <c r="BB2455" t="s">
        <v>370</v>
      </c>
      <c r="BO2455" t="s">
        <v>367</v>
      </c>
      <c r="BR2455">
        <v>54570</v>
      </c>
      <c r="BS2455" t="s">
        <v>3454</v>
      </c>
      <c r="BT2455">
        <v>4</v>
      </c>
      <c r="BU2455">
        <v>10</v>
      </c>
      <c r="BV2455">
        <v>3</v>
      </c>
      <c r="BX2455">
        <v>103.5</v>
      </c>
      <c r="BZ2455">
        <v>101</v>
      </c>
      <c r="CM2455">
        <v>1911</v>
      </c>
    </row>
    <row r="2456" spans="1:91" x14ac:dyDescent="0.3">
      <c r="A2456" t="s">
        <v>3456</v>
      </c>
      <c r="B2456">
        <v>50333</v>
      </c>
      <c r="D2456">
        <v>12</v>
      </c>
      <c r="I2456">
        <v>100000</v>
      </c>
      <c r="U2456">
        <v>1</v>
      </c>
      <c r="Y2456">
        <v>1</v>
      </c>
      <c r="AA2456">
        <v>1.56</v>
      </c>
      <c r="AC2456" s="3">
        <v>1.56</v>
      </c>
      <c r="AE2456" s="3">
        <v>1.56</v>
      </c>
      <c r="AI2456">
        <v>1.56</v>
      </c>
      <c r="AK2456" s="3"/>
      <c r="AX2456" t="s">
        <v>823</v>
      </c>
      <c r="BB2456" t="s">
        <v>823</v>
      </c>
      <c r="BG2456">
        <v>10</v>
      </c>
      <c r="BH2456">
        <v>6</v>
      </c>
      <c r="BI2456">
        <v>10</v>
      </c>
      <c r="BJ2456">
        <v>6</v>
      </c>
      <c r="BK2456" s="4">
        <v>3685</v>
      </c>
      <c r="BL2456" s="4">
        <v>3835</v>
      </c>
      <c r="BM2456" s="4">
        <v>4050</v>
      </c>
      <c r="BN2456" s="4">
        <v>4200</v>
      </c>
      <c r="BR2456">
        <v>60077</v>
      </c>
      <c r="BT2456">
        <v>5</v>
      </c>
      <c r="BU2456">
        <v>2</v>
      </c>
      <c r="BV2456">
        <v>6</v>
      </c>
      <c r="BX2456">
        <v>1.59</v>
      </c>
      <c r="BZ2456">
        <v>1.46</v>
      </c>
      <c r="CK2456" t="s">
        <v>360</v>
      </c>
      <c r="CM2456">
        <v>1911</v>
      </c>
    </row>
    <row r="2457" spans="1:91" x14ac:dyDescent="0.3">
      <c r="A2457" t="s">
        <v>3457</v>
      </c>
      <c r="B2457">
        <v>50365</v>
      </c>
      <c r="D2457">
        <v>12</v>
      </c>
      <c r="I2457">
        <v>24000</v>
      </c>
      <c r="U2457">
        <v>4</v>
      </c>
      <c r="Y2457">
        <v>2</v>
      </c>
      <c r="AA2457">
        <v>3.28</v>
      </c>
      <c r="AC2457" s="3">
        <v>3.31</v>
      </c>
      <c r="AE2457" s="3">
        <v>3.28</v>
      </c>
      <c r="AI2457">
        <v>3.31</v>
      </c>
      <c r="AK2457" s="3"/>
      <c r="AU2457" t="s">
        <v>1717</v>
      </c>
      <c r="AV2457" t="s">
        <v>1719</v>
      </c>
      <c r="AW2457" t="s">
        <v>1717</v>
      </c>
      <c r="AX2457" t="s">
        <v>1719</v>
      </c>
      <c r="AY2457" t="s">
        <v>1717</v>
      </c>
      <c r="AZ2457" t="s">
        <v>1719</v>
      </c>
      <c r="BA2457" t="s">
        <v>1717</v>
      </c>
      <c r="BB2457" t="s">
        <v>1719</v>
      </c>
      <c r="BC2457">
        <v>12</v>
      </c>
      <c r="BD2457">
        <v>12</v>
      </c>
      <c r="BE2457">
        <v>12</v>
      </c>
      <c r="BF2457">
        <v>12</v>
      </c>
      <c r="BK2457" s="4">
        <v>4019</v>
      </c>
      <c r="BL2457" s="4">
        <v>4109</v>
      </c>
      <c r="BM2457" s="4">
        <v>4200</v>
      </c>
      <c r="BN2457" s="4">
        <v>4323</v>
      </c>
      <c r="BR2457">
        <v>33922</v>
      </c>
      <c r="BT2457">
        <v>6</v>
      </c>
      <c r="BU2457">
        <v>0</v>
      </c>
      <c r="BV2457">
        <v>9</v>
      </c>
      <c r="BX2457">
        <v>3.34</v>
      </c>
      <c r="BZ2457">
        <v>3.09</v>
      </c>
      <c r="CK2457" t="s">
        <v>3458</v>
      </c>
      <c r="CM2457">
        <v>1911</v>
      </c>
    </row>
    <row r="2458" spans="1:91" x14ac:dyDescent="0.3">
      <c r="A2458" t="s">
        <v>3459</v>
      </c>
      <c r="B2458">
        <v>50393</v>
      </c>
      <c r="D2458">
        <v>12</v>
      </c>
      <c r="I2458">
        <v>80000</v>
      </c>
      <c r="V2458" t="s">
        <v>2016</v>
      </c>
      <c r="Z2458" t="s">
        <v>2016</v>
      </c>
      <c r="AA2458">
        <v>0.25</v>
      </c>
      <c r="AC2458" s="3">
        <v>0.25</v>
      </c>
      <c r="AE2458" s="3">
        <v>0.21</v>
      </c>
      <c r="AI2458">
        <v>0.25</v>
      </c>
      <c r="AK2458" s="3"/>
      <c r="AV2458" t="s">
        <v>815</v>
      </c>
      <c r="AX2458" t="s">
        <v>815</v>
      </c>
      <c r="AZ2458" t="s">
        <v>3460</v>
      </c>
      <c r="BG2458">
        <v>2.75</v>
      </c>
      <c r="BH2458">
        <v>2.75</v>
      </c>
      <c r="BI2458">
        <v>2.75</v>
      </c>
      <c r="BJ2458">
        <v>2.75</v>
      </c>
      <c r="BK2458" s="4">
        <v>3258</v>
      </c>
      <c r="BL2458" s="4">
        <v>3623</v>
      </c>
      <c r="BM2458" s="4">
        <v>3988</v>
      </c>
      <c r="BR2458">
        <v>3532</v>
      </c>
      <c r="BS2458" t="s">
        <v>3461</v>
      </c>
      <c r="BT2458">
        <v>9</v>
      </c>
      <c r="BU2458">
        <v>7</v>
      </c>
      <c r="BV2458">
        <v>6</v>
      </c>
      <c r="BX2458">
        <v>0.25</v>
      </c>
      <c r="BZ2458">
        <v>0.21</v>
      </c>
      <c r="CK2458" t="s">
        <v>360</v>
      </c>
      <c r="CM2458">
        <v>1911</v>
      </c>
    </row>
    <row r="2459" spans="1:91" x14ac:dyDescent="0.3">
      <c r="A2459" t="s">
        <v>3459</v>
      </c>
      <c r="B2459">
        <v>50392</v>
      </c>
      <c r="C2459" t="s">
        <v>805</v>
      </c>
      <c r="D2459">
        <v>12</v>
      </c>
      <c r="I2459">
        <v>71100</v>
      </c>
      <c r="J2459" t="s">
        <v>800</v>
      </c>
      <c r="V2459" t="s">
        <v>350</v>
      </c>
      <c r="Y2459">
        <v>100</v>
      </c>
      <c r="AA2459">
        <v>76</v>
      </c>
      <c r="AC2459" s="3">
        <v>76</v>
      </c>
      <c r="AE2459" s="3">
        <v>76</v>
      </c>
      <c r="AI2459">
        <v>76</v>
      </c>
      <c r="AK2459" s="3"/>
      <c r="AV2459" t="s">
        <v>506</v>
      </c>
      <c r="AX2459" t="s">
        <v>506</v>
      </c>
      <c r="AZ2459" t="s">
        <v>506</v>
      </c>
      <c r="BB2459" t="s">
        <v>506</v>
      </c>
      <c r="BO2459" t="s">
        <v>367</v>
      </c>
      <c r="BR2459">
        <v>3532</v>
      </c>
      <c r="BS2459" t="s">
        <v>3461</v>
      </c>
      <c r="BT2459">
        <v>6</v>
      </c>
      <c r="BU2459">
        <v>0</v>
      </c>
      <c r="BV2459">
        <v>3</v>
      </c>
      <c r="BX2459">
        <v>80</v>
      </c>
      <c r="BZ2459">
        <v>76</v>
      </c>
      <c r="CM2459">
        <v>1911</v>
      </c>
    </row>
    <row r="2460" spans="1:91" x14ac:dyDescent="0.3">
      <c r="A2460" t="s">
        <v>3462</v>
      </c>
      <c r="B2460">
        <v>50136</v>
      </c>
      <c r="D2460">
        <v>12</v>
      </c>
      <c r="I2460">
        <v>75000</v>
      </c>
      <c r="U2460">
        <v>1</v>
      </c>
      <c r="Y2460">
        <v>1</v>
      </c>
      <c r="AA2460">
        <v>0.25</v>
      </c>
      <c r="AC2460" s="3">
        <v>0.25</v>
      </c>
      <c r="AE2460" s="3">
        <v>0.25</v>
      </c>
      <c r="AI2460">
        <v>0.25</v>
      </c>
      <c r="AK2460" s="3"/>
      <c r="AV2460" t="s">
        <v>815</v>
      </c>
      <c r="AX2460" t="s">
        <v>815</v>
      </c>
      <c r="AZ2460" t="s">
        <v>815</v>
      </c>
      <c r="BB2460" t="s">
        <v>815</v>
      </c>
      <c r="BG2460">
        <v>3</v>
      </c>
      <c r="BH2460">
        <v>3</v>
      </c>
      <c r="BI2460">
        <v>3</v>
      </c>
      <c r="BJ2460">
        <v>3</v>
      </c>
      <c r="BK2460" s="4">
        <v>3044</v>
      </c>
      <c r="BL2460" s="4">
        <v>3409</v>
      </c>
      <c r="BM2460" s="4">
        <v>3774</v>
      </c>
      <c r="BN2460" s="4">
        <v>4139</v>
      </c>
      <c r="BR2460">
        <v>1715</v>
      </c>
      <c r="BT2460">
        <v>12</v>
      </c>
      <c r="BU2460">
        <v>0</v>
      </c>
      <c r="BV2460">
        <v>0</v>
      </c>
      <c r="BX2460">
        <v>0.25</v>
      </c>
      <c r="BZ2460">
        <v>0.18</v>
      </c>
      <c r="CK2460" t="s">
        <v>360</v>
      </c>
      <c r="CM2460">
        <v>1911</v>
      </c>
    </row>
    <row r="2461" spans="1:91" x14ac:dyDescent="0.3">
      <c r="A2461" t="s">
        <v>3463</v>
      </c>
      <c r="B2461">
        <v>50453</v>
      </c>
      <c r="D2461">
        <v>12</v>
      </c>
      <c r="I2461">
        <v>12000</v>
      </c>
      <c r="U2461">
        <v>2</v>
      </c>
      <c r="Y2461">
        <v>1</v>
      </c>
      <c r="AA2461">
        <v>1.31</v>
      </c>
      <c r="AC2461" s="3">
        <v>1.31</v>
      </c>
      <c r="AE2461" s="3">
        <v>1.31</v>
      </c>
      <c r="AI2461">
        <v>1.31</v>
      </c>
      <c r="AK2461" s="3"/>
      <c r="AU2461" t="s">
        <v>2340</v>
      </c>
      <c r="AV2461" t="s">
        <v>2341</v>
      </c>
      <c r="AW2461" t="s">
        <v>2340</v>
      </c>
      <c r="AX2461" t="s">
        <v>2341</v>
      </c>
      <c r="AY2461" t="s">
        <v>2340</v>
      </c>
      <c r="AZ2461" t="s">
        <v>2341</v>
      </c>
      <c r="BA2461" t="s">
        <v>2340</v>
      </c>
      <c r="BB2461" t="s">
        <v>2341</v>
      </c>
      <c r="BC2461">
        <v>6</v>
      </c>
      <c r="BD2461">
        <v>6</v>
      </c>
      <c r="BE2461">
        <v>6</v>
      </c>
      <c r="BF2461">
        <v>6</v>
      </c>
      <c r="BK2461" s="4">
        <v>4019</v>
      </c>
      <c r="BL2461" s="4">
        <v>4109</v>
      </c>
      <c r="BM2461" s="4">
        <v>4200</v>
      </c>
      <c r="BN2461" s="4">
        <v>4292</v>
      </c>
      <c r="BR2461">
        <v>1075</v>
      </c>
      <c r="BT2461">
        <v>7</v>
      </c>
      <c r="BU2461">
        <v>12</v>
      </c>
      <c r="BV2461">
        <v>3</v>
      </c>
      <c r="BX2461">
        <v>1.46</v>
      </c>
      <c r="BZ2461">
        <v>1.25</v>
      </c>
      <c r="CK2461" t="s">
        <v>2828</v>
      </c>
      <c r="CM2461">
        <v>1911</v>
      </c>
    </row>
    <row r="2462" spans="1:91" x14ac:dyDescent="0.3">
      <c r="A2462" t="s">
        <v>3464</v>
      </c>
      <c r="B2462">
        <v>50484</v>
      </c>
      <c r="D2462">
        <v>12</v>
      </c>
      <c r="I2462">
        <v>500000</v>
      </c>
      <c r="U2462">
        <v>1</v>
      </c>
      <c r="Y2462">
        <v>1</v>
      </c>
      <c r="AA2462">
        <v>0.09</v>
      </c>
      <c r="AC2462" s="3">
        <v>0.09</v>
      </c>
      <c r="AE2462" s="3">
        <v>0.06</v>
      </c>
      <c r="AI2462">
        <v>0.09</v>
      </c>
      <c r="AK2462" s="3"/>
      <c r="BB2462" t="s">
        <v>810</v>
      </c>
      <c r="BG2462">
        <v>5</v>
      </c>
      <c r="BH2462">
        <v>1.25</v>
      </c>
      <c r="BI2462">
        <v>1.25</v>
      </c>
      <c r="BK2462" s="4">
        <v>1278</v>
      </c>
      <c r="BL2462" s="4">
        <v>3105</v>
      </c>
      <c r="BM2462" s="4">
        <v>3835</v>
      </c>
      <c r="BR2462">
        <v>11159</v>
      </c>
      <c r="BS2462" t="s">
        <v>3465</v>
      </c>
      <c r="BW2462" t="s">
        <v>802</v>
      </c>
      <c r="BX2462">
        <v>0.15</v>
      </c>
      <c r="BZ2462">
        <v>0.06</v>
      </c>
      <c r="CK2462" t="s">
        <v>360</v>
      </c>
      <c r="CM2462">
        <v>1911</v>
      </c>
    </row>
    <row r="2463" spans="1:91" x14ac:dyDescent="0.3">
      <c r="A2463" t="s">
        <v>3464</v>
      </c>
      <c r="B2463">
        <v>50485</v>
      </c>
      <c r="C2463" t="s">
        <v>844</v>
      </c>
      <c r="D2463">
        <v>12</v>
      </c>
      <c r="I2463">
        <v>500000</v>
      </c>
      <c r="U2463">
        <v>1</v>
      </c>
      <c r="Y2463">
        <v>1</v>
      </c>
      <c r="AA2463">
        <v>0.56000000000000005</v>
      </c>
      <c r="AC2463" s="3">
        <v>0.56000000000000005</v>
      </c>
      <c r="AE2463" s="3">
        <v>0.5</v>
      </c>
      <c r="AI2463">
        <v>0.5</v>
      </c>
      <c r="AJ2463" t="s">
        <v>379</v>
      </c>
      <c r="AK2463" s="3"/>
      <c r="AV2463" t="s">
        <v>351</v>
      </c>
      <c r="AX2463" t="s">
        <v>351</v>
      </c>
      <c r="AZ2463" t="s">
        <v>351</v>
      </c>
      <c r="BB2463" t="s">
        <v>351</v>
      </c>
      <c r="BO2463" t="s">
        <v>352</v>
      </c>
      <c r="BR2463">
        <v>11159</v>
      </c>
      <c r="BS2463" t="s">
        <v>3465</v>
      </c>
      <c r="BT2463">
        <v>12</v>
      </c>
      <c r="BU2463">
        <v>0</v>
      </c>
      <c r="BV2463">
        <v>0</v>
      </c>
      <c r="BX2463">
        <v>0.59</v>
      </c>
      <c r="BZ2463">
        <v>0.5</v>
      </c>
      <c r="CM2463">
        <v>1911</v>
      </c>
    </row>
    <row r="2464" spans="1:91" x14ac:dyDescent="0.3">
      <c r="A2464" t="s">
        <v>3466</v>
      </c>
      <c r="B2464">
        <v>50490</v>
      </c>
      <c r="D2464">
        <v>12</v>
      </c>
      <c r="I2464">
        <v>15000</v>
      </c>
      <c r="U2464">
        <v>10</v>
      </c>
      <c r="Y2464">
        <v>10</v>
      </c>
      <c r="AA2464">
        <v>15</v>
      </c>
      <c r="AC2464" s="3">
        <v>15.25</v>
      </c>
      <c r="AE2464" s="3">
        <v>14.75</v>
      </c>
      <c r="AI2464">
        <v>15</v>
      </c>
      <c r="AK2464" s="3"/>
      <c r="AV2464" t="s">
        <v>385</v>
      </c>
      <c r="AX2464" t="s">
        <v>823</v>
      </c>
      <c r="BB2464" t="s">
        <v>823</v>
      </c>
      <c r="BH2464">
        <v>10</v>
      </c>
      <c r="BI2464">
        <v>14</v>
      </c>
      <c r="BJ2464">
        <v>12</v>
      </c>
      <c r="BL2464" s="4">
        <v>3988</v>
      </c>
      <c r="BM2464" s="4">
        <v>4170</v>
      </c>
      <c r="BN2464" s="4">
        <v>4353</v>
      </c>
      <c r="BR2464">
        <v>19812</v>
      </c>
      <c r="BT2464">
        <v>8</v>
      </c>
      <c r="BU2464">
        <v>13</v>
      </c>
      <c r="BV2464">
        <v>6</v>
      </c>
      <c r="BX2464">
        <v>16</v>
      </c>
      <c r="BZ2464">
        <v>13.5</v>
      </c>
      <c r="CM2464">
        <v>1911</v>
      </c>
    </row>
    <row r="2465" spans="1:91" x14ac:dyDescent="0.3">
      <c r="A2465" t="s">
        <v>3467</v>
      </c>
      <c r="B2465">
        <v>50494</v>
      </c>
      <c r="D2465">
        <v>12</v>
      </c>
      <c r="I2465">
        <v>60000</v>
      </c>
      <c r="U2465">
        <v>5</v>
      </c>
      <c r="Y2465">
        <v>5</v>
      </c>
      <c r="AA2465">
        <v>1.5</v>
      </c>
      <c r="AC2465" s="3">
        <v>1.5</v>
      </c>
      <c r="AE2465" s="3">
        <v>1.5</v>
      </c>
      <c r="AI2465">
        <v>1.5</v>
      </c>
      <c r="AK2465" s="3"/>
      <c r="AX2465" t="s">
        <v>3468</v>
      </c>
      <c r="AZ2465" t="s">
        <v>3469</v>
      </c>
      <c r="BG2465">
        <v>5</v>
      </c>
      <c r="BI2465">
        <v>5</v>
      </c>
      <c r="BJ2465">
        <v>5</v>
      </c>
      <c r="BK2465" s="4">
        <v>1797</v>
      </c>
      <c r="BL2465" s="6">
        <v>3257</v>
      </c>
      <c r="BM2465" s="4">
        <v>4353</v>
      </c>
      <c r="BR2465">
        <v>72594</v>
      </c>
      <c r="BS2465" t="s">
        <v>3470</v>
      </c>
      <c r="BT2465">
        <v>16</v>
      </c>
      <c r="BU2465">
        <v>13</v>
      </c>
      <c r="BV2465">
        <v>3</v>
      </c>
      <c r="BX2465">
        <v>1.62</v>
      </c>
      <c r="BZ2465">
        <v>0.5</v>
      </c>
      <c r="CK2465" t="s">
        <v>360</v>
      </c>
      <c r="CM2465">
        <v>1911</v>
      </c>
    </row>
    <row r="2466" spans="1:91" x14ac:dyDescent="0.3">
      <c r="A2466" t="s">
        <v>3467</v>
      </c>
      <c r="B2466">
        <v>50492</v>
      </c>
      <c r="C2466" t="s">
        <v>1050</v>
      </c>
      <c r="D2466">
        <v>12</v>
      </c>
      <c r="I2466">
        <v>100000</v>
      </c>
      <c r="J2466" t="s">
        <v>800</v>
      </c>
      <c r="V2466" t="s">
        <v>350</v>
      </c>
      <c r="Y2466">
        <v>100</v>
      </c>
      <c r="AA2466">
        <v>88.5</v>
      </c>
      <c r="AC2466" s="3">
        <v>89.5</v>
      </c>
      <c r="AE2466" s="3">
        <v>88</v>
      </c>
      <c r="AI2466">
        <v>89.5</v>
      </c>
      <c r="AK2466" s="3"/>
      <c r="AV2466" t="s">
        <v>506</v>
      </c>
      <c r="AX2466" t="s">
        <v>506</v>
      </c>
      <c r="AZ2466" t="s">
        <v>506</v>
      </c>
      <c r="BB2466" t="s">
        <v>506</v>
      </c>
      <c r="BO2466" t="s">
        <v>367</v>
      </c>
      <c r="BR2466">
        <v>72594</v>
      </c>
      <c r="BS2466" t="s">
        <v>3470</v>
      </c>
      <c r="BT2466">
        <v>5</v>
      </c>
      <c r="BU2466">
        <v>14</v>
      </c>
      <c r="BV2466">
        <v>3</v>
      </c>
      <c r="BX2466">
        <v>89.5</v>
      </c>
      <c r="BZ2466">
        <v>84.5</v>
      </c>
      <c r="CM2466">
        <v>1911</v>
      </c>
    </row>
    <row r="2467" spans="1:91" x14ac:dyDescent="0.3">
      <c r="A2467" t="s">
        <v>3471</v>
      </c>
      <c r="B2467">
        <v>50502</v>
      </c>
      <c r="D2467">
        <v>12</v>
      </c>
      <c r="I2467">
        <v>18000</v>
      </c>
      <c r="U2467">
        <v>10</v>
      </c>
      <c r="Y2467">
        <v>10</v>
      </c>
      <c r="AA2467">
        <v>6.5</v>
      </c>
      <c r="AC2467" s="3">
        <v>7</v>
      </c>
      <c r="AE2467" s="3">
        <v>6.5</v>
      </c>
      <c r="AI2467">
        <v>6.87</v>
      </c>
      <c r="AK2467" s="3"/>
      <c r="AV2467" t="s">
        <v>815</v>
      </c>
      <c r="AX2467" t="s">
        <v>815</v>
      </c>
      <c r="AZ2467" t="s">
        <v>815</v>
      </c>
      <c r="BB2467" t="s">
        <v>815</v>
      </c>
      <c r="BG2467">
        <v>2</v>
      </c>
      <c r="BH2467">
        <v>2</v>
      </c>
      <c r="BI2467">
        <v>2</v>
      </c>
      <c r="BJ2467">
        <v>3</v>
      </c>
      <c r="BK2467" s="4">
        <v>2983</v>
      </c>
      <c r="BL2467" s="4">
        <v>3348</v>
      </c>
      <c r="BM2467" s="4">
        <v>3713</v>
      </c>
      <c r="BN2467" s="4">
        <v>4078</v>
      </c>
      <c r="BR2467">
        <v>11865</v>
      </c>
      <c r="BS2467" t="s">
        <v>3472</v>
      </c>
      <c r="BT2467">
        <v>4</v>
      </c>
      <c r="BU2467">
        <v>7</v>
      </c>
      <c r="BV2467">
        <v>3</v>
      </c>
      <c r="BX2467">
        <v>7</v>
      </c>
      <c r="BZ2467">
        <v>1.75</v>
      </c>
      <c r="CK2467" t="s">
        <v>360</v>
      </c>
      <c r="CM2467">
        <v>1911</v>
      </c>
    </row>
    <row r="2468" spans="1:91" x14ac:dyDescent="0.3">
      <c r="A2468" t="s">
        <v>3471</v>
      </c>
      <c r="B2468">
        <v>50503</v>
      </c>
      <c r="C2468" t="s">
        <v>817</v>
      </c>
      <c r="D2468">
        <v>12</v>
      </c>
      <c r="I2468">
        <v>18000</v>
      </c>
      <c r="U2468">
        <v>10</v>
      </c>
      <c r="Y2468">
        <v>10</v>
      </c>
      <c r="AA2468">
        <v>7.37</v>
      </c>
      <c r="AC2468" s="3">
        <v>7.62</v>
      </c>
      <c r="AE2468" s="3">
        <v>7.37</v>
      </c>
      <c r="AI2468">
        <v>7.62</v>
      </c>
      <c r="AK2468" s="3"/>
      <c r="AV2468" t="s">
        <v>373</v>
      </c>
      <c r="AX2468" t="s">
        <v>373</v>
      </c>
      <c r="AZ2468" t="s">
        <v>373</v>
      </c>
      <c r="BB2468" t="s">
        <v>373</v>
      </c>
      <c r="BO2468" t="s">
        <v>367</v>
      </c>
      <c r="BR2468">
        <v>11865</v>
      </c>
      <c r="BS2468" t="s">
        <v>3472</v>
      </c>
      <c r="BT2468">
        <v>6</v>
      </c>
      <c r="BU2468">
        <v>11</v>
      </c>
      <c r="BV2468">
        <v>3</v>
      </c>
      <c r="BX2468">
        <v>7.62</v>
      </c>
      <c r="BZ2468">
        <v>4.75</v>
      </c>
      <c r="CM2468">
        <v>1911</v>
      </c>
    </row>
    <row r="2469" spans="1:91" x14ac:dyDescent="0.3">
      <c r="A2469" t="s">
        <v>3473</v>
      </c>
      <c r="B2469">
        <v>50506</v>
      </c>
      <c r="D2469">
        <v>12</v>
      </c>
      <c r="I2469">
        <v>400000</v>
      </c>
      <c r="U2469">
        <v>1</v>
      </c>
      <c r="Y2469">
        <v>1</v>
      </c>
      <c r="AA2469">
        <v>1.0900000000000001</v>
      </c>
      <c r="AC2469" s="3">
        <v>1.0900000000000001</v>
      </c>
      <c r="AE2469" s="3">
        <v>1.0900000000000001</v>
      </c>
      <c r="AI2469">
        <v>1.0900000000000001</v>
      </c>
      <c r="AJ2469" t="s">
        <v>379</v>
      </c>
      <c r="AK2469" s="3"/>
      <c r="AV2469" t="s">
        <v>370</v>
      </c>
      <c r="AX2469" t="s">
        <v>370</v>
      </c>
      <c r="AZ2469" t="s">
        <v>370</v>
      </c>
      <c r="BB2469" t="s">
        <v>370</v>
      </c>
      <c r="BO2469" t="s">
        <v>367</v>
      </c>
      <c r="BR2469">
        <v>55743</v>
      </c>
      <c r="BT2469">
        <v>5</v>
      </c>
      <c r="BU2469">
        <v>13</v>
      </c>
      <c r="BV2469">
        <v>0</v>
      </c>
      <c r="BX2469">
        <v>1.1200000000000001</v>
      </c>
      <c r="BZ2469">
        <v>1</v>
      </c>
      <c r="CM2469">
        <v>1911</v>
      </c>
    </row>
    <row r="2470" spans="1:91" x14ac:dyDescent="0.3">
      <c r="A2470" t="s">
        <v>3474</v>
      </c>
      <c r="B2470">
        <v>50513</v>
      </c>
      <c r="D2470">
        <v>12</v>
      </c>
      <c r="I2470">
        <v>450000</v>
      </c>
      <c r="U2470">
        <v>1</v>
      </c>
      <c r="Y2470">
        <v>1</v>
      </c>
      <c r="AA2470">
        <v>1.0900000000000001</v>
      </c>
      <c r="AC2470" s="3">
        <v>1.0900000000000001</v>
      </c>
      <c r="AE2470" s="3">
        <v>1.03</v>
      </c>
      <c r="AI2470">
        <v>1.0900000000000001</v>
      </c>
      <c r="AK2470" s="3"/>
      <c r="AV2470" t="s">
        <v>815</v>
      </c>
      <c r="AX2470" t="s">
        <v>823</v>
      </c>
      <c r="BB2470" t="s">
        <v>823</v>
      </c>
      <c r="BG2470">
        <v>5.5</v>
      </c>
      <c r="BH2470">
        <v>5</v>
      </c>
      <c r="BI2470">
        <v>9</v>
      </c>
      <c r="BJ2470">
        <v>5</v>
      </c>
      <c r="BK2470" s="4">
        <v>3713</v>
      </c>
      <c r="BL2470" s="4">
        <v>3897</v>
      </c>
      <c r="BM2470" s="4">
        <v>4078</v>
      </c>
      <c r="BN2470" s="4">
        <v>4262</v>
      </c>
      <c r="BR2470">
        <v>115744</v>
      </c>
      <c r="BS2470" t="s">
        <v>3475</v>
      </c>
      <c r="BT2470">
        <v>7</v>
      </c>
      <c r="BU2470">
        <v>4</v>
      </c>
      <c r="BV2470">
        <v>9</v>
      </c>
      <c r="BX2470">
        <v>1.1200000000000001</v>
      </c>
      <c r="BZ2470">
        <v>0.62</v>
      </c>
      <c r="CK2470" t="s">
        <v>360</v>
      </c>
      <c r="CM2470">
        <v>1911</v>
      </c>
    </row>
    <row r="2471" spans="1:91" x14ac:dyDescent="0.3">
      <c r="A2471" t="s">
        <v>3474</v>
      </c>
      <c r="B2471">
        <v>50514</v>
      </c>
      <c r="C2471" t="s">
        <v>977</v>
      </c>
      <c r="D2471">
        <v>12</v>
      </c>
      <c r="I2471">
        <v>450000</v>
      </c>
      <c r="U2471">
        <v>1</v>
      </c>
      <c r="Y2471">
        <v>1</v>
      </c>
      <c r="AA2471">
        <v>0.81</v>
      </c>
      <c r="AC2471" s="3">
        <v>0.81</v>
      </c>
      <c r="AE2471" s="3">
        <v>0.78</v>
      </c>
      <c r="AI2471">
        <v>0.81</v>
      </c>
      <c r="AK2471" s="3"/>
      <c r="BG2471">
        <v>4.5</v>
      </c>
      <c r="BH2471">
        <v>4.5</v>
      </c>
      <c r="BI2471">
        <v>4.5</v>
      </c>
      <c r="BJ2471">
        <v>4.5</v>
      </c>
      <c r="BK2471" s="4">
        <v>3713</v>
      </c>
      <c r="BL2471" s="4">
        <v>3897</v>
      </c>
      <c r="BM2471" s="4">
        <v>4078</v>
      </c>
      <c r="BN2471" s="4">
        <v>4262</v>
      </c>
      <c r="BR2471">
        <v>115744</v>
      </c>
      <c r="BS2471" t="s">
        <v>3475</v>
      </c>
      <c r="BT2471">
        <v>5</v>
      </c>
      <c r="BU2471">
        <v>10</v>
      </c>
      <c r="BV2471">
        <v>9</v>
      </c>
      <c r="BX2471">
        <v>0.84</v>
      </c>
      <c r="BZ2471">
        <v>0.68</v>
      </c>
      <c r="CM2471">
        <v>1911</v>
      </c>
    </row>
    <row r="2472" spans="1:91" x14ac:dyDescent="0.3">
      <c r="A2472" t="s">
        <v>3474</v>
      </c>
      <c r="B2472">
        <v>50512</v>
      </c>
      <c r="C2472" t="s">
        <v>3476</v>
      </c>
      <c r="D2472">
        <v>12</v>
      </c>
      <c r="I2472">
        <v>900000</v>
      </c>
      <c r="J2472" t="s">
        <v>800</v>
      </c>
      <c r="V2472" t="s">
        <v>350</v>
      </c>
      <c r="Y2472">
        <v>100</v>
      </c>
      <c r="AA2472">
        <v>90.5</v>
      </c>
      <c r="AC2472" s="3">
        <v>91.25</v>
      </c>
      <c r="AE2472" s="3">
        <v>89</v>
      </c>
      <c r="AI2472">
        <v>90.5</v>
      </c>
      <c r="AK2472" s="3"/>
      <c r="BG2472">
        <v>4</v>
      </c>
      <c r="BH2472">
        <v>4</v>
      </c>
      <c r="BI2472">
        <v>4</v>
      </c>
      <c r="BJ2472">
        <v>4</v>
      </c>
      <c r="BK2472" s="4">
        <v>3713</v>
      </c>
      <c r="BL2472" s="4">
        <v>3897</v>
      </c>
      <c r="BM2472" s="4">
        <v>4078</v>
      </c>
      <c r="BN2472" s="4">
        <v>4262</v>
      </c>
      <c r="BR2472">
        <v>115744</v>
      </c>
      <c r="BS2472" t="s">
        <v>3475</v>
      </c>
      <c r="BT2472">
        <v>4</v>
      </c>
      <c r="BU2472">
        <v>9</v>
      </c>
      <c r="BV2472">
        <v>9</v>
      </c>
      <c r="BX2472">
        <v>92</v>
      </c>
      <c r="BZ2472">
        <v>86.5</v>
      </c>
      <c r="CM2472">
        <v>1911</v>
      </c>
    </row>
    <row r="2473" spans="1:91" x14ac:dyDescent="0.3">
      <c r="A2473" t="s">
        <v>3477</v>
      </c>
      <c r="B2473">
        <v>50473</v>
      </c>
      <c r="D2473">
        <v>12</v>
      </c>
      <c r="I2473">
        <v>22000</v>
      </c>
      <c r="U2473">
        <v>5</v>
      </c>
      <c r="Y2473">
        <v>5</v>
      </c>
      <c r="AA2473">
        <v>0.87</v>
      </c>
      <c r="AC2473" s="3">
        <v>0.87</v>
      </c>
      <c r="AE2473" s="3">
        <v>0.87</v>
      </c>
      <c r="AI2473">
        <v>0.87</v>
      </c>
      <c r="AK2473" s="3"/>
      <c r="BB2473" t="s">
        <v>810</v>
      </c>
      <c r="BG2473">
        <v>5</v>
      </c>
      <c r="BH2473">
        <v>6</v>
      </c>
      <c r="BI2473">
        <v>5</v>
      </c>
      <c r="BK2473" s="4">
        <v>1979</v>
      </c>
      <c r="BL2473" s="4">
        <v>2313</v>
      </c>
      <c r="BM2473" s="4">
        <v>2678</v>
      </c>
      <c r="BR2473">
        <v>143</v>
      </c>
      <c r="BW2473" t="s">
        <v>802</v>
      </c>
      <c r="BX2473">
        <v>0.87</v>
      </c>
      <c r="BZ2473">
        <v>0.5</v>
      </c>
      <c r="CK2473" t="s">
        <v>360</v>
      </c>
      <c r="CL2473" t="s">
        <v>457</v>
      </c>
      <c r="CM2473">
        <v>1911</v>
      </c>
    </row>
    <row r="2474" spans="1:91" x14ac:dyDescent="0.3">
      <c r="A2474" t="s">
        <v>3478</v>
      </c>
      <c r="B2474">
        <v>50545</v>
      </c>
      <c r="D2474">
        <v>12</v>
      </c>
      <c r="I2474">
        <v>12500</v>
      </c>
      <c r="U2474">
        <v>10</v>
      </c>
      <c r="Y2474">
        <v>10</v>
      </c>
      <c r="AA2474">
        <v>3</v>
      </c>
      <c r="AC2474" s="3">
        <v>3</v>
      </c>
      <c r="AE2474" s="3">
        <v>2.25</v>
      </c>
      <c r="AI2474">
        <v>2.5</v>
      </c>
      <c r="AK2474" s="3"/>
      <c r="BB2474" t="s">
        <v>810</v>
      </c>
      <c r="BG2474">
        <v>6</v>
      </c>
      <c r="BH2474">
        <v>6</v>
      </c>
      <c r="BI2474">
        <v>6</v>
      </c>
      <c r="BK2474" s="4">
        <v>3470</v>
      </c>
      <c r="BL2474" s="4">
        <v>3654</v>
      </c>
      <c r="BM2474" s="4">
        <v>3835</v>
      </c>
      <c r="BR2474">
        <v>31</v>
      </c>
      <c r="BW2474" t="s">
        <v>802</v>
      </c>
      <c r="BX2474">
        <v>4</v>
      </c>
      <c r="BZ2474">
        <v>2.25</v>
      </c>
      <c r="CK2474" t="s">
        <v>360</v>
      </c>
      <c r="CM2474">
        <v>1911</v>
      </c>
    </row>
    <row r="2475" spans="1:91" x14ac:dyDescent="0.3">
      <c r="A2475" t="s">
        <v>3479</v>
      </c>
      <c r="B2475">
        <v>50557</v>
      </c>
      <c r="D2475">
        <v>12</v>
      </c>
      <c r="I2475">
        <v>40000</v>
      </c>
      <c r="U2475">
        <v>5</v>
      </c>
      <c r="Y2475">
        <v>5</v>
      </c>
      <c r="AA2475">
        <v>1.5</v>
      </c>
      <c r="AC2475" s="3">
        <v>1.5</v>
      </c>
      <c r="AE2475" s="3">
        <v>1.5</v>
      </c>
      <c r="AI2475">
        <v>1.5</v>
      </c>
      <c r="AK2475" s="3"/>
      <c r="BB2475" t="s">
        <v>815</v>
      </c>
      <c r="BG2475">
        <v>2.5</v>
      </c>
      <c r="BH2475">
        <v>2</v>
      </c>
      <c r="BI2475">
        <v>2.5</v>
      </c>
      <c r="BJ2475">
        <v>2</v>
      </c>
      <c r="BK2475" s="4">
        <v>2983</v>
      </c>
      <c r="BL2475" s="4">
        <v>3348</v>
      </c>
      <c r="BM2475" s="4">
        <v>3713</v>
      </c>
      <c r="BN2475" s="4">
        <v>4078</v>
      </c>
      <c r="BR2475">
        <v>46165</v>
      </c>
      <c r="BS2475" t="s">
        <v>3480</v>
      </c>
      <c r="BT2475">
        <v>6</v>
      </c>
      <c r="BU2475">
        <v>13</v>
      </c>
      <c r="BV2475">
        <v>3</v>
      </c>
      <c r="BX2475">
        <v>1.5</v>
      </c>
      <c r="BZ2475">
        <v>1.06</v>
      </c>
      <c r="CK2475" t="s">
        <v>360</v>
      </c>
      <c r="CM2475">
        <v>1911</v>
      </c>
    </row>
    <row r="2476" spans="1:91" x14ac:dyDescent="0.3">
      <c r="A2476" t="s">
        <v>3479</v>
      </c>
      <c r="B2476">
        <v>50558</v>
      </c>
      <c r="C2476" t="s">
        <v>859</v>
      </c>
      <c r="D2476">
        <v>12</v>
      </c>
      <c r="I2476">
        <v>40000</v>
      </c>
      <c r="U2476">
        <v>5</v>
      </c>
      <c r="Y2476">
        <v>5</v>
      </c>
      <c r="AA2476">
        <v>3</v>
      </c>
      <c r="AC2476" s="3">
        <v>3.06</v>
      </c>
      <c r="AE2476" s="3">
        <v>2.96</v>
      </c>
      <c r="AI2476">
        <v>3</v>
      </c>
      <c r="AK2476" s="3"/>
      <c r="AV2476" t="s">
        <v>506</v>
      </c>
      <c r="AX2476" t="s">
        <v>506</v>
      </c>
      <c r="AZ2476" t="s">
        <v>506</v>
      </c>
      <c r="BB2476" t="s">
        <v>506</v>
      </c>
      <c r="BO2476" t="s">
        <v>367</v>
      </c>
      <c r="BR2476">
        <v>46165</v>
      </c>
      <c r="BS2476" t="s">
        <v>3480</v>
      </c>
      <c r="BT2476">
        <v>9</v>
      </c>
      <c r="BU2476">
        <v>1</v>
      </c>
      <c r="BV2476">
        <v>9</v>
      </c>
      <c r="BX2476">
        <v>3.06</v>
      </c>
      <c r="BZ2476">
        <v>2</v>
      </c>
      <c r="CM2476">
        <v>1911</v>
      </c>
    </row>
    <row r="2477" spans="1:91" x14ac:dyDescent="0.3">
      <c r="A2477" t="s">
        <v>3481</v>
      </c>
      <c r="B2477">
        <v>50561</v>
      </c>
      <c r="D2477">
        <v>12</v>
      </c>
      <c r="I2477">
        <v>75000</v>
      </c>
      <c r="U2477">
        <v>1</v>
      </c>
      <c r="Y2477">
        <v>1</v>
      </c>
      <c r="AA2477">
        <v>1.1200000000000001</v>
      </c>
      <c r="AC2477" s="3">
        <v>1.1200000000000001</v>
      </c>
      <c r="AE2477" s="3">
        <v>1.03</v>
      </c>
      <c r="AI2477">
        <v>1.1200000000000001</v>
      </c>
      <c r="AJ2477" t="s">
        <v>379</v>
      </c>
      <c r="AK2477" s="3"/>
      <c r="AX2477" t="s">
        <v>823</v>
      </c>
      <c r="BB2477" t="s">
        <v>823</v>
      </c>
      <c r="BG2477">
        <v>10</v>
      </c>
      <c r="BH2477">
        <v>6</v>
      </c>
      <c r="BI2477">
        <v>10</v>
      </c>
      <c r="BJ2477">
        <v>6</v>
      </c>
      <c r="BK2477" s="4">
        <v>3835</v>
      </c>
      <c r="BL2477" s="4">
        <v>4019</v>
      </c>
      <c r="BM2477" s="4">
        <v>4200</v>
      </c>
      <c r="BN2477" s="4">
        <v>4384</v>
      </c>
      <c r="BR2477">
        <v>32472</v>
      </c>
      <c r="BS2477" t="s">
        <v>3482</v>
      </c>
      <c r="BT2477">
        <v>7</v>
      </c>
      <c r="BU2477">
        <v>2</v>
      </c>
      <c r="BV2477">
        <v>3</v>
      </c>
      <c r="BX2477">
        <v>1.18</v>
      </c>
      <c r="BZ2477">
        <v>1.03</v>
      </c>
      <c r="CK2477" t="s">
        <v>360</v>
      </c>
      <c r="CM2477">
        <v>1911</v>
      </c>
    </row>
    <row r="2478" spans="1:91" x14ac:dyDescent="0.3">
      <c r="A2478" t="s">
        <v>3481</v>
      </c>
      <c r="B2478">
        <v>50562</v>
      </c>
      <c r="C2478" t="s">
        <v>844</v>
      </c>
      <c r="D2478">
        <v>12</v>
      </c>
      <c r="I2478">
        <v>75000</v>
      </c>
      <c r="U2478">
        <v>1</v>
      </c>
      <c r="Y2478">
        <v>1</v>
      </c>
      <c r="AA2478">
        <v>1.06</v>
      </c>
      <c r="AC2478" s="3">
        <v>1.1200000000000001</v>
      </c>
      <c r="AE2478" s="3">
        <v>1.06</v>
      </c>
      <c r="AI2478">
        <v>1.06</v>
      </c>
      <c r="AJ2478" t="s">
        <v>379</v>
      </c>
      <c r="AK2478" s="3"/>
      <c r="AX2478" t="s">
        <v>823</v>
      </c>
      <c r="BB2478" t="s">
        <v>823</v>
      </c>
      <c r="BG2478">
        <v>6</v>
      </c>
      <c r="BH2478">
        <v>6</v>
      </c>
      <c r="BI2478">
        <v>6</v>
      </c>
      <c r="BJ2478">
        <v>6</v>
      </c>
      <c r="BK2478" s="4">
        <v>3835</v>
      </c>
      <c r="BL2478" s="4">
        <v>4019</v>
      </c>
      <c r="BM2478" s="4">
        <v>4200</v>
      </c>
      <c r="BN2478" s="4">
        <v>4384</v>
      </c>
      <c r="BR2478">
        <v>32472</v>
      </c>
      <c r="BS2478" t="s">
        <v>3482</v>
      </c>
      <c r="BT2478">
        <v>5</v>
      </c>
      <c r="BU2478">
        <v>13</v>
      </c>
      <c r="BV2478">
        <v>0</v>
      </c>
      <c r="BX2478">
        <v>1.1200000000000001</v>
      </c>
      <c r="BZ2478">
        <v>1</v>
      </c>
      <c r="CM2478">
        <v>1911</v>
      </c>
    </row>
    <row r="2479" spans="1:91" x14ac:dyDescent="0.3">
      <c r="A2479" t="s">
        <v>3483</v>
      </c>
      <c r="B2479">
        <v>50589</v>
      </c>
      <c r="D2479">
        <v>12</v>
      </c>
      <c r="I2479">
        <v>38929</v>
      </c>
      <c r="U2479">
        <v>10</v>
      </c>
      <c r="Y2479">
        <v>10</v>
      </c>
      <c r="AA2479">
        <v>13.25</v>
      </c>
      <c r="AC2479" s="3">
        <v>13.25</v>
      </c>
      <c r="AE2479" s="3">
        <v>13.25</v>
      </c>
      <c r="AI2479">
        <v>13.25</v>
      </c>
      <c r="AK2479" s="3"/>
      <c r="BG2479">
        <v>6</v>
      </c>
      <c r="BH2479">
        <v>6</v>
      </c>
      <c r="BI2479">
        <v>6</v>
      </c>
      <c r="BJ2479">
        <v>6</v>
      </c>
      <c r="BK2479" s="4">
        <v>3744</v>
      </c>
      <c r="BL2479" s="4">
        <v>3927</v>
      </c>
      <c r="BM2479" s="4">
        <v>4109</v>
      </c>
      <c r="BN2479" s="4">
        <v>4292</v>
      </c>
      <c r="BR2479">
        <v>600000</v>
      </c>
      <c r="BT2479">
        <v>4</v>
      </c>
      <c r="BU2479">
        <v>10</v>
      </c>
      <c r="BV2479">
        <v>6</v>
      </c>
      <c r="BX2479">
        <v>14.5</v>
      </c>
      <c r="BZ2479">
        <v>13.12</v>
      </c>
      <c r="CK2479" t="s">
        <v>399</v>
      </c>
      <c r="CM2479">
        <v>1911</v>
      </c>
    </row>
    <row r="2480" spans="1:91" x14ac:dyDescent="0.3">
      <c r="A2480" t="s">
        <v>3484</v>
      </c>
      <c r="B2480">
        <v>50631</v>
      </c>
      <c r="D2480">
        <v>12</v>
      </c>
      <c r="I2480">
        <v>210000</v>
      </c>
      <c r="U2480">
        <v>1</v>
      </c>
      <c r="Y2480">
        <v>1</v>
      </c>
      <c r="AA2480">
        <v>1.06</v>
      </c>
      <c r="AC2480" s="3">
        <v>1.06</v>
      </c>
      <c r="AE2480" s="3">
        <v>1.06</v>
      </c>
      <c r="AI2480">
        <v>1.06</v>
      </c>
      <c r="AK2480" s="3"/>
      <c r="BG2480">
        <v>7</v>
      </c>
      <c r="BH2480">
        <v>7</v>
      </c>
      <c r="BI2480">
        <v>7</v>
      </c>
      <c r="BJ2480">
        <v>7</v>
      </c>
      <c r="BK2480" s="4">
        <v>3532</v>
      </c>
      <c r="BL2480" s="4">
        <v>3713</v>
      </c>
      <c r="BM2480" s="4">
        <v>3897</v>
      </c>
      <c r="BN2480" s="4">
        <v>4078</v>
      </c>
      <c r="BR2480">
        <v>111498</v>
      </c>
      <c r="BS2480" t="s">
        <v>3485</v>
      </c>
      <c r="BT2480">
        <v>6</v>
      </c>
      <c r="BU2480">
        <v>11</v>
      </c>
      <c r="BV2480">
        <v>9</v>
      </c>
      <c r="BX2480">
        <v>1.18</v>
      </c>
      <c r="BZ2480">
        <v>1.03</v>
      </c>
      <c r="CK2480" t="s">
        <v>3486</v>
      </c>
      <c r="CM2480">
        <v>1911</v>
      </c>
    </row>
    <row r="2481" spans="1:91" x14ac:dyDescent="0.3">
      <c r="A2481" t="s">
        <v>3484</v>
      </c>
      <c r="B2481">
        <v>50632</v>
      </c>
      <c r="C2481" t="s">
        <v>3487</v>
      </c>
      <c r="D2481">
        <v>12</v>
      </c>
      <c r="I2481">
        <v>325000</v>
      </c>
      <c r="J2481" t="s">
        <v>800</v>
      </c>
      <c r="V2481" t="s">
        <v>350</v>
      </c>
      <c r="Y2481">
        <v>100</v>
      </c>
      <c r="AA2481">
        <v>94.5</v>
      </c>
      <c r="AC2481" s="3">
        <v>94.5</v>
      </c>
      <c r="AE2481" s="3">
        <v>92.5</v>
      </c>
      <c r="AI2481">
        <v>92.5</v>
      </c>
      <c r="AJ2481" t="s">
        <v>379</v>
      </c>
      <c r="AK2481" s="3"/>
      <c r="AV2481" t="s">
        <v>370</v>
      </c>
      <c r="AX2481" t="s">
        <v>370</v>
      </c>
      <c r="AZ2481" t="s">
        <v>370</v>
      </c>
      <c r="BB2481" t="s">
        <v>370</v>
      </c>
      <c r="BO2481" t="s">
        <v>367</v>
      </c>
      <c r="BR2481">
        <v>111498</v>
      </c>
      <c r="BS2481" t="s">
        <v>3485</v>
      </c>
      <c r="BT2481">
        <v>4</v>
      </c>
      <c r="BU2481">
        <v>17</v>
      </c>
      <c r="BV2481">
        <v>3</v>
      </c>
      <c r="BX2481">
        <v>95.5</v>
      </c>
      <c r="BZ2481">
        <v>87.5</v>
      </c>
      <c r="CM2481">
        <v>1911</v>
      </c>
    </row>
    <row r="2482" spans="1:91" x14ac:dyDescent="0.3">
      <c r="A2482" t="s">
        <v>3488</v>
      </c>
      <c r="B2482">
        <v>50646</v>
      </c>
      <c r="D2482">
        <v>12</v>
      </c>
      <c r="I2482">
        <v>207000</v>
      </c>
      <c r="U2482">
        <v>1</v>
      </c>
      <c r="Y2482">
        <v>1</v>
      </c>
      <c r="AA2482">
        <v>2.93</v>
      </c>
      <c r="AC2482" s="3">
        <v>2.93</v>
      </c>
      <c r="AE2482" s="3">
        <v>2.93</v>
      </c>
      <c r="AI2482">
        <v>2.93</v>
      </c>
      <c r="AK2482" s="3"/>
      <c r="AX2482" t="s">
        <v>823</v>
      </c>
      <c r="BB2482" t="s">
        <v>823</v>
      </c>
      <c r="BG2482">
        <v>25</v>
      </c>
      <c r="BH2482">
        <v>12</v>
      </c>
      <c r="BI2482">
        <v>25</v>
      </c>
      <c r="BJ2482">
        <v>12</v>
      </c>
      <c r="BK2482" s="4">
        <v>3713</v>
      </c>
      <c r="BL2482" s="4">
        <v>3866</v>
      </c>
      <c r="BM2482" s="4">
        <v>4078</v>
      </c>
      <c r="BN2482" s="4">
        <v>4231</v>
      </c>
      <c r="BR2482">
        <v>75484</v>
      </c>
      <c r="BS2482" t="s">
        <v>3489</v>
      </c>
      <c r="BT2482">
        <v>6</v>
      </c>
      <c r="BU2482">
        <v>16</v>
      </c>
      <c r="BV2482">
        <v>0</v>
      </c>
      <c r="BX2482">
        <v>3.06</v>
      </c>
      <c r="BZ2482">
        <v>2.87</v>
      </c>
      <c r="CK2482" t="s">
        <v>393</v>
      </c>
      <c r="CM2482">
        <v>1911</v>
      </c>
    </row>
    <row r="2483" spans="1:91" x14ac:dyDescent="0.3">
      <c r="A2483" t="s">
        <v>3488</v>
      </c>
      <c r="B2483">
        <v>50647</v>
      </c>
      <c r="C2483" t="s">
        <v>844</v>
      </c>
      <c r="D2483">
        <v>12</v>
      </c>
      <c r="I2483">
        <v>17000</v>
      </c>
      <c r="U2483">
        <v>5</v>
      </c>
      <c r="Y2483">
        <v>5</v>
      </c>
      <c r="AA2483">
        <v>6.5</v>
      </c>
      <c r="AC2483" s="3">
        <v>6.5</v>
      </c>
      <c r="AE2483" s="3">
        <v>6.5</v>
      </c>
      <c r="AI2483">
        <v>6.5</v>
      </c>
      <c r="AK2483" s="3"/>
      <c r="AV2483" t="s">
        <v>1256</v>
      </c>
      <c r="AX2483" t="s">
        <v>1256</v>
      </c>
      <c r="AZ2483" t="s">
        <v>1256</v>
      </c>
      <c r="BB2483" t="s">
        <v>1256</v>
      </c>
      <c r="BO2483" t="s">
        <v>367</v>
      </c>
      <c r="BR2483">
        <v>75484</v>
      </c>
      <c r="BS2483" t="s">
        <v>3489</v>
      </c>
      <c r="BT2483">
        <v>4</v>
      </c>
      <c r="BU2483">
        <v>12</v>
      </c>
      <c r="BV2483">
        <v>3</v>
      </c>
      <c r="BX2483">
        <v>6.62</v>
      </c>
      <c r="BZ2483">
        <v>6.37</v>
      </c>
      <c r="CM2483">
        <v>1911</v>
      </c>
    </row>
    <row r="2484" spans="1:91" x14ac:dyDescent="0.3">
      <c r="A2484" t="s">
        <v>3490</v>
      </c>
      <c r="B2484">
        <v>50693</v>
      </c>
      <c r="D2484">
        <v>12</v>
      </c>
      <c r="I2484">
        <v>50000</v>
      </c>
      <c r="U2484">
        <v>10</v>
      </c>
      <c r="Y2484">
        <v>2</v>
      </c>
      <c r="AA2484">
        <v>4.18</v>
      </c>
      <c r="AC2484" s="3">
        <v>4.18</v>
      </c>
      <c r="AE2484" s="3">
        <v>4.18</v>
      </c>
      <c r="AI2484">
        <v>4.18</v>
      </c>
      <c r="AK2484" s="3"/>
      <c r="AV2484" t="s">
        <v>823</v>
      </c>
      <c r="AZ2484" t="s">
        <v>823</v>
      </c>
      <c r="BG2484">
        <v>10</v>
      </c>
      <c r="BH2484">
        <v>15</v>
      </c>
      <c r="BI2484">
        <v>12.5</v>
      </c>
      <c r="BJ2484">
        <v>12.5</v>
      </c>
      <c r="BK2484" s="4">
        <v>3501</v>
      </c>
      <c r="BL2484" s="4">
        <v>3685</v>
      </c>
      <c r="BM2484" s="4">
        <v>3866</v>
      </c>
      <c r="BN2484" s="4">
        <v>4050</v>
      </c>
      <c r="BR2484">
        <v>117075</v>
      </c>
      <c r="BT2484">
        <v>6</v>
      </c>
      <c r="BU2484">
        <v>0</v>
      </c>
      <c r="BV2484">
        <v>0</v>
      </c>
      <c r="BX2484">
        <v>4.3099999999999996</v>
      </c>
      <c r="BZ2484">
        <v>4.12</v>
      </c>
      <c r="CK2484" t="s">
        <v>1455</v>
      </c>
      <c r="CL2484" t="s">
        <v>457</v>
      </c>
      <c r="CM2484">
        <v>1911</v>
      </c>
    </row>
    <row r="2485" spans="1:91" x14ac:dyDescent="0.3">
      <c r="A2485" t="s">
        <v>3491</v>
      </c>
      <c r="B2485">
        <v>50657</v>
      </c>
      <c r="D2485">
        <v>12</v>
      </c>
      <c r="I2485">
        <v>12000</v>
      </c>
      <c r="U2485">
        <v>25</v>
      </c>
      <c r="Y2485">
        <v>25</v>
      </c>
      <c r="AA2485">
        <v>40.5</v>
      </c>
      <c r="AC2485" s="3">
        <v>40.5</v>
      </c>
      <c r="AE2485" s="3">
        <v>40.5</v>
      </c>
      <c r="AI2485">
        <v>40.5</v>
      </c>
      <c r="AK2485" s="3"/>
      <c r="AV2485" t="s">
        <v>823</v>
      </c>
      <c r="AZ2485" t="s">
        <v>823</v>
      </c>
      <c r="BG2485">
        <v>8</v>
      </c>
      <c r="BH2485">
        <v>8</v>
      </c>
      <c r="BI2485">
        <v>8</v>
      </c>
      <c r="BJ2485">
        <v>8</v>
      </c>
      <c r="BK2485" s="4">
        <v>3654</v>
      </c>
      <c r="BL2485" s="4">
        <v>3835</v>
      </c>
      <c r="BM2485" s="4">
        <v>4019</v>
      </c>
      <c r="BN2485" s="4">
        <v>4200</v>
      </c>
      <c r="BR2485">
        <v>236606</v>
      </c>
      <c r="BS2485" t="s">
        <v>3492</v>
      </c>
      <c r="BT2485">
        <v>4</v>
      </c>
      <c r="BU2485">
        <v>18</v>
      </c>
      <c r="BV2485">
        <v>9</v>
      </c>
      <c r="BX2485">
        <v>43.5</v>
      </c>
      <c r="BZ2485">
        <v>40</v>
      </c>
      <c r="CK2485" t="s">
        <v>388</v>
      </c>
      <c r="CM2485">
        <v>1911</v>
      </c>
    </row>
    <row r="2486" spans="1:91" x14ac:dyDescent="0.3">
      <c r="A2486" t="s">
        <v>3491</v>
      </c>
      <c r="B2486">
        <v>50659</v>
      </c>
      <c r="C2486" t="s">
        <v>844</v>
      </c>
      <c r="D2486">
        <v>12</v>
      </c>
      <c r="I2486">
        <v>25000</v>
      </c>
      <c r="U2486">
        <v>10</v>
      </c>
      <c r="Y2486">
        <v>10</v>
      </c>
      <c r="AA2486">
        <v>12.12</v>
      </c>
      <c r="AC2486" s="3">
        <v>12.12</v>
      </c>
      <c r="AE2486" s="3">
        <v>12.12</v>
      </c>
      <c r="AI2486">
        <v>12.12</v>
      </c>
      <c r="AK2486" s="3"/>
      <c r="AV2486" t="s">
        <v>370</v>
      </c>
      <c r="AX2486" t="s">
        <v>370</v>
      </c>
      <c r="AZ2486" t="s">
        <v>370</v>
      </c>
      <c r="BB2486" t="s">
        <v>370</v>
      </c>
      <c r="BO2486" t="s">
        <v>367</v>
      </c>
      <c r="BR2486">
        <v>236606</v>
      </c>
      <c r="BS2486" t="s">
        <v>3492</v>
      </c>
      <c r="BT2486">
        <v>4</v>
      </c>
      <c r="BU2486">
        <v>19</v>
      </c>
      <c r="BV2486">
        <v>0</v>
      </c>
      <c r="BX2486">
        <v>14.06</v>
      </c>
      <c r="BZ2486">
        <v>12.12</v>
      </c>
      <c r="CM2486">
        <v>1911</v>
      </c>
    </row>
    <row r="2487" spans="1:91" x14ac:dyDescent="0.3">
      <c r="A2487" t="s">
        <v>3491</v>
      </c>
      <c r="B2487">
        <v>50661</v>
      </c>
      <c r="C2487" t="s">
        <v>805</v>
      </c>
      <c r="D2487">
        <v>12</v>
      </c>
      <c r="I2487">
        <v>250000</v>
      </c>
      <c r="J2487" t="s">
        <v>800</v>
      </c>
      <c r="V2487" t="s">
        <v>350</v>
      </c>
      <c r="Y2487">
        <v>100</v>
      </c>
      <c r="AA2487">
        <v>107</v>
      </c>
      <c r="AC2487" s="3">
        <v>107</v>
      </c>
      <c r="AE2487" s="3">
        <v>107</v>
      </c>
      <c r="AI2487">
        <v>107</v>
      </c>
      <c r="AK2487" s="3"/>
      <c r="AV2487" t="s">
        <v>421</v>
      </c>
      <c r="AX2487" t="s">
        <v>421</v>
      </c>
      <c r="AZ2487" t="s">
        <v>421</v>
      </c>
      <c r="BB2487" t="s">
        <v>421</v>
      </c>
      <c r="BO2487" t="s">
        <v>367</v>
      </c>
      <c r="BR2487">
        <v>236606</v>
      </c>
      <c r="BS2487" t="s">
        <v>3492</v>
      </c>
      <c r="BT2487">
        <v>4</v>
      </c>
      <c r="BU2487">
        <v>6</v>
      </c>
      <c r="BV2487">
        <v>3</v>
      </c>
      <c r="BX2487">
        <v>109.5</v>
      </c>
      <c r="BZ2487">
        <v>107</v>
      </c>
      <c r="CM2487">
        <v>1911</v>
      </c>
    </row>
    <row r="2488" spans="1:91" x14ac:dyDescent="0.3">
      <c r="A2488" t="s">
        <v>3493</v>
      </c>
      <c r="B2488">
        <v>40033</v>
      </c>
      <c r="D2488">
        <v>12</v>
      </c>
      <c r="E2488" s="2">
        <v>1157170</v>
      </c>
      <c r="T2488" t="s">
        <v>1758</v>
      </c>
      <c r="Z2488" t="s">
        <v>1758</v>
      </c>
      <c r="AA2488">
        <v>0.37</v>
      </c>
      <c r="AC2488" s="3">
        <v>0.37</v>
      </c>
      <c r="AE2488" s="3">
        <v>0.34</v>
      </c>
      <c r="AI2488">
        <v>0.34</v>
      </c>
      <c r="AK2488" s="3"/>
      <c r="AV2488" t="s">
        <v>385</v>
      </c>
      <c r="AX2488" t="s">
        <v>385</v>
      </c>
      <c r="AZ2488" t="s">
        <v>385</v>
      </c>
      <c r="BB2488" t="s">
        <v>385</v>
      </c>
      <c r="BW2488" t="s">
        <v>802</v>
      </c>
      <c r="BX2488">
        <v>0.46</v>
      </c>
      <c r="BZ2488">
        <v>0.31</v>
      </c>
      <c r="CK2488" t="s">
        <v>360</v>
      </c>
      <c r="CM2488">
        <v>1911</v>
      </c>
    </row>
    <row r="2489" spans="1:91" x14ac:dyDescent="0.3">
      <c r="A2489" t="s">
        <v>3494</v>
      </c>
      <c r="B2489">
        <v>40043</v>
      </c>
      <c r="D2489">
        <v>12</v>
      </c>
      <c r="E2489">
        <v>400000</v>
      </c>
      <c r="S2489">
        <v>1</v>
      </c>
      <c r="Y2489">
        <v>1</v>
      </c>
      <c r="AA2489">
        <v>1.31</v>
      </c>
      <c r="AC2489" s="3">
        <v>1.31</v>
      </c>
      <c r="AE2489" s="3">
        <v>1.06</v>
      </c>
      <c r="AI2489">
        <v>1.06</v>
      </c>
      <c r="AK2489" s="3"/>
      <c r="AU2489" t="s">
        <v>1582</v>
      </c>
      <c r="AV2489" t="s">
        <v>1760</v>
      </c>
      <c r="AW2489" t="s">
        <v>1717</v>
      </c>
      <c r="AX2489" t="s">
        <v>1719</v>
      </c>
      <c r="AY2489" t="s">
        <v>1717</v>
      </c>
      <c r="AZ2489" t="s">
        <v>1719</v>
      </c>
      <c r="BA2489" t="s">
        <v>1717</v>
      </c>
      <c r="BB2489" t="s">
        <v>1719</v>
      </c>
      <c r="BC2489">
        <v>24</v>
      </c>
      <c r="BD2489">
        <v>12</v>
      </c>
      <c r="BE2489">
        <v>12</v>
      </c>
      <c r="BF2489">
        <v>12</v>
      </c>
      <c r="BK2489" s="4">
        <v>3258</v>
      </c>
      <c r="BL2489" s="4">
        <v>3623</v>
      </c>
      <c r="BM2489" s="4">
        <v>3805</v>
      </c>
      <c r="BN2489" s="4">
        <v>3988</v>
      </c>
      <c r="BT2489">
        <v>4</v>
      </c>
      <c r="BU2489">
        <v>14</v>
      </c>
      <c r="BV2489">
        <v>3</v>
      </c>
      <c r="BX2489">
        <v>2.1800000000000002</v>
      </c>
      <c r="BZ2489">
        <v>1</v>
      </c>
      <c r="CM2489">
        <v>1911</v>
      </c>
    </row>
    <row r="2490" spans="1:91" x14ac:dyDescent="0.3">
      <c r="A2490" t="s">
        <v>3495</v>
      </c>
      <c r="B2490">
        <v>40069</v>
      </c>
      <c r="D2490">
        <v>12</v>
      </c>
      <c r="E2490">
        <v>649631</v>
      </c>
      <c r="S2490">
        <v>1</v>
      </c>
      <c r="Y2490">
        <v>1</v>
      </c>
      <c r="AA2490">
        <v>0.96</v>
      </c>
      <c r="AC2490" s="3">
        <v>1</v>
      </c>
      <c r="AE2490" s="3">
        <v>0.87</v>
      </c>
      <c r="AI2490">
        <v>0.87</v>
      </c>
      <c r="AK2490" s="3"/>
      <c r="AV2490" t="s">
        <v>385</v>
      </c>
      <c r="AX2490" t="s">
        <v>385</v>
      </c>
      <c r="AZ2490" t="s">
        <v>385</v>
      </c>
      <c r="BB2490" t="s">
        <v>385</v>
      </c>
      <c r="BW2490" t="s">
        <v>802</v>
      </c>
      <c r="BX2490">
        <v>1.25</v>
      </c>
      <c r="BZ2490">
        <v>0.81</v>
      </c>
      <c r="CM2490">
        <v>1911</v>
      </c>
    </row>
    <row r="2491" spans="1:91" x14ac:dyDescent="0.3">
      <c r="A2491" t="s">
        <v>3496</v>
      </c>
      <c r="B2491">
        <v>40213</v>
      </c>
      <c r="D2491">
        <v>12</v>
      </c>
      <c r="E2491" s="2">
        <v>1532880</v>
      </c>
      <c r="S2491">
        <v>100</v>
      </c>
      <c r="T2491" t="s">
        <v>773</v>
      </c>
      <c r="Y2491">
        <v>100</v>
      </c>
      <c r="Z2491" t="s">
        <v>773</v>
      </c>
      <c r="AA2491">
        <v>64.12</v>
      </c>
      <c r="AC2491" s="3">
        <v>68.37</v>
      </c>
      <c r="AE2491" s="3">
        <v>61.87</v>
      </c>
      <c r="AI2491">
        <v>67.37</v>
      </c>
      <c r="AK2491" s="3"/>
      <c r="AV2491" t="s">
        <v>773</v>
      </c>
      <c r="AX2491" t="s">
        <v>773</v>
      </c>
      <c r="AZ2491" t="s">
        <v>773</v>
      </c>
      <c r="BB2491" t="s">
        <v>773</v>
      </c>
      <c r="BG2491">
        <v>8</v>
      </c>
      <c r="BH2491">
        <v>2</v>
      </c>
      <c r="BI2491">
        <v>2</v>
      </c>
      <c r="BJ2491">
        <v>2</v>
      </c>
      <c r="BK2491" t="s">
        <v>1702</v>
      </c>
      <c r="BL2491" t="s">
        <v>2017</v>
      </c>
      <c r="BM2491" t="s">
        <v>2018</v>
      </c>
      <c r="BN2491" t="s">
        <v>1703</v>
      </c>
      <c r="BT2491">
        <v>2</v>
      </c>
      <c r="BU2491">
        <v>19</v>
      </c>
      <c r="BV2491">
        <v>3</v>
      </c>
      <c r="BX2491">
        <v>73.5</v>
      </c>
      <c r="BZ2491">
        <v>48</v>
      </c>
      <c r="CM2491">
        <v>1911</v>
      </c>
    </row>
    <row r="2492" spans="1:91" x14ac:dyDescent="0.3">
      <c r="A2492" t="s">
        <v>3497</v>
      </c>
      <c r="B2492">
        <v>40270</v>
      </c>
      <c r="D2492">
        <v>12</v>
      </c>
      <c r="E2492" s="2">
        <v>1200000</v>
      </c>
      <c r="S2492">
        <v>25</v>
      </c>
      <c r="T2492" t="s">
        <v>773</v>
      </c>
      <c r="Y2492">
        <v>25</v>
      </c>
      <c r="Z2492" t="s">
        <v>773</v>
      </c>
      <c r="AA2492">
        <v>7.93</v>
      </c>
      <c r="AC2492" s="3">
        <v>8.31</v>
      </c>
      <c r="AE2492" s="3">
        <v>7.5</v>
      </c>
      <c r="AI2492">
        <v>7.81</v>
      </c>
      <c r="AK2492" s="3"/>
      <c r="AV2492" t="s">
        <v>615</v>
      </c>
      <c r="AX2492" t="s">
        <v>615</v>
      </c>
      <c r="AZ2492" t="s">
        <v>615</v>
      </c>
      <c r="BB2492" t="s">
        <v>615</v>
      </c>
      <c r="BG2492">
        <v>2</v>
      </c>
      <c r="BH2492">
        <v>2</v>
      </c>
      <c r="BI2492">
        <v>2</v>
      </c>
      <c r="BJ2492">
        <v>2</v>
      </c>
      <c r="BK2492" s="4">
        <v>4019</v>
      </c>
      <c r="BL2492" s="4">
        <v>4109</v>
      </c>
      <c r="BM2492" s="4">
        <v>4200</v>
      </c>
      <c r="BN2492" s="4">
        <v>4292</v>
      </c>
      <c r="BT2492">
        <v>5</v>
      </c>
      <c r="BU2492">
        <v>2</v>
      </c>
      <c r="BV2492">
        <v>3</v>
      </c>
      <c r="BX2492">
        <v>8.5299999999999994</v>
      </c>
      <c r="BZ2492">
        <v>6.15</v>
      </c>
      <c r="CK2492" t="s">
        <v>3498</v>
      </c>
      <c r="CM2492">
        <v>1911</v>
      </c>
    </row>
    <row r="2493" spans="1:91" x14ac:dyDescent="0.3">
      <c r="A2493" t="s">
        <v>3499</v>
      </c>
      <c r="B2493">
        <v>40400</v>
      </c>
      <c r="D2493">
        <v>12</v>
      </c>
      <c r="E2493">
        <v>300000</v>
      </c>
      <c r="S2493">
        <v>1</v>
      </c>
      <c r="Y2493">
        <v>1</v>
      </c>
      <c r="AA2493">
        <v>2.25</v>
      </c>
      <c r="AC2493" s="3">
        <v>2.25</v>
      </c>
      <c r="AE2493" s="3">
        <v>1.75</v>
      </c>
      <c r="AI2493">
        <v>1.81</v>
      </c>
      <c r="AK2493" s="3"/>
      <c r="AU2493" t="s">
        <v>1717</v>
      </c>
      <c r="AV2493" t="s">
        <v>1719</v>
      </c>
      <c r="AW2493" t="s">
        <v>1717</v>
      </c>
      <c r="AX2493" t="s">
        <v>1719</v>
      </c>
      <c r="AY2493" t="s">
        <v>1717</v>
      </c>
      <c r="AZ2493" t="s">
        <v>1719</v>
      </c>
      <c r="BA2493" t="s">
        <v>1717</v>
      </c>
      <c r="BB2493" t="s">
        <v>1719</v>
      </c>
      <c r="BC2493">
        <v>12</v>
      </c>
      <c r="BD2493">
        <v>12</v>
      </c>
      <c r="BE2493">
        <v>12</v>
      </c>
      <c r="BF2493">
        <v>12</v>
      </c>
      <c r="BK2493" s="4">
        <v>3866</v>
      </c>
      <c r="BL2493" s="4">
        <v>4050</v>
      </c>
      <c r="BM2493" s="4">
        <v>4231</v>
      </c>
      <c r="BN2493" s="4">
        <v>4415</v>
      </c>
      <c r="BT2493">
        <v>5</v>
      </c>
      <c r="BU2493">
        <v>18</v>
      </c>
      <c r="BV2493">
        <v>6</v>
      </c>
      <c r="BX2493">
        <v>3.93</v>
      </c>
      <c r="BZ2493">
        <v>2.06</v>
      </c>
      <c r="CK2493" t="s">
        <v>360</v>
      </c>
      <c r="CM2493">
        <v>1911</v>
      </c>
    </row>
    <row r="2494" spans="1:91" x14ac:dyDescent="0.3">
      <c r="A2494" t="s">
        <v>3500</v>
      </c>
      <c r="B2494">
        <v>40444</v>
      </c>
      <c r="D2494">
        <v>12</v>
      </c>
      <c r="E2494" s="2">
        <v>1519900</v>
      </c>
      <c r="T2494" t="s">
        <v>1548</v>
      </c>
      <c r="Z2494" t="s">
        <v>1548</v>
      </c>
      <c r="AA2494">
        <v>1.62</v>
      </c>
      <c r="AC2494" s="3">
        <v>1.68</v>
      </c>
      <c r="AE2494" s="3">
        <v>1.56</v>
      </c>
      <c r="AI2494">
        <v>1.62</v>
      </c>
      <c r="AK2494" s="3"/>
      <c r="AU2494" t="s">
        <v>1623</v>
      </c>
      <c r="AV2494" s="5">
        <v>40603</v>
      </c>
      <c r="AW2494" t="s">
        <v>1623</v>
      </c>
      <c r="AX2494" s="5">
        <v>40603</v>
      </c>
      <c r="AY2494" t="s">
        <v>1623</v>
      </c>
      <c r="AZ2494" s="5">
        <v>40603</v>
      </c>
      <c r="BA2494" t="s">
        <v>1623</v>
      </c>
      <c r="BB2494" s="5">
        <v>40603</v>
      </c>
      <c r="BC2494">
        <v>15</v>
      </c>
      <c r="BD2494">
        <v>15</v>
      </c>
      <c r="BE2494">
        <v>15</v>
      </c>
      <c r="BF2494">
        <v>15</v>
      </c>
      <c r="BK2494" s="4">
        <v>3685</v>
      </c>
      <c r="BL2494" s="4">
        <v>3835</v>
      </c>
      <c r="BM2494" s="4">
        <v>4050</v>
      </c>
      <c r="BN2494" s="4">
        <v>4200</v>
      </c>
      <c r="BT2494">
        <v>7</v>
      </c>
      <c r="BU2494">
        <v>13</v>
      </c>
      <c r="BV2494">
        <v>9</v>
      </c>
      <c r="BX2494">
        <v>1.75</v>
      </c>
      <c r="BZ2494">
        <v>1.31</v>
      </c>
      <c r="CK2494" t="s">
        <v>454</v>
      </c>
      <c r="CM2494">
        <v>1911</v>
      </c>
    </row>
    <row r="2495" spans="1:91" x14ac:dyDescent="0.3">
      <c r="A2495" t="s">
        <v>3501</v>
      </c>
      <c r="B2495">
        <v>40511</v>
      </c>
      <c r="D2495">
        <v>12</v>
      </c>
      <c r="E2495" s="2">
        <v>1071470</v>
      </c>
      <c r="T2495" t="s">
        <v>3283</v>
      </c>
      <c r="Z2495" t="s">
        <v>3283</v>
      </c>
      <c r="AA2495">
        <v>1.56</v>
      </c>
      <c r="AC2495" s="3">
        <v>1.56</v>
      </c>
      <c r="AE2495" s="3">
        <v>1.21</v>
      </c>
      <c r="AI2495">
        <v>1.21</v>
      </c>
      <c r="AJ2495" t="s">
        <v>379</v>
      </c>
      <c r="AK2495" s="3"/>
      <c r="AU2495" t="s">
        <v>1717</v>
      </c>
      <c r="AV2495" t="s">
        <v>1719</v>
      </c>
      <c r="AW2495" t="s">
        <v>1717</v>
      </c>
      <c r="AX2495" t="s">
        <v>1719</v>
      </c>
      <c r="AY2495" t="s">
        <v>1717</v>
      </c>
      <c r="AZ2495" t="s">
        <v>1719</v>
      </c>
      <c r="BA2495" t="s">
        <v>1622</v>
      </c>
      <c r="BB2495" s="5">
        <v>40695</v>
      </c>
      <c r="BC2495">
        <v>12</v>
      </c>
      <c r="BD2495">
        <v>12</v>
      </c>
      <c r="BE2495">
        <v>12</v>
      </c>
      <c r="BF2495">
        <v>18</v>
      </c>
      <c r="BK2495" s="4">
        <v>3988</v>
      </c>
      <c r="BL2495" s="4">
        <v>4109</v>
      </c>
      <c r="BM2495" s="4">
        <v>4231</v>
      </c>
      <c r="BN2495" s="4">
        <v>4353</v>
      </c>
      <c r="BT2495">
        <v>14</v>
      </c>
      <c r="BU2495">
        <v>7</v>
      </c>
      <c r="BV2495">
        <v>3</v>
      </c>
      <c r="BX2495">
        <v>2.09</v>
      </c>
      <c r="BZ2495">
        <v>1.21</v>
      </c>
      <c r="CM2495">
        <v>1911</v>
      </c>
    </row>
    <row r="2496" spans="1:91" x14ac:dyDescent="0.3">
      <c r="A2496" t="s">
        <v>3502</v>
      </c>
      <c r="B2496">
        <v>40595</v>
      </c>
      <c r="D2496">
        <v>12</v>
      </c>
      <c r="E2496">
        <v>495364</v>
      </c>
      <c r="S2496">
        <v>1</v>
      </c>
      <c r="Y2496">
        <v>1</v>
      </c>
      <c r="AA2496">
        <v>0.34</v>
      </c>
      <c r="AC2496" s="3">
        <v>0.34</v>
      </c>
      <c r="AE2496" s="3">
        <v>0.34</v>
      </c>
      <c r="AI2496">
        <v>0.34</v>
      </c>
      <c r="AK2496" s="3"/>
      <c r="AU2496" t="s">
        <v>1717</v>
      </c>
      <c r="AV2496" t="s">
        <v>1719</v>
      </c>
      <c r="AW2496" t="s">
        <v>1717</v>
      </c>
      <c r="AX2496" t="s">
        <v>1719</v>
      </c>
      <c r="AY2496" t="s">
        <v>1717</v>
      </c>
      <c r="AZ2496" t="s">
        <v>1719</v>
      </c>
      <c r="BB2496" t="s">
        <v>810</v>
      </c>
      <c r="BC2496">
        <v>12</v>
      </c>
      <c r="BD2496">
        <v>12</v>
      </c>
      <c r="BE2496">
        <v>12</v>
      </c>
      <c r="BK2496" s="4">
        <v>3228</v>
      </c>
      <c r="BL2496" s="4">
        <v>3409</v>
      </c>
      <c r="BM2496" s="4">
        <v>3593</v>
      </c>
      <c r="BW2496" t="s">
        <v>802</v>
      </c>
      <c r="BX2496">
        <v>0.46</v>
      </c>
      <c r="BZ2496">
        <v>0.31</v>
      </c>
      <c r="CK2496" t="s">
        <v>360</v>
      </c>
      <c r="CM2496">
        <v>1911</v>
      </c>
    </row>
    <row r="2497" spans="1:91" x14ac:dyDescent="0.3">
      <c r="A2497" t="s">
        <v>3503</v>
      </c>
      <c r="B2497">
        <v>40579</v>
      </c>
      <c r="D2497">
        <v>12</v>
      </c>
      <c r="E2497">
        <v>350000</v>
      </c>
      <c r="S2497">
        <v>1</v>
      </c>
      <c r="Y2497">
        <v>1</v>
      </c>
      <c r="AA2497">
        <v>0.25</v>
      </c>
      <c r="AC2497" s="3">
        <v>0.34</v>
      </c>
      <c r="AE2497" s="3">
        <v>0.25</v>
      </c>
      <c r="AI2497">
        <v>0.34</v>
      </c>
      <c r="AK2497" s="3"/>
      <c r="AU2497" t="s">
        <v>1582</v>
      </c>
      <c r="AV2497" t="s">
        <v>1760</v>
      </c>
      <c r="AW2497" t="s">
        <v>1465</v>
      </c>
      <c r="AX2497" t="s">
        <v>1466</v>
      </c>
      <c r="AY2497" t="s">
        <v>1717</v>
      </c>
      <c r="AZ2497" t="s">
        <v>1719</v>
      </c>
      <c r="BA2497" t="s">
        <v>2340</v>
      </c>
      <c r="BB2497" t="s">
        <v>2341</v>
      </c>
      <c r="BC2497">
        <v>24</v>
      </c>
      <c r="BD2497">
        <v>36</v>
      </c>
      <c r="BE2497">
        <v>12</v>
      </c>
      <c r="BF2497">
        <v>6</v>
      </c>
      <c r="BK2497" s="4">
        <v>3105</v>
      </c>
      <c r="BL2497" s="4">
        <v>3289</v>
      </c>
      <c r="BM2497" s="4">
        <v>3654</v>
      </c>
      <c r="BN2497" s="4">
        <v>4019</v>
      </c>
      <c r="BT2497">
        <v>10</v>
      </c>
      <c r="BU2497">
        <v>0</v>
      </c>
      <c r="BV2497">
        <v>0</v>
      </c>
      <c r="BX2497">
        <v>0.34</v>
      </c>
      <c r="BZ2497">
        <v>0.21</v>
      </c>
      <c r="CK2497" t="s">
        <v>360</v>
      </c>
      <c r="CM2497">
        <v>1911</v>
      </c>
    </row>
    <row r="2498" spans="1:91" x14ac:dyDescent="0.3">
      <c r="A2498" t="s">
        <v>3504</v>
      </c>
      <c r="B2498">
        <v>40683</v>
      </c>
      <c r="D2498">
        <v>12</v>
      </c>
      <c r="E2498">
        <v>212686</v>
      </c>
      <c r="S2498">
        <v>1</v>
      </c>
      <c r="Y2498">
        <v>1</v>
      </c>
      <c r="AA2498">
        <v>0.43</v>
      </c>
      <c r="AC2498" s="3">
        <v>0.43</v>
      </c>
      <c r="AE2498" s="3">
        <v>0.4</v>
      </c>
      <c r="AI2498">
        <v>0.4</v>
      </c>
      <c r="AK2498" s="3"/>
      <c r="AV2498" t="s">
        <v>385</v>
      </c>
      <c r="AX2498" t="s">
        <v>385</v>
      </c>
      <c r="AZ2498" t="s">
        <v>385</v>
      </c>
      <c r="BB2498" t="s">
        <v>385</v>
      </c>
      <c r="BW2498" t="s">
        <v>802</v>
      </c>
      <c r="BX2498">
        <v>0.93</v>
      </c>
      <c r="BZ2498">
        <v>0.4</v>
      </c>
      <c r="CM2498">
        <v>1911</v>
      </c>
    </row>
    <row r="2499" spans="1:91" x14ac:dyDescent="0.3">
      <c r="A2499" t="s">
        <v>3505</v>
      </c>
      <c r="B2499">
        <v>40760</v>
      </c>
      <c r="D2499">
        <v>12</v>
      </c>
      <c r="E2499">
        <v>212600</v>
      </c>
      <c r="S2499">
        <v>1</v>
      </c>
      <c r="Y2499">
        <v>1</v>
      </c>
      <c r="AA2499">
        <v>0.15</v>
      </c>
      <c r="AC2499" s="3">
        <v>0.15</v>
      </c>
      <c r="AE2499" s="3">
        <v>0.12</v>
      </c>
      <c r="AI2499">
        <v>0.12</v>
      </c>
      <c r="AK2499" s="3"/>
      <c r="AU2499" t="s">
        <v>2340</v>
      </c>
      <c r="AV2499" t="s">
        <v>2341</v>
      </c>
      <c r="AW2499" t="s">
        <v>1623</v>
      </c>
      <c r="AX2499" s="5">
        <v>40603</v>
      </c>
      <c r="AY2499" t="s">
        <v>1623</v>
      </c>
      <c r="AZ2499" s="5">
        <v>40603</v>
      </c>
      <c r="BB2499" t="s">
        <v>810</v>
      </c>
      <c r="BC2499">
        <v>6</v>
      </c>
      <c r="BD2499">
        <v>15</v>
      </c>
      <c r="BE2499">
        <v>15</v>
      </c>
      <c r="BK2499" s="4">
        <v>2374</v>
      </c>
      <c r="BL2499" s="4">
        <v>2497</v>
      </c>
      <c r="BM2499" s="4">
        <v>2617</v>
      </c>
      <c r="BW2499" t="s">
        <v>802</v>
      </c>
      <c r="BX2499">
        <v>0.21</v>
      </c>
      <c r="BZ2499">
        <v>0.09</v>
      </c>
      <c r="CK2499" t="s">
        <v>360</v>
      </c>
      <c r="CM2499">
        <v>1911</v>
      </c>
    </row>
    <row r="2500" spans="1:91" x14ac:dyDescent="0.3">
      <c r="A2500" t="s">
        <v>3505</v>
      </c>
      <c r="B2500">
        <v>40761</v>
      </c>
      <c r="C2500" t="s">
        <v>3506</v>
      </c>
      <c r="D2500">
        <v>12</v>
      </c>
      <c r="E2500">
        <v>95400</v>
      </c>
      <c r="S2500">
        <v>1</v>
      </c>
      <c r="Y2500">
        <v>1</v>
      </c>
      <c r="AA2500">
        <v>0.18</v>
      </c>
      <c r="AC2500" s="3">
        <v>0.25</v>
      </c>
      <c r="AE2500" s="3">
        <v>0.18</v>
      </c>
      <c r="AI2500">
        <v>0.18</v>
      </c>
      <c r="AK2500" s="3"/>
      <c r="AU2500" t="s">
        <v>1623</v>
      </c>
      <c r="AV2500" s="5">
        <v>40603</v>
      </c>
      <c r="AW2500" t="s">
        <v>1623</v>
      </c>
      <c r="AX2500" s="5">
        <v>40603</v>
      </c>
      <c r="AY2500" t="s">
        <v>1582</v>
      </c>
      <c r="AZ2500" t="s">
        <v>1760</v>
      </c>
      <c r="BB2500" t="s">
        <v>810</v>
      </c>
      <c r="BC2500">
        <v>15</v>
      </c>
      <c r="BD2500">
        <v>15</v>
      </c>
      <c r="BE2500">
        <v>24</v>
      </c>
      <c r="BK2500" s="4">
        <v>2497</v>
      </c>
      <c r="BL2500" s="4">
        <v>2617</v>
      </c>
      <c r="BM2500" s="4">
        <v>2983</v>
      </c>
      <c r="BW2500" t="s">
        <v>802</v>
      </c>
      <c r="BX2500">
        <v>0.37</v>
      </c>
      <c r="BZ2500">
        <v>0.18</v>
      </c>
      <c r="CM2500">
        <v>1911</v>
      </c>
    </row>
    <row r="2501" spans="1:91" x14ac:dyDescent="0.3">
      <c r="A2501" t="s">
        <v>3507</v>
      </c>
      <c r="B2501">
        <v>40793</v>
      </c>
      <c r="D2501">
        <v>12</v>
      </c>
      <c r="E2501">
        <v>502306</v>
      </c>
      <c r="S2501">
        <v>1</v>
      </c>
      <c r="Y2501">
        <v>1</v>
      </c>
      <c r="AA2501">
        <v>1.18</v>
      </c>
      <c r="AC2501" s="3">
        <v>1.25</v>
      </c>
      <c r="AE2501" s="3">
        <v>1.18</v>
      </c>
      <c r="AI2501">
        <v>1.18</v>
      </c>
      <c r="AK2501" s="3"/>
      <c r="AV2501" t="s">
        <v>385</v>
      </c>
      <c r="AX2501" t="s">
        <v>385</v>
      </c>
      <c r="AZ2501" t="s">
        <v>385</v>
      </c>
      <c r="BB2501" t="s">
        <v>385</v>
      </c>
      <c r="BW2501" t="s">
        <v>802</v>
      </c>
      <c r="BX2501">
        <v>1.93</v>
      </c>
      <c r="BZ2501">
        <v>1</v>
      </c>
      <c r="CK2501" t="s">
        <v>360</v>
      </c>
      <c r="CM2501">
        <v>1911</v>
      </c>
    </row>
    <row r="2502" spans="1:91" x14ac:dyDescent="0.3">
      <c r="A2502" t="s">
        <v>3508</v>
      </c>
      <c r="B2502">
        <v>40828</v>
      </c>
      <c r="D2502">
        <v>12</v>
      </c>
      <c r="E2502">
        <v>160000</v>
      </c>
      <c r="S2502">
        <v>1</v>
      </c>
      <c r="Y2502">
        <v>1</v>
      </c>
      <c r="AA2502">
        <v>0.31</v>
      </c>
      <c r="AC2502" s="3">
        <v>0.31</v>
      </c>
      <c r="AE2502" s="3">
        <v>0.31</v>
      </c>
      <c r="AI2502">
        <v>0.31</v>
      </c>
      <c r="AK2502" s="3"/>
      <c r="AV2502" t="s">
        <v>385</v>
      </c>
      <c r="AX2502" t="s">
        <v>385</v>
      </c>
      <c r="AZ2502" t="s">
        <v>385</v>
      </c>
      <c r="BB2502" t="s">
        <v>385</v>
      </c>
      <c r="BW2502" t="s">
        <v>802</v>
      </c>
      <c r="BX2502">
        <v>0.81</v>
      </c>
      <c r="BZ2502">
        <v>0.31</v>
      </c>
      <c r="CM2502">
        <v>1911</v>
      </c>
    </row>
    <row r="2503" spans="1:91" x14ac:dyDescent="0.3">
      <c r="A2503" t="s">
        <v>3509</v>
      </c>
      <c r="B2503">
        <v>40903</v>
      </c>
      <c r="D2503">
        <v>12</v>
      </c>
      <c r="E2503">
        <v>400000</v>
      </c>
      <c r="T2503" t="s">
        <v>1758</v>
      </c>
      <c r="Z2503" t="s">
        <v>1758</v>
      </c>
      <c r="AA2503">
        <v>0.4</v>
      </c>
      <c r="AC2503" s="3">
        <v>0.4</v>
      </c>
      <c r="AE2503" s="3">
        <v>0.34</v>
      </c>
      <c r="AI2503">
        <v>0.34</v>
      </c>
      <c r="AK2503" s="3"/>
      <c r="AX2503" t="s">
        <v>615</v>
      </c>
      <c r="AZ2503" t="s">
        <v>615</v>
      </c>
      <c r="BB2503" t="s">
        <v>615</v>
      </c>
      <c r="BG2503">
        <v>4</v>
      </c>
      <c r="BH2503">
        <v>6</v>
      </c>
      <c r="BI2503">
        <v>6</v>
      </c>
      <c r="BK2503" s="4">
        <v>3014</v>
      </c>
      <c r="BL2503" s="4">
        <v>3501</v>
      </c>
      <c r="BM2503" s="4">
        <v>3866</v>
      </c>
      <c r="BN2503" s="4">
        <v>4200</v>
      </c>
      <c r="BT2503">
        <v>8</v>
      </c>
      <c r="BU2503">
        <v>14</v>
      </c>
      <c r="BV2503">
        <v>3</v>
      </c>
      <c r="BX2503">
        <v>0.65</v>
      </c>
      <c r="BZ2503">
        <v>0.34</v>
      </c>
      <c r="CK2503" t="s">
        <v>360</v>
      </c>
      <c r="CM2503">
        <v>1911</v>
      </c>
    </row>
    <row r="2504" spans="1:91" x14ac:dyDescent="0.3">
      <c r="A2504" t="s">
        <v>3510</v>
      </c>
      <c r="B2504">
        <v>41322</v>
      </c>
      <c r="D2504">
        <v>12</v>
      </c>
      <c r="E2504">
        <v>750000</v>
      </c>
      <c r="S2504">
        <v>1</v>
      </c>
      <c r="Y2504">
        <v>1</v>
      </c>
      <c r="AA2504">
        <v>2.81</v>
      </c>
      <c r="AC2504" s="3">
        <v>2.81</v>
      </c>
      <c r="AE2504" s="3">
        <v>2.62</v>
      </c>
      <c r="AI2504">
        <v>2.62</v>
      </c>
      <c r="AK2504" s="3"/>
      <c r="AV2504" t="s">
        <v>385</v>
      </c>
      <c r="AX2504" t="s">
        <v>385</v>
      </c>
      <c r="AZ2504" t="s">
        <v>385</v>
      </c>
      <c r="BB2504" t="s">
        <v>385</v>
      </c>
      <c r="BW2504" t="s">
        <v>802</v>
      </c>
      <c r="BX2504">
        <v>3</v>
      </c>
      <c r="BZ2504">
        <v>2.5</v>
      </c>
      <c r="CK2504" t="s">
        <v>360</v>
      </c>
      <c r="CM2504">
        <v>1911</v>
      </c>
    </row>
    <row r="2505" spans="1:91" x14ac:dyDescent="0.3">
      <c r="A2505" t="s">
        <v>3511</v>
      </c>
      <c r="B2505">
        <v>41423</v>
      </c>
      <c r="D2505">
        <v>12</v>
      </c>
      <c r="E2505">
        <v>144000</v>
      </c>
      <c r="S2505">
        <v>0.5</v>
      </c>
      <c r="Y2505">
        <v>0.5</v>
      </c>
      <c r="AA2505">
        <v>0.03</v>
      </c>
      <c r="AC2505" s="3">
        <v>0.03</v>
      </c>
      <c r="AE2505" s="3">
        <v>0.03</v>
      </c>
      <c r="AI2505">
        <v>0.03</v>
      </c>
      <c r="AK2505" s="3"/>
      <c r="AU2505" t="s">
        <v>2340</v>
      </c>
      <c r="AV2505" t="s">
        <v>2341</v>
      </c>
      <c r="AW2505" t="s">
        <v>2340</v>
      </c>
      <c r="AX2505" t="s">
        <v>2341</v>
      </c>
      <c r="AY2505" t="s">
        <v>2340</v>
      </c>
      <c r="AZ2505" t="s">
        <v>2341</v>
      </c>
      <c r="BB2505" t="s">
        <v>810</v>
      </c>
      <c r="BC2505">
        <v>6</v>
      </c>
      <c r="BD2505">
        <v>6</v>
      </c>
      <c r="BE2505">
        <v>6</v>
      </c>
      <c r="BK2505" s="4">
        <v>2527</v>
      </c>
      <c r="BL2505" s="4">
        <v>2617</v>
      </c>
      <c r="BM2505" s="4">
        <v>4200</v>
      </c>
      <c r="BW2505" t="s">
        <v>802</v>
      </c>
      <c r="BX2505">
        <v>0.06</v>
      </c>
      <c r="BZ2505">
        <v>0.03</v>
      </c>
      <c r="CK2505" t="s">
        <v>3512</v>
      </c>
      <c r="CM2505">
        <v>1911</v>
      </c>
    </row>
    <row r="2506" spans="1:91" x14ac:dyDescent="0.3">
      <c r="A2506" t="s">
        <v>3513</v>
      </c>
      <c r="B2506">
        <v>41439</v>
      </c>
      <c r="D2506">
        <v>12</v>
      </c>
      <c r="E2506">
        <v>600000</v>
      </c>
      <c r="S2506">
        <v>1</v>
      </c>
      <c r="Y2506">
        <v>1</v>
      </c>
      <c r="AA2506">
        <v>0.4</v>
      </c>
      <c r="AC2506" s="3">
        <v>0.46</v>
      </c>
      <c r="AE2506" s="3">
        <v>0.4</v>
      </c>
      <c r="AI2506">
        <v>0.46</v>
      </c>
      <c r="AJ2506" t="s">
        <v>379</v>
      </c>
      <c r="AK2506" s="3"/>
      <c r="AU2506" t="s">
        <v>2340</v>
      </c>
      <c r="AV2506" t="s">
        <v>2341</v>
      </c>
      <c r="AW2506" t="s">
        <v>2340</v>
      </c>
      <c r="AX2506" t="s">
        <v>2341</v>
      </c>
      <c r="AY2506" t="s">
        <v>2340</v>
      </c>
      <c r="AZ2506" t="s">
        <v>2341</v>
      </c>
      <c r="BA2506" t="s">
        <v>2340</v>
      </c>
      <c r="BB2506" t="s">
        <v>2341</v>
      </c>
      <c r="BC2506">
        <v>6</v>
      </c>
      <c r="BD2506">
        <v>6</v>
      </c>
      <c r="BE2506">
        <v>6</v>
      </c>
      <c r="BF2506">
        <v>6</v>
      </c>
      <c r="BK2506" s="4">
        <v>3866</v>
      </c>
      <c r="BL2506" s="4">
        <v>3988</v>
      </c>
      <c r="BM2506" s="4">
        <v>4200</v>
      </c>
      <c r="BN2506" s="4">
        <v>4353</v>
      </c>
      <c r="BT2506">
        <v>10</v>
      </c>
      <c r="BU2506">
        <v>13</v>
      </c>
      <c r="BV2506">
        <v>0</v>
      </c>
      <c r="BX2506">
        <v>0.4</v>
      </c>
      <c r="BZ2506">
        <v>0.31</v>
      </c>
      <c r="CK2506" t="s">
        <v>360</v>
      </c>
      <c r="CM2506">
        <v>1911</v>
      </c>
    </row>
    <row r="2507" spans="1:91" x14ac:dyDescent="0.3">
      <c r="A2507" t="s">
        <v>3514</v>
      </c>
      <c r="B2507">
        <v>41579</v>
      </c>
      <c r="D2507">
        <v>12</v>
      </c>
      <c r="E2507">
        <v>240000</v>
      </c>
      <c r="S2507">
        <v>1</v>
      </c>
      <c r="Y2507">
        <v>1</v>
      </c>
      <c r="AA2507">
        <v>3.21</v>
      </c>
      <c r="AC2507" s="3">
        <v>3.21</v>
      </c>
      <c r="AE2507" s="3">
        <v>2.4300000000000002</v>
      </c>
      <c r="AI2507">
        <v>2.71</v>
      </c>
      <c r="AK2507" s="3"/>
      <c r="AU2507" t="s">
        <v>1465</v>
      </c>
      <c r="AV2507" t="s">
        <v>1466</v>
      </c>
      <c r="AW2507" t="s">
        <v>1622</v>
      </c>
      <c r="AX2507" s="5">
        <v>40695</v>
      </c>
      <c r="AZ2507" t="s">
        <v>1681</v>
      </c>
      <c r="BA2507" t="s">
        <v>1582</v>
      </c>
      <c r="BB2507" t="s">
        <v>1760</v>
      </c>
      <c r="BC2507">
        <v>36</v>
      </c>
      <c r="BD2507">
        <v>18</v>
      </c>
      <c r="BF2507">
        <v>24</v>
      </c>
      <c r="BK2507" s="4">
        <v>2678</v>
      </c>
      <c r="BL2507" s="4">
        <v>2892</v>
      </c>
      <c r="BN2507" s="4">
        <v>4353</v>
      </c>
      <c r="BT2507">
        <v>3</v>
      </c>
      <c r="BU2507">
        <v>14</v>
      </c>
      <c r="BV2507">
        <v>3</v>
      </c>
      <c r="BX2507">
        <v>3.46</v>
      </c>
      <c r="BZ2507">
        <v>0.71</v>
      </c>
      <c r="CK2507" t="s">
        <v>558</v>
      </c>
      <c r="CM2507">
        <v>1911</v>
      </c>
    </row>
    <row r="2508" spans="1:91" x14ac:dyDescent="0.3">
      <c r="A2508" t="s">
        <v>3515</v>
      </c>
      <c r="B2508">
        <v>41736</v>
      </c>
      <c r="D2508">
        <v>12</v>
      </c>
      <c r="E2508">
        <v>175000</v>
      </c>
      <c r="S2508">
        <v>1</v>
      </c>
      <c r="Y2508">
        <v>1</v>
      </c>
      <c r="AA2508">
        <v>5.5</v>
      </c>
      <c r="AC2508" s="3">
        <v>5.87</v>
      </c>
      <c r="AE2508" s="3">
        <v>5.31</v>
      </c>
      <c r="AI2508">
        <v>5.87</v>
      </c>
      <c r="AJ2508" t="s">
        <v>379</v>
      </c>
      <c r="AK2508" s="3"/>
      <c r="AU2508" t="s">
        <v>1465</v>
      </c>
      <c r="AV2508" t="s">
        <v>1466</v>
      </c>
      <c r="AW2508" t="s">
        <v>1465</v>
      </c>
      <c r="AX2508" t="s">
        <v>1466</v>
      </c>
      <c r="AY2508" t="s">
        <v>1465</v>
      </c>
      <c r="AZ2508" t="s">
        <v>1466</v>
      </c>
      <c r="BA2508" t="s">
        <v>1467</v>
      </c>
      <c r="BB2508" t="s">
        <v>1468</v>
      </c>
      <c r="BC2508">
        <v>36</v>
      </c>
      <c r="BD2508">
        <v>36</v>
      </c>
      <c r="BE2508">
        <v>36</v>
      </c>
      <c r="BF2508">
        <v>48</v>
      </c>
      <c r="BK2508" s="4">
        <v>4078</v>
      </c>
      <c r="BL2508" s="4">
        <v>4170</v>
      </c>
      <c r="BM2508" s="4">
        <v>4262</v>
      </c>
      <c r="BN2508" s="4">
        <v>4353</v>
      </c>
      <c r="BT2508">
        <v>11</v>
      </c>
      <c r="BU2508">
        <v>1</v>
      </c>
      <c r="BV2508">
        <v>3</v>
      </c>
      <c r="BX2508">
        <v>5.87</v>
      </c>
      <c r="BZ2508">
        <v>4.12</v>
      </c>
      <c r="CK2508" t="s">
        <v>3516</v>
      </c>
      <c r="CM2508">
        <v>1911</v>
      </c>
    </row>
    <row r="2509" spans="1:91" x14ac:dyDescent="0.3">
      <c r="A2509" t="s">
        <v>3517</v>
      </c>
      <c r="B2509">
        <v>41734</v>
      </c>
      <c r="D2509">
        <v>12</v>
      </c>
      <c r="E2509">
        <v>960000</v>
      </c>
      <c r="T2509" t="s">
        <v>1660</v>
      </c>
      <c r="Z2509" t="s">
        <v>1660</v>
      </c>
      <c r="AA2509">
        <v>2.5</v>
      </c>
      <c r="AB2509" t="s">
        <v>379</v>
      </c>
      <c r="AC2509" s="3">
        <v>2.5</v>
      </c>
      <c r="AE2509" s="3">
        <v>2.34</v>
      </c>
      <c r="AI2509">
        <v>2.34</v>
      </c>
      <c r="AK2509" s="3"/>
      <c r="AU2509" t="s">
        <v>1717</v>
      </c>
      <c r="AV2509" t="s">
        <v>1719</v>
      </c>
      <c r="AW2509" t="s">
        <v>1717</v>
      </c>
      <c r="AX2509" t="s">
        <v>1719</v>
      </c>
      <c r="AY2509" t="s">
        <v>1717</v>
      </c>
      <c r="AZ2509" t="s">
        <v>1719</v>
      </c>
      <c r="BA2509" t="s">
        <v>1717</v>
      </c>
      <c r="BB2509" t="s">
        <v>1719</v>
      </c>
      <c r="BC2509">
        <v>12</v>
      </c>
      <c r="BD2509">
        <v>12</v>
      </c>
      <c r="BE2509">
        <v>12</v>
      </c>
      <c r="BF2509">
        <v>12</v>
      </c>
      <c r="BK2509" s="4">
        <v>3866</v>
      </c>
      <c r="BL2509" s="4">
        <v>4050</v>
      </c>
      <c r="BM2509" s="4">
        <v>4231</v>
      </c>
      <c r="BN2509" t="s">
        <v>3518</v>
      </c>
      <c r="BT2509">
        <v>6</v>
      </c>
      <c r="BU2509">
        <v>8</v>
      </c>
      <c r="BV2509">
        <v>0</v>
      </c>
      <c r="BX2509">
        <v>2.62</v>
      </c>
      <c r="BZ2509">
        <v>1.68</v>
      </c>
      <c r="CK2509" t="s">
        <v>3516</v>
      </c>
      <c r="CM2509">
        <v>1911</v>
      </c>
    </row>
    <row r="2510" spans="1:91" x14ac:dyDescent="0.3">
      <c r="A2510" t="s">
        <v>3519</v>
      </c>
      <c r="B2510">
        <v>41738</v>
      </c>
      <c r="D2510">
        <v>12</v>
      </c>
      <c r="E2510">
        <v>200000</v>
      </c>
      <c r="S2510">
        <v>1</v>
      </c>
      <c r="Y2510">
        <v>1</v>
      </c>
      <c r="AA2510">
        <v>6.75</v>
      </c>
      <c r="AC2510" s="3">
        <v>6.75</v>
      </c>
      <c r="AE2510" s="3">
        <v>6.56</v>
      </c>
      <c r="AI2510">
        <v>6.56</v>
      </c>
      <c r="AK2510" s="3"/>
      <c r="AU2510" t="s">
        <v>1465</v>
      </c>
      <c r="AV2510" t="s">
        <v>1466</v>
      </c>
      <c r="AW2510" t="s">
        <v>1465</v>
      </c>
      <c r="AX2510" t="s">
        <v>1466</v>
      </c>
      <c r="AY2510" t="s">
        <v>1467</v>
      </c>
      <c r="AZ2510" t="s">
        <v>1468</v>
      </c>
      <c r="BA2510" t="s">
        <v>1463</v>
      </c>
      <c r="BB2510" t="s">
        <v>1464</v>
      </c>
      <c r="BC2510">
        <v>36</v>
      </c>
      <c r="BD2510">
        <v>36</v>
      </c>
      <c r="BE2510">
        <v>48</v>
      </c>
      <c r="BF2510">
        <v>60</v>
      </c>
      <c r="BK2510" s="4">
        <v>4078</v>
      </c>
      <c r="BL2510" s="4">
        <v>4170</v>
      </c>
      <c r="BM2510" s="4">
        <v>4262</v>
      </c>
      <c r="BN2510" s="4">
        <v>4353</v>
      </c>
      <c r="BT2510">
        <v>11</v>
      </c>
      <c r="BU2510">
        <v>8</v>
      </c>
      <c r="BV2510">
        <v>6</v>
      </c>
      <c r="BX2510">
        <v>6.75</v>
      </c>
      <c r="BZ2510">
        <v>5</v>
      </c>
      <c r="CK2510" t="s">
        <v>3516</v>
      </c>
      <c r="CM2510">
        <v>1911</v>
      </c>
    </row>
    <row r="2511" spans="1:91" x14ac:dyDescent="0.3">
      <c r="A2511" t="s">
        <v>3520</v>
      </c>
      <c r="B2511">
        <v>41760</v>
      </c>
      <c r="D2511">
        <v>12</v>
      </c>
      <c r="E2511">
        <v>304137</v>
      </c>
      <c r="T2511" t="s">
        <v>1758</v>
      </c>
      <c r="Z2511" t="s">
        <v>1758</v>
      </c>
      <c r="AA2511">
        <v>0.25</v>
      </c>
      <c r="AC2511" s="3">
        <v>0.25</v>
      </c>
      <c r="AE2511" s="3">
        <v>0.21</v>
      </c>
      <c r="AI2511">
        <v>0.21</v>
      </c>
      <c r="AK2511" s="3"/>
      <c r="AV2511" t="s">
        <v>385</v>
      </c>
      <c r="AX2511" t="s">
        <v>385</v>
      </c>
      <c r="AZ2511" t="s">
        <v>385</v>
      </c>
      <c r="BB2511" t="s">
        <v>385</v>
      </c>
      <c r="BW2511" t="s">
        <v>802</v>
      </c>
      <c r="BX2511">
        <v>0.34</v>
      </c>
      <c r="BZ2511">
        <v>0.21</v>
      </c>
      <c r="CK2511" t="s">
        <v>360</v>
      </c>
      <c r="CM2511">
        <v>1911</v>
      </c>
    </row>
    <row r="2512" spans="1:91" x14ac:dyDescent="0.3">
      <c r="A2512" t="s">
        <v>3521</v>
      </c>
      <c r="B2512">
        <v>41903</v>
      </c>
      <c r="D2512">
        <v>12</v>
      </c>
      <c r="E2512">
        <v>299000</v>
      </c>
      <c r="T2512" t="s">
        <v>1449</v>
      </c>
      <c r="Z2512" t="s">
        <v>1449</v>
      </c>
      <c r="AA2512">
        <v>0.21</v>
      </c>
      <c r="AC2512" s="3">
        <v>0.21</v>
      </c>
      <c r="AE2512" s="3">
        <v>0.15</v>
      </c>
      <c r="AI2512">
        <v>0.21</v>
      </c>
      <c r="AK2512" s="3"/>
      <c r="AU2512" t="s">
        <v>1720</v>
      </c>
      <c r="AV2512" t="s">
        <v>3423</v>
      </c>
      <c r="AW2512" t="s">
        <v>2340</v>
      </c>
      <c r="AX2512" t="s">
        <v>2341</v>
      </c>
      <c r="AY2512" t="s">
        <v>1717</v>
      </c>
      <c r="AZ2512" t="s">
        <v>1719</v>
      </c>
      <c r="BB2512" t="s">
        <v>810</v>
      </c>
      <c r="BC2512">
        <v>9</v>
      </c>
      <c r="BD2512">
        <v>6</v>
      </c>
      <c r="BE2512">
        <v>12</v>
      </c>
      <c r="BK2512" s="4">
        <v>2009</v>
      </c>
      <c r="BL2512" s="4">
        <v>2374</v>
      </c>
      <c r="BM2512" s="4">
        <v>2739</v>
      </c>
      <c r="BW2512" t="s">
        <v>802</v>
      </c>
      <c r="BX2512">
        <v>0.34</v>
      </c>
      <c r="BZ2512">
        <v>0.12</v>
      </c>
      <c r="CK2512" t="s">
        <v>360</v>
      </c>
      <c r="CM2512">
        <v>1911</v>
      </c>
    </row>
    <row r="2513" spans="1:91" x14ac:dyDescent="0.3">
      <c r="A2513" t="s">
        <v>3522</v>
      </c>
      <c r="B2513">
        <v>42012</v>
      </c>
      <c r="D2513">
        <v>12</v>
      </c>
      <c r="E2513">
        <v>467500</v>
      </c>
      <c r="S2513">
        <v>1</v>
      </c>
      <c r="Y2513">
        <v>1</v>
      </c>
      <c r="AA2513">
        <v>1.68</v>
      </c>
      <c r="AC2513" s="3">
        <v>1.78</v>
      </c>
      <c r="AE2513" s="3">
        <v>1.62</v>
      </c>
      <c r="AJ2513" t="s">
        <v>385</v>
      </c>
      <c r="AK2513" s="3"/>
      <c r="AV2513" t="s">
        <v>385</v>
      </c>
      <c r="AX2513" t="s">
        <v>385</v>
      </c>
      <c r="AZ2513" t="s">
        <v>385</v>
      </c>
      <c r="BB2513" t="s">
        <v>385</v>
      </c>
      <c r="BW2513" t="s">
        <v>802</v>
      </c>
      <c r="BX2513">
        <v>1.93</v>
      </c>
      <c r="BZ2513">
        <v>1.1200000000000001</v>
      </c>
      <c r="CM2513">
        <v>1911</v>
      </c>
    </row>
    <row r="2514" spans="1:91" x14ac:dyDescent="0.3">
      <c r="A2514" t="s">
        <v>3523</v>
      </c>
      <c r="B2514">
        <v>42052</v>
      </c>
      <c r="D2514">
        <v>12</v>
      </c>
      <c r="E2514" s="2">
        <v>1100000</v>
      </c>
      <c r="S2514">
        <v>1</v>
      </c>
      <c r="Y2514">
        <v>1</v>
      </c>
      <c r="AA2514">
        <v>1.53</v>
      </c>
      <c r="AC2514" s="3">
        <v>1.56</v>
      </c>
      <c r="AE2514" s="3">
        <v>1.53</v>
      </c>
      <c r="AI2514">
        <v>1.56</v>
      </c>
      <c r="AK2514" s="3"/>
      <c r="AU2514" t="s">
        <v>1717</v>
      </c>
      <c r="AV2514" t="s">
        <v>1719</v>
      </c>
      <c r="AW2514" t="s">
        <v>1717</v>
      </c>
      <c r="AX2514" t="s">
        <v>1719</v>
      </c>
      <c r="AY2514" t="s">
        <v>1717</v>
      </c>
      <c r="AZ2514" t="s">
        <v>1719</v>
      </c>
      <c r="BA2514" t="s">
        <v>1717</v>
      </c>
      <c r="BB2514" t="s">
        <v>1719</v>
      </c>
      <c r="BC2514">
        <v>12</v>
      </c>
      <c r="BD2514">
        <v>12</v>
      </c>
      <c r="BE2514">
        <v>12</v>
      </c>
      <c r="BF2514">
        <v>12</v>
      </c>
      <c r="BK2514" s="4">
        <v>3958</v>
      </c>
      <c r="BL2514" s="4">
        <v>4050</v>
      </c>
      <c r="BM2514" s="4">
        <v>4139</v>
      </c>
      <c r="BN2514" s="4">
        <v>4262</v>
      </c>
      <c r="BT2514">
        <v>9</v>
      </c>
      <c r="BU2514">
        <v>12</v>
      </c>
      <c r="BV2514">
        <v>0</v>
      </c>
      <c r="BX2514">
        <v>1.84</v>
      </c>
      <c r="BZ2514">
        <v>1.31</v>
      </c>
      <c r="CK2514" t="s">
        <v>360</v>
      </c>
      <c r="CM2514">
        <v>1911</v>
      </c>
    </row>
    <row r="2515" spans="1:91" x14ac:dyDescent="0.3">
      <c r="A2515" t="s">
        <v>3524</v>
      </c>
      <c r="B2515">
        <v>42108</v>
      </c>
      <c r="D2515">
        <v>12</v>
      </c>
      <c r="E2515">
        <v>300000</v>
      </c>
      <c r="S2515">
        <v>2</v>
      </c>
      <c r="Y2515">
        <v>2</v>
      </c>
      <c r="AA2515">
        <v>6</v>
      </c>
      <c r="AC2515" s="3">
        <v>6.12</v>
      </c>
      <c r="AE2515" s="3">
        <v>5.81</v>
      </c>
      <c r="AI2515">
        <v>5.87</v>
      </c>
      <c r="AK2515" s="3"/>
      <c r="AU2515" t="s">
        <v>1717</v>
      </c>
      <c r="AV2515" t="s">
        <v>1719</v>
      </c>
      <c r="AW2515" t="s">
        <v>1465</v>
      </c>
      <c r="AX2515" t="s">
        <v>1466</v>
      </c>
      <c r="AY2515" t="s">
        <v>1717</v>
      </c>
      <c r="AZ2515" t="s">
        <v>1719</v>
      </c>
      <c r="BA2515" t="s">
        <v>1622</v>
      </c>
      <c r="BB2515" s="5">
        <v>40695</v>
      </c>
      <c r="BC2515">
        <v>12</v>
      </c>
      <c r="BD2515">
        <v>36</v>
      </c>
      <c r="BE2515">
        <v>12</v>
      </c>
      <c r="BF2515">
        <v>18</v>
      </c>
      <c r="BK2515" s="4">
        <v>3835</v>
      </c>
      <c r="BL2515" s="4">
        <v>4019</v>
      </c>
      <c r="BM2515" s="4">
        <v>4200</v>
      </c>
      <c r="BN2515" s="4">
        <v>4384</v>
      </c>
      <c r="BT2515">
        <v>2</v>
      </c>
      <c r="BU2515">
        <v>2</v>
      </c>
      <c r="BV2515">
        <v>6</v>
      </c>
      <c r="BX2515">
        <v>6.75</v>
      </c>
      <c r="BZ2515">
        <v>4.87</v>
      </c>
      <c r="CK2515" t="s">
        <v>2914</v>
      </c>
      <c r="CM2515">
        <v>1911</v>
      </c>
    </row>
    <row r="2516" spans="1:91" x14ac:dyDescent="0.3">
      <c r="A2516" t="s">
        <v>3524</v>
      </c>
      <c r="B2516">
        <v>42109</v>
      </c>
      <c r="C2516" t="s">
        <v>3525</v>
      </c>
      <c r="D2516">
        <v>12</v>
      </c>
      <c r="E2516">
        <v>45000</v>
      </c>
      <c r="S2516">
        <v>2</v>
      </c>
      <c r="Y2516">
        <v>2</v>
      </c>
      <c r="AA2516">
        <v>3.25</v>
      </c>
      <c r="AC2516" s="3">
        <v>4.0599999999999996</v>
      </c>
      <c r="AE2516" s="3">
        <v>3.12</v>
      </c>
      <c r="AI2516">
        <v>4</v>
      </c>
      <c r="AK2516" s="3"/>
      <c r="AU2516" t="s">
        <v>1717</v>
      </c>
      <c r="AV2516" t="s">
        <v>1719</v>
      </c>
      <c r="AW2516" t="s">
        <v>1465</v>
      </c>
      <c r="AX2516" t="s">
        <v>1466</v>
      </c>
      <c r="AY2516" t="s">
        <v>1717</v>
      </c>
      <c r="AZ2516" t="s">
        <v>1719</v>
      </c>
      <c r="BA2516" t="s">
        <v>1622</v>
      </c>
      <c r="BB2516" s="5">
        <v>40695</v>
      </c>
      <c r="BC2516">
        <v>12</v>
      </c>
      <c r="BD2516">
        <v>36</v>
      </c>
      <c r="BE2516">
        <v>12</v>
      </c>
      <c r="BF2516">
        <v>18</v>
      </c>
      <c r="BK2516" s="4">
        <v>3835</v>
      </c>
      <c r="BL2516" s="4">
        <v>4019</v>
      </c>
      <c r="BM2516" s="4">
        <v>4200</v>
      </c>
      <c r="BN2516" s="4">
        <v>4384</v>
      </c>
      <c r="BT2516">
        <v>3</v>
      </c>
      <c r="BU2516">
        <v>2</v>
      </c>
      <c r="BV2516">
        <v>6</v>
      </c>
      <c r="BX2516">
        <v>4.0599999999999996</v>
      </c>
      <c r="BZ2516">
        <v>2.5</v>
      </c>
      <c r="CM2516">
        <v>1911</v>
      </c>
    </row>
    <row r="2517" spans="1:91" x14ac:dyDescent="0.3">
      <c r="A2517" t="s">
        <v>3526</v>
      </c>
      <c r="B2517">
        <v>42221</v>
      </c>
      <c r="D2517">
        <v>12</v>
      </c>
      <c r="E2517">
        <v>312468</v>
      </c>
      <c r="S2517">
        <v>1</v>
      </c>
      <c r="Y2517">
        <v>1</v>
      </c>
      <c r="AA2517">
        <v>0.18</v>
      </c>
      <c r="AC2517" s="3">
        <v>0.21</v>
      </c>
      <c r="AE2517" s="3">
        <v>0.18</v>
      </c>
      <c r="AI2517">
        <v>0.21</v>
      </c>
      <c r="AK2517" s="3"/>
      <c r="AU2517" t="s">
        <v>2340</v>
      </c>
      <c r="AV2517" t="s">
        <v>2341</v>
      </c>
      <c r="AW2517" t="s">
        <v>2340</v>
      </c>
      <c r="AX2517" t="s">
        <v>2341</v>
      </c>
      <c r="AY2517" t="s">
        <v>1717</v>
      </c>
      <c r="AZ2517" t="s">
        <v>1719</v>
      </c>
      <c r="BB2517" t="s">
        <v>810</v>
      </c>
      <c r="BC2517">
        <v>6</v>
      </c>
      <c r="BD2517">
        <v>6</v>
      </c>
      <c r="BE2517">
        <v>12</v>
      </c>
      <c r="BK2517" t="s">
        <v>3527</v>
      </c>
      <c r="BL2517" s="4">
        <v>398</v>
      </c>
      <c r="BM2517" s="4">
        <v>2678</v>
      </c>
      <c r="BW2517" t="s">
        <v>802</v>
      </c>
      <c r="BX2517">
        <v>0.21</v>
      </c>
      <c r="BZ2517">
        <v>0.09</v>
      </c>
      <c r="CK2517" t="s">
        <v>360</v>
      </c>
      <c r="CM2517">
        <v>1911</v>
      </c>
    </row>
    <row r="2518" spans="1:91" x14ac:dyDescent="0.3">
      <c r="A2518" t="s">
        <v>3528</v>
      </c>
      <c r="B2518">
        <v>42223</v>
      </c>
      <c r="D2518">
        <v>12</v>
      </c>
      <c r="E2518">
        <v>425000</v>
      </c>
      <c r="S2518">
        <v>12</v>
      </c>
      <c r="Y2518">
        <v>12</v>
      </c>
      <c r="AA2518">
        <v>10.25</v>
      </c>
      <c r="AC2518" s="3">
        <v>10.75</v>
      </c>
      <c r="AE2518" s="3">
        <v>9.8699999999999992</v>
      </c>
      <c r="AI2518">
        <v>9.8699999999999992</v>
      </c>
      <c r="AK2518" s="3"/>
      <c r="AU2518" t="s">
        <v>1803</v>
      </c>
      <c r="AV2518" t="s">
        <v>2050</v>
      </c>
      <c r="AW2518" t="s">
        <v>1803</v>
      </c>
      <c r="AX2518" t="s">
        <v>2050</v>
      </c>
      <c r="AY2518" t="s">
        <v>1803</v>
      </c>
      <c r="AZ2518" t="s">
        <v>2050</v>
      </c>
      <c r="BA2518" t="s">
        <v>1499</v>
      </c>
      <c r="BB2518" t="s">
        <v>1500</v>
      </c>
      <c r="BC2518">
        <v>120</v>
      </c>
      <c r="BD2518">
        <v>120</v>
      </c>
      <c r="BE2518">
        <v>120</v>
      </c>
      <c r="BF2518">
        <v>72</v>
      </c>
      <c r="BK2518" s="4">
        <v>3654</v>
      </c>
      <c r="BL2518" s="4">
        <v>3866</v>
      </c>
      <c r="BM2518" s="4">
        <v>4019</v>
      </c>
      <c r="BN2518" s="4">
        <v>4231</v>
      </c>
      <c r="BT2518">
        <v>8</v>
      </c>
      <c r="BU2518">
        <v>2</v>
      </c>
      <c r="BV2518">
        <v>0</v>
      </c>
      <c r="BX2518">
        <v>15.87</v>
      </c>
      <c r="BZ2518">
        <v>9.75</v>
      </c>
      <c r="CK2518" t="s">
        <v>360</v>
      </c>
      <c r="CM2518">
        <v>1911</v>
      </c>
    </row>
    <row r="2519" spans="1:91" x14ac:dyDescent="0.3">
      <c r="A2519" t="s">
        <v>3529</v>
      </c>
      <c r="B2519">
        <v>42282</v>
      </c>
      <c r="D2519">
        <v>12</v>
      </c>
      <c r="E2519">
        <v>200000</v>
      </c>
      <c r="T2519" t="s">
        <v>1548</v>
      </c>
      <c r="Z2519" t="s">
        <v>1548</v>
      </c>
      <c r="AA2519">
        <v>1.06</v>
      </c>
      <c r="AC2519" s="3">
        <v>1.25</v>
      </c>
      <c r="AE2519" s="3">
        <v>1.06</v>
      </c>
      <c r="AI2519">
        <v>1.18</v>
      </c>
      <c r="AK2519" s="3"/>
      <c r="AV2519" t="s">
        <v>385</v>
      </c>
      <c r="AX2519" t="s">
        <v>385</v>
      </c>
      <c r="AY2519" t="s">
        <v>1463</v>
      </c>
      <c r="AZ2519" t="s">
        <v>1464</v>
      </c>
      <c r="BA2519" t="s">
        <v>1717</v>
      </c>
      <c r="BB2519" t="s">
        <v>1719</v>
      </c>
      <c r="BE2519">
        <v>60</v>
      </c>
      <c r="BF2519">
        <v>12</v>
      </c>
      <c r="BM2519" s="4">
        <v>3713</v>
      </c>
      <c r="BN2519" s="4">
        <v>4200</v>
      </c>
      <c r="BT2519">
        <v>4</v>
      </c>
      <c r="BU2519">
        <v>4</v>
      </c>
      <c r="BV2519">
        <v>3</v>
      </c>
      <c r="BX2519">
        <v>1.87</v>
      </c>
      <c r="BZ2519">
        <v>0.56000000000000005</v>
      </c>
      <c r="CM2519">
        <v>1911</v>
      </c>
    </row>
    <row r="2520" spans="1:91" x14ac:dyDescent="0.3">
      <c r="A2520" t="s">
        <v>3530</v>
      </c>
      <c r="B2520">
        <v>42284</v>
      </c>
      <c r="D2520">
        <v>12</v>
      </c>
      <c r="E2520" s="2">
        <v>2080000</v>
      </c>
      <c r="T2520" t="s">
        <v>3531</v>
      </c>
      <c r="Z2520" t="s">
        <v>3531</v>
      </c>
      <c r="AA2520">
        <v>0.46</v>
      </c>
      <c r="AC2520" s="3">
        <v>0.46</v>
      </c>
      <c r="AE2520" s="3">
        <v>0.46</v>
      </c>
      <c r="AI2520">
        <v>0.46</v>
      </c>
      <c r="AK2520" s="3"/>
      <c r="AU2520" t="s">
        <v>3532</v>
      </c>
      <c r="AV2520" t="s">
        <v>3533</v>
      </c>
      <c r="AW2520" t="s">
        <v>3532</v>
      </c>
      <c r="AX2520" t="s">
        <v>3533</v>
      </c>
      <c r="AY2520" t="s">
        <v>3534</v>
      </c>
      <c r="AZ2520" t="s">
        <v>3535</v>
      </c>
      <c r="BA2520" t="s">
        <v>2340</v>
      </c>
      <c r="BB2520" t="s">
        <v>2341</v>
      </c>
      <c r="BC2520">
        <v>3</v>
      </c>
      <c r="BD2520">
        <v>3</v>
      </c>
      <c r="BE2520">
        <v>4</v>
      </c>
      <c r="BF2520">
        <v>6</v>
      </c>
      <c r="BK2520" s="4">
        <v>4019</v>
      </c>
      <c r="BL2520" s="4">
        <v>4139</v>
      </c>
      <c r="BM2520" s="4">
        <v>4262</v>
      </c>
      <c r="BN2520" s="4">
        <v>4384</v>
      </c>
      <c r="BT2520">
        <v>11</v>
      </c>
      <c r="BU2520">
        <v>4</v>
      </c>
      <c r="BV2520">
        <v>3</v>
      </c>
      <c r="BX2520">
        <v>0.5</v>
      </c>
      <c r="BZ2520">
        <v>0.37</v>
      </c>
      <c r="CK2520" t="s">
        <v>360</v>
      </c>
      <c r="CM2520">
        <v>1911</v>
      </c>
    </row>
    <row r="2521" spans="1:91" x14ac:dyDescent="0.3">
      <c r="A2521" t="s">
        <v>3536</v>
      </c>
      <c r="B2521">
        <v>42405</v>
      </c>
      <c r="D2521">
        <v>12</v>
      </c>
      <c r="E2521" s="2">
        <v>1159450</v>
      </c>
      <c r="S2521">
        <v>1</v>
      </c>
      <c r="Y2521">
        <v>1</v>
      </c>
      <c r="AA2521">
        <v>1.06</v>
      </c>
      <c r="AC2521" s="3">
        <v>1.31</v>
      </c>
      <c r="AE2521" s="3">
        <v>1.06</v>
      </c>
      <c r="AI2521">
        <v>1.31</v>
      </c>
      <c r="AK2521" s="3"/>
      <c r="AV2521" t="s">
        <v>385</v>
      </c>
      <c r="AX2521" t="s">
        <v>385</v>
      </c>
      <c r="AZ2521" t="s">
        <v>385</v>
      </c>
      <c r="BB2521" t="s">
        <v>385</v>
      </c>
      <c r="BW2521" t="s">
        <v>802</v>
      </c>
      <c r="BX2521">
        <v>2.12</v>
      </c>
      <c r="BZ2521">
        <v>1.06</v>
      </c>
      <c r="CK2521" t="s">
        <v>360</v>
      </c>
      <c r="CM2521">
        <v>1911</v>
      </c>
    </row>
    <row r="2522" spans="1:91" x14ac:dyDescent="0.3">
      <c r="A2522" t="s">
        <v>3537</v>
      </c>
      <c r="B2522">
        <v>42423</v>
      </c>
      <c r="D2522">
        <v>12</v>
      </c>
      <c r="E2522">
        <v>340000</v>
      </c>
      <c r="S2522">
        <v>4</v>
      </c>
      <c r="Y2522">
        <v>4</v>
      </c>
      <c r="AA2522">
        <v>2.4300000000000002</v>
      </c>
      <c r="AC2522" s="3">
        <v>2.62</v>
      </c>
      <c r="AE2522" s="3">
        <v>2.4300000000000002</v>
      </c>
      <c r="AI2522">
        <v>2.56</v>
      </c>
      <c r="AK2522" s="3"/>
      <c r="AU2522" t="s">
        <v>1467</v>
      </c>
      <c r="AV2522" t="s">
        <v>1468</v>
      </c>
      <c r="AW2522" t="s">
        <v>1467</v>
      </c>
      <c r="AX2522" t="s">
        <v>1468</v>
      </c>
      <c r="AY2522" t="s">
        <v>1467</v>
      </c>
      <c r="AZ2522" t="s">
        <v>1468</v>
      </c>
      <c r="BA2522" t="s">
        <v>1463</v>
      </c>
      <c r="BB2522" t="s">
        <v>1464</v>
      </c>
      <c r="BC2522">
        <v>48</v>
      </c>
      <c r="BD2522">
        <v>48</v>
      </c>
      <c r="BE2522">
        <v>48</v>
      </c>
      <c r="BF2522">
        <v>60</v>
      </c>
      <c r="BK2522" s="4">
        <v>3654</v>
      </c>
      <c r="BL2522" s="4">
        <v>4019</v>
      </c>
      <c r="BM2522" s="4">
        <v>4200</v>
      </c>
      <c r="BN2522" s="4">
        <v>4384</v>
      </c>
      <c r="BT2522">
        <v>8</v>
      </c>
      <c r="BU2522">
        <v>15</v>
      </c>
      <c r="BV2522">
        <v>6</v>
      </c>
      <c r="BX2522">
        <v>2.62</v>
      </c>
      <c r="BZ2522">
        <v>2.12</v>
      </c>
      <c r="CK2522" t="s">
        <v>3538</v>
      </c>
      <c r="CM2522">
        <v>1911</v>
      </c>
    </row>
    <row r="2523" spans="1:91" x14ac:dyDescent="0.3">
      <c r="A2523" t="s">
        <v>3539</v>
      </c>
      <c r="B2523">
        <v>42436</v>
      </c>
      <c r="D2523">
        <v>12</v>
      </c>
      <c r="E2523" s="2">
        <v>1250000</v>
      </c>
      <c r="S2523">
        <v>1</v>
      </c>
      <c r="Y2523">
        <v>1</v>
      </c>
      <c r="AA2523">
        <v>2.5</v>
      </c>
      <c r="AC2523" s="3">
        <v>2.62</v>
      </c>
      <c r="AE2523" s="3">
        <v>2.31</v>
      </c>
      <c r="AI2523">
        <v>2.31</v>
      </c>
      <c r="AK2523" s="3"/>
      <c r="AV2523" t="s">
        <v>385</v>
      </c>
      <c r="AX2523" t="s">
        <v>385</v>
      </c>
      <c r="AZ2523" t="s">
        <v>385</v>
      </c>
      <c r="BB2523" t="s">
        <v>385</v>
      </c>
      <c r="BW2523" t="s">
        <v>802</v>
      </c>
      <c r="BX2523">
        <v>4.37</v>
      </c>
      <c r="BZ2523">
        <v>2.31</v>
      </c>
      <c r="CM2523">
        <v>1911</v>
      </c>
    </row>
    <row r="2524" spans="1:91" x14ac:dyDescent="0.3">
      <c r="A2524" t="s">
        <v>3540</v>
      </c>
      <c r="B2524">
        <v>42677</v>
      </c>
      <c r="D2524">
        <v>12</v>
      </c>
      <c r="E2524" s="2">
        <v>2000000</v>
      </c>
      <c r="S2524">
        <v>1</v>
      </c>
      <c r="Y2524">
        <v>1</v>
      </c>
      <c r="AA2524">
        <v>4.28</v>
      </c>
      <c r="AC2524" s="3">
        <v>4.37</v>
      </c>
      <c r="AE2524" s="3">
        <v>4.09</v>
      </c>
      <c r="AI2524">
        <v>4.18</v>
      </c>
      <c r="AK2524" s="3"/>
      <c r="AU2524" t="s">
        <v>1582</v>
      </c>
      <c r="AV2524" t="s">
        <v>1760</v>
      </c>
      <c r="AW2524" t="s">
        <v>1463</v>
      </c>
      <c r="AX2524" t="s">
        <v>1464</v>
      </c>
      <c r="AY2524" t="s">
        <v>1582</v>
      </c>
      <c r="AZ2524" t="s">
        <v>1760</v>
      </c>
      <c r="BA2524" t="s">
        <v>1467</v>
      </c>
      <c r="BB2524" t="s">
        <v>1468</v>
      </c>
      <c r="BC2524">
        <v>24</v>
      </c>
      <c r="BD2524">
        <v>60</v>
      </c>
      <c r="BE2524">
        <v>24</v>
      </c>
      <c r="BF2524">
        <v>48</v>
      </c>
      <c r="BK2524" s="4">
        <v>3685</v>
      </c>
      <c r="BL2524" s="4">
        <v>3958</v>
      </c>
      <c r="BM2524" s="4">
        <v>4050</v>
      </c>
      <c r="BN2524" s="4">
        <v>4323</v>
      </c>
      <c r="BT2524">
        <v>7</v>
      </c>
      <c r="BU2524">
        <v>3</v>
      </c>
      <c r="BV2524">
        <v>3</v>
      </c>
      <c r="BX2524">
        <v>6.03</v>
      </c>
      <c r="BZ2524">
        <v>3.84</v>
      </c>
      <c r="CK2524" t="s">
        <v>3541</v>
      </c>
      <c r="CM2524">
        <v>1911</v>
      </c>
    </row>
    <row r="2525" spans="1:91" x14ac:dyDescent="0.3">
      <c r="A2525" t="s">
        <v>3542</v>
      </c>
      <c r="B2525">
        <v>42684</v>
      </c>
      <c r="C2525" t="s">
        <v>3543</v>
      </c>
      <c r="D2525">
        <v>12</v>
      </c>
      <c r="E2525" s="2">
        <v>1250000</v>
      </c>
      <c r="S2525">
        <v>1</v>
      </c>
      <c r="Y2525">
        <v>1</v>
      </c>
      <c r="AA2525">
        <v>1.1499999999999999</v>
      </c>
      <c r="AC2525" s="3">
        <v>1.18</v>
      </c>
      <c r="AE2525" s="3">
        <v>1.1499999999999999</v>
      </c>
      <c r="AI2525">
        <v>1.18</v>
      </c>
      <c r="AK2525" s="3"/>
      <c r="AV2525" t="s">
        <v>394</v>
      </c>
      <c r="AX2525" t="s">
        <v>394</v>
      </c>
      <c r="AZ2525" t="s">
        <v>394</v>
      </c>
      <c r="BB2525" t="s">
        <v>394</v>
      </c>
      <c r="BO2525" t="s">
        <v>367</v>
      </c>
      <c r="BT2525">
        <v>5</v>
      </c>
      <c r="BU2525">
        <v>1</v>
      </c>
      <c r="BV2525">
        <v>0</v>
      </c>
      <c r="BX2525">
        <v>1.28</v>
      </c>
      <c r="BZ2525">
        <v>1.1200000000000001</v>
      </c>
      <c r="CM2525">
        <v>1911</v>
      </c>
    </row>
    <row r="2526" spans="1:91" x14ac:dyDescent="0.3">
      <c r="A2526" t="s">
        <v>3540</v>
      </c>
      <c r="B2526">
        <v>42685</v>
      </c>
      <c r="C2526" t="s">
        <v>1629</v>
      </c>
      <c r="D2526">
        <v>12</v>
      </c>
      <c r="E2526" s="2">
        <v>1250000</v>
      </c>
      <c r="S2526">
        <v>1</v>
      </c>
      <c r="Y2526">
        <v>1</v>
      </c>
      <c r="AA2526">
        <v>1.03</v>
      </c>
      <c r="AC2526" s="3">
        <v>1.03</v>
      </c>
      <c r="AE2526" s="3">
        <v>1.03</v>
      </c>
      <c r="AI2526">
        <v>1.03</v>
      </c>
      <c r="AK2526" s="3"/>
      <c r="AV2526" t="s">
        <v>385</v>
      </c>
      <c r="AX2526" t="s">
        <v>385</v>
      </c>
      <c r="AZ2526" t="s">
        <v>385</v>
      </c>
      <c r="BB2526" t="s">
        <v>385</v>
      </c>
      <c r="BT2526">
        <v>5</v>
      </c>
      <c r="BU2526">
        <v>16</v>
      </c>
      <c r="BV2526">
        <v>6</v>
      </c>
      <c r="BX2526">
        <v>1.06</v>
      </c>
      <c r="BZ2526">
        <v>1</v>
      </c>
      <c r="CM2526">
        <v>1911</v>
      </c>
    </row>
    <row r="2527" spans="1:91" x14ac:dyDescent="0.3">
      <c r="A2527" t="s">
        <v>3542</v>
      </c>
      <c r="B2527">
        <v>42679</v>
      </c>
      <c r="C2527" t="s">
        <v>3544</v>
      </c>
      <c r="D2527">
        <v>12</v>
      </c>
      <c r="E2527">
        <v>300000</v>
      </c>
      <c r="F2527" t="s">
        <v>800</v>
      </c>
      <c r="S2527">
        <v>100</v>
      </c>
      <c r="Y2527">
        <v>100</v>
      </c>
      <c r="AA2527">
        <v>104</v>
      </c>
      <c r="AC2527" s="3">
        <v>104</v>
      </c>
      <c r="AE2527" s="3">
        <v>104</v>
      </c>
      <c r="AI2527">
        <v>104</v>
      </c>
      <c r="AK2527" s="3"/>
      <c r="AV2527" t="s">
        <v>370</v>
      </c>
      <c r="AX2527" t="s">
        <v>370</v>
      </c>
      <c r="AZ2527" t="s">
        <v>370</v>
      </c>
      <c r="BB2527" t="s">
        <v>370</v>
      </c>
      <c r="BO2527" t="s">
        <v>367</v>
      </c>
      <c r="BT2527">
        <v>5</v>
      </c>
      <c r="BU2527">
        <v>7</v>
      </c>
      <c r="BV2527">
        <v>0</v>
      </c>
      <c r="BX2527">
        <v>106</v>
      </c>
      <c r="BZ2527">
        <v>102</v>
      </c>
      <c r="CM2527">
        <v>1911</v>
      </c>
    </row>
    <row r="2528" spans="1:91" x14ac:dyDescent="0.3">
      <c r="A2528" t="s">
        <v>3545</v>
      </c>
      <c r="B2528">
        <v>42724</v>
      </c>
      <c r="D2528">
        <v>12</v>
      </c>
      <c r="E2528">
        <v>242378</v>
      </c>
      <c r="S2528">
        <v>1</v>
      </c>
      <c r="Y2528">
        <v>1</v>
      </c>
      <c r="AA2528">
        <v>0.81</v>
      </c>
      <c r="AC2528" s="3">
        <v>0.81</v>
      </c>
      <c r="AE2528" s="3">
        <v>0.68</v>
      </c>
      <c r="AI2528">
        <v>0.68</v>
      </c>
      <c r="AK2528" s="3"/>
      <c r="AU2528" t="s">
        <v>1717</v>
      </c>
      <c r="AV2528" t="s">
        <v>1719</v>
      </c>
      <c r="AW2528" t="s">
        <v>1717</v>
      </c>
      <c r="AX2528" t="s">
        <v>1719</v>
      </c>
      <c r="AY2528" t="s">
        <v>1717</v>
      </c>
      <c r="AZ2528" t="s">
        <v>1719</v>
      </c>
      <c r="BA2528" t="s">
        <v>1717</v>
      </c>
      <c r="BB2528" t="s">
        <v>1719</v>
      </c>
      <c r="BC2528">
        <v>12</v>
      </c>
      <c r="BD2528">
        <v>12</v>
      </c>
      <c r="BE2528">
        <v>12</v>
      </c>
      <c r="BF2528">
        <v>12</v>
      </c>
      <c r="BK2528" s="4">
        <v>3562</v>
      </c>
      <c r="BL2528" s="4">
        <v>3744</v>
      </c>
      <c r="BM2528" s="4">
        <v>3927</v>
      </c>
      <c r="BN2528" s="4">
        <v>4292</v>
      </c>
      <c r="BT2528">
        <v>7</v>
      </c>
      <c r="BU2528">
        <v>5</v>
      </c>
      <c r="BV2528">
        <v>3</v>
      </c>
      <c r="BX2528">
        <v>0.93</v>
      </c>
      <c r="BZ2528">
        <v>0.68</v>
      </c>
      <c r="CK2528" t="s">
        <v>360</v>
      </c>
      <c r="CM2528">
        <v>1911</v>
      </c>
    </row>
    <row r="2529" spans="1:91" x14ac:dyDescent="0.3">
      <c r="A2529" t="s">
        <v>3546</v>
      </c>
      <c r="B2529">
        <v>42725</v>
      </c>
      <c r="D2529">
        <v>12</v>
      </c>
      <c r="E2529">
        <v>732679</v>
      </c>
      <c r="S2529">
        <v>1</v>
      </c>
      <c r="Y2529">
        <v>1</v>
      </c>
      <c r="AA2529">
        <v>0.96</v>
      </c>
      <c r="AC2529" s="3">
        <v>0.96</v>
      </c>
      <c r="AE2529" s="3">
        <v>0.87</v>
      </c>
      <c r="AI2529">
        <v>0.87</v>
      </c>
      <c r="AK2529" s="3"/>
      <c r="AV2529" t="s">
        <v>385</v>
      </c>
      <c r="AX2529" t="s">
        <v>385</v>
      </c>
      <c r="AZ2529" t="s">
        <v>385</v>
      </c>
      <c r="BB2529" t="s">
        <v>385</v>
      </c>
      <c r="BW2529" t="s">
        <v>802</v>
      </c>
      <c r="BX2529">
        <v>1.31</v>
      </c>
      <c r="BZ2529">
        <v>0.75</v>
      </c>
      <c r="CK2529" t="s">
        <v>1281</v>
      </c>
      <c r="CM2529">
        <v>1911</v>
      </c>
    </row>
    <row r="2530" spans="1:91" x14ac:dyDescent="0.3">
      <c r="A2530" t="s">
        <v>3547</v>
      </c>
      <c r="B2530">
        <v>42719</v>
      </c>
      <c r="D2530">
        <v>12</v>
      </c>
      <c r="E2530">
        <v>924364</v>
      </c>
      <c r="S2530">
        <v>1</v>
      </c>
      <c r="Y2530">
        <v>1</v>
      </c>
      <c r="AA2530">
        <v>0.93</v>
      </c>
      <c r="AC2530" s="3">
        <v>0.93</v>
      </c>
      <c r="AE2530" s="3">
        <v>0.81</v>
      </c>
      <c r="AI2530">
        <v>0.81</v>
      </c>
      <c r="AK2530" s="3"/>
      <c r="AU2530" t="s">
        <v>1622</v>
      </c>
      <c r="AV2530" s="5">
        <v>40695</v>
      </c>
      <c r="AW2530" t="s">
        <v>1717</v>
      </c>
      <c r="AX2530" t="s">
        <v>1719</v>
      </c>
      <c r="AY2530" t="s">
        <v>1720</v>
      </c>
      <c r="AZ2530" t="s">
        <v>3423</v>
      </c>
      <c r="BA2530" t="s">
        <v>1720</v>
      </c>
      <c r="BB2530" t="s">
        <v>3423</v>
      </c>
      <c r="BC2530">
        <v>18</v>
      </c>
      <c r="BD2530">
        <v>12</v>
      </c>
      <c r="BE2530">
        <v>9</v>
      </c>
      <c r="BF2530">
        <v>9</v>
      </c>
      <c r="BK2530" s="4">
        <v>3866</v>
      </c>
      <c r="BL2530" s="4">
        <v>4050</v>
      </c>
      <c r="BM2530" s="4">
        <v>4231</v>
      </c>
      <c r="BN2530" s="4">
        <v>4415</v>
      </c>
      <c r="BT2530">
        <v>9</v>
      </c>
      <c r="BU2530">
        <v>4</v>
      </c>
      <c r="BV2530">
        <v>6</v>
      </c>
      <c r="BX2530">
        <v>1.25</v>
      </c>
      <c r="BZ2530">
        <v>0.81</v>
      </c>
      <c r="CK2530" t="s">
        <v>360</v>
      </c>
      <c r="CM2530">
        <v>1911</v>
      </c>
    </row>
    <row r="2531" spans="1:91" x14ac:dyDescent="0.3">
      <c r="A2531" t="s">
        <v>3548</v>
      </c>
      <c r="B2531">
        <v>42720</v>
      </c>
      <c r="D2531">
        <v>12</v>
      </c>
      <c r="E2531" s="2">
        <v>1105000</v>
      </c>
      <c r="T2531" t="s">
        <v>1758</v>
      </c>
      <c r="Z2531" t="s">
        <v>1758</v>
      </c>
      <c r="AA2531">
        <v>0.5</v>
      </c>
      <c r="AC2531" s="3">
        <v>0.5</v>
      </c>
      <c r="AE2531" s="3">
        <v>0.46</v>
      </c>
      <c r="AI2531">
        <v>0.46</v>
      </c>
      <c r="AK2531" s="3"/>
      <c r="AV2531" t="s">
        <v>615</v>
      </c>
      <c r="AX2531" t="s">
        <v>802</v>
      </c>
      <c r="AZ2531" t="s">
        <v>615</v>
      </c>
      <c r="BB2531" t="s">
        <v>810</v>
      </c>
      <c r="BG2531">
        <v>12.5</v>
      </c>
      <c r="BI2531">
        <v>10</v>
      </c>
      <c r="BK2531" t="s">
        <v>3549</v>
      </c>
      <c r="BL2531" t="s">
        <v>3550</v>
      </c>
      <c r="BM2531" t="s">
        <v>3551</v>
      </c>
      <c r="BW2531" t="s">
        <v>802</v>
      </c>
      <c r="BX2531">
        <v>0.68</v>
      </c>
      <c r="BZ2531">
        <v>0.46</v>
      </c>
      <c r="CM2531">
        <v>1911</v>
      </c>
    </row>
    <row r="2532" spans="1:91" x14ac:dyDescent="0.3">
      <c r="A2532" t="s">
        <v>3552</v>
      </c>
      <c r="B2532">
        <v>42955</v>
      </c>
      <c r="D2532">
        <v>12</v>
      </c>
      <c r="E2532" s="2">
        <v>1880210</v>
      </c>
      <c r="T2532" t="s">
        <v>1758</v>
      </c>
      <c r="Z2532" t="s">
        <v>1758</v>
      </c>
      <c r="AA2532">
        <v>6.87</v>
      </c>
      <c r="AC2532" s="3">
        <v>7.06</v>
      </c>
      <c r="AE2532" s="3">
        <v>6.75</v>
      </c>
      <c r="AI2532">
        <v>6.75</v>
      </c>
      <c r="AK2532" s="3"/>
      <c r="AU2532" t="s">
        <v>3553</v>
      </c>
      <c r="AV2532" s="5">
        <v>40700</v>
      </c>
      <c r="AW2532" t="s">
        <v>2962</v>
      </c>
      <c r="AX2532" s="5">
        <v>40699</v>
      </c>
      <c r="AY2532" t="s">
        <v>2962</v>
      </c>
      <c r="AZ2532" s="5">
        <v>40699</v>
      </c>
      <c r="BA2532" t="s">
        <v>2962</v>
      </c>
      <c r="BB2532" s="5">
        <v>40699</v>
      </c>
      <c r="BC2532">
        <v>78</v>
      </c>
      <c r="BD2532">
        <v>66</v>
      </c>
      <c r="BE2532">
        <v>66</v>
      </c>
      <c r="BF2532">
        <v>66</v>
      </c>
      <c r="BK2532" s="4">
        <v>3866</v>
      </c>
      <c r="BL2532" s="4">
        <v>4050</v>
      </c>
      <c r="BM2532" s="4">
        <v>4231</v>
      </c>
      <c r="BN2532" s="4">
        <v>4415</v>
      </c>
      <c r="BT2532">
        <v>8</v>
      </c>
      <c r="BU2532">
        <v>3</v>
      </c>
      <c r="BV2532">
        <v>0</v>
      </c>
      <c r="BX2532">
        <v>8.1199999999999992</v>
      </c>
      <c r="BZ2532">
        <v>6.75</v>
      </c>
      <c r="CK2532" t="s">
        <v>360</v>
      </c>
      <c r="CM2532">
        <v>1911</v>
      </c>
    </row>
    <row r="2533" spans="1:91" x14ac:dyDescent="0.3">
      <c r="A2533" t="s">
        <v>3554</v>
      </c>
      <c r="B2533">
        <v>43086</v>
      </c>
      <c r="D2533">
        <v>12</v>
      </c>
      <c r="E2533">
        <v>800000</v>
      </c>
      <c r="S2533">
        <v>2.5</v>
      </c>
      <c r="Y2533">
        <v>2.5</v>
      </c>
      <c r="AA2533">
        <v>17.37</v>
      </c>
      <c r="AC2533" s="3">
        <v>17.75</v>
      </c>
      <c r="AE2533" s="3">
        <v>17.25</v>
      </c>
      <c r="AI2533">
        <v>17.5</v>
      </c>
      <c r="AK2533" s="3"/>
      <c r="AU2533" t="s">
        <v>1803</v>
      </c>
      <c r="AV2533" t="s">
        <v>2050</v>
      </c>
      <c r="AW2533" t="s">
        <v>1803</v>
      </c>
      <c r="AX2533" t="s">
        <v>2050</v>
      </c>
      <c r="AY2533" t="s">
        <v>1803</v>
      </c>
      <c r="AZ2533" t="s">
        <v>2050</v>
      </c>
      <c r="BA2533" t="s">
        <v>1803</v>
      </c>
      <c r="BB2533" t="s">
        <v>2050</v>
      </c>
      <c r="BC2533">
        <v>120</v>
      </c>
      <c r="BD2533">
        <v>120</v>
      </c>
      <c r="BE2533">
        <v>120</v>
      </c>
      <c r="BF2533">
        <v>120</v>
      </c>
      <c r="BK2533" s="4">
        <v>3713</v>
      </c>
      <c r="BL2533" s="4">
        <v>3897</v>
      </c>
      <c r="BM2533" s="4">
        <v>4078</v>
      </c>
      <c r="BN2533" s="4">
        <v>4262</v>
      </c>
      <c r="BT2533">
        <v>5</v>
      </c>
      <c r="BU2533">
        <v>14</v>
      </c>
      <c r="BV2533">
        <v>3</v>
      </c>
      <c r="BX2533">
        <v>18.5</v>
      </c>
      <c r="BZ2533">
        <v>16.75</v>
      </c>
      <c r="CK2533" t="s">
        <v>360</v>
      </c>
      <c r="CL2533" t="s">
        <v>457</v>
      </c>
      <c r="CM2533">
        <v>1911</v>
      </c>
    </row>
    <row r="2534" spans="1:91" x14ac:dyDescent="0.3">
      <c r="A2534" t="s">
        <v>3555</v>
      </c>
      <c r="B2534">
        <v>43087</v>
      </c>
      <c r="C2534" t="s">
        <v>3064</v>
      </c>
      <c r="D2534">
        <v>12</v>
      </c>
      <c r="E2534" s="2">
        <v>1000000</v>
      </c>
      <c r="S2534">
        <v>2.5</v>
      </c>
      <c r="Y2534">
        <v>2.5</v>
      </c>
      <c r="AA2534">
        <v>19.18</v>
      </c>
      <c r="AC2534" s="3">
        <v>19.37</v>
      </c>
      <c r="AE2534" s="3">
        <v>18.62</v>
      </c>
      <c r="AI2534">
        <v>18.68</v>
      </c>
      <c r="AK2534" s="3"/>
      <c r="AU2534" t="s">
        <v>1803</v>
      </c>
      <c r="AV2534" t="s">
        <v>2050</v>
      </c>
      <c r="AW2534" t="s">
        <v>1803</v>
      </c>
      <c r="AX2534" t="s">
        <v>2050</v>
      </c>
      <c r="AY2534" t="s">
        <v>1803</v>
      </c>
      <c r="AZ2534" t="s">
        <v>2050</v>
      </c>
      <c r="BA2534" t="s">
        <v>1803</v>
      </c>
      <c r="BB2534" t="s">
        <v>2050</v>
      </c>
      <c r="BC2534">
        <v>120</v>
      </c>
      <c r="BD2534">
        <v>120</v>
      </c>
      <c r="BE2534">
        <v>120</v>
      </c>
      <c r="BF2534">
        <v>120</v>
      </c>
      <c r="BK2534" s="4">
        <v>3774</v>
      </c>
      <c r="BL2534" s="4">
        <v>3958</v>
      </c>
      <c r="BM2534" s="4">
        <v>4139</v>
      </c>
      <c r="BN2534" s="4">
        <v>4323</v>
      </c>
      <c r="BT2534">
        <v>5</v>
      </c>
      <c r="BU2534">
        <v>7</v>
      </c>
      <c r="BV2534">
        <v>3</v>
      </c>
      <c r="BX2534">
        <v>19.37</v>
      </c>
      <c r="BZ2534">
        <v>17.309999999999999</v>
      </c>
      <c r="CM2534">
        <v>1911</v>
      </c>
    </row>
    <row r="2535" spans="1:91" x14ac:dyDescent="0.3">
      <c r="A2535" t="s">
        <v>3555</v>
      </c>
      <c r="B2535">
        <v>43089</v>
      </c>
      <c r="C2535" t="s">
        <v>3556</v>
      </c>
      <c r="D2535">
        <v>12</v>
      </c>
      <c r="E2535" s="2">
        <v>1662500</v>
      </c>
      <c r="F2535" t="s">
        <v>800</v>
      </c>
      <c r="T2535" t="s">
        <v>385</v>
      </c>
      <c r="Z2535" t="s">
        <v>385</v>
      </c>
      <c r="AA2535">
        <v>103</v>
      </c>
      <c r="AC2535" s="3">
        <v>103</v>
      </c>
      <c r="AE2535" s="3">
        <v>103</v>
      </c>
      <c r="AI2535">
        <v>103</v>
      </c>
      <c r="AK2535" s="3"/>
      <c r="AV2535" t="s">
        <v>370</v>
      </c>
      <c r="AX2535" t="s">
        <v>370</v>
      </c>
      <c r="AZ2535" t="s">
        <v>370</v>
      </c>
      <c r="BB2535" t="s">
        <v>370</v>
      </c>
      <c r="BO2535" t="s">
        <v>367</v>
      </c>
      <c r="BT2535">
        <v>4</v>
      </c>
      <c r="BU2535">
        <v>10</v>
      </c>
      <c r="BV2535">
        <v>0</v>
      </c>
      <c r="BX2535">
        <v>104</v>
      </c>
      <c r="BZ2535">
        <v>100</v>
      </c>
      <c r="CM2535">
        <v>1911</v>
      </c>
    </row>
    <row r="2536" spans="1:91" x14ac:dyDescent="0.3">
      <c r="A2536" t="s">
        <v>3557</v>
      </c>
      <c r="B2536">
        <v>43101</v>
      </c>
      <c r="D2536">
        <v>12</v>
      </c>
      <c r="E2536">
        <v>80000</v>
      </c>
      <c r="S2536">
        <v>1</v>
      </c>
      <c r="Y2536">
        <v>1</v>
      </c>
      <c r="AA2536">
        <v>0.37</v>
      </c>
      <c r="AC2536" s="3">
        <v>0.37</v>
      </c>
      <c r="AE2536" s="3">
        <v>0.31</v>
      </c>
      <c r="AI2536">
        <v>0.31</v>
      </c>
      <c r="AK2536" s="3"/>
      <c r="AU2536" t="s">
        <v>1717</v>
      </c>
      <c r="AV2536" t="s">
        <v>1719</v>
      </c>
      <c r="AW2536" t="s">
        <v>1717</v>
      </c>
      <c r="AX2536" t="s">
        <v>1719</v>
      </c>
      <c r="AY2536" t="s">
        <v>1717</v>
      </c>
      <c r="AZ2536" t="s">
        <v>1718</v>
      </c>
      <c r="BA2536" t="s">
        <v>1717</v>
      </c>
      <c r="BB2536" t="s">
        <v>1719</v>
      </c>
      <c r="BC2536">
        <v>12</v>
      </c>
      <c r="BD2536">
        <v>12</v>
      </c>
      <c r="BE2536">
        <v>12</v>
      </c>
      <c r="BF2536">
        <v>12</v>
      </c>
      <c r="BK2536" s="4">
        <v>3409</v>
      </c>
      <c r="BL2536" s="4">
        <v>3774</v>
      </c>
      <c r="BM2536" s="4">
        <v>3897</v>
      </c>
      <c r="BN2536" s="4">
        <v>4050</v>
      </c>
      <c r="BT2536">
        <v>16</v>
      </c>
      <c r="BU2536">
        <v>0</v>
      </c>
      <c r="BV2536">
        <v>0</v>
      </c>
      <c r="BX2536">
        <v>0.68</v>
      </c>
      <c r="BZ2536">
        <v>0.31</v>
      </c>
      <c r="CK2536" t="s">
        <v>360</v>
      </c>
      <c r="CM2536">
        <v>1911</v>
      </c>
    </row>
    <row r="2537" spans="1:91" x14ac:dyDescent="0.3">
      <c r="A2537" t="s">
        <v>3558</v>
      </c>
      <c r="B2537">
        <v>43216</v>
      </c>
      <c r="D2537">
        <v>12</v>
      </c>
      <c r="E2537">
        <v>344513</v>
      </c>
      <c r="S2537">
        <v>1</v>
      </c>
      <c r="Y2537">
        <v>1</v>
      </c>
      <c r="AA2537">
        <v>1</v>
      </c>
      <c r="AC2537" s="3">
        <v>1</v>
      </c>
      <c r="AE2537" s="3">
        <v>0.9</v>
      </c>
      <c r="AI2537">
        <v>0.93</v>
      </c>
      <c r="AK2537" s="3"/>
      <c r="AU2537" t="s">
        <v>1720</v>
      </c>
      <c r="AV2537" t="s">
        <v>3423</v>
      </c>
      <c r="AW2537" t="s">
        <v>2340</v>
      </c>
      <c r="AX2537" t="s">
        <v>2341</v>
      </c>
      <c r="AY2537" t="s">
        <v>1622</v>
      </c>
      <c r="AZ2537" s="5">
        <v>40695</v>
      </c>
      <c r="BA2537" t="s">
        <v>1717</v>
      </c>
      <c r="BB2537" t="s">
        <v>1719</v>
      </c>
      <c r="BC2537">
        <v>9</v>
      </c>
      <c r="BD2537">
        <v>6</v>
      </c>
      <c r="BE2537">
        <v>18</v>
      </c>
      <c r="BF2537">
        <v>12</v>
      </c>
      <c r="BK2537" s="4">
        <v>3988</v>
      </c>
      <c r="BL2537" s="4">
        <v>4050</v>
      </c>
      <c r="BM2537" s="4">
        <v>4231</v>
      </c>
      <c r="BN2537" s="4">
        <v>4353</v>
      </c>
      <c r="BT2537">
        <v>16</v>
      </c>
      <c r="BU2537">
        <v>0</v>
      </c>
      <c r="BV2537">
        <v>0</v>
      </c>
      <c r="BX2537">
        <v>1.0900000000000001</v>
      </c>
      <c r="BZ2537">
        <v>0.78</v>
      </c>
      <c r="CK2537" t="s">
        <v>360</v>
      </c>
      <c r="CL2537" t="s">
        <v>457</v>
      </c>
      <c r="CM2537">
        <v>1911</v>
      </c>
    </row>
    <row r="2538" spans="1:91" x14ac:dyDescent="0.3">
      <c r="A2538" t="s">
        <v>3559</v>
      </c>
      <c r="B2538">
        <v>43297</v>
      </c>
      <c r="D2538">
        <v>12</v>
      </c>
      <c r="E2538">
        <v>199800</v>
      </c>
      <c r="S2538">
        <v>1</v>
      </c>
      <c r="Y2538">
        <v>1</v>
      </c>
      <c r="AA2538">
        <v>1.1200000000000001</v>
      </c>
      <c r="AC2538" s="3">
        <v>1.28</v>
      </c>
      <c r="AE2538" s="3">
        <v>1.1200000000000001</v>
      </c>
      <c r="AI2538">
        <v>1.25</v>
      </c>
      <c r="AK2538" s="3"/>
      <c r="AV2538" t="s">
        <v>385</v>
      </c>
      <c r="AW2538" t="s">
        <v>1717</v>
      </c>
      <c r="AX2538" t="s">
        <v>1719</v>
      </c>
      <c r="AY2538" t="s">
        <v>1582</v>
      </c>
      <c r="AZ2538" t="s">
        <v>1760</v>
      </c>
      <c r="BA2538" t="s">
        <v>1717</v>
      </c>
      <c r="BB2538" t="s">
        <v>1719</v>
      </c>
      <c r="BD2538">
        <v>12</v>
      </c>
      <c r="BE2538">
        <v>24</v>
      </c>
      <c r="BF2538">
        <v>12</v>
      </c>
      <c r="BL2538" s="4">
        <v>3774</v>
      </c>
      <c r="BM2538" s="4">
        <v>4139</v>
      </c>
      <c r="BN2538" s="4">
        <v>4323</v>
      </c>
      <c r="BT2538">
        <v>12</v>
      </c>
      <c r="BU2538">
        <v>0</v>
      </c>
      <c r="BV2538">
        <v>0</v>
      </c>
      <c r="BX2538">
        <v>1.31</v>
      </c>
      <c r="BZ2538">
        <v>0.12</v>
      </c>
      <c r="CM2538">
        <v>1911</v>
      </c>
    </row>
    <row r="2539" spans="1:91" x14ac:dyDescent="0.3">
      <c r="A2539" t="s">
        <v>3560</v>
      </c>
      <c r="B2539">
        <v>43363</v>
      </c>
      <c r="D2539">
        <v>12</v>
      </c>
      <c r="E2539">
        <v>125000</v>
      </c>
      <c r="S2539">
        <v>1</v>
      </c>
      <c r="Y2539">
        <v>1</v>
      </c>
      <c r="AA2539">
        <v>1.87</v>
      </c>
      <c r="AC2539" s="3">
        <v>1.87</v>
      </c>
      <c r="AE2539" s="3">
        <v>1.87</v>
      </c>
      <c r="AI2539">
        <v>1.87</v>
      </c>
      <c r="AJ2539" t="s">
        <v>379</v>
      </c>
      <c r="AK2539" s="3"/>
      <c r="AU2539" t="s">
        <v>1582</v>
      </c>
      <c r="AV2539" t="s">
        <v>1760</v>
      </c>
      <c r="AW2539" t="s">
        <v>1582</v>
      </c>
      <c r="AX2539" t="s">
        <v>1760</v>
      </c>
      <c r="AY2539" t="s">
        <v>1582</v>
      </c>
      <c r="AZ2539" t="s">
        <v>1760</v>
      </c>
      <c r="BA2539" t="s">
        <v>1582</v>
      </c>
      <c r="BB2539" t="s">
        <v>1760</v>
      </c>
      <c r="BC2539">
        <v>24</v>
      </c>
      <c r="BD2539">
        <v>24</v>
      </c>
      <c r="BE2539">
        <v>24</v>
      </c>
      <c r="BF2539">
        <v>24</v>
      </c>
      <c r="BK2539" s="4">
        <v>4078</v>
      </c>
      <c r="BL2539" s="4">
        <v>4170</v>
      </c>
      <c r="BM2539" s="4">
        <v>4262</v>
      </c>
      <c r="BN2539" s="4">
        <v>4384</v>
      </c>
      <c r="BT2539">
        <v>10</v>
      </c>
      <c r="BU2539">
        <v>13</v>
      </c>
      <c r="BV2539">
        <v>3</v>
      </c>
      <c r="BX2539">
        <v>3.12</v>
      </c>
      <c r="BZ2539">
        <v>1.87</v>
      </c>
      <c r="CK2539" t="s">
        <v>360</v>
      </c>
      <c r="CM2539">
        <v>1911</v>
      </c>
    </row>
    <row r="2540" spans="1:91" x14ac:dyDescent="0.3">
      <c r="A2540" t="s">
        <v>3561</v>
      </c>
      <c r="B2540">
        <v>43365</v>
      </c>
      <c r="D2540">
        <v>12</v>
      </c>
      <c r="E2540">
        <v>440000</v>
      </c>
      <c r="S2540">
        <v>1</v>
      </c>
      <c r="Y2540">
        <v>1</v>
      </c>
      <c r="AA2540">
        <v>1.56</v>
      </c>
      <c r="AC2540" s="3">
        <v>1.56</v>
      </c>
      <c r="AE2540" s="3">
        <v>1.43</v>
      </c>
      <c r="AI2540">
        <v>1.43</v>
      </c>
      <c r="AK2540" s="3"/>
      <c r="AU2540" t="s">
        <v>1582</v>
      </c>
      <c r="AV2540" t="s">
        <v>1760</v>
      </c>
      <c r="AW2540" t="s">
        <v>1717</v>
      </c>
      <c r="AX2540" t="s">
        <v>1719</v>
      </c>
      <c r="AY2540" t="s">
        <v>1622</v>
      </c>
      <c r="AZ2540" s="5">
        <v>40695</v>
      </c>
      <c r="BA2540" t="s">
        <v>1717</v>
      </c>
      <c r="BB2540" t="s">
        <v>1719</v>
      </c>
      <c r="BC2540">
        <v>24</v>
      </c>
      <c r="BD2540">
        <v>12</v>
      </c>
      <c r="BE2540">
        <v>18</v>
      </c>
      <c r="BF2540">
        <v>12</v>
      </c>
      <c r="BK2540" s="4">
        <v>3501</v>
      </c>
      <c r="BL2540" s="4">
        <v>3685</v>
      </c>
      <c r="BM2540" s="4">
        <v>4050</v>
      </c>
      <c r="BN2540" s="4">
        <v>4415</v>
      </c>
      <c r="BT2540">
        <v>3</v>
      </c>
      <c r="BU2540">
        <v>9</v>
      </c>
      <c r="BV2540">
        <v>9</v>
      </c>
      <c r="BX2540">
        <v>1.87</v>
      </c>
      <c r="BZ2540">
        <v>1.37</v>
      </c>
      <c r="CK2540" t="s">
        <v>360</v>
      </c>
      <c r="CM2540">
        <v>1911</v>
      </c>
    </row>
    <row r="2541" spans="1:91" x14ac:dyDescent="0.3">
      <c r="A2541" t="s">
        <v>3562</v>
      </c>
      <c r="B2541">
        <v>43404</v>
      </c>
      <c r="D2541">
        <v>12</v>
      </c>
      <c r="E2541">
        <v>293000</v>
      </c>
      <c r="S2541">
        <v>1</v>
      </c>
      <c r="Y2541">
        <v>1</v>
      </c>
      <c r="AA2541">
        <v>0.18</v>
      </c>
      <c r="AC2541" s="3">
        <v>0.18</v>
      </c>
      <c r="AE2541" s="3">
        <v>0.18</v>
      </c>
      <c r="AI2541">
        <v>0.18</v>
      </c>
      <c r="AK2541" s="3"/>
      <c r="AV2541" t="s">
        <v>385</v>
      </c>
      <c r="AX2541" t="s">
        <v>385</v>
      </c>
      <c r="AZ2541" t="s">
        <v>385</v>
      </c>
      <c r="BB2541" t="s">
        <v>385</v>
      </c>
      <c r="BW2541" t="s">
        <v>802</v>
      </c>
      <c r="BX2541">
        <v>0.75</v>
      </c>
      <c r="BZ2541">
        <v>0.06</v>
      </c>
      <c r="CK2541" t="s">
        <v>360</v>
      </c>
      <c r="CM2541">
        <v>1911</v>
      </c>
    </row>
    <row r="2542" spans="1:91" x14ac:dyDescent="0.3">
      <c r="A2542" t="s">
        <v>3563</v>
      </c>
      <c r="B2542">
        <v>50800</v>
      </c>
      <c r="D2542">
        <v>12</v>
      </c>
      <c r="E2542">
        <v>450000</v>
      </c>
      <c r="S2542">
        <v>1</v>
      </c>
      <c r="Y2542">
        <v>1</v>
      </c>
      <c r="AA2542">
        <v>0.31</v>
      </c>
      <c r="AC2542" s="3">
        <v>0.31</v>
      </c>
      <c r="AE2542" s="3">
        <v>0.31</v>
      </c>
      <c r="AI2542">
        <v>0.31</v>
      </c>
      <c r="AK2542" s="3"/>
      <c r="AV2542" t="s">
        <v>385</v>
      </c>
      <c r="AX2542" t="s">
        <v>385</v>
      </c>
      <c r="AZ2542" t="s">
        <v>385</v>
      </c>
      <c r="BB2542" t="s">
        <v>385</v>
      </c>
      <c r="BW2542" t="s">
        <v>802</v>
      </c>
      <c r="BX2542">
        <v>0.59</v>
      </c>
      <c r="BZ2542">
        <v>0.37</v>
      </c>
      <c r="CK2542" t="s">
        <v>360</v>
      </c>
      <c r="CM2542">
        <v>1911</v>
      </c>
    </row>
    <row r="2543" spans="1:91" x14ac:dyDescent="0.3">
      <c r="A2543" t="s">
        <v>3564</v>
      </c>
      <c r="B2543">
        <v>43403</v>
      </c>
      <c r="D2543">
        <v>12</v>
      </c>
      <c r="E2543" s="2">
        <v>2431900</v>
      </c>
      <c r="S2543">
        <v>1</v>
      </c>
      <c r="Y2543">
        <v>1</v>
      </c>
      <c r="AA2543">
        <v>3.15</v>
      </c>
      <c r="AC2543" s="3">
        <v>3.34</v>
      </c>
      <c r="AE2543" s="3">
        <v>3.15</v>
      </c>
      <c r="AI2543">
        <v>3.34</v>
      </c>
      <c r="AK2543" s="3"/>
      <c r="AU2543" t="s">
        <v>1467</v>
      </c>
      <c r="AV2543" t="s">
        <v>1468</v>
      </c>
      <c r="AW2543" t="s">
        <v>1467</v>
      </c>
      <c r="AX2543" t="s">
        <v>1468</v>
      </c>
      <c r="AY2543" t="s">
        <v>1467</v>
      </c>
      <c r="AZ2543" t="s">
        <v>1468</v>
      </c>
      <c r="BA2543" t="s">
        <v>1582</v>
      </c>
      <c r="BB2543" t="s">
        <v>1760</v>
      </c>
      <c r="BC2543">
        <v>48</v>
      </c>
      <c r="BD2543">
        <v>48</v>
      </c>
      <c r="BE2543">
        <v>48</v>
      </c>
      <c r="BF2543">
        <v>24</v>
      </c>
      <c r="BK2543" s="4">
        <v>3866</v>
      </c>
      <c r="BL2543" s="4">
        <v>4050</v>
      </c>
      <c r="BM2543" s="4">
        <v>4231</v>
      </c>
      <c r="BN2543" s="4">
        <v>4415</v>
      </c>
      <c r="BT2543">
        <v>8</v>
      </c>
      <c r="BU2543">
        <v>19</v>
      </c>
      <c r="BV2543">
        <v>3</v>
      </c>
      <c r="BX2543">
        <v>5.21</v>
      </c>
      <c r="BZ2543">
        <v>3.09</v>
      </c>
      <c r="CK2543" t="s">
        <v>3565</v>
      </c>
      <c r="CM2543">
        <v>1911</v>
      </c>
    </row>
    <row r="2544" spans="1:91" x14ac:dyDescent="0.3">
      <c r="A2544" t="s">
        <v>3566</v>
      </c>
      <c r="B2544">
        <v>43608</v>
      </c>
      <c r="D2544">
        <v>12</v>
      </c>
      <c r="E2544" s="2">
        <v>1147500</v>
      </c>
      <c r="S2544">
        <v>1</v>
      </c>
      <c r="Y2544">
        <v>1</v>
      </c>
      <c r="AA2544">
        <v>1.1200000000000001</v>
      </c>
      <c r="AC2544" s="3">
        <v>1.1499999999999999</v>
      </c>
      <c r="AE2544" s="3">
        <v>1.06</v>
      </c>
      <c r="AI2544">
        <v>1.06</v>
      </c>
      <c r="AJ2544" t="s">
        <v>379</v>
      </c>
      <c r="AK2544" s="3"/>
      <c r="AU2544" t="s">
        <v>1622</v>
      </c>
      <c r="AV2544" s="5">
        <v>40695</v>
      </c>
      <c r="AW2544" t="s">
        <v>1622</v>
      </c>
      <c r="AX2544" s="5">
        <v>40695</v>
      </c>
      <c r="AY2544" t="s">
        <v>1622</v>
      </c>
      <c r="AZ2544" s="5">
        <v>40695</v>
      </c>
      <c r="BA2544" t="s">
        <v>1622</v>
      </c>
      <c r="BB2544" s="5">
        <v>40695</v>
      </c>
      <c r="BC2544">
        <v>18</v>
      </c>
      <c r="BD2544">
        <v>18</v>
      </c>
      <c r="BE2544">
        <v>18</v>
      </c>
      <c r="BF2544">
        <v>18</v>
      </c>
      <c r="BK2544" s="4">
        <v>3654</v>
      </c>
      <c r="BL2544" s="4">
        <v>3835</v>
      </c>
      <c r="BM2544" s="4">
        <v>4019</v>
      </c>
      <c r="BN2544" s="4">
        <v>4200</v>
      </c>
      <c r="BT2544">
        <v>14</v>
      </c>
      <c r="BU2544">
        <v>2</v>
      </c>
      <c r="BV2544">
        <v>3</v>
      </c>
      <c r="BX2544">
        <v>1.56</v>
      </c>
      <c r="BZ2544">
        <v>1.06</v>
      </c>
      <c r="CK2544" t="s">
        <v>360</v>
      </c>
      <c r="CM2544">
        <v>1911</v>
      </c>
    </row>
    <row r="2545" spans="1:91" x14ac:dyDescent="0.3">
      <c r="A2545" t="s">
        <v>3567</v>
      </c>
      <c r="B2545">
        <v>43621</v>
      </c>
      <c r="D2545">
        <v>12</v>
      </c>
      <c r="E2545">
        <v>300000</v>
      </c>
      <c r="S2545">
        <v>1</v>
      </c>
      <c r="Y2545">
        <v>1</v>
      </c>
      <c r="AA2545">
        <v>3.06</v>
      </c>
      <c r="AC2545" s="3">
        <v>3.12</v>
      </c>
      <c r="AE2545" s="3">
        <v>2.25</v>
      </c>
      <c r="AI2545">
        <v>2.4300000000000002</v>
      </c>
      <c r="AK2545" s="3"/>
      <c r="AU2545" t="s">
        <v>1465</v>
      </c>
      <c r="AV2545" t="s">
        <v>1466</v>
      </c>
      <c r="AW2545" t="s">
        <v>1465</v>
      </c>
      <c r="AX2545" t="s">
        <v>1466</v>
      </c>
      <c r="AY2545" t="s">
        <v>1465</v>
      </c>
      <c r="AZ2545" t="s">
        <v>1466</v>
      </c>
      <c r="BA2545" t="s">
        <v>1465</v>
      </c>
      <c r="BB2545" t="s">
        <v>1466</v>
      </c>
      <c r="BC2545">
        <v>36</v>
      </c>
      <c r="BD2545">
        <v>36</v>
      </c>
      <c r="BE2545">
        <v>36</v>
      </c>
      <c r="BF2545">
        <v>36</v>
      </c>
      <c r="BK2545" s="4">
        <v>3835</v>
      </c>
      <c r="BL2545" s="4">
        <v>4019</v>
      </c>
      <c r="BM2545" s="4">
        <v>4200</v>
      </c>
      <c r="BN2545" s="4">
        <v>4384</v>
      </c>
      <c r="BT2545">
        <v>12</v>
      </c>
      <c r="BU2545">
        <v>6</v>
      </c>
      <c r="BV2545">
        <v>3</v>
      </c>
      <c r="BX2545">
        <v>3.68</v>
      </c>
      <c r="BZ2545">
        <v>2.25</v>
      </c>
      <c r="CK2545" t="s">
        <v>360</v>
      </c>
      <c r="CM2545">
        <v>1911</v>
      </c>
    </row>
    <row r="2546" spans="1:91" x14ac:dyDescent="0.3">
      <c r="A2546" t="s">
        <v>3568</v>
      </c>
      <c r="B2546">
        <v>43699</v>
      </c>
      <c r="D2546">
        <v>12</v>
      </c>
      <c r="E2546">
        <v>200000</v>
      </c>
      <c r="S2546">
        <v>1</v>
      </c>
      <c r="Y2546">
        <v>1</v>
      </c>
      <c r="AA2546">
        <v>1.43</v>
      </c>
      <c r="AC2546" s="3">
        <v>1.43</v>
      </c>
      <c r="AE2546" s="3">
        <v>1.18</v>
      </c>
      <c r="AI2546">
        <v>1.18</v>
      </c>
      <c r="AK2546" s="3"/>
      <c r="AU2546" t="s">
        <v>1582</v>
      </c>
      <c r="AV2546" t="s">
        <v>1760</v>
      </c>
      <c r="AW2546" t="s">
        <v>1582</v>
      </c>
      <c r="AX2546" t="s">
        <v>1760</v>
      </c>
      <c r="AY2546" t="s">
        <v>1582</v>
      </c>
      <c r="AZ2546" t="s">
        <v>1760</v>
      </c>
      <c r="BA2546" t="s">
        <v>1582</v>
      </c>
      <c r="BB2546" t="s">
        <v>1760</v>
      </c>
      <c r="BC2546">
        <v>24</v>
      </c>
      <c r="BD2546">
        <v>24</v>
      </c>
      <c r="BE2546">
        <v>24</v>
      </c>
      <c r="BF2546">
        <v>24</v>
      </c>
      <c r="BK2546" t="s">
        <v>2018</v>
      </c>
      <c r="BL2546" s="4">
        <v>3654</v>
      </c>
      <c r="BM2546" s="4">
        <v>3835</v>
      </c>
      <c r="BN2546" s="4">
        <v>4078</v>
      </c>
      <c r="BT2546">
        <v>8</v>
      </c>
      <c r="BU2546">
        <v>8</v>
      </c>
      <c r="BV2546">
        <v>6</v>
      </c>
      <c r="BX2546">
        <v>2.68</v>
      </c>
      <c r="BZ2546">
        <v>1.03</v>
      </c>
      <c r="CM2546">
        <v>1911</v>
      </c>
    </row>
    <row r="2547" spans="1:91" x14ac:dyDescent="0.3">
      <c r="A2547" t="s">
        <v>3569</v>
      </c>
      <c r="B2547">
        <v>43707</v>
      </c>
      <c r="D2547">
        <v>12</v>
      </c>
      <c r="E2547">
        <v>455000</v>
      </c>
      <c r="S2547">
        <v>1</v>
      </c>
      <c r="Y2547">
        <v>1</v>
      </c>
      <c r="AA2547">
        <v>1.5</v>
      </c>
      <c r="AC2547" s="3">
        <v>2</v>
      </c>
      <c r="AE2547" s="3">
        <v>1.43</v>
      </c>
      <c r="AI2547">
        <v>2</v>
      </c>
      <c r="AK2547" s="3"/>
      <c r="AU2547" t="s">
        <v>1622</v>
      </c>
      <c r="AV2547" s="5">
        <v>40695</v>
      </c>
      <c r="AW2547" t="s">
        <v>1622</v>
      </c>
      <c r="AX2547" s="5">
        <v>40695</v>
      </c>
      <c r="AY2547" t="s">
        <v>1622</v>
      </c>
      <c r="AZ2547" s="5">
        <v>40695</v>
      </c>
      <c r="BA2547" t="s">
        <v>1622</v>
      </c>
      <c r="BB2547" s="5">
        <v>40695</v>
      </c>
      <c r="BC2547">
        <v>18</v>
      </c>
      <c r="BD2547">
        <v>18</v>
      </c>
      <c r="BE2547">
        <v>18</v>
      </c>
      <c r="BF2547">
        <v>18</v>
      </c>
      <c r="BK2547" s="4">
        <v>4109</v>
      </c>
      <c r="BL2547" s="4">
        <v>4200</v>
      </c>
      <c r="BM2547" s="4">
        <v>4292</v>
      </c>
      <c r="BN2547" s="4">
        <v>4384</v>
      </c>
      <c r="BT2547">
        <v>15</v>
      </c>
      <c r="BU2547">
        <v>0</v>
      </c>
      <c r="BV2547">
        <v>0</v>
      </c>
      <c r="BX2547">
        <v>2.06</v>
      </c>
      <c r="BZ2547">
        <v>1.43</v>
      </c>
      <c r="CK2547" t="s">
        <v>360</v>
      </c>
      <c r="CM2547">
        <v>1911</v>
      </c>
    </row>
    <row r="2548" spans="1:91" x14ac:dyDescent="0.3">
      <c r="A2548" t="s">
        <v>3570</v>
      </c>
      <c r="B2548">
        <v>43767</v>
      </c>
      <c r="D2548">
        <v>12</v>
      </c>
      <c r="E2548">
        <v>400000</v>
      </c>
      <c r="S2548">
        <v>1</v>
      </c>
      <c r="Y2548">
        <v>1</v>
      </c>
      <c r="AA2548">
        <v>1.5</v>
      </c>
      <c r="AC2548" s="3">
        <v>1.71</v>
      </c>
      <c r="AE2548" s="3">
        <v>1.46</v>
      </c>
      <c r="AI2548">
        <v>1.46</v>
      </c>
      <c r="AK2548" s="3"/>
      <c r="AV2548" t="s">
        <v>385</v>
      </c>
      <c r="AX2548" t="s">
        <v>385</v>
      </c>
      <c r="AZ2548" t="s">
        <v>385</v>
      </c>
      <c r="BB2548" t="s">
        <v>385</v>
      </c>
      <c r="BW2548" t="s">
        <v>802</v>
      </c>
      <c r="BX2548">
        <v>2.37</v>
      </c>
      <c r="BZ2548">
        <v>0.93</v>
      </c>
      <c r="CK2548" t="s">
        <v>360</v>
      </c>
      <c r="CM2548">
        <v>1911</v>
      </c>
    </row>
    <row r="2549" spans="1:91" x14ac:dyDescent="0.3">
      <c r="A2549" t="s">
        <v>3571</v>
      </c>
      <c r="B2549">
        <v>43771</v>
      </c>
      <c r="D2549">
        <v>12</v>
      </c>
      <c r="E2549" s="2">
        <v>1200000</v>
      </c>
      <c r="T2549" t="s">
        <v>1758</v>
      </c>
      <c r="Z2549" t="s">
        <v>1758</v>
      </c>
      <c r="AA2549">
        <v>0.59</v>
      </c>
      <c r="AC2549" s="3">
        <v>0.59</v>
      </c>
      <c r="AE2549" s="3">
        <v>0.53</v>
      </c>
      <c r="AI2549">
        <v>0.53</v>
      </c>
      <c r="AK2549" s="3"/>
      <c r="AV2549" t="s">
        <v>385</v>
      </c>
      <c r="AX2549" t="s">
        <v>385</v>
      </c>
      <c r="AZ2549" t="s">
        <v>385</v>
      </c>
      <c r="BB2549" t="s">
        <v>385</v>
      </c>
      <c r="BW2549" t="s">
        <v>802</v>
      </c>
      <c r="BX2549">
        <v>0.93</v>
      </c>
      <c r="BZ2549">
        <v>0.53</v>
      </c>
      <c r="CK2549" t="s">
        <v>360</v>
      </c>
      <c r="CM2549">
        <v>1911</v>
      </c>
    </row>
    <row r="2550" spans="1:91" x14ac:dyDescent="0.3">
      <c r="A2550" t="s">
        <v>3572</v>
      </c>
      <c r="B2550">
        <v>43772</v>
      </c>
      <c r="D2550">
        <v>12</v>
      </c>
      <c r="E2550" s="2">
        <v>1791970</v>
      </c>
      <c r="T2550" t="s">
        <v>1548</v>
      </c>
      <c r="Z2550" t="s">
        <v>1548</v>
      </c>
      <c r="AA2550">
        <v>0.15</v>
      </c>
      <c r="AC2550" s="3">
        <v>0.15</v>
      </c>
      <c r="AE2550" s="3">
        <v>0.09</v>
      </c>
      <c r="AI2550">
        <v>0.12</v>
      </c>
      <c r="AK2550" s="3"/>
      <c r="AV2550" t="s">
        <v>385</v>
      </c>
      <c r="AX2550" t="s">
        <v>385</v>
      </c>
      <c r="AZ2550" t="s">
        <v>385</v>
      </c>
      <c r="BB2550" t="s">
        <v>385</v>
      </c>
      <c r="BW2550" t="s">
        <v>802</v>
      </c>
      <c r="BX2550">
        <v>0.28000000000000003</v>
      </c>
      <c r="BZ2550">
        <v>0.09</v>
      </c>
      <c r="CM2550">
        <v>1911</v>
      </c>
    </row>
    <row r="2551" spans="1:91" x14ac:dyDescent="0.3">
      <c r="A2551" t="s">
        <v>3573</v>
      </c>
      <c r="B2551">
        <v>43784</v>
      </c>
      <c r="D2551">
        <v>12</v>
      </c>
      <c r="E2551">
        <v>95000</v>
      </c>
      <c r="S2551">
        <v>1</v>
      </c>
      <c r="Y2551">
        <v>1</v>
      </c>
      <c r="AA2551">
        <v>4.75</v>
      </c>
      <c r="AC2551" s="3">
        <v>4.75</v>
      </c>
      <c r="AE2551" s="3">
        <v>4.75</v>
      </c>
      <c r="AI2551">
        <v>4.75</v>
      </c>
      <c r="AK2551" s="3"/>
      <c r="AU2551" t="s">
        <v>1950</v>
      </c>
      <c r="AV2551" t="s">
        <v>3574</v>
      </c>
      <c r="AW2551" t="s">
        <v>1950</v>
      </c>
      <c r="AX2551" t="s">
        <v>3574</v>
      </c>
      <c r="AY2551" t="s">
        <v>1837</v>
      </c>
      <c r="AZ2551" t="s">
        <v>3288</v>
      </c>
      <c r="BA2551" t="s">
        <v>1837</v>
      </c>
      <c r="BB2551" t="s">
        <v>3288</v>
      </c>
      <c r="BC2551">
        <v>360</v>
      </c>
      <c r="BD2551">
        <v>360</v>
      </c>
      <c r="BE2551">
        <v>240</v>
      </c>
      <c r="BF2551">
        <v>240</v>
      </c>
      <c r="BK2551" s="4">
        <v>3866</v>
      </c>
      <c r="BL2551" s="4">
        <v>4050</v>
      </c>
      <c r="BM2551" s="4">
        <v>4231</v>
      </c>
      <c r="BN2551" s="4">
        <v>4415</v>
      </c>
      <c r="BT2551">
        <v>42</v>
      </c>
      <c r="BU2551">
        <v>2</v>
      </c>
      <c r="BV2551">
        <v>0</v>
      </c>
      <c r="BX2551">
        <v>10.5</v>
      </c>
      <c r="BZ2551">
        <v>4.5</v>
      </c>
      <c r="CK2551" t="s">
        <v>3565</v>
      </c>
      <c r="CM2551">
        <v>1911</v>
      </c>
    </row>
    <row r="2552" spans="1:91" x14ac:dyDescent="0.3">
      <c r="A2552" t="s">
        <v>3575</v>
      </c>
      <c r="B2552">
        <v>43785</v>
      </c>
      <c r="D2552">
        <v>12</v>
      </c>
      <c r="E2552">
        <v>910000</v>
      </c>
      <c r="S2552">
        <v>1</v>
      </c>
      <c r="Y2552">
        <v>1</v>
      </c>
      <c r="AA2552">
        <v>3.62</v>
      </c>
      <c r="AC2552" s="3">
        <v>3.68</v>
      </c>
      <c r="AE2552" s="3">
        <v>3.56</v>
      </c>
      <c r="AI2552">
        <v>3.56</v>
      </c>
      <c r="AK2552" s="3"/>
      <c r="AU2552" t="s">
        <v>2962</v>
      </c>
      <c r="AV2552" s="5">
        <v>40699</v>
      </c>
      <c r="AW2552" t="s">
        <v>2962</v>
      </c>
      <c r="AX2552" s="5">
        <v>40699</v>
      </c>
      <c r="AY2552" t="s">
        <v>2847</v>
      </c>
      <c r="AZ2552" s="5">
        <v>40698</v>
      </c>
      <c r="BA2552" t="s">
        <v>2847</v>
      </c>
      <c r="BB2552" s="5">
        <v>40698</v>
      </c>
      <c r="BC2552">
        <v>66</v>
      </c>
      <c r="BD2552">
        <v>66</v>
      </c>
      <c r="BE2552">
        <v>54</v>
      </c>
      <c r="BF2552">
        <v>54</v>
      </c>
      <c r="BK2552" s="4">
        <v>3774</v>
      </c>
      <c r="BL2552" s="4">
        <v>3958</v>
      </c>
      <c r="BM2552" s="4">
        <v>4139</v>
      </c>
      <c r="BN2552" s="4">
        <v>4323</v>
      </c>
      <c r="BT2552">
        <v>12</v>
      </c>
      <c r="BU2552">
        <v>12</v>
      </c>
      <c r="BV2552">
        <v>9</v>
      </c>
      <c r="BX2552">
        <v>5.0599999999999996</v>
      </c>
      <c r="BZ2552">
        <v>3.56</v>
      </c>
      <c r="CK2552" t="s">
        <v>360</v>
      </c>
      <c r="CM2552">
        <v>1911</v>
      </c>
    </row>
    <row r="2553" spans="1:91" x14ac:dyDescent="0.3">
      <c r="A2553" t="s">
        <v>3576</v>
      </c>
      <c r="B2553">
        <v>43933</v>
      </c>
      <c r="D2553">
        <v>12</v>
      </c>
      <c r="E2553">
        <v>514000</v>
      </c>
      <c r="S2553">
        <v>1</v>
      </c>
      <c r="Y2553">
        <v>1</v>
      </c>
      <c r="AA2553">
        <v>0.12</v>
      </c>
      <c r="AC2553" s="3">
        <v>0.12</v>
      </c>
      <c r="AE2553" s="3">
        <v>0.12</v>
      </c>
      <c r="AI2553">
        <v>0.12</v>
      </c>
      <c r="AK2553" s="3"/>
      <c r="AV2553" t="s">
        <v>385</v>
      </c>
      <c r="AW2553" t="s">
        <v>1717</v>
      </c>
      <c r="AX2553" t="s">
        <v>1719</v>
      </c>
      <c r="AY2553" t="s">
        <v>1622</v>
      </c>
      <c r="AZ2553" s="5">
        <v>40695</v>
      </c>
      <c r="BB2553" t="s">
        <v>810</v>
      </c>
      <c r="BD2553">
        <v>12</v>
      </c>
      <c r="BE2553">
        <v>18</v>
      </c>
      <c r="BL2553" s="4">
        <v>2589</v>
      </c>
      <c r="BM2553" s="4">
        <v>2954</v>
      </c>
      <c r="BW2553" t="s">
        <v>802</v>
      </c>
      <c r="BX2553">
        <v>0.28000000000000003</v>
      </c>
      <c r="BZ2553">
        <v>0.12</v>
      </c>
      <c r="CK2553" t="s">
        <v>360</v>
      </c>
      <c r="CM2553">
        <v>1911</v>
      </c>
    </row>
    <row r="2554" spans="1:91" x14ac:dyDescent="0.3">
      <c r="A2554" t="s">
        <v>3577</v>
      </c>
      <c r="B2554">
        <v>44020</v>
      </c>
      <c r="D2554">
        <v>12</v>
      </c>
      <c r="E2554">
        <v>750000</v>
      </c>
      <c r="S2554">
        <v>1</v>
      </c>
      <c r="Y2554">
        <v>1</v>
      </c>
      <c r="AA2554">
        <v>1</v>
      </c>
      <c r="AC2554" s="3">
        <v>1</v>
      </c>
      <c r="AE2554" s="3">
        <v>0.9</v>
      </c>
      <c r="AI2554">
        <v>0.9</v>
      </c>
      <c r="AK2554" s="3"/>
      <c r="AV2554" t="s">
        <v>385</v>
      </c>
      <c r="AX2554" t="s">
        <v>385</v>
      </c>
      <c r="AZ2554" t="s">
        <v>385</v>
      </c>
      <c r="BB2554" t="s">
        <v>385</v>
      </c>
      <c r="BW2554" t="s">
        <v>802</v>
      </c>
      <c r="BX2554">
        <v>1.62</v>
      </c>
      <c r="BZ2554">
        <v>0.84</v>
      </c>
      <c r="CK2554" t="s">
        <v>360</v>
      </c>
      <c r="CM2554">
        <v>1911</v>
      </c>
    </row>
    <row r="2555" spans="1:91" x14ac:dyDescent="0.3">
      <c r="A2555" t="s">
        <v>3578</v>
      </c>
      <c r="B2555">
        <v>44025</v>
      </c>
      <c r="D2555">
        <v>12</v>
      </c>
      <c r="E2555">
        <v>585753</v>
      </c>
      <c r="S2555">
        <v>1</v>
      </c>
      <c r="Y2555">
        <v>1</v>
      </c>
      <c r="AA2555">
        <v>2.06</v>
      </c>
      <c r="AC2555" s="3">
        <v>2.5</v>
      </c>
      <c r="AE2555" s="3">
        <v>2.06</v>
      </c>
      <c r="AI2555">
        <v>2.12</v>
      </c>
      <c r="AK2555" s="3"/>
      <c r="AU2555" t="s">
        <v>1497</v>
      </c>
      <c r="AV2555" s="5">
        <v>40697</v>
      </c>
      <c r="AW2555" t="s">
        <v>1497</v>
      </c>
      <c r="AX2555" s="5">
        <v>40697</v>
      </c>
      <c r="AY2555" t="s">
        <v>1497</v>
      </c>
      <c r="AZ2555" s="5">
        <v>40697</v>
      </c>
      <c r="BA2555" t="s">
        <v>2742</v>
      </c>
      <c r="BB2555" s="5">
        <v>40696</v>
      </c>
      <c r="BC2555">
        <v>42</v>
      </c>
      <c r="BD2555">
        <v>42</v>
      </c>
      <c r="BE2555">
        <v>42</v>
      </c>
      <c r="BF2555">
        <v>30</v>
      </c>
      <c r="BK2555" s="4">
        <v>3866</v>
      </c>
      <c r="BL2555" s="4">
        <v>4050</v>
      </c>
      <c r="BM2555" s="4">
        <v>4231</v>
      </c>
      <c r="BN2555" s="4">
        <v>4415</v>
      </c>
      <c r="BT2555">
        <v>14</v>
      </c>
      <c r="BU2555">
        <v>2</v>
      </c>
      <c r="BV2555">
        <v>3</v>
      </c>
      <c r="BX2555">
        <v>3.62</v>
      </c>
      <c r="BZ2555">
        <v>2</v>
      </c>
      <c r="CK2555" t="s">
        <v>360</v>
      </c>
      <c r="CM2555">
        <v>1911</v>
      </c>
    </row>
    <row r="2556" spans="1:91" x14ac:dyDescent="0.3">
      <c r="A2556" t="s">
        <v>3579</v>
      </c>
      <c r="B2556">
        <v>44065</v>
      </c>
      <c r="D2556">
        <v>12</v>
      </c>
      <c r="E2556" s="2">
        <v>1875000</v>
      </c>
      <c r="S2556">
        <v>1</v>
      </c>
      <c r="Y2556">
        <v>1</v>
      </c>
      <c r="AA2556">
        <v>1.21</v>
      </c>
      <c r="AC2556" s="3">
        <v>1.25</v>
      </c>
      <c r="AE2556" s="3">
        <v>1.1499999999999999</v>
      </c>
      <c r="AI2556">
        <v>1.1499999999999999</v>
      </c>
      <c r="AK2556" s="3"/>
      <c r="AU2556" t="s">
        <v>1467</v>
      </c>
      <c r="AV2556" t="s">
        <v>1468</v>
      </c>
      <c r="AW2556" t="s">
        <v>1717</v>
      </c>
      <c r="AX2556" t="s">
        <v>1719</v>
      </c>
      <c r="AY2556" t="s">
        <v>1465</v>
      </c>
      <c r="AZ2556" t="s">
        <v>1466</v>
      </c>
      <c r="BA2556" t="s">
        <v>1622</v>
      </c>
      <c r="BB2556" s="5">
        <v>40695</v>
      </c>
      <c r="BC2556">
        <v>48</v>
      </c>
      <c r="BD2556">
        <v>12</v>
      </c>
      <c r="BE2556">
        <v>36</v>
      </c>
      <c r="BF2556">
        <v>18</v>
      </c>
      <c r="BK2556" s="4">
        <v>1918</v>
      </c>
      <c r="BL2556" s="4">
        <v>3440</v>
      </c>
      <c r="BM2556" s="4">
        <v>3805</v>
      </c>
      <c r="BN2556" s="4">
        <v>4170</v>
      </c>
      <c r="BT2556">
        <v>6</v>
      </c>
      <c r="BU2556">
        <v>9</v>
      </c>
      <c r="BV2556">
        <v>3</v>
      </c>
      <c r="BX2556">
        <v>2.09</v>
      </c>
      <c r="BZ2556">
        <v>1.1499999999999999</v>
      </c>
      <c r="CK2556" t="s">
        <v>360</v>
      </c>
      <c r="CM2556">
        <v>1911</v>
      </c>
    </row>
    <row r="2557" spans="1:91" x14ac:dyDescent="0.3">
      <c r="A2557" t="s">
        <v>3580</v>
      </c>
      <c r="B2557">
        <v>44075</v>
      </c>
      <c r="D2557">
        <v>12</v>
      </c>
      <c r="E2557">
        <v>262090</v>
      </c>
      <c r="S2557">
        <v>1</v>
      </c>
      <c r="Y2557">
        <v>1</v>
      </c>
      <c r="AA2557">
        <v>2.59</v>
      </c>
      <c r="AC2557" s="3">
        <v>2.65</v>
      </c>
      <c r="AE2557" s="3">
        <v>2.31</v>
      </c>
      <c r="AI2557">
        <v>2.31</v>
      </c>
      <c r="AK2557" s="3"/>
      <c r="AU2557" t="s">
        <v>1582</v>
      </c>
      <c r="AV2557" t="s">
        <v>1760</v>
      </c>
      <c r="AW2557" t="s">
        <v>1582</v>
      </c>
      <c r="AX2557" t="s">
        <v>1760</v>
      </c>
      <c r="AY2557" t="s">
        <v>1582</v>
      </c>
      <c r="AZ2557" t="s">
        <v>1760</v>
      </c>
      <c r="BA2557" t="s">
        <v>1582</v>
      </c>
      <c r="BB2557" t="s">
        <v>1760</v>
      </c>
      <c r="BC2557">
        <v>24</v>
      </c>
      <c r="BD2557">
        <v>24</v>
      </c>
      <c r="BE2557">
        <v>24</v>
      </c>
      <c r="BF2557">
        <v>24</v>
      </c>
      <c r="BK2557" s="4">
        <v>4109</v>
      </c>
      <c r="BL2557" s="4">
        <v>4200</v>
      </c>
      <c r="BM2557" s="4">
        <v>4292</v>
      </c>
      <c r="BN2557" s="4">
        <v>4384</v>
      </c>
      <c r="BT2557">
        <v>17</v>
      </c>
      <c r="BU2557">
        <v>6</v>
      </c>
      <c r="BV2557">
        <v>0</v>
      </c>
      <c r="BX2557">
        <v>4.62</v>
      </c>
      <c r="BZ2557">
        <v>2.15</v>
      </c>
      <c r="CK2557" t="s">
        <v>360</v>
      </c>
      <c r="CM2557">
        <v>1911</v>
      </c>
    </row>
    <row r="2558" spans="1:91" x14ac:dyDescent="0.3">
      <c r="A2558" t="s">
        <v>3581</v>
      </c>
      <c r="B2558">
        <v>44087</v>
      </c>
      <c r="D2558">
        <v>12</v>
      </c>
      <c r="E2558">
        <v>210000</v>
      </c>
      <c r="S2558">
        <v>1</v>
      </c>
      <c r="Y2558">
        <v>1</v>
      </c>
      <c r="AA2558">
        <v>1.5</v>
      </c>
      <c r="AC2558" s="3">
        <v>1.56</v>
      </c>
      <c r="AE2558" s="3">
        <v>1.5</v>
      </c>
      <c r="AI2558">
        <v>1.56</v>
      </c>
      <c r="AK2558" s="3"/>
      <c r="AU2558" t="s">
        <v>1582</v>
      </c>
      <c r="AV2558" t="s">
        <v>1760</v>
      </c>
      <c r="AW2558" t="s">
        <v>1582</v>
      </c>
      <c r="AX2558" t="s">
        <v>1760</v>
      </c>
      <c r="AY2558" t="s">
        <v>1582</v>
      </c>
      <c r="AZ2558" t="s">
        <v>1760</v>
      </c>
      <c r="BA2558" t="s">
        <v>1465</v>
      </c>
      <c r="BB2558" t="s">
        <v>1466</v>
      </c>
      <c r="BC2558">
        <v>24</v>
      </c>
      <c r="BD2558">
        <v>24</v>
      </c>
      <c r="BE2558">
        <v>24</v>
      </c>
      <c r="BF2558">
        <v>36</v>
      </c>
      <c r="BK2558" s="4">
        <v>3866</v>
      </c>
      <c r="BL2558" s="4">
        <v>4050</v>
      </c>
      <c r="BM2558" s="4">
        <v>4231</v>
      </c>
      <c r="BN2558" s="4">
        <v>4415</v>
      </c>
      <c r="BT2558">
        <v>16</v>
      </c>
      <c r="BU2558">
        <v>0</v>
      </c>
      <c r="BV2558">
        <v>0</v>
      </c>
      <c r="BX2558">
        <v>1.62</v>
      </c>
      <c r="BZ2558">
        <v>1.06</v>
      </c>
      <c r="CK2558" t="s">
        <v>360</v>
      </c>
      <c r="CM2558">
        <v>1911</v>
      </c>
    </row>
    <row r="2559" spans="1:91" x14ac:dyDescent="0.3">
      <c r="A2559" t="s">
        <v>3582</v>
      </c>
      <c r="B2559">
        <v>44136</v>
      </c>
      <c r="D2559">
        <v>12</v>
      </c>
      <c r="E2559">
        <v>550000</v>
      </c>
      <c r="S2559">
        <v>1</v>
      </c>
      <c r="Y2559">
        <v>1</v>
      </c>
      <c r="AA2559">
        <v>0.25</v>
      </c>
      <c r="AC2559" s="3">
        <v>0.25</v>
      </c>
      <c r="AE2559" s="3">
        <v>0.25</v>
      </c>
      <c r="AI2559">
        <v>0.25</v>
      </c>
      <c r="AK2559" s="3"/>
      <c r="AU2559" t="s">
        <v>1717</v>
      </c>
      <c r="AV2559" t="s">
        <v>1719</v>
      </c>
      <c r="AW2559" t="s">
        <v>1717</v>
      </c>
      <c r="AX2559" t="s">
        <v>1719</v>
      </c>
      <c r="AY2559" t="s">
        <v>1717</v>
      </c>
      <c r="AZ2559" t="s">
        <v>1719</v>
      </c>
      <c r="BA2559" t="s">
        <v>1717</v>
      </c>
      <c r="BB2559" t="s">
        <v>1719</v>
      </c>
      <c r="BC2559">
        <v>12</v>
      </c>
      <c r="BD2559">
        <v>12</v>
      </c>
      <c r="BE2559">
        <v>12</v>
      </c>
      <c r="BF2559">
        <v>12</v>
      </c>
      <c r="BK2559" s="4">
        <v>3501</v>
      </c>
      <c r="BL2559" s="4">
        <v>3685</v>
      </c>
      <c r="BM2559" s="4">
        <v>4050</v>
      </c>
      <c r="BN2559" s="4">
        <v>4415</v>
      </c>
      <c r="BT2559">
        <v>20</v>
      </c>
      <c r="BU2559">
        <v>0</v>
      </c>
      <c r="BV2559">
        <v>0</v>
      </c>
      <c r="BX2559">
        <v>0.37</v>
      </c>
      <c r="BZ2559">
        <v>0.12</v>
      </c>
      <c r="CK2559" t="s">
        <v>3565</v>
      </c>
      <c r="CM2559">
        <v>1911</v>
      </c>
    </row>
    <row r="2560" spans="1:91" x14ac:dyDescent="0.3">
      <c r="A2560" t="s">
        <v>3583</v>
      </c>
      <c r="B2560">
        <v>44152</v>
      </c>
      <c r="D2560">
        <v>12</v>
      </c>
      <c r="E2560">
        <v>170000</v>
      </c>
      <c r="S2560">
        <v>1</v>
      </c>
      <c r="Y2560">
        <v>1</v>
      </c>
      <c r="AA2560">
        <v>1.93</v>
      </c>
      <c r="AC2560" s="3">
        <v>1.93</v>
      </c>
      <c r="AE2560" s="3">
        <v>1.87</v>
      </c>
      <c r="AI2560">
        <v>1.87</v>
      </c>
      <c r="AK2560" s="3"/>
      <c r="AU2560" t="s">
        <v>1582</v>
      </c>
      <c r="AV2560" t="s">
        <v>1760</v>
      </c>
      <c r="AW2560" t="s">
        <v>1465</v>
      </c>
      <c r="AX2560" t="s">
        <v>1466</v>
      </c>
      <c r="AY2560" t="s">
        <v>1582</v>
      </c>
      <c r="AZ2560" t="s">
        <v>1760</v>
      </c>
      <c r="BA2560" t="s">
        <v>1465</v>
      </c>
      <c r="BB2560" t="s">
        <v>1466</v>
      </c>
      <c r="BC2560">
        <v>24</v>
      </c>
      <c r="BD2560">
        <v>36</v>
      </c>
      <c r="BE2560">
        <v>24</v>
      </c>
      <c r="BF2560">
        <v>36</v>
      </c>
      <c r="BK2560" s="4">
        <v>3713</v>
      </c>
      <c r="BL2560" s="4">
        <v>3897</v>
      </c>
      <c r="BM2560" s="4">
        <v>4078</v>
      </c>
      <c r="BN2560" s="4">
        <v>4262</v>
      </c>
      <c r="BT2560">
        <v>13</v>
      </c>
      <c r="BU2560">
        <v>6</v>
      </c>
      <c r="BV2560">
        <v>9</v>
      </c>
      <c r="BX2560">
        <v>2.1800000000000002</v>
      </c>
      <c r="BZ2560">
        <v>1.87</v>
      </c>
      <c r="CK2560" t="s">
        <v>360</v>
      </c>
      <c r="CM2560">
        <v>1911</v>
      </c>
    </row>
    <row r="2561" spans="1:91" x14ac:dyDescent="0.3">
      <c r="A2561" t="s">
        <v>3584</v>
      </c>
      <c r="B2561">
        <v>44163</v>
      </c>
      <c r="D2561">
        <v>12</v>
      </c>
      <c r="E2561" s="2">
        <v>1400000</v>
      </c>
      <c r="S2561">
        <v>1</v>
      </c>
      <c r="Y2561">
        <v>1</v>
      </c>
      <c r="AA2561">
        <v>1.03</v>
      </c>
      <c r="AC2561" s="3">
        <v>1.03</v>
      </c>
      <c r="AE2561" s="3">
        <v>0.9</v>
      </c>
      <c r="AI2561">
        <v>0.9</v>
      </c>
      <c r="AK2561" s="3"/>
      <c r="AU2561" t="s">
        <v>2742</v>
      </c>
      <c r="AV2561" s="5">
        <v>40696</v>
      </c>
      <c r="AW2561" t="s">
        <v>1465</v>
      </c>
      <c r="AX2561" t="s">
        <v>1466</v>
      </c>
      <c r="AY2561" t="s">
        <v>1582</v>
      </c>
      <c r="AZ2561" t="s">
        <v>1760</v>
      </c>
      <c r="BB2561" t="s">
        <v>810</v>
      </c>
      <c r="BC2561">
        <v>30</v>
      </c>
      <c r="BD2561">
        <v>36</v>
      </c>
      <c r="BE2561">
        <v>24</v>
      </c>
      <c r="BK2561" s="4">
        <v>1217</v>
      </c>
      <c r="BL2561" s="4">
        <v>1948</v>
      </c>
      <c r="BM2561" s="4">
        <v>3774</v>
      </c>
      <c r="BW2561" t="s">
        <v>802</v>
      </c>
      <c r="BX2561">
        <v>1.37</v>
      </c>
      <c r="BZ2561">
        <v>0.84</v>
      </c>
      <c r="CK2561" t="s">
        <v>360</v>
      </c>
      <c r="CM2561">
        <v>1911</v>
      </c>
    </row>
    <row r="2562" spans="1:91" x14ac:dyDescent="0.3">
      <c r="A2562" t="s">
        <v>3585</v>
      </c>
      <c r="B2562">
        <v>44175</v>
      </c>
      <c r="D2562">
        <v>12</v>
      </c>
      <c r="E2562">
        <v>434282</v>
      </c>
      <c r="S2562">
        <v>1</v>
      </c>
      <c r="Y2562">
        <v>1</v>
      </c>
      <c r="AA2562">
        <v>1.31</v>
      </c>
      <c r="AC2562" s="3">
        <v>1.34</v>
      </c>
      <c r="AE2562" s="3">
        <v>1.31</v>
      </c>
      <c r="AI2562">
        <v>1.31</v>
      </c>
      <c r="AK2562" s="3"/>
      <c r="AV2562" t="s">
        <v>385</v>
      </c>
      <c r="AX2562" t="s">
        <v>385</v>
      </c>
      <c r="AZ2562" t="s">
        <v>385</v>
      </c>
      <c r="BB2562" t="s">
        <v>385</v>
      </c>
      <c r="BW2562" t="s">
        <v>802</v>
      </c>
      <c r="BX2562">
        <v>2.9</v>
      </c>
      <c r="BZ2562">
        <v>1.18</v>
      </c>
      <c r="CK2562" t="s">
        <v>360</v>
      </c>
      <c r="CM2562">
        <v>1911</v>
      </c>
    </row>
    <row r="2563" spans="1:91" x14ac:dyDescent="0.3">
      <c r="A2563" t="s">
        <v>3586</v>
      </c>
      <c r="B2563">
        <v>44178</v>
      </c>
      <c r="D2563">
        <v>12</v>
      </c>
      <c r="E2563">
        <v>300000</v>
      </c>
      <c r="S2563">
        <v>5</v>
      </c>
      <c r="Y2563">
        <v>5</v>
      </c>
      <c r="AA2563">
        <v>2.62</v>
      </c>
      <c r="AC2563" s="3">
        <v>2.93</v>
      </c>
      <c r="AE2563" s="3">
        <v>2.37</v>
      </c>
      <c r="AI2563">
        <v>2.87</v>
      </c>
      <c r="AK2563" s="3"/>
      <c r="AU2563" t="s">
        <v>1463</v>
      </c>
      <c r="AV2563" t="s">
        <v>1464</v>
      </c>
      <c r="AW2563" t="s">
        <v>1463</v>
      </c>
      <c r="AX2563" t="s">
        <v>1464</v>
      </c>
      <c r="AY2563" t="s">
        <v>1463</v>
      </c>
      <c r="AZ2563" t="s">
        <v>1464</v>
      </c>
      <c r="BB2563" t="s">
        <v>810</v>
      </c>
      <c r="BC2563">
        <v>60</v>
      </c>
      <c r="BD2563">
        <v>60</v>
      </c>
      <c r="BE2563">
        <v>60</v>
      </c>
      <c r="BK2563" s="4">
        <v>3501</v>
      </c>
      <c r="BL2563" s="4">
        <v>3623</v>
      </c>
      <c r="BM2563" s="4">
        <v>3744</v>
      </c>
      <c r="BW2563" t="s">
        <v>802</v>
      </c>
      <c r="BX2563">
        <v>4.3099999999999996</v>
      </c>
      <c r="BZ2563">
        <v>2.06</v>
      </c>
      <c r="CK2563" t="s">
        <v>360</v>
      </c>
      <c r="CM2563">
        <v>1911</v>
      </c>
    </row>
    <row r="2564" spans="1:91" x14ac:dyDescent="0.3">
      <c r="A2564" t="s">
        <v>3587</v>
      </c>
      <c r="B2564">
        <v>44283</v>
      </c>
      <c r="D2564">
        <v>12</v>
      </c>
      <c r="E2564" s="2">
        <v>1750000</v>
      </c>
      <c r="T2564" t="s">
        <v>1910</v>
      </c>
      <c r="Z2564" t="s">
        <v>1910</v>
      </c>
      <c r="AA2564">
        <v>0.75</v>
      </c>
      <c r="AC2564" s="3">
        <v>0.78</v>
      </c>
      <c r="AE2564" s="3">
        <v>0.71</v>
      </c>
      <c r="AI2564">
        <v>0.71</v>
      </c>
      <c r="AK2564" s="3"/>
      <c r="AU2564" t="s">
        <v>1720</v>
      </c>
      <c r="AV2564" t="s">
        <v>3423</v>
      </c>
      <c r="AW2564" t="s">
        <v>1720</v>
      </c>
      <c r="AX2564" t="s">
        <v>3423</v>
      </c>
      <c r="AY2564" t="s">
        <v>1720</v>
      </c>
      <c r="AZ2564" t="s">
        <v>3423</v>
      </c>
      <c r="BA2564" t="s">
        <v>1720</v>
      </c>
      <c r="BB2564" t="s">
        <v>3423</v>
      </c>
      <c r="BC2564">
        <v>9</v>
      </c>
      <c r="BD2564">
        <v>9</v>
      </c>
      <c r="BE2564">
        <v>9</v>
      </c>
      <c r="BF2564">
        <v>9</v>
      </c>
      <c r="BK2564" s="4">
        <v>4078</v>
      </c>
      <c r="BL2564" s="4">
        <v>4170</v>
      </c>
      <c r="BM2564" s="4">
        <v>4262</v>
      </c>
      <c r="BN2564" s="4">
        <v>4353</v>
      </c>
      <c r="BT2564">
        <v>20</v>
      </c>
      <c r="BU2564">
        <v>17</v>
      </c>
      <c r="BV2564">
        <v>9</v>
      </c>
      <c r="BX2564">
        <v>1</v>
      </c>
      <c r="BZ2564">
        <v>0.71</v>
      </c>
      <c r="CK2564" t="s">
        <v>360</v>
      </c>
      <c r="CM2564">
        <v>1911</v>
      </c>
    </row>
    <row r="2565" spans="1:91" x14ac:dyDescent="0.3">
      <c r="A2565" t="s">
        <v>3588</v>
      </c>
      <c r="B2565">
        <v>44282</v>
      </c>
      <c r="D2565">
        <v>12</v>
      </c>
      <c r="E2565" s="2">
        <v>1399460</v>
      </c>
      <c r="S2565">
        <v>1</v>
      </c>
      <c r="Y2565">
        <v>1</v>
      </c>
      <c r="AA2565">
        <v>0.21</v>
      </c>
      <c r="AC2565" s="3">
        <v>0.25</v>
      </c>
      <c r="AE2565" s="3">
        <v>0.21</v>
      </c>
      <c r="AI2565">
        <v>0.25</v>
      </c>
      <c r="AK2565" s="3"/>
      <c r="AU2565" t="s">
        <v>2340</v>
      </c>
      <c r="AV2565" t="s">
        <v>2341</v>
      </c>
      <c r="AW2565" t="s">
        <v>2340</v>
      </c>
      <c r="AX2565" t="s">
        <v>2341</v>
      </c>
      <c r="AY2565" t="s">
        <v>2340</v>
      </c>
      <c r="AZ2565" t="s">
        <v>2341</v>
      </c>
      <c r="BB2565" t="s">
        <v>810</v>
      </c>
      <c r="BC2565">
        <v>6</v>
      </c>
      <c r="BD2565">
        <v>6</v>
      </c>
      <c r="BE2565">
        <v>6</v>
      </c>
      <c r="BK2565" s="4">
        <v>2983</v>
      </c>
      <c r="BL2565" s="4">
        <v>3289</v>
      </c>
      <c r="BM2565" s="4">
        <v>3409</v>
      </c>
      <c r="BW2565" t="s">
        <v>802</v>
      </c>
      <c r="BX2565">
        <v>0.28000000000000003</v>
      </c>
      <c r="BZ2565">
        <v>0.18</v>
      </c>
      <c r="CK2565" t="s">
        <v>360</v>
      </c>
      <c r="CM2565">
        <v>1911</v>
      </c>
    </row>
    <row r="2566" spans="1:91" x14ac:dyDescent="0.3">
      <c r="A2566" t="s">
        <v>3589</v>
      </c>
      <c r="B2566">
        <v>44281</v>
      </c>
      <c r="D2566">
        <v>12</v>
      </c>
      <c r="E2566">
        <v>185000</v>
      </c>
      <c r="S2566">
        <v>5</v>
      </c>
      <c r="Y2566">
        <v>5</v>
      </c>
      <c r="AA2566">
        <v>2.1800000000000002</v>
      </c>
      <c r="AC2566" s="3">
        <v>2.31</v>
      </c>
      <c r="AE2566" s="3">
        <v>2.06</v>
      </c>
      <c r="AI2566">
        <v>2.25</v>
      </c>
      <c r="AK2566" s="3"/>
      <c r="AV2566" t="s">
        <v>385</v>
      </c>
      <c r="AX2566" t="s">
        <v>385</v>
      </c>
      <c r="AY2566" t="s">
        <v>3289</v>
      </c>
      <c r="AZ2566" t="s">
        <v>3590</v>
      </c>
      <c r="BB2566" t="s">
        <v>810</v>
      </c>
      <c r="BE2566">
        <v>180</v>
      </c>
      <c r="BM2566" s="4">
        <v>2801</v>
      </c>
      <c r="BW2566" t="s">
        <v>802</v>
      </c>
      <c r="BX2566">
        <v>5.31</v>
      </c>
      <c r="BZ2566">
        <v>2.06</v>
      </c>
      <c r="CM2566">
        <v>1911</v>
      </c>
    </row>
    <row r="2567" spans="1:91" x14ac:dyDescent="0.3">
      <c r="A2567" t="s">
        <v>3591</v>
      </c>
      <c r="B2567">
        <v>44280</v>
      </c>
      <c r="D2567">
        <v>12</v>
      </c>
      <c r="E2567">
        <v>250000</v>
      </c>
      <c r="S2567">
        <v>0.5</v>
      </c>
      <c r="Y2567">
        <v>0.5</v>
      </c>
      <c r="AA2567">
        <v>0.71</v>
      </c>
      <c r="AC2567" s="3">
        <v>0.71</v>
      </c>
      <c r="AE2567" s="3">
        <v>0.71</v>
      </c>
      <c r="AI2567">
        <v>0.71</v>
      </c>
      <c r="AK2567" s="3"/>
      <c r="AU2567" t="s">
        <v>1720</v>
      </c>
      <c r="AV2567" t="s">
        <v>3423</v>
      </c>
      <c r="AW2567" t="s">
        <v>1717</v>
      </c>
      <c r="AX2567" t="s">
        <v>1719</v>
      </c>
      <c r="AY2567" t="s">
        <v>1717</v>
      </c>
      <c r="AZ2567" t="s">
        <v>1719</v>
      </c>
      <c r="BA2567" t="s">
        <v>1717</v>
      </c>
      <c r="BB2567" t="s">
        <v>1719</v>
      </c>
      <c r="BC2567">
        <v>9</v>
      </c>
      <c r="BD2567">
        <v>12</v>
      </c>
      <c r="BE2567">
        <v>12</v>
      </c>
      <c r="BF2567">
        <v>12</v>
      </c>
      <c r="BK2567" s="4">
        <v>3379</v>
      </c>
      <c r="BL2567" s="4">
        <v>3744</v>
      </c>
      <c r="BM2567" s="4">
        <v>3988</v>
      </c>
      <c r="BN2567" s="4">
        <v>4170</v>
      </c>
      <c r="BT2567">
        <v>13</v>
      </c>
      <c r="BU2567">
        <v>18</v>
      </c>
      <c r="BV2567">
        <v>0</v>
      </c>
      <c r="BX2567">
        <v>1</v>
      </c>
      <c r="BZ2567">
        <v>0.65</v>
      </c>
      <c r="CK2567" t="s">
        <v>360</v>
      </c>
      <c r="CM2567">
        <v>1911</v>
      </c>
    </row>
    <row r="2568" spans="1:91" x14ac:dyDescent="0.3">
      <c r="A2568" t="s">
        <v>3592</v>
      </c>
      <c r="B2568">
        <v>44391</v>
      </c>
      <c r="D2568">
        <v>12</v>
      </c>
      <c r="E2568">
        <v>130200</v>
      </c>
      <c r="S2568">
        <v>1</v>
      </c>
      <c r="Y2568">
        <v>1</v>
      </c>
      <c r="AA2568">
        <v>0.68</v>
      </c>
      <c r="AC2568" s="3">
        <v>0.68</v>
      </c>
      <c r="AE2568" s="3">
        <v>0.68</v>
      </c>
      <c r="AI2568">
        <v>0.68</v>
      </c>
      <c r="AK2568" s="3"/>
      <c r="AV2568" t="s">
        <v>385</v>
      </c>
      <c r="AX2568" t="s">
        <v>385</v>
      </c>
      <c r="AZ2568" t="s">
        <v>385</v>
      </c>
      <c r="BB2568" t="s">
        <v>385</v>
      </c>
      <c r="BW2568" t="s">
        <v>802</v>
      </c>
      <c r="BX2568">
        <v>1.25</v>
      </c>
      <c r="BZ2568">
        <v>0.68</v>
      </c>
      <c r="CM2568">
        <v>1911</v>
      </c>
    </row>
    <row r="2569" spans="1:91" x14ac:dyDescent="0.3">
      <c r="A2569" t="s">
        <v>3593</v>
      </c>
      <c r="B2569">
        <v>44536</v>
      </c>
      <c r="D2569">
        <v>12</v>
      </c>
      <c r="E2569" s="2">
        <v>1770390</v>
      </c>
      <c r="S2569">
        <v>1</v>
      </c>
      <c r="Y2569">
        <v>1</v>
      </c>
      <c r="AA2569">
        <v>0.25</v>
      </c>
      <c r="AC2569" s="3">
        <v>0.25</v>
      </c>
      <c r="AE2569" s="3">
        <v>0.25</v>
      </c>
      <c r="AI2569">
        <v>0.25</v>
      </c>
      <c r="AK2569" s="3"/>
      <c r="AV2569" t="s">
        <v>385</v>
      </c>
      <c r="AX2569" t="s">
        <v>385</v>
      </c>
      <c r="AZ2569" t="s">
        <v>385</v>
      </c>
      <c r="BB2569" t="s">
        <v>385</v>
      </c>
      <c r="BW2569" t="s">
        <v>802</v>
      </c>
      <c r="BX2569">
        <v>0.37</v>
      </c>
      <c r="BZ2569">
        <v>0.25</v>
      </c>
      <c r="CM2569">
        <v>1911</v>
      </c>
    </row>
    <row r="2570" spans="1:91" x14ac:dyDescent="0.3">
      <c r="A2570" t="s">
        <v>3594</v>
      </c>
      <c r="B2570">
        <v>45015</v>
      </c>
      <c r="D2570">
        <v>12</v>
      </c>
      <c r="E2570">
        <v>200000</v>
      </c>
      <c r="S2570">
        <v>5</v>
      </c>
      <c r="Y2570">
        <v>5</v>
      </c>
      <c r="AA2570">
        <v>5.0599999999999996</v>
      </c>
      <c r="AC2570" s="3">
        <v>5.0599999999999996</v>
      </c>
      <c r="AE2570" s="3">
        <v>5</v>
      </c>
      <c r="AI2570">
        <v>5.0599999999999996</v>
      </c>
      <c r="AK2570" s="3"/>
      <c r="AU2570" t="s">
        <v>3595</v>
      </c>
      <c r="AV2570" t="s">
        <v>3596</v>
      </c>
      <c r="AW2570" t="s">
        <v>1463</v>
      </c>
      <c r="AX2570" t="s">
        <v>1464</v>
      </c>
      <c r="AY2570" t="s">
        <v>1463</v>
      </c>
      <c r="AZ2570" t="s">
        <v>1464</v>
      </c>
      <c r="BA2570" t="s">
        <v>1463</v>
      </c>
      <c r="BB2570" t="s">
        <v>1464</v>
      </c>
      <c r="BC2570">
        <v>84</v>
      </c>
      <c r="BD2570">
        <v>60</v>
      </c>
      <c r="BE2570">
        <v>60</v>
      </c>
      <c r="BF2570">
        <v>60</v>
      </c>
      <c r="BK2570" s="4">
        <v>4109</v>
      </c>
      <c r="BL2570" s="4">
        <v>4200</v>
      </c>
      <c r="BM2570" s="4">
        <v>4292</v>
      </c>
      <c r="BN2570" s="4">
        <v>4384</v>
      </c>
      <c r="BT2570">
        <v>21</v>
      </c>
      <c r="BU2570">
        <v>15</v>
      </c>
      <c r="BV2570">
        <v>0</v>
      </c>
      <c r="BX2570">
        <v>6.93</v>
      </c>
      <c r="BZ2570">
        <v>5</v>
      </c>
      <c r="CK2570" t="s">
        <v>360</v>
      </c>
      <c r="CM2570">
        <v>1911</v>
      </c>
    </row>
    <row r="2571" spans="1:91" x14ac:dyDescent="0.3">
      <c r="A2571" t="s">
        <v>3597</v>
      </c>
      <c r="B2571">
        <v>45081</v>
      </c>
      <c r="D2571">
        <v>12</v>
      </c>
      <c r="E2571">
        <v>85000</v>
      </c>
      <c r="S2571">
        <v>1</v>
      </c>
      <c r="Y2571">
        <v>1</v>
      </c>
      <c r="AA2571">
        <v>0.18</v>
      </c>
      <c r="AC2571" s="3">
        <v>0.18</v>
      </c>
      <c r="AE2571" s="3">
        <v>0.18</v>
      </c>
      <c r="AI2571">
        <v>0.18</v>
      </c>
      <c r="AK2571" s="3"/>
      <c r="AU2571" t="s">
        <v>1463</v>
      </c>
      <c r="AV2571" t="s">
        <v>1464</v>
      </c>
      <c r="AW2571" t="s">
        <v>1463</v>
      </c>
      <c r="AX2571" t="s">
        <v>1464</v>
      </c>
      <c r="AY2571" t="s">
        <v>1463</v>
      </c>
      <c r="AZ2571" t="s">
        <v>1464</v>
      </c>
      <c r="BB2571" t="s">
        <v>810</v>
      </c>
      <c r="BC2571">
        <v>60</v>
      </c>
      <c r="BD2571">
        <v>60</v>
      </c>
      <c r="BE2571">
        <v>60</v>
      </c>
      <c r="BK2571" s="4">
        <v>3258</v>
      </c>
      <c r="BL2571" s="4">
        <v>3440</v>
      </c>
      <c r="BM2571" s="4">
        <v>3623</v>
      </c>
      <c r="BW2571" t="s">
        <v>802</v>
      </c>
      <c r="BX2571">
        <v>0.68</v>
      </c>
      <c r="BZ2571">
        <v>0.12</v>
      </c>
      <c r="CM2571">
        <v>1911</v>
      </c>
    </row>
    <row r="2572" spans="1:91" x14ac:dyDescent="0.3">
      <c r="A2572" t="s">
        <v>3598</v>
      </c>
      <c r="B2572">
        <v>45085</v>
      </c>
      <c r="D2572">
        <v>12</v>
      </c>
      <c r="E2572">
        <v>100000</v>
      </c>
      <c r="S2572">
        <v>1</v>
      </c>
      <c r="Y2572">
        <v>1</v>
      </c>
      <c r="AA2572">
        <v>0.93</v>
      </c>
      <c r="AB2572" t="s">
        <v>379</v>
      </c>
      <c r="AC2572" s="3">
        <v>0.93</v>
      </c>
      <c r="AE2572" s="3">
        <v>0.81</v>
      </c>
      <c r="AI2572">
        <v>0.81</v>
      </c>
      <c r="AK2572" s="3"/>
      <c r="AU2572" t="s">
        <v>1465</v>
      </c>
      <c r="AV2572" t="s">
        <v>1466</v>
      </c>
      <c r="AW2572" t="s">
        <v>1463</v>
      </c>
      <c r="AX2572" t="s">
        <v>1464</v>
      </c>
      <c r="AY2572" t="s">
        <v>1463</v>
      </c>
      <c r="AZ2572" t="s">
        <v>1464</v>
      </c>
      <c r="BA2572" t="s">
        <v>1465</v>
      </c>
      <c r="BB2572" t="s">
        <v>1466</v>
      </c>
      <c r="BC2572">
        <v>36</v>
      </c>
      <c r="BD2572">
        <v>60</v>
      </c>
      <c r="BE2572">
        <v>60</v>
      </c>
      <c r="BF2572">
        <v>36</v>
      </c>
      <c r="BK2572" s="4">
        <v>3713</v>
      </c>
      <c r="BL2572" s="4">
        <v>3897</v>
      </c>
      <c r="BM2572" s="4">
        <v>4078</v>
      </c>
      <c r="BN2572" s="4">
        <v>4262</v>
      </c>
      <c r="BT2572">
        <v>49</v>
      </c>
      <c r="BU2572">
        <v>4</v>
      </c>
      <c r="BV2572">
        <v>5</v>
      </c>
      <c r="BX2572">
        <v>2.1800000000000002</v>
      </c>
      <c r="BZ2572">
        <v>0.81</v>
      </c>
      <c r="CM2572">
        <v>1911</v>
      </c>
    </row>
    <row r="2573" spans="1:91" x14ac:dyDescent="0.3">
      <c r="A2573" t="s">
        <v>3599</v>
      </c>
      <c r="B2573">
        <v>45088</v>
      </c>
      <c r="D2573">
        <v>12</v>
      </c>
      <c r="E2573" s="2">
        <v>1014200</v>
      </c>
      <c r="S2573">
        <v>1</v>
      </c>
      <c r="Y2573">
        <v>1</v>
      </c>
      <c r="AA2573">
        <v>0.62</v>
      </c>
      <c r="AC2573" s="3">
        <v>0.62</v>
      </c>
      <c r="AE2573" s="3">
        <v>0.62</v>
      </c>
      <c r="AI2573">
        <v>0.62</v>
      </c>
      <c r="AK2573" s="3"/>
      <c r="AV2573" t="s">
        <v>385</v>
      </c>
      <c r="AX2573" t="s">
        <v>385</v>
      </c>
      <c r="AZ2573" t="s">
        <v>385</v>
      </c>
      <c r="BB2573" t="s">
        <v>385</v>
      </c>
      <c r="BW2573" t="s">
        <v>802</v>
      </c>
      <c r="BX2573">
        <v>1</v>
      </c>
      <c r="BZ2573">
        <v>0.62</v>
      </c>
      <c r="CK2573" t="s">
        <v>360</v>
      </c>
      <c r="CM2573">
        <v>1911</v>
      </c>
    </row>
    <row r="2574" spans="1:91" x14ac:dyDescent="0.3">
      <c r="A2574" t="s">
        <v>3600</v>
      </c>
      <c r="B2574">
        <v>45099</v>
      </c>
      <c r="D2574">
        <v>12</v>
      </c>
      <c r="E2574">
        <v>120000</v>
      </c>
      <c r="S2574">
        <v>1</v>
      </c>
      <c r="Y2574">
        <v>1</v>
      </c>
      <c r="AA2574">
        <v>2.4300000000000002</v>
      </c>
      <c r="AC2574" s="3">
        <v>2.75</v>
      </c>
      <c r="AE2574" s="3">
        <v>2.4300000000000002</v>
      </c>
      <c r="AI2574">
        <v>2.75</v>
      </c>
      <c r="AK2574" s="3"/>
      <c r="AU2574" t="s">
        <v>1496</v>
      </c>
      <c r="AV2574" s="5">
        <v>40608</v>
      </c>
      <c r="AW2574" t="s">
        <v>1467</v>
      </c>
      <c r="AX2574" t="s">
        <v>1468</v>
      </c>
      <c r="AY2574" t="s">
        <v>1467</v>
      </c>
      <c r="AZ2574" t="s">
        <v>1468</v>
      </c>
      <c r="BA2574" t="s">
        <v>1467</v>
      </c>
      <c r="BB2574" t="s">
        <v>1468</v>
      </c>
      <c r="BC2574">
        <v>75</v>
      </c>
      <c r="BD2574">
        <v>48</v>
      </c>
      <c r="BE2574">
        <v>48</v>
      </c>
      <c r="BF2574">
        <v>48</v>
      </c>
      <c r="BK2574" s="4">
        <v>4109</v>
      </c>
      <c r="BL2574" s="4">
        <v>4200</v>
      </c>
      <c r="BM2574" s="4">
        <v>4292</v>
      </c>
      <c r="BN2574" s="4">
        <v>4384</v>
      </c>
      <c r="BT2574">
        <v>33</v>
      </c>
      <c r="BU2574">
        <v>3</v>
      </c>
      <c r="BV2574">
        <v>9</v>
      </c>
      <c r="BX2574">
        <v>6.31</v>
      </c>
      <c r="BZ2574">
        <v>2.25</v>
      </c>
      <c r="CK2574" t="s">
        <v>360</v>
      </c>
      <c r="CM2574">
        <v>1911</v>
      </c>
    </row>
    <row r="2575" spans="1:91" x14ac:dyDescent="0.3">
      <c r="A2575" t="s">
        <v>3601</v>
      </c>
      <c r="B2575">
        <v>45185</v>
      </c>
      <c r="D2575">
        <v>12</v>
      </c>
      <c r="E2575">
        <v>60000</v>
      </c>
      <c r="S2575">
        <v>1</v>
      </c>
      <c r="Y2575">
        <v>1</v>
      </c>
      <c r="AA2575">
        <v>2.06</v>
      </c>
      <c r="AC2575" s="3">
        <v>2.12</v>
      </c>
      <c r="AE2575" s="3">
        <v>2.06</v>
      </c>
      <c r="AI2575">
        <v>2.06</v>
      </c>
      <c r="AK2575" s="3"/>
      <c r="AU2575" t="s">
        <v>1717</v>
      </c>
      <c r="AV2575" t="s">
        <v>1719</v>
      </c>
      <c r="AW2575" t="s">
        <v>1717</v>
      </c>
      <c r="AX2575" t="s">
        <v>1719</v>
      </c>
      <c r="AY2575" t="s">
        <v>1717</v>
      </c>
      <c r="AZ2575" t="s">
        <v>1719</v>
      </c>
      <c r="BA2575" t="s">
        <v>1717</v>
      </c>
      <c r="BB2575" t="s">
        <v>1719</v>
      </c>
      <c r="BC2575">
        <v>12</v>
      </c>
      <c r="BD2575">
        <v>12</v>
      </c>
      <c r="BE2575">
        <v>12</v>
      </c>
      <c r="BF2575">
        <v>12</v>
      </c>
      <c r="BK2575" s="4">
        <v>4050</v>
      </c>
      <c r="BL2575" s="4">
        <v>4109</v>
      </c>
      <c r="BM2575" s="4">
        <v>4200</v>
      </c>
      <c r="BN2575" s="4">
        <v>4353</v>
      </c>
      <c r="BT2575">
        <v>9</v>
      </c>
      <c r="BU2575">
        <v>14</v>
      </c>
      <c r="BV2575">
        <v>0</v>
      </c>
      <c r="BX2575">
        <v>2.5</v>
      </c>
      <c r="BZ2575">
        <v>1.93</v>
      </c>
      <c r="CM2575">
        <v>1911</v>
      </c>
    </row>
    <row r="2576" spans="1:91" x14ac:dyDescent="0.3">
      <c r="A2576" t="s">
        <v>3602</v>
      </c>
      <c r="B2576">
        <v>45193</v>
      </c>
      <c r="D2576">
        <v>12</v>
      </c>
      <c r="E2576">
        <v>425000</v>
      </c>
      <c r="S2576">
        <v>1</v>
      </c>
      <c r="Y2576">
        <v>1</v>
      </c>
      <c r="AA2576">
        <v>3</v>
      </c>
      <c r="AC2576" s="3">
        <v>3</v>
      </c>
      <c r="AE2576" s="3">
        <v>3</v>
      </c>
      <c r="AI2576">
        <v>3</v>
      </c>
      <c r="AK2576" s="3"/>
      <c r="AU2576" t="s">
        <v>1497</v>
      </c>
      <c r="AV2576" s="5">
        <v>40697</v>
      </c>
      <c r="AW2576" t="s">
        <v>1497</v>
      </c>
      <c r="AX2576" s="5">
        <v>40697</v>
      </c>
      <c r="AY2576" t="s">
        <v>1497</v>
      </c>
      <c r="AZ2576" s="5">
        <v>40697</v>
      </c>
      <c r="BA2576" t="s">
        <v>1497</v>
      </c>
      <c r="BB2576" s="5">
        <v>40697</v>
      </c>
      <c r="BC2576">
        <v>42</v>
      </c>
      <c r="BD2576">
        <v>42</v>
      </c>
      <c r="BE2576">
        <v>42</v>
      </c>
      <c r="BF2576">
        <v>42</v>
      </c>
      <c r="BK2576" s="4">
        <v>3866</v>
      </c>
      <c r="BL2576" s="4">
        <v>4050</v>
      </c>
      <c r="BM2576" s="4">
        <v>4231</v>
      </c>
      <c r="BN2576" s="4">
        <v>4415</v>
      </c>
      <c r="BT2576">
        <v>11</v>
      </c>
      <c r="BU2576">
        <v>13</v>
      </c>
      <c r="BV2576">
        <v>3</v>
      </c>
      <c r="BX2576">
        <v>3.31</v>
      </c>
      <c r="BZ2576">
        <v>2.37</v>
      </c>
      <c r="CK2576" t="s">
        <v>360</v>
      </c>
      <c r="CM2576">
        <v>1911</v>
      </c>
    </row>
    <row r="2577" spans="1:91" x14ac:dyDescent="0.3">
      <c r="A2577" t="s">
        <v>3603</v>
      </c>
      <c r="B2577">
        <v>45189</v>
      </c>
      <c r="D2577">
        <v>12</v>
      </c>
      <c r="E2577">
        <v>900000</v>
      </c>
      <c r="S2577">
        <v>1</v>
      </c>
      <c r="Y2577">
        <v>1</v>
      </c>
      <c r="AA2577">
        <v>0.93</v>
      </c>
      <c r="AC2577" s="3">
        <v>0.93</v>
      </c>
      <c r="AE2577" s="3">
        <v>0.75</v>
      </c>
      <c r="AI2577">
        <v>0.75</v>
      </c>
      <c r="AK2577" s="3"/>
      <c r="AV2577" t="s">
        <v>385</v>
      </c>
      <c r="AX2577" t="s">
        <v>385</v>
      </c>
      <c r="AY2577" t="s">
        <v>1717</v>
      </c>
      <c r="AZ2577" t="s">
        <v>1719</v>
      </c>
      <c r="BB2577" t="s">
        <v>810</v>
      </c>
      <c r="BE2577">
        <v>12</v>
      </c>
      <c r="BM2577" s="4">
        <v>4050</v>
      </c>
      <c r="BW2577" t="s">
        <v>802</v>
      </c>
      <c r="BX2577">
        <v>1.62</v>
      </c>
      <c r="BZ2577">
        <v>0.75</v>
      </c>
      <c r="CM2577">
        <v>1911</v>
      </c>
    </row>
    <row r="2578" spans="1:91" x14ac:dyDescent="0.3">
      <c r="A2578" t="s">
        <v>3604</v>
      </c>
      <c r="B2578">
        <v>45194</v>
      </c>
      <c r="D2578">
        <v>12</v>
      </c>
      <c r="E2578">
        <v>643526</v>
      </c>
      <c r="S2578">
        <v>1</v>
      </c>
      <c r="Y2578">
        <v>1</v>
      </c>
      <c r="AA2578">
        <v>2.62</v>
      </c>
      <c r="AC2578" s="3">
        <v>2.81</v>
      </c>
      <c r="AE2578" s="3">
        <v>2.62</v>
      </c>
      <c r="AI2578">
        <v>2.68</v>
      </c>
      <c r="AK2578" s="3"/>
      <c r="AU2578" t="s">
        <v>1465</v>
      </c>
      <c r="AV2578" t="s">
        <v>1466</v>
      </c>
      <c r="AW2578" t="s">
        <v>1497</v>
      </c>
      <c r="AX2578" s="5">
        <v>40697</v>
      </c>
      <c r="AY2578" t="s">
        <v>1497</v>
      </c>
      <c r="AZ2578" s="5">
        <v>40697</v>
      </c>
      <c r="BA2578" t="s">
        <v>1465</v>
      </c>
      <c r="BB2578" t="s">
        <v>1466</v>
      </c>
      <c r="BC2578">
        <v>36</v>
      </c>
      <c r="BD2578">
        <v>42</v>
      </c>
      <c r="BE2578">
        <v>42</v>
      </c>
      <c r="BF2578">
        <v>36</v>
      </c>
      <c r="BK2578" s="4">
        <v>3866</v>
      </c>
      <c r="BL2578" s="4">
        <v>4050</v>
      </c>
      <c r="BM2578" s="4">
        <v>4231</v>
      </c>
      <c r="BN2578" s="4">
        <v>4415</v>
      </c>
      <c r="BT2578">
        <v>12</v>
      </c>
      <c r="BU2578">
        <v>1</v>
      </c>
      <c r="BV2578">
        <v>9</v>
      </c>
      <c r="BX2578">
        <v>3.81</v>
      </c>
      <c r="BZ2578">
        <v>2.5</v>
      </c>
      <c r="CK2578" t="s">
        <v>360</v>
      </c>
      <c r="CM2578">
        <v>1911</v>
      </c>
    </row>
    <row r="2579" spans="1:91" x14ac:dyDescent="0.3">
      <c r="A2579" t="s">
        <v>3605</v>
      </c>
      <c r="B2579">
        <v>45188</v>
      </c>
      <c r="D2579">
        <v>12</v>
      </c>
      <c r="E2579">
        <v>970000</v>
      </c>
      <c r="S2579">
        <v>1</v>
      </c>
      <c r="Y2579">
        <v>1</v>
      </c>
      <c r="AA2579">
        <v>1.75</v>
      </c>
      <c r="AC2579" s="3">
        <v>1.75</v>
      </c>
      <c r="AE2579" s="3">
        <v>1.4</v>
      </c>
      <c r="AI2579">
        <v>1.4</v>
      </c>
      <c r="AK2579" s="3"/>
      <c r="AU2579" t="s">
        <v>2742</v>
      </c>
      <c r="AV2579" s="5">
        <v>40696</v>
      </c>
      <c r="AW2579" t="s">
        <v>1582</v>
      </c>
      <c r="AX2579" t="s">
        <v>1760</v>
      </c>
      <c r="AY2579" t="s">
        <v>1582</v>
      </c>
      <c r="AZ2579" t="s">
        <v>1760</v>
      </c>
      <c r="BA2579" t="s">
        <v>1622</v>
      </c>
      <c r="BB2579" s="5">
        <v>40695</v>
      </c>
      <c r="BC2579">
        <v>30</v>
      </c>
      <c r="BD2579">
        <v>24</v>
      </c>
      <c r="BE2579">
        <v>24</v>
      </c>
      <c r="BF2579">
        <v>18</v>
      </c>
      <c r="BK2579" s="4">
        <v>3866</v>
      </c>
      <c r="BL2579" s="4">
        <v>4050</v>
      </c>
      <c r="BM2579" s="4">
        <v>4231</v>
      </c>
      <c r="BN2579" s="4">
        <v>4415</v>
      </c>
      <c r="BT2579">
        <v>12</v>
      </c>
      <c r="BU2579">
        <v>9</v>
      </c>
      <c r="BV2579">
        <v>0</v>
      </c>
      <c r="BX2579">
        <v>2.1800000000000002</v>
      </c>
      <c r="BZ2579">
        <v>1.4</v>
      </c>
      <c r="CM2579">
        <v>1911</v>
      </c>
    </row>
    <row r="2580" spans="1:91" x14ac:dyDescent="0.3">
      <c r="A2580" t="s">
        <v>3606</v>
      </c>
      <c r="B2580">
        <v>45212</v>
      </c>
      <c r="D2580">
        <v>12</v>
      </c>
      <c r="E2580" s="2">
        <v>1000000</v>
      </c>
      <c r="S2580">
        <v>1</v>
      </c>
      <c r="Y2580">
        <v>1</v>
      </c>
      <c r="AA2580">
        <v>1.93</v>
      </c>
      <c r="AC2580" s="3">
        <v>2</v>
      </c>
      <c r="AE2580" s="3">
        <v>1.87</v>
      </c>
      <c r="AI2580">
        <v>2</v>
      </c>
      <c r="AK2580" s="3"/>
      <c r="AV2580" t="s">
        <v>385</v>
      </c>
      <c r="AX2580" t="s">
        <v>385</v>
      </c>
      <c r="AZ2580" t="s">
        <v>385</v>
      </c>
      <c r="BB2580" t="s">
        <v>385</v>
      </c>
      <c r="BW2580" t="s">
        <v>802</v>
      </c>
      <c r="BX2580">
        <v>2.25</v>
      </c>
      <c r="BZ2580">
        <v>1.43</v>
      </c>
      <c r="CM2580">
        <v>1911</v>
      </c>
    </row>
    <row r="2581" spans="1:91" x14ac:dyDescent="0.3">
      <c r="A2581" t="s">
        <v>3607</v>
      </c>
      <c r="B2581">
        <v>45246</v>
      </c>
      <c r="D2581">
        <v>12</v>
      </c>
      <c r="E2581">
        <v>350000</v>
      </c>
      <c r="S2581">
        <v>1</v>
      </c>
      <c r="Y2581">
        <v>1</v>
      </c>
      <c r="AA2581">
        <v>0.43</v>
      </c>
      <c r="AC2581" s="3">
        <v>0.43</v>
      </c>
      <c r="AE2581" s="3">
        <v>0.4</v>
      </c>
      <c r="AI2581">
        <v>0.4</v>
      </c>
      <c r="AK2581" s="3"/>
      <c r="AU2581" t="s">
        <v>1717</v>
      </c>
      <c r="AV2581" t="s">
        <v>1719</v>
      </c>
      <c r="AW2581" t="s">
        <v>1717</v>
      </c>
      <c r="AX2581" t="s">
        <v>1719</v>
      </c>
      <c r="AY2581" t="s">
        <v>1717</v>
      </c>
      <c r="AZ2581" t="s">
        <v>1719</v>
      </c>
      <c r="BB2581" t="s">
        <v>810</v>
      </c>
      <c r="BC2581">
        <v>12</v>
      </c>
      <c r="BD2581">
        <v>12</v>
      </c>
      <c r="BE2581">
        <v>12</v>
      </c>
      <c r="BK2581" s="4">
        <v>3228</v>
      </c>
      <c r="BL2581" s="4">
        <v>3593</v>
      </c>
      <c r="BM2581" s="4">
        <v>3958</v>
      </c>
      <c r="BW2581" t="s">
        <v>802</v>
      </c>
      <c r="BX2581">
        <v>0.81</v>
      </c>
      <c r="BZ2581">
        <v>0.4</v>
      </c>
      <c r="CK2581" t="s">
        <v>360</v>
      </c>
      <c r="CM2581">
        <v>1911</v>
      </c>
    </row>
    <row r="2582" spans="1:91" x14ac:dyDescent="0.3">
      <c r="A2582" t="s">
        <v>3608</v>
      </c>
      <c r="B2582">
        <v>45281</v>
      </c>
      <c r="D2582">
        <v>12</v>
      </c>
      <c r="E2582">
        <v>590250</v>
      </c>
      <c r="S2582">
        <v>1</v>
      </c>
      <c r="Y2582">
        <v>1</v>
      </c>
      <c r="AA2582">
        <v>0.62</v>
      </c>
      <c r="AC2582" s="3">
        <v>0.62</v>
      </c>
      <c r="AE2582" s="3">
        <v>0.62</v>
      </c>
      <c r="AI2582">
        <v>0.62</v>
      </c>
      <c r="AK2582" s="3"/>
      <c r="AV2582" t="s">
        <v>385</v>
      </c>
      <c r="AX2582" t="s">
        <v>385</v>
      </c>
      <c r="AZ2582" t="s">
        <v>385</v>
      </c>
      <c r="BB2582" t="s">
        <v>385</v>
      </c>
      <c r="BW2582" t="s">
        <v>802</v>
      </c>
      <c r="BX2582">
        <v>0.93</v>
      </c>
      <c r="BZ2582">
        <v>0.56000000000000005</v>
      </c>
      <c r="CK2582" t="s">
        <v>360</v>
      </c>
      <c r="CM2582">
        <v>1911</v>
      </c>
    </row>
    <row r="2583" spans="1:91" x14ac:dyDescent="0.3">
      <c r="A2583" t="s">
        <v>3609</v>
      </c>
      <c r="B2583">
        <v>45321</v>
      </c>
      <c r="D2583">
        <v>12</v>
      </c>
      <c r="E2583">
        <v>869500</v>
      </c>
      <c r="S2583">
        <v>1</v>
      </c>
      <c r="Y2583">
        <v>1</v>
      </c>
      <c r="AA2583">
        <v>1.56</v>
      </c>
      <c r="AC2583" s="3">
        <v>1.68</v>
      </c>
      <c r="AE2583" s="3">
        <v>1.5</v>
      </c>
      <c r="AI2583">
        <v>1.5</v>
      </c>
      <c r="AK2583" s="3"/>
      <c r="AU2583" t="s">
        <v>1465</v>
      </c>
      <c r="AV2583" t="s">
        <v>1466</v>
      </c>
      <c r="AW2583" t="s">
        <v>1465</v>
      </c>
      <c r="AX2583" t="s">
        <v>1466</v>
      </c>
      <c r="AY2583" t="s">
        <v>1465</v>
      </c>
      <c r="AZ2583" t="s">
        <v>1466</v>
      </c>
      <c r="BA2583" t="s">
        <v>1582</v>
      </c>
      <c r="BB2583" t="s">
        <v>1760</v>
      </c>
      <c r="BC2583">
        <v>36</v>
      </c>
      <c r="BD2583">
        <v>36</v>
      </c>
      <c r="BE2583">
        <v>36</v>
      </c>
      <c r="BF2583">
        <v>24</v>
      </c>
      <c r="BK2583" s="4">
        <v>3685</v>
      </c>
      <c r="BL2583" s="4">
        <v>3866</v>
      </c>
      <c r="BM2583" s="4">
        <v>4050</v>
      </c>
      <c r="BN2583" s="4">
        <v>4231</v>
      </c>
      <c r="BT2583">
        <v>16</v>
      </c>
      <c r="BU2583">
        <v>13</v>
      </c>
      <c r="BV2583">
        <v>3</v>
      </c>
      <c r="BX2583">
        <v>2.93</v>
      </c>
      <c r="BZ2583">
        <v>1.5</v>
      </c>
      <c r="CK2583" t="s">
        <v>3610</v>
      </c>
      <c r="CM2583">
        <v>1911</v>
      </c>
    </row>
    <row r="2584" spans="1:91" x14ac:dyDescent="0.3">
      <c r="A2584" t="s">
        <v>3611</v>
      </c>
      <c r="B2584">
        <v>45354</v>
      </c>
      <c r="D2584">
        <v>12</v>
      </c>
      <c r="E2584">
        <v>120000</v>
      </c>
      <c r="S2584">
        <v>5</v>
      </c>
      <c r="Y2584">
        <v>5</v>
      </c>
      <c r="AA2584">
        <v>0.93</v>
      </c>
      <c r="AC2584" s="3">
        <v>0.93</v>
      </c>
      <c r="AE2584" s="3">
        <v>0.87</v>
      </c>
      <c r="AI2584">
        <v>0.87</v>
      </c>
      <c r="AJ2584" t="s">
        <v>379</v>
      </c>
      <c r="AK2584" s="3"/>
      <c r="AU2584" t="s">
        <v>1582</v>
      </c>
      <c r="AV2584" t="s">
        <v>1760</v>
      </c>
      <c r="AW2584" t="s">
        <v>1582</v>
      </c>
      <c r="AX2584" t="s">
        <v>1760</v>
      </c>
      <c r="AY2584" t="s">
        <v>1582</v>
      </c>
      <c r="AZ2584" t="s">
        <v>1760</v>
      </c>
      <c r="BA2584" t="s">
        <v>1582</v>
      </c>
      <c r="BB2584" t="s">
        <v>1760</v>
      </c>
      <c r="BC2584">
        <v>24</v>
      </c>
      <c r="BD2584">
        <v>24</v>
      </c>
      <c r="BE2584">
        <v>24</v>
      </c>
      <c r="BF2584">
        <v>24</v>
      </c>
      <c r="BK2584" s="4">
        <v>3835</v>
      </c>
      <c r="BL2584" s="4">
        <v>3958</v>
      </c>
      <c r="BM2584" s="4">
        <v>4078</v>
      </c>
      <c r="BN2584" s="4">
        <v>4231</v>
      </c>
      <c r="BT2584">
        <v>22</v>
      </c>
      <c r="BU2584">
        <v>17</v>
      </c>
      <c r="BV2584">
        <v>0</v>
      </c>
      <c r="BX2584">
        <v>1.62</v>
      </c>
      <c r="BZ2584">
        <v>0.87</v>
      </c>
      <c r="CK2584" t="s">
        <v>360</v>
      </c>
      <c r="CM2584">
        <v>1911</v>
      </c>
    </row>
    <row r="2585" spans="1:91" x14ac:dyDescent="0.3">
      <c r="A2585" t="s">
        <v>3612</v>
      </c>
      <c r="B2585">
        <v>45426</v>
      </c>
      <c r="D2585">
        <v>12</v>
      </c>
      <c r="E2585" s="2">
        <v>1122220</v>
      </c>
      <c r="S2585">
        <v>1</v>
      </c>
      <c r="Y2585">
        <v>1</v>
      </c>
      <c r="AA2585">
        <v>5</v>
      </c>
      <c r="AC2585" s="3">
        <v>5</v>
      </c>
      <c r="AE2585" s="3">
        <v>4.62</v>
      </c>
      <c r="AI2585">
        <v>4.62</v>
      </c>
      <c r="AK2585" s="3"/>
      <c r="AU2585" t="s">
        <v>1582</v>
      </c>
      <c r="AV2585" t="s">
        <v>1760</v>
      </c>
      <c r="AW2585" t="s">
        <v>1582</v>
      </c>
      <c r="AX2585" t="s">
        <v>1760</v>
      </c>
      <c r="AY2585" t="s">
        <v>1465</v>
      </c>
      <c r="AZ2585" t="s">
        <v>1466</v>
      </c>
      <c r="BA2585" t="s">
        <v>1465</v>
      </c>
      <c r="BB2585" t="s">
        <v>1466</v>
      </c>
      <c r="BC2585">
        <v>24</v>
      </c>
      <c r="BD2585">
        <v>24</v>
      </c>
      <c r="BE2585">
        <v>36</v>
      </c>
      <c r="BF2585">
        <v>36</v>
      </c>
      <c r="BK2585" s="4">
        <v>3593</v>
      </c>
      <c r="BL2585" s="4">
        <v>3988</v>
      </c>
      <c r="BM2585" s="4">
        <v>4231</v>
      </c>
      <c r="BN2585" s="4">
        <v>4353</v>
      </c>
      <c r="BT2585">
        <v>6</v>
      </c>
      <c r="BU2585">
        <v>9</v>
      </c>
      <c r="BV2585">
        <v>9</v>
      </c>
      <c r="BX2585">
        <v>6.12</v>
      </c>
      <c r="BZ2585">
        <v>3.12</v>
      </c>
      <c r="CM2585">
        <v>1911</v>
      </c>
    </row>
    <row r="2586" spans="1:91" x14ac:dyDescent="0.3">
      <c r="A2586" t="s">
        <v>3613</v>
      </c>
      <c r="B2586">
        <v>45461</v>
      </c>
      <c r="D2586">
        <v>12</v>
      </c>
      <c r="E2586">
        <v>50400</v>
      </c>
      <c r="S2586">
        <v>5</v>
      </c>
      <c r="Y2586">
        <v>5</v>
      </c>
      <c r="AA2586">
        <v>0.87</v>
      </c>
      <c r="AC2586" s="3">
        <v>0.87</v>
      </c>
      <c r="AE2586" s="3">
        <v>0.75</v>
      </c>
      <c r="AI2586">
        <v>0.75</v>
      </c>
      <c r="AK2586" s="3"/>
      <c r="AU2586" t="s">
        <v>1622</v>
      </c>
      <c r="AV2586" s="5">
        <v>40695</v>
      </c>
      <c r="AW2586" t="s">
        <v>1582</v>
      </c>
      <c r="AX2586" t="s">
        <v>1760</v>
      </c>
      <c r="AY2586" t="s">
        <v>1622</v>
      </c>
      <c r="AZ2586" s="5">
        <v>40695</v>
      </c>
      <c r="BA2586" t="s">
        <v>1622</v>
      </c>
      <c r="BB2586" s="5">
        <v>40695</v>
      </c>
      <c r="BC2586">
        <v>18</v>
      </c>
      <c r="BD2586">
        <v>24</v>
      </c>
      <c r="BE2586">
        <v>18</v>
      </c>
      <c r="BF2586">
        <v>18</v>
      </c>
      <c r="BK2586" s="4">
        <v>3044</v>
      </c>
      <c r="BL2586" s="4">
        <v>3379</v>
      </c>
      <c r="BM2586" s="4">
        <v>3774</v>
      </c>
      <c r="BN2586" s="4">
        <v>4139</v>
      </c>
      <c r="BT2586">
        <v>10</v>
      </c>
      <c r="BU2586">
        <v>0</v>
      </c>
      <c r="BV2586">
        <v>0</v>
      </c>
      <c r="BX2586">
        <v>0.87</v>
      </c>
      <c r="BZ2586">
        <v>0.59</v>
      </c>
      <c r="CK2586" t="s">
        <v>360</v>
      </c>
      <c r="CM2586">
        <v>1911</v>
      </c>
    </row>
    <row r="2587" spans="1:91" x14ac:dyDescent="0.3">
      <c r="A2587" t="s">
        <v>3614</v>
      </c>
      <c r="B2587">
        <v>45477</v>
      </c>
      <c r="D2587">
        <v>12</v>
      </c>
      <c r="E2587">
        <v>45000</v>
      </c>
      <c r="S2587">
        <v>1</v>
      </c>
      <c r="Y2587">
        <v>1</v>
      </c>
      <c r="AA2587">
        <v>0.03</v>
      </c>
      <c r="AC2587" s="3">
        <v>0.09</v>
      </c>
      <c r="AE2587" s="3">
        <v>0.03</v>
      </c>
      <c r="AI2587">
        <v>0.09</v>
      </c>
      <c r="AK2587" s="3"/>
      <c r="AV2587" t="s">
        <v>385</v>
      </c>
      <c r="AW2587" t="s">
        <v>2742</v>
      </c>
      <c r="AX2587" s="5">
        <v>40696</v>
      </c>
      <c r="AY2587" t="s">
        <v>2742</v>
      </c>
      <c r="AZ2587" s="5">
        <v>40696</v>
      </c>
      <c r="BB2587" t="s">
        <v>810</v>
      </c>
      <c r="BD2587">
        <v>30</v>
      </c>
      <c r="BE2587">
        <v>30</v>
      </c>
      <c r="BL2587" s="4">
        <v>2648</v>
      </c>
      <c r="BM2587" s="4">
        <v>2862</v>
      </c>
      <c r="BW2587" t="s">
        <v>802</v>
      </c>
      <c r="BX2587">
        <v>0.18</v>
      </c>
      <c r="BZ2587">
        <v>0.03</v>
      </c>
      <c r="CK2587" t="s">
        <v>360</v>
      </c>
      <c r="CM2587">
        <v>1911</v>
      </c>
    </row>
    <row r="2588" spans="1:91" x14ac:dyDescent="0.3">
      <c r="A2588" t="s">
        <v>3615</v>
      </c>
      <c r="B2588">
        <v>45677</v>
      </c>
      <c r="D2588">
        <v>12</v>
      </c>
      <c r="E2588">
        <v>300000</v>
      </c>
      <c r="S2588">
        <v>1</v>
      </c>
      <c r="Y2588">
        <v>1</v>
      </c>
      <c r="AA2588">
        <v>1.34</v>
      </c>
      <c r="AC2588" s="3">
        <v>1.4</v>
      </c>
      <c r="AE2588" s="3">
        <v>1.1499999999999999</v>
      </c>
      <c r="AI2588">
        <v>1.18</v>
      </c>
      <c r="AK2588" s="3"/>
      <c r="AV2588" t="s">
        <v>385</v>
      </c>
      <c r="AX2588" t="s">
        <v>385</v>
      </c>
      <c r="AZ2588" t="s">
        <v>385</v>
      </c>
      <c r="BB2588" t="s">
        <v>385</v>
      </c>
      <c r="BW2588" t="s">
        <v>802</v>
      </c>
      <c r="BX2588">
        <v>2.1800000000000002</v>
      </c>
      <c r="BZ2588">
        <v>0.9</v>
      </c>
      <c r="CM2588">
        <v>1911</v>
      </c>
    </row>
    <row r="2589" spans="1:91" x14ac:dyDescent="0.3">
      <c r="A2589" t="s">
        <v>3616</v>
      </c>
      <c r="B2589">
        <v>45811</v>
      </c>
      <c r="D2589">
        <v>12</v>
      </c>
      <c r="E2589">
        <v>271000</v>
      </c>
      <c r="S2589">
        <v>1</v>
      </c>
      <c r="Y2589">
        <v>1</v>
      </c>
      <c r="AA2589">
        <v>3.34</v>
      </c>
      <c r="AC2589" s="3">
        <v>3.37</v>
      </c>
      <c r="AE2589" s="3">
        <v>3.18</v>
      </c>
      <c r="AI2589">
        <v>3.18</v>
      </c>
      <c r="AK2589" s="3"/>
      <c r="AV2589" t="s">
        <v>385</v>
      </c>
      <c r="AX2589" t="s">
        <v>385</v>
      </c>
      <c r="AZ2589" t="s">
        <v>385</v>
      </c>
      <c r="BA2589" t="s">
        <v>1582</v>
      </c>
      <c r="BB2589" t="s">
        <v>1760</v>
      </c>
      <c r="BF2589">
        <v>24</v>
      </c>
      <c r="BN2589" s="4">
        <v>4353</v>
      </c>
      <c r="BT2589">
        <v>3</v>
      </c>
      <c r="BU2589">
        <v>2</v>
      </c>
      <c r="BV2589">
        <v>9</v>
      </c>
      <c r="BX2589">
        <v>3.75</v>
      </c>
      <c r="BZ2589">
        <v>2.62</v>
      </c>
      <c r="CM2589">
        <v>1911</v>
      </c>
    </row>
    <row r="2590" spans="1:91" x14ac:dyDescent="0.3">
      <c r="A2590" t="s">
        <v>3617</v>
      </c>
      <c r="B2590">
        <v>45836</v>
      </c>
      <c r="D2590">
        <v>12</v>
      </c>
      <c r="E2590">
        <v>470705</v>
      </c>
      <c r="S2590">
        <v>1</v>
      </c>
      <c r="Y2590">
        <v>1</v>
      </c>
      <c r="AA2590">
        <v>0.43</v>
      </c>
      <c r="AC2590" s="3">
        <v>0.43</v>
      </c>
      <c r="AE2590" s="3">
        <v>0.43</v>
      </c>
      <c r="AI2590">
        <v>0.43</v>
      </c>
      <c r="AK2590" s="3"/>
      <c r="AU2590" t="s">
        <v>1717</v>
      </c>
      <c r="AV2590" t="s">
        <v>1719</v>
      </c>
      <c r="AW2590" t="s">
        <v>1717</v>
      </c>
      <c r="AX2590" t="s">
        <v>1719</v>
      </c>
      <c r="AY2590" t="s">
        <v>1717</v>
      </c>
      <c r="AZ2590" t="s">
        <v>1719</v>
      </c>
      <c r="BB2590" t="s">
        <v>810</v>
      </c>
      <c r="BC2590">
        <v>12</v>
      </c>
      <c r="BD2590">
        <v>12</v>
      </c>
      <c r="BE2590">
        <v>12</v>
      </c>
      <c r="BK2590" s="4">
        <v>3105</v>
      </c>
      <c r="BL2590" s="4">
        <v>3289</v>
      </c>
      <c r="BM2590" s="4">
        <v>3470</v>
      </c>
      <c r="BW2590" t="s">
        <v>802</v>
      </c>
      <c r="BX2590">
        <v>0.75</v>
      </c>
      <c r="BZ2590">
        <v>0.37</v>
      </c>
      <c r="CK2590" t="s">
        <v>3610</v>
      </c>
      <c r="CM2590">
        <v>1911</v>
      </c>
    </row>
    <row r="2591" spans="1:91" x14ac:dyDescent="0.3">
      <c r="A2591" t="s">
        <v>3618</v>
      </c>
      <c r="B2591">
        <v>45906</v>
      </c>
      <c r="D2591">
        <v>12</v>
      </c>
      <c r="E2591">
        <v>491188</v>
      </c>
      <c r="S2591">
        <v>1</v>
      </c>
      <c r="Y2591">
        <v>1</v>
      </c>
      <c r="AA2591">
        <v>1.37</v>
      </c>
      <c r="AC2591" s="3">
        <v>1.43</v>
      </c>
      <c r="AE2591" s="3">
        <v>1.31</v>
      </c>
      <c r="AI2591">
        <v>1.31</v>
      </c>
      <c r="AK2591" s="3"/>
      <c r="AU2591" t="s">
        <v>2742</v>
      </c>
      <c r="AV2591" s="5">
        <v>40696</v>
      </c>
      <c r="AW2591" t="s">
        <v>2742</v>
      </c>
      <c r="AX2591" s="5">
        <v>40696</v>
      </c>
      <c r="AY2591" t="s">
        <v>1582</v>
      </c>
      <c r="AZ2591" t="s">
        <v>1760</v>
      </c>
      <c r="BA2591" t="s">
        <v>1622</v>
      </c>
      <c r="BB2591" s="5">
        <v>40695</v>
      </c>
      <c r="BC2591">
        <v>30</v>
      </c>
      <c r="BD2591">
        <v>30</v>
      </c>
      <c r="BE2591">
        <v>24</v>
      </c>
      <c r="BF2591">
        <v>18</v>
      </c>
      <c r="BK2591" s="4">
        <v>3866</v>
      </c>
      <c r="BL2591" s="4">
        <v>4050</v>
      </c>
      <c r="BM2591" s="4">
        <v>4231</v>
      </c>
      <c r="BN2591" s="4">
        <v>4415</v>
      </c>
      <c r="BT2591">
        <v>13</v>
      </c>
      <c r="BU2591">
        <v>6</v>
      </c>
      <c r="BV2591">
        <v>9</v>
      </c>
      <c r="BX2591">
        <v>2.56</v>
      </c>
      <c r="BZ2591">
        <v>1.31</v>
      </c>
      <c r="CM2591">
        <v>1911</v>
      </c>
    </row>
    <row r="2592" spans="1:91" x14ac:dyDescent="0.3">
      <c r="A2592" t="s">
        <v>3619</v>
      </c>
      <c r="B2592">
        <v>46087</v>
      </c>
      <c r="D2592">
        <v>12</v>
      </c>
      <c r="E2592">
        <v>185172</v>
      </c>
      <c r="S2592">
        <v>1</v>
      </c>
      <c r="Y2592">
        <v>1</v>
      </c>
      <c r="AA2592">
        <v>3.12</v>
      </c>
      <c r="AC2592" s="3">
        <v>3.15</v>
      </c>
      <c r="AE2592" s="3">
        <v>2.93</v>
      </c>
      <c r="AI2592">
        <v>3.12</v>
      </c>
      <c r="AK2592" s="3"/>
      <c r="AU2592" t="s">
        <v>1499</v>
      </c>
      <c r="AV2592" t="s">
        <v>1500</v>
      </c>
      <c r="AW2592" t="s">
        <v>1499</v>
      </c>
      <c r="AX2592" t="s">
        <v>1500</v>
      </c>
      <c r="AY2592" t="s">
        <v>1463</v>
      </c>
      <c r="AZ2592" t="s">
        <v>1464</v>
      </c>
      <c r="BA2592" t="s">
        <v>1499</v>
      </c>
      <c r="BB2592" t="s">
        <v>1500</v>
      </c>
      <c r="BC2592">
        <v>72</v>
      </c>
      <c r="BD2592">
        <v>72</v>
      </c>
      <c r="BE2592">
        <v>60</v>
      </c>
      <c r="BF2592">
        <v>72</v>
      </c>
      <c r="BK2592" s="4">
        <v>3044</v>
      </c>
      <c r="BL2592" s="4">
        <v>3409</v>
      </c>
      <c r="BM2592" s="4">
        <v>3774</v>
      </c>
      <c r="BN2592" s="4">
        <v>4139</v>
      </c>
      <c r="BT2592">
        <v>9</v>
      </c>
      <c r="BU2592">
        <v>12</v>
      </c>
      <c r="BV2592">
        <v>0</v>
      </c>
      <c r="BX2592">
        <v>3.37</v>
      </c>
      <c r="BZ2592">
        <v>2.78</v>
      </c>
      <c r="CK2592" t="s">
        <v>360</v>
      </c>
      <c r="CM2592">
        <v>1911</v>
      </c>
    </row>
    <row r="2593" spans="1:91" x14ac:dyDescent="0.3">
      <c r="A2593" t="s">
        <v>3620</v>
      </c>
      <c r="B2593">
        <v>46117</v>
      </c>
      <c r="D2593">
        <v>12</v>
      </c>
      <c r="E2593">
        <v>288750</v>
      </c>
      <c r="S2593">
        <v>1</v>
      </c>
      <c r="Y2593">
        <v>1</v>
      </c>
      <c r="AA2593">
        <v>0.75</v>
      </c>
      <c r="AC2593" s="3">
        <v>0.75</v>
      </c>
      <c r="AE2593" s="3">
        <v>0.68</v>
      </c>
      <c r="AI2593">
        <v>0.75</v>
      </c>
      <c r="AK2593" s="3"/>
      <c r="AU2593" t="s">
        <v>1467</v>
      </c>
      <c r="AV2593" t="s">
        <v>1468</v>
      </c>
      <c r="AW2593" t="s">
        <v>1467</v>
      </c>
      <c r="AX2593" t="s">
        <v>1468</v>
      </c>
      <c r="AY2593" t="s">
        <v>1467</v>
      </c>
      <c r="AZ2593" t="s">
        <v>1468</v>
      </c>
      <c r="BA2593" t="s">
        <v>1467</v>
      </c>
      <c r="BB2593" t="s">
        <v>1468</v>
      </c>
      <c r="BC2593">
        <v>48</v>
      </c>
      <c r="BD2593">
        <v>48</v>
      </c>
      <c r="BE2593">
        <v>48</v>
      </c>
      <c r="BF2593">
        <v>48</v>
      </c>
      <c r="BK2593" s="4">
        <v>3866</v>
      </c>
      <c r="BL2593" s="4">
        <v>4050</v>
      </c>
      <c r="BM2593" s="4">
        <v>4231</v>
      </c>
      <c r="BN2593" s="4">
        <v>4415</v>
      </c>
      <c r="BT2593">
        <v>53</v>
      </c>
      <c r="BU2593">
        <v>6</v>
      </c>
      <c r="BV2593">
        <v>9</v>
      </c>
      <c r="BX2593">
        <v>1.18</v>
      </c>
      <c r="BZ2593">
        <v>0.68</v>
      </c>
      <c r="CK2593" t="s">
        <v>558</v>
      </c>
      <c r="CM2593">
        <v>1911</v>
      </c>
    </row>
    <row r="2594" spans="1:91" x14ac:dyDescent="0.3">
      <c r="A2594" t="s">
        <v>3621</v>
      </c>
      <c r="B2594">
        <v>46366</v>
      </c>
      <c r="D2594">
        <v>12</v>
      </c>
      <c r="E2594">
        <v>180000</v>
      </c>
      <c r="S2594">
        <v>1</v>
      </c>
      <c r="Y2594">
        <v>1</v>
      </c>
      <c r="AA2594">
        <v>7.5</v>
      </c>
      <c r="AC2594" s="3">
        <v>7.68</v>
      </c>
      <c r="AE2594" s="3">
        <v>7.5</v>
      </c>
      <c r="AI2594">
        <v>7.62</v>
      </c>
      <c r="AK2594" s="3"/>
      <c r="AU2594" t="s">
        <v>1497</v>
      </c>
      <c r="AV2594" s="5">
        <v>40697</v>
      </c>
      <c r="AW2594" t="s">
        <v>2962</v>
      </c>
      <c r="AX2594" s="5">
        <v>40699</v>
      </c>
      <c r="AY2594" t="s">
        <v>1497</v>
      </c>
      <c r="AZ2594" s="5">
        <v>40697</v>
      </c>
      <c r="BA2594" t="s">
        <v>2847</v>
      </c>
      <c r="BB2594" s="5">
        <v>40698</v>
      </c>
      <c r="BC2594">
        <v>42</v>
      </c>
      <c r="BD2594">
        <v>66</v>
      </c>
      <c r="BE2594">
        <v>42</v>
      </c>
      <c r="BF2594">
        <v>54</v>
      </c>
      <c r="BK2594" s="4">
        <v>4109</v>
      </c>
      <c r="BL2594" s="4">
        <v>4170</v>
      </c>
      <c r="BM2594" s="4">
        <v>4292</v>
      </c>
      <c r="BN2594" s="4">
        <v>4353</v>
      </c>
      <c r="BT2594">
        <v>11</v>
      </c>
      <c r="BU2594">
        <v>3</v>
      </c>
      <c r="BV2594">
        <v>0</v>
      </c>
      <c r="BX2594">
        <v>8.31</v>
      </c>
      <c r="BZ2594">
        <v>6.37</v>
      </c>
      <c r="CM2594">
        <v>1911</v>
      </c>
    </row>
    <row r="2595" spans="1:91" x14ac:dyDescent="0.3">
      <c r="A2595" t="s">
        <v>3622</v>
      </c>
      <c r="B2595">
        <v>46371</v>
      </c>
      <c r="D2595">
        <v>12</v>
      </c>
      <c r="E2595">
        <v>200000</v>
      </c>
      <c r="S2595">
        <v>1</v>
      </c>
      <c r="Y2595">
        <v>1</v>
      </c>
      <c r="AA2595">
        <v>4.0599999999999996</v>
      </c>
      <c r="AC2595" s="3">
        <v>4.0599999999999996</v>
      </c>
      <c r="AE2595" s="3">
        <v>4</v>
      </c>
      <c r="AI2595">
        <v>4</v>
      </c>
      <c r="AK2595" s="3"/>
      <c r="AU2595" t="s">
        <v>1467</v>
      </c>
      <c r="AV2595" t="s">
        <v>1468</v>
      </c>
      <c r="AW2595" t="s">
        <v>1467</v>
      </c>
      <c r="AX2595" t="s">
        <v>1468</v>
      </c>
      <c r="AY2595" t="s">
        <v>1467</v>
      </c>
      <c r="AZ2595" t="s">
        <v>1468</v>
      </c>
      <c r="BA2595" t="s">
        <v>1467</v>
      </c>
      <c r="BB2595" t="s">
        <v>1468</v>
      </c>
      <c r="BC2595">
        <v>48</v>
      </c>
      <c r="BD2595">
        <v>48</v>
      </c>
      <c r="BE2595">
        <v>48</v>
      </c>
      <c r="BF2595">
        <v>48</v>
      </c>
      <c r="BK2595" s="4">
        <v>3866</v>
      </c>
      <c r="BL2595" s="4">
        <v>4050</v>
      </c>
      <c r="BM2595" s="4">
        <v>4231</v>
      </c>
      <c r="BN2595" s="4">
        <v>4415</v>
      </c>
      <c r="BT2595">
        <v>10</v>
      </c>
      <c r="BU2595">
        <v>0</v>
      </c>
      <c r="BV2595">
        <v>0</v>
      </c>
      <c r="BX2595">
        <v>4.18</v>
      </c>
      <c r="BZ2595">
        <v>3.68</v>
      </c>
      <c r="CK2595" t="s">
        <v>3610</v>
      </c>
      <c r="CM2595">
        <v>1911</v>
      </c>
    </row>
    <row r="2596" spans="1:91" x14ac:dyDescent="0.3">
      <c r="A2596" t="s">
        <v>3623</v>
      </c>
      <c r="B2596">
        <v>46509</v>
      </c>
      <c r="D2596">
        <v>12</v>
      </c>
      <c r="E2596">
        <v>350000</v>
      </c>
      <c r="S2596">
        <v>4</v>
      </c>
      <c r="Y2596">
        <v>4</v>
      </c>
      <c r="AA2596">
        <v>11.68</v>
      </c>
      <c r="AC2596" s="3">
        <v>11.68</v>
      </c>
      <c r="AE2596" s="3">
        <v>11.31</v>
      </c>
      <c r="AI2596">
        <v>11.56</v>
      </c>
      <c r="AK2596" s="3"/>
      <c r="AU2596" t="s">
        <v>1499</v>
      </c>
      <c r="AV2596" t="s">
        <v>1500</v>
      </c>
      <c r="AW2596" t="s">
        <v>1799</v>
      </c>
      <c r="AX2596" t="s">
        <v>2964</v>
      </c>
      <c r="AY2596" t="s">
        <v>3624</v>
      </c>
      <c r="AZ2596" t="s">
        <v>3625</v>
      </c>
      <c r="BA2596" t="s">
        <v>1803</v>
      </c>
      <c r="BB2596" t="s">
        <v>2050</v>
      </c>
      <c r="BC2596">
        <v>72</v>
      </c>
      <c r="BD2596">
        <v>96</v>
      </c>
      <c r="BE2596">
        <v>108</v>
      </c>
      <c r="BF2596">
        <v>120</v>
      </c>
      <c r="BK2596" s="4">
        <v>3866</v>
      </c>
      <c r="BL2596" s="4">
        <v>4050</v>
      </c>
      <c r="BM2596" s="4">
        <v>4231</v>
      </c>
      <c r="BN2596" s="4">
        <v>4415</v>
      </c>
      <c r="BT2596">
        <v>8</v>
      </c>
      <c r="BU2596">
        <v>8</v>
      </c>
      <c r="BV2596">
        <v>0</v>
      </c>
      <c r="BX2596">
        <v>13.06</v>
      </c>
      <c r="BZ2596">
        <v>11</v>
      </c>
      <c r="CK2596" t="s">
        <v>360</v>
      </c>
      <c r="CM2596">
        <v>1911</v>
      </c>
    </row>
    <row r="2597" spans="1:91" x14ac:dyDescent="0.3">
      <c r="A2597" t="s">
        <v>3626</v>
      </c>
      <c r="B2597">
        <v>46505</v>
      </c>
      <c r="D2597">
        <v>12</v>
      </c>
      <c r="E2597">
        <v>263000</v>
      </c>
      <c r="S2597">
        <v>1</v>
      </c>
      <c r="Y2597">
        <v>1</v>
      </c>
      <c r="AA2597">
        <v>1.18</v>
      </c>
      <c r="AC2597" s="3">
        <v>1.18</v>
      </c>
      <c r="AE2597" s="3">
        <v>1.06</v>
      </c>
      <c r="AI2597">
        <v>1.06</v>
      </c>
      <c r="AK2597" s="3"/>
      <c r="AV2597" t="s">
        <v>385</v>
      </c>
      <c r="AX2597" t="s">
        <v>385</v>
      </c>
      <c r="AZ2597" t="s">
        <v>385</v>
      </c>
      <c r="BB2597" t="s">
        <v>385</v>
      </c>
      <c r="BW2597" t="s">
        <v>802</v>
      </c>
      <c r="BX2597">
        <v>1.81</v>
      </c>
      <c r="BZ2597">
        <v>1.06</v>
      </c>
      <c r="CK2597" t="s">
        <v>360</v>
      </c>
      <c r="CM2597">
        <v>1911</v>
      </c>
    </row>
    <row r="2598" spans="1:91" x14ac:dyDescent="0.3">
      <c r="A2598" t="s">
        <v>3627</v>
      </c>
      <c r="B2598">
        <v>46624</v>
      </c>
      <c r="D2598">
        <v>12</v>
      </c>
      <c r="E2598">
        <v>250000</v>
      </c>
      <c r="S2598">
        <v>3</v>
      </c>
      <c r="Y2598">
        <v>3</v>
      </c>
      <c r="AA2598">
        <v>1.62</v>
      </c>
      <c r="AC2598" s="3">
        <v>1.75</v>
      </c>
      <c r="AE2598" s="3">
        <v>1.56</v>
      </c>
      <c r="AI2598">
        <v>1.68</v>
      </c>
      <c r="AK2598" s="3"/>
      <c r="BG2598">
        <v>6</v>
      </c>
      <c r="BH2598">
        <v>6</v>
      </c>
      <c r="BI2598">
        <v>6</v>
      </c>
      <c r="BJ2598">
        <v>6</v>
      </c>
      <c r="BK2598" s="4">
        <v>3774</v>
      </c>
      <c r="BL2598" s="4">
        <v>3958</v>
      </c>
      <c r="BM2598" s="4">
        <v>4139</v>
      </c>
      <c r="BN2598" s="4">
        <v>4323</v>
      </c>
      <c r="BT2598">
        <v>10</v>
      </c>
      <c r="BU2598">
        <v>13</v>
      </c>
      <c r="BV2598">
        <v>3</v>
      </c>
      <c r="BX2598">
        <v>1.75</v>
      </c>
      <c r="BZ2598">
        <v>1</v>
      </c>
      <c r="CK2598" t="s">
        <v>360</v>
      </c>
      <c r="CM2598">
        <v>1911</v>
      </c>
    </row>
    <row r="2599" spans="1:91" x14ac:dyDescent="0.3">
      <c r="A2599" t="s">
        <v>3628</v>
      </c>
      <c r="B2599">
        <v>46630</v>
      </c>
      <c r="D2599">
        <v>12</v>
      </c>
      <c r="E2599">
        <v>121000</v>
      </c>
      <c r="S2599">
        <v>1</v>
      </c>
      <c r="Y2599">
        <v>1</v>
      </c>
      <c r="AA2599">
        <v>2.37</v>
      </c>
      <c r="AC2599" s="3">
        <v>2.37</v>
      </c>
      <c r="AE2599" s="3">
        <v>2.12</v>
      </c>
      <c r="AI2599">
        <v>2.12</v>
      </c>
      <c r="AK2599" s="3"/>
      <c r="AU2599" t="s">
        <v>2742</v>
      </c>
      <c r="AV2599" s="5">
        <v>40696</v>
      </c>
      <c r="AW2599" t="s">
        <v>2742</v>
      </c>
      <c r="AX2599" s="5">
        <v>40696</v>
      </c>
      <c r="AY2599" t="s">
        <v>1622</v>
      </c>
      <c r="AZ2599" s="5">
        <v>40695</v>
      </c>
      <c r="BA2599" t="s">
        <v>1622</v>
      </c>
      <c r="BB2599" s="5">
        <v>40695</v>
      </c>
      <c r="BC2599">
        <v>30</v>
      </c>
      <c r="BD2599">
        <v>30</v>
      </c>
      <c r="BE2599">
        <v>18</v>
      </c>
      <c r="BF2599">
        <v>18</v>
      </c>
      <c r="BK2599" s="4">
        <v>3958</v>
      </c>
      <c r="BL2599" s="4">
        <v>4109</v>
      </c>
      <c r="BM2599" s="4">
        <v>4200</v>
      </c>
      <c r="BN2599" s="4">
        <v>4323</v>
      </c>
      <c r="BT2599">
        <v>12</v>
      </c>
      <c r="BU2599">
        <v>18</v>
      </c>
      <c r="BV2599">
        <v>9</v>
      </c>
      <c r="BX2599">
        <v>2.68</v>
      </c>
      <c r="BZ2599">
        <v>2.12</v>
      </c>
      <c r="CK2599" t="s">
        <v>360</v>
      </c>
      <c r="CM2599">
        <v>1911</v>
      </c>
    </row>
    <row r="2600" spans="1:91" x14ac:dyDescent="0.3">
      <c r="A2600" t="s">
        <v>3629</v>
      </c>
      <c r="B2600">
        <v>46631</v>
      </c>
      <c r="D2600">
        <v>12</v>
      </c>
      <c r="E2600">
        <v>147518</v>
      </c>
      <c r="S2600">
        <v>5</v>
      </c>
      <c r="Y2600">
        <v>5</v>
      </c>
      <c r="AA2600">
        <v>3.68</v>
      </c>
      <c r="AC2600" s="3">
        <v>3.75</v>
      </c>
      <c r="AE2600" s="3">
        <v>3.31</v>
      </c>
      <c r="AI2600">
        <v>3.31</v>
      </c>
      <c r="AK2600" s="3"/>
      <c r="AV2600" t="s">
        <v>385</v>
      </c>
      <c r="AW2600" t="s">
        <v>1803</v>
      </c>
      <c r="AX2600" t="s">
        <v>2050</v>
      </c>
      <c r="AY2600" t="s">
        <v>1463</v>
      </c>
      <c r="AZ2600" t="s">
        <v>1464</v>
      </c>
      <c r="BA2600" t="s">
        <v>1463</v>
      </c>
      <c r="BB2600" t="s">
        <v>1464</v>
      </c>
      <c r="BD2600">
        <v>120</v>
      </c>
      <c r="BE2600">
        <v>60</v>
      </c>
      <c r="BF2600">
        <v>60</v>
      </c>
      <c r="BL2600" t="s">
        <v>3630</v>
      </c>
      <c r="BM2600" s="4">
        <v>4231</v>
      </c>
      <c r="BN2600" s="4">
        <v>4353</v>
      </c>
      <c r="BT2600">
        <v>30</v>
      </c>
      <c r="BU2600">
        <v>3</v>
      </c>
      <c r="BV2600">
        <v>9</v>
      </c>
      <c r="BX2600">
        <v>5.81</v>
      </c>
      <c r="BZ2600">
        <v>3</v>
      </c>
      <c r="CM2600">
        <v>1911</v>
      </c>
    </row>
    <row r="2601" spans="1:91" x14ac:dyDescent="0.3">
      <c r="A2601" t="s">
        <v>3631</v>
      </c>
      <c r="B2601">
        <v>46618</v>
      </c>
      <c r="D2601">
        <v>12</v>
      </c>
      <c r="E2601" s="2">
        <v>1200000</v>
      </c>
      <c r="S2601">
        <v>1</v>
      </c>
      <c r="Y2601">
        <v>1</v>
      </c>
      <c r="AA2601">
        <v>1.37</v>
      </c>
      <c r="AC2601" s="3">
        <v>1.37</v>
      </c>
      <c r="AE2601" s="3">
        <v>1.31</v>
      </c>
      <c r="AI2601">
        <v>1.34</v>
      </c>
      <c r="AK2601" s="3"/>
      <c r="AU2601" t="s">
        <v>3632</v>
      </c>
      <c r="AV2601" s="5">
        <v>40787</v>
      </c>
      <c r="AW2601" t="s">
        <v>3632</v>
      </c>
      <c r="AX2601" s="5">
        <v>40787</v>
      </c>
      <c r="AY2601" t="s">
        <v>1623</v>
      </c>
      <c r="AZ2601" s="5">
        <v>40603</v>
      </c>
      <c r="BA2601" t="s">
        <v>1623</v>
      </c>
      <c r="BB2601" s="5">
        <v>40603</v>
      </c>
      <c r="BC2601">
        <v>21</v>
      </c>
      <c r="BD2601">
        <v>21</v>
      </c>
      <c r="BE2601">
        <v>15</v>
      </c>
      <c r="BF2601">
        <v>15</v>
      </c>
      <c r="BK2601" s="4">
        <v>3623</v>
      </c>
      <c r="BL2601" s="4">
        <v>3805</v>
      </c>
      <c r="BM2601" s="4">
        <v>3988</v>
      </c>
      <c r="BN2601" s="4">
        <v>4170</v>
      </c>
      <c r="BT2601">
        <v>9</v>
      </c>
      <c r="BU2601">
        <v>6</v>
      </c>
      <c r="BV2601">
        <v>0</v>
      </c>
      <c r="BX2601">
        <v>1.62</v>
      </c>
      <c r="BZ2601">
        <v>1.06</v>
      </c>
      <c r="CK2601" t="s">
        <v>360</v>
      </c>
      <c r="CM2601">
        <v>1911</v>
      </c>
    </row>
    <row r="2602" spans="1:91" x14ac:dyDescent="0.3">
      <c r="A2602" t="s">
        <v>3633</v>
      </c>
      <c r="B2602">
        <v>46623</v>
      </c>
      <c r="D2602">
        <v>12</v>
      </c>
      <c r="E2602" s="2">
        <v>1000000</v>
      </c>
      <c r="S2602">
        <v>1</v>
      </c>
      <c r="Y2602">
        <v>1</v>
      </c>
      <c r="AA2602">
        <v>2.62</v>
      </c>
      <c r="AC2602" s="3">
        <v>2.68</v>
      </c>
      <c r="AE2602" s="3">
        <v>2.56</v>
      </c>
      <c r="AI2602">
        <v>2.56</v>
      </c>
      <c r="AK2602" s="3"/>
      <c r="AU2602" t="s">
        <v>1717</v>
      </c>
      <c r="AV2602" t="s">
        <v>1719</v>
      </c>
      <c r="AW2602" t="s">
        <v>1717</v>
      </c>
      <c r="AX2602" t="s">
        <v>1719</v>
      </c>
      <c r="AY2602" t="s">
        <v>1717</v>
      </c>
      <c r="AZ2602" t="s">
        <v>1719</v>
      </c>
      <c r="BA2602" t="s">
        <v>1717</v>
      </c>
      <c r="BB2602" t="s">
        <v>1719</v>
      </c>
      <c r="BC2602">
        <v>12</v>
      </c>
      <c r="BD2602">
        <v>12</v>
      </c>
      <c r="BE2602">
        <v>12</v>
      </c>
      <c r="BF2602">
        <v>12</v>
      </c>
      <c r="BK2602" s="4">
        <v>4019</v>
      </c>
      <c r="BL2602" s="4">
        <v>4109</v>
      </c>
      <c r="BM2602" s="4">
        <v>4200</v>
      </c>
      <c r="BN2602" s="4">
        <v>4292</v>
      </c>
      <c r="BT2602">
        <v>7</v>
      </c>
      <c r="BU2602">
        <v>16</v>
      </c>
      <c r="BV2602">
        <v>3</v>
      </c>
      <c r="BX2602">
        <v>3.62</v>
      </c>
      <c r="BZ2602">
        <v>2.37</v>
      </c>
      <c r="CK2602" t="s">
        <v>3634</v>
      </c>
      <c r="CM2602">
        <v>1911</v>
      </c>
    </row>
    <row r="2603" spans="1:91" x14ac:dyDescent="0.3">
      <c r="A2603" t="s">
        <v>3635</v>
      </c>
      <c r="B2603">
        <v>46664</v>
      </c>
      <c r="D2603">
        <v>12</v>
      </c>
      <c r="E2603">
        <v>610000</v>
      </c>
      <c r="T2603" t="s">
        <v>1758</v>
      </c>
      <c r="Z2603" t="s">
        <v>1758</v>
      </c>
      <c r="AA2603">
        <v>5</v>
      </c>
      <c r="AC2603" s="3">
        <v>5.37</v>
      </c>
      <c r="AE2603" s="3">
        <v>5</v>
      </c>
      <c r="AI2603">
        <v>5.31</v>
      </c>
      <c r="AK2603" s="3"/>
      <c r="AU2603" t="s">
        <v>1497</v>
      </c>
      <c r="AV2603" s="5">
        <v>40697</v>
      </c>
      <c r="AW2603" t="s">
        <v>2847</v>
      </c>
      <c r="AX2603" s="5">
        <v>40698</v>
      </c>
      <c r="AY2603" t="s">
        <v>1497</v>
      </c>
      <c r="AZ2603" s="5">
        <v>40697</v>
      </c>
      <c r="BA2603" t="s">
        <v>1497</v>
      </c>
      <c r="BB2603" s="5">
        <v>40697</v>
      </c>
      <c r="BC2603">
        <v>42</v>
      </c>
      <c r="BD2603">
        <v>54</v>
      </c>
      <c r="BE2603">
        <v>42</v>
      </c>
      <c r="BF2603">
        <v>42</v>
      </c>
      <c r="BK2603" s="4">
        <v>3958</v>
      </c>
      <c r="BL2603" s="4">
        <v>4078</v>
      </c>
      <c r="BM2603" s="4">
        <v>4200</v>
      </c>
      <c r="BN2603" s="4">
        <v>4323</v>
      </c>
      <c r="BT2603">
        <v>10</v>
      </c>
      <c r="BU2603">
        <v>16</v>
      </c>
      <c r="BV2603">
        <v>6</v>
      </c>
      <c r="BX2603">
        <v>5.87</v>
      </c>
      <c r="BZ2603">
        <v>4.93</v>
      </c>
      <c r="CK2603" t="s">
        <v>360</v>
      </c>
      <c r="CM2603">
        <v>1911</v>
      </c>
    </row>
    <row r="2604" spans="1:91" x14ac:dyDescent="0.3">
      <c r="A2604" t="s">
        <v>3636</v>
      </c>
      <c r="B2604">
        <v>46733</v>
      </c>
      <c r="D2604">
        <v>12</v>
      </c>
      <c r="E2604">
        <v>94331</v>
      </c>
      <c r="S2604">
        <v>2</v>
      </c>
      <c r="Y2604">
        <v>2</v>
      </c>
      <c r="AA2604">
        <v>3</v>
      </c>
      <c r="AC2604" s="3">
        <v>3.09</v>
      </c>
      <c r="AE2604" s="3">
        <v>2.87</v>
      </c>
      <c r="AI2604">
        <v>3</v>
      </c>
      <c r="AJ2604" t="s">
        <v>379</v>
      </c>
      <c r="AK2604" s="3"/>
      <c r="AU2604" t="s">
        <v>1465</v>
      </c>
      <c r="AV2604" t="s">
        <v>1466</v>
      </c>
      <c r="AW2604" t="s">
        <v>1582</v>
      </c>
      <c r="AX2604" t="s">
        <v>1760</v>
      </c>
      <c r="AY2604" t="s">
        <v>1463</v>
      </c>
      <c r="AZ2604" t="s">
        <v>1464</v>
      </c>
      <c r="BA2604" t="s">
        <v>1465</v>
      </c>
      <c r="BB2604" t="s">
        <v>1466</v>
      </c>
      <c r="BC2604">
        <v>36</v>
      </c>
      <c r="BD2604">
        <v>24</v>
      </c>
      <c r="BE2604">
        <v>60</v>
      </c>
      <c r="BF2604">
        <v>36</v>
      </c>
      <c r="BK2604" s="4">
        <v>3623</v>
      </c>
      <c r="BL2604" s="4">
        <v>3805</v>
      </c>
      <c r="BM2604" s="4">
        <v>3988</v>
      </c>
      <c r="BN2604" s="4">
        <v>4170</v>
      </c>
      <c r="BT2604">
        <v>13</v>
      </c>
      <c r="BU2604">
        <v>6</v>
      </c>
      <c r="BV2604">
        <v>9</v>
      </c>
      <c r="BX2604">
        <v>3.09</v>
      </c>
      <c r="BZ2604">
        <v>1.75</v>
      </c>
      <c r="CM2604">
        <v>1911</v>
      </c>
    </row>
    <row r="2605" spans="1:91" x14ac:dyDescent="0.3">
      <c r="A2605" t="s">
        <v>3637</v>
      </c>
      <c r="B2605">
        <v>46867</v>
      </c>
      <c r="D2605">
        <v>12</v>
      </c>
      <c r="E2605">
        <v>550000</v>
      </c>
      <c r="S2605">
        <v>1</v>
      </c>
      <c r="Y2605">
        <v>1</v>
      </c>
      <c r="AA2605">
        <v>1.28</v>
      </c>
      <c r="AC2605" s="3">
        <v>1.28</v>
      </c>
      <c r="AE2605" s="3">
        <v>1.1200000000000001</v>
      </c>
      <c r="AI2605">
        <v>1.1200000000000001</v>
      </c>
      <c r="AK2605" s="3"/>
      <c r="AU2605" t="s">
        <v>1622</v>
      </c>
      <c r="AV2605" s="5">
        <v>40695</v>
      </c>
      <c r="AW2605" t="s">
        <v>1622</v>
      </c>
      <c r="AX2605" s="5">
        <v>40695</v>
      </c>
      <c r="AY2605" t="s">
        <v>1622</v>
      </c>
      <c r="AZ2605" s="5">
        <v>40695</v>
      </c>
      <c r="BA2605" t="s">
        <v>1622</v>
      </c>
      <c r="BB2605" s="5">
        <v>40695</v>
      </c>
      <c r="BC2605">
        <v>18</v>
      </c>
      <c r="BD2605">
        <v>18</v>
      </c>
      <c r="BE2605">
        <v>18</v>
      </c>
      <c r="BF2605">
        <v>18</v>
      </c>
      <c r="BK2605" s="4">
        <v>3866</v>
      </c>
      <c r="BL2605" s="4">
        <v>4050</v>
      </c>
      <c r="BM2605" s="4">
        <v>4231</v>
      </c>
      <c r="BN2605" s="4">
        <v>4415</v>
      </c>
      <c r="BT2605">
        <v>11</v>
      </c>
      <c r="BU2605">
        <v>2</v>
      </c>
      <c r="BV2605">
        <v>3</v>
      </c>
      <c r="BX2605">
        <v>1.87</v>
      </c>
      <c r="BZ2605">
        <v>1.1200000000000001</v>
      </c>
      <c r="CK2605" t="s">
        <v>360</v>
      </c>
      <c r="CM2605">
        <v>1911</v>
      </c>
    </row>
    <row r="2606" spans="1:91" x14ac:dyDescent="0.3">
      <c r="A2606" t="s">
        <v>3638</v>
      </c>
      <c r="B2606">
        <v>46869</v>
      </c>
      <c r="D2606">
        <v>12</v>
      </c>
      <c r="E2606">
        <v>114864</v>
      </c>
      <c r="S2606">
        <v>1</v>
      </c>
      <c r="Y2606">
        <v>1</v>
      </c>
      <c r="AA2606">
        <v>5.25</v>
      </c>
      <c r="AC2606" s="3">
        <v>5.25</v>
      </c>
      <c r="AE2606" s="3">
        <v>4.87</v>
      </c>
      <c r="AI2606">
        <v>4.87</v>
      </c>
      <c r="AJ2606" t="s">
        <v>379</v>
      </c>
      <c r="AK2606" s="3"/>
      <c r="AU2606" t="s">
        <v>1799</v>
      </c>
      <c r="AV2606" t="s">
        <v>2964</v>
      </c>
      <c r="AW2606" t="s">
        <v>1799</v>
      </c>
      <c r="AX2606" t="s">
        <v>2964</v>
      </c>
      <c r="AY2606" t="s">
        <v>1799</v>
      </c>
      <c r="AZ2606" t="s">
        <v>2964</v>
      </c>
      <c r="BA2606" t="s">
        <v>1799</v>
      </c>
      <c r="BB2606" t="s">
        <v>2964</v>
      </c>
      <c r="BC2606">
        <v>96</v>
      </c>
      <c r="BD2606">
        <v>96</v>
      </c>
      <c r="BE2606">
        <v>96</v>
      </c>
      <c r="BF2606">
        <v>96</v>
      </c>
      <c r="BK2606" s="4">
        <v>3805</v>
      </c>
      <c r="BL2606" s="4">
        <v>3988</v>
      </c>
      <c r="BM2606" s="4">
        <v>4170</v>
      </c>
      <c r="BN2606" s="4">
        <v>4353</v>
      </c>
      <c r="BT2606">
        <v>16</v>
      </c>
      <c r="BU2606">
        <v>8</v>
      </c>
      <c r="BV2606">
        <v>3</v>
      </c>
      <c r="BX2606">
        <v>5.37</v>
      </c>
      <c r="BZ2606">
        <v>4.5599999999999996</v>
      </c>
      <c r="CM2606">
        <v>1911</v>
      </c>
    </row>
    <row r="2607" spans="1:91" x14ac:dyDescent="0.3">
      <c r="A2607" t="s">
        <v>3639</v>
      </c>
      <c r="B2607">
        <v>46875</v>
      </c>
      <c r="D2607">
        <v>12</v>
      </c>
      <c r="E2607">
        <v>850000</v>
      </c>
      <c r="S2607">
        <v>1</v>
      </c>
      <c r="Y2607">
        <v>1</v>
      </c>
      <c r="AA2607">
        <v>7.81</v>
      </c>
      <c r="AC2607" s="3">
        <v>7.81</v>
      </c>
      <c r="AE2607" s="3">
        <v>7.31</v>
      </c>
      <c r="AI2607">
        <v>7.31</v>
      </c>
      <c r="AK2607" s="3"/>
      <c r="AU2607" t="s">
        <v>1499</v>
      </c>
      <c r="AV2607" t="s">
        <v>1500</v>
      </c>
      <c r="AW2607" t="s">
        <v>1499</v>
      </c>
      <c r="AX2607" t="s">
        <v>1500</v>
      </c>
      <c r="AY2607" t="s">
        <v>1499</v>
      </c>
      <c r="AZ2607" t="s">
        <v>1500</v>
      </c>
      <c r="BA2607" t="s">
        <v>1499</v>
      </c>
      <c r="BB2607" t="s">
        <v>1500</v>
      </c>
      <c r="BC2607">
        <v>72</v>
      </c>
      <c r="BD2607">
        <v>72</v>
      </c>
      <c r="BE2607">
        <v>72</v>
      </c>
      <c r="BF2607">
        <v>72</v>
      </c>
      <c r="BK2607" s="4">
        <v>3805</v>
      </c>
      <c r="BL2607" s="4">
        <v>3988</v>
      </c>
      <c r="BM2607" s="4">
        <v>4170</v>
      </c>
      <c r="BN2607" s="4">
        <v>4353</v>
      </c>
      <c r="BT2607">
        <v>8</v>
      </c>
      <c r="BU2607">
        <v>4</v>
      </c>
      <c r="BV2607">
        <v>0</v>
      </c>
      <c r="BX2607">
        <v>8.68</v>
      </c>
      <c r="BZ2607">
        <v>7.06</v>
      </c>
      <c r="CK2607" t="s">
        <v>3640</v>
      </c>
      <c r="CM2607">
        <v>1911</v>
      </c>
    </row>
    <row r="2608" spans="1:91" x14ac:dyDescent="0.3">
      <c r="A2608" t="s">
        <v>3641</v>
      </c>
      <c r="B2608">
        <v>46897</v>
      </c>
      <c r="D2608">
        <v>12</v>
      </c>
      <c r="E2608">
        <v>325000</v>
      </c>
      <c r="S2608">
        <v>1</v>
      </c>
      <c r="Y2608">
        <v>1</v>
      </c>
      <c r="AA2608">
        <v>2.12</v>
      </c>
      <c r="AC2608" s="3">
        <v>2.4300000000000002</v>
      </c>
      <c r="AE2608" s="3">
        <v>2.12</v>
      </c>
      <c r="AI2608">
        <v>2.4300000000000002</v>
      </c>
      <c r="AK2608" s="3"/>
      <c r="AU2608" t="s">
        <v>1467</v>
      </c>
      <c r="AV2608" t="s">
        <v>1468</v>
      </c>
      <c r="AW2608" t="s">
        <v>1799</v>
      </c>
      <c r="AX2608" t="s">
        <v>2964</v>
      </c>
      <c r="AY2608" t="s">
        <v>1467</v>
      </c>
      <c r="AZ2608" t="s">
        <v>1468</v>
      </c>
      <c r="BA2608" t="s">
        <v>1803</v>
      </c>
      <c r="BB2608" t="s">
        <v>2050</v>
      </c>
      <c r="BC2608">
        <v>48</v>
      </c>
      <c r="BD2608">
        <v>96</v>
      </c>
      <c r="BE2608">
        <v>48</v>
      </c>
      <c r="BF2608">
        <v>120</v>
      </c>
      <c r="BK2608" s="4">
        <v>3866</v>
      </c>
      <c r="BL2608" s="4">
        <v>4050</v>
      </c>
      <c r="BM2608" s="4">
        <v>4231</v>
      </c>
      <c r="BN2608" s="4">
        <v>4415</v>
      </c>
      <c r="BT2608">
        <v>28</v>
      </c>
      <c r="BU2608">
        <v>14</v>
      </c>
      <c r="BV2608">
        <v>6</v>
      </c>
      <c r="BX2608">
        <v>2.81</v>
      </c>
      <c r="BZ2608">
        <v>2.06</v>
      </c>
      <c r="CK2608" t="s">
        <v>3642</v>
      </c>
      <c r="CM2608">
        <v>1911</v>
      </c>
    </row>
    <row r="2609" spans="1:91" x14ac:dyDescent="0.3">
      <c r="A2609" t="s">
        <v>3643</v>
      </c>
      <c r="B2609">
        <v>46901</v>
      </c>
      <c r="D2609">
        <v>12</v>
      </c>
      <c r="E2609">
        <v>610084</v>
      </c>
      <c r="S2609">
        <v>1</v>
      </c>
      <c r="Y2609">
        <v>1</v>
      </c>
      <c r="AA2609">
        <v>0.53</v>
      </c>
      <c r="AC2609" s="3">
        <v>0.53</v>
      </c>
      <c r="AE2609" s="3">
        <v>0.5</v>
      </c>
      <c r="AI2609">
        <v>0.53</v>
      </c>
      <c r="AK2609" s="3"/>
      <c r="AU2609" t="s">
        <v>1465</v>
      </c>
      <c r="AV2609" t="s">
        <v>1466</v>
      </c>
      <c r="AW2609" t="s">
        <v>1465</v>
      </c>
      <c r="AX2609" t="s">
        <v>1466</v>
      </c>
      <c r="AY2609" t="s">
        <v>1582</v>
      </c>
      <c r="AZ2609" t="s">
        <v>1760</v>
      </c>
      <c r="BA2609" t="s">
        <v>1717</v>
      </c>
      <c r="BB2609" t="s">
        <v>1719</v>
      </c>
      <c r="BC2609">
        <v>36</v>
      </c>
      <c r="BD2609">
        <v>36</v>
      </c>
      <c r="BE2609">
        <v>24</v>
      </c>
      <c r="BF2609">
        <v>12</v>
      </c>
      <c r="BK2609" s="4">
        <v>3136</v>
      </c>
      <c r="BL2609" s="4">
        <v>3320</v>
      </c>
      <c r="BM2609" s="4">
        <v>3501</v>
      </c>
      <c r="BN2609" s="4">
        <v>4415</v>
      </c>
      <c r="BT2609">
        <v>9</v>
      </c>
      <c r="BU2609">
        <v>8</v>
      </c>
      <c r="BV2609">
        <v>0</v>
      </c>
      <c r="BX2609">
        <v>0.62</v>
      </c>
      <c r="BZ2609">
        <v>0.43</v>
      </c>
      <c r="CK2609" t="s">
        <v>3642</v>
      </c>
      <c r="CM2609">
        <v>1911</v>
      </c>
    </row>
    <row r="2610" spans="1:91" x14ac:dyDescent="0.3">
      <c r="A2610" t="s">
        <v>3644</v>
      </c>
      <c r="B2610">
        <v>46916</v>
      </c>
      <c r="D2610">
        <v>12</v>
      </c>
      <c r="E2610">
        <v>300000</v>
      </c>
      <c r="S2610">
        <v>1</v>
      </c>
      <c r="Y2610">
        <v>1</v>
      </c>
      <c r="AA2610">
        <v>1.1200000000000001</v>
      </c>
      <c r="AC2610" s="3">
        <v>1.1200000000000001</v>
      </c>
      <c r="AE2610" s="3">
        <v>1.06</v>
      </c>
      <c r="AI2610">
        <v>1.06</v>
      </c>
      <c r="AK2610" s="3"/>
      <c r="AV2610" t="s">
        <v>385</v>
      </c>
      <c r="AX2610" t="s">
        <v>385</v>
      </c>
      <c r="AY2610" t="s">
        <v>1465</v>
      </c>
      <c r="AZ2610" t="s">
        <v>1466</v>
      </c>
      <c r="BB2610" t="s">
        <v>810</v>
      </c>
      <c r="BE2610">
        <v>36</v>
      </c>
      <c r="BM2610" s="4">
        <v>3774</v>
      </c>
      <c r="BW2610" t="s">
        <v>802</v>
      </c>
      <c r="BX2610">
        <v>2.06</v>
      </c>
      <c r="BZ2610">
        <v>1.06</v>
      </c>
      <c r="CK2610" t="s">
        <v>360</v>
      </c>
      <c r="CM2610">
        <v>1911</v>
      </c>
    </row>
    <row r="2611" spans="1:91" x14ac:dyDescent="0.3">
      <c r="A2611" t="s">
        <v>3645</v>
      </c>
      <c r="B2611">
        <v>46923</v>
      </c>
      <c r="D2611">
        <v>12</v>
      </c>
      <c r="E2611">
        <v>168858</v>
      </c>
      <c r="S2611">
        <v>1</v>
      </c>
      <c r="Y2611">
        <v>1</v>
      </c>
      <c r="AA2611">
        <v>0.78</v>
      </c>
      <c r="AC2611" s="3">
        <v>0.78</v>
      </c>
      <c r="AE2611" s="3">
        <v>0.68</v>
      </c>
      <c r="AI2611">
        <v>0.68</v>
      </c>
      <c r="AK2611" s="3"/>
      <c r="AV2611" t="s">
        <v>385</v>
      </c>
      <c r="AX2611" t="s">
        <v>385</v>
      </c>
      <c r="AZ2611" t="s">
        <v>385</v>
      </c>
      <c r="BB2611" t="s">
        <v>385</v>
      </c>
      <c r="BW2611" t="s">
        <v>802</v>
      </c>
      <c r="BX2611">
        <v>1.25</v>
      </c>
      <c r="BZ2611">
        <v>0.68</v>
      </c>
      <c r="CM2611">
        <v>1911</v>
      </c>
    </row>
    <row r="2612" spans="1:91" x14ac:dyDescent="0.3">
      <c r="A2612" t="s">
        <v>3646</v>
      </c>
      <c r="B2612">
        <v>47030</v>
      </c>
      <c r="D2612">
        <v>12</v>
      </c>
      <c r="E2612">
        <v>223106</v>
      </c>
      <c r="S2612">
        <v>1</v>
      </c>
      <c r="Y2612">
        <v>1</v>
      </c>
      <c r="AA2612">
        <v>1.25</v>
      </c>
      <c r="AC2612" s="3">
        <v>1.25</v>
      </c>
      <c r="AE2612" s="3">
        <v>1.1200000000000001</v>
      </c>
      <c r="AI2612">
        <v>1.1200000000000001</v>
      </c>
      <c r="AK2612" s="3"/>
      <c r="AU2612" t="s">
        <v>1465</v>
      </c>
      <c r="AV2612" t="s">
        <v>1466</v>
      </c>
      <c r="AW2612" t="s">
        <v>1465</v>
      </c>
      <c r="AX2612" t="s">
        <v>1466</v>
      </c>
      <c r="AY2612" t="s">
        <v>1622</v>
      </c>
      <c r="AZ2612" s="5">
        <v>40695</v>
      </c>
      <c r="BA2612" t="s">
        <v>1622</v>
      </c>
      <c r="BB2612" s="5">
        <v>40695</v>
      </c>
      <c r="BC2612">
        <v>36</v>
      </c>
      <c r="BD2612">
        <v>36</v>
      </c>
      <c r="BE2612">
        <v>18</v>
      </c>
      <c r="BF2612">
        <v>18</v>
      </c>
      <c r="BK2612" s="4">
        <v>3685</v>
      </c>
      <c r="BL2612" s="4">
        <v>3866</v>
      </c>
      <c r="BM2612" s="4">
        <v>4050</v>
      </c>
      <c r="BN2612" s="4">
        <v>4231</v>
      </c>
      <c r="BT2612">
        <v>13</v>
      </c>
      <c r="BU2612">
        <v>6</v>
      </c>
      <c r="BV2612">
        <v>9</v>
      </c>
      <c r="BX2612">
        <v>1.68</v>
      </c>
      <c r="BZ2612">
        <v>1.1200000000000001</v>
      </c>
      <c r="CK2612" t="s">
        <v>3642</v>
      </c>
      <c r="CM2612">
        <v>1911</v>
      </c>
    </row>
    <row r="2613" spans="1:91" x14ac:dyDescent="0.3">
      <c r="A2613" t="s">
        <v>3647</v>
      </c>
      <c r="B2613">
        <v>47164</v>
      </c>
      <c r="D2613">
        <v>12</v>
      </c>
      <c r="E2613">
        <v>827821</v>
      </c>
      <c r="S2613">
        <v>1</v>
      </c>
      <c r="Y2613">
        <v>1</v>
      </c>
      <c r="AA2613">
        <v>2.06</v>
      </c>
      <c r="AC2613" s="3">
        <v>2.06</v>
      </c>
      <c r="AE2613" s="3">
        <v>1.56</v>
      </c>
      <c r="AI2613">
        <v>1.56</v>
      </c>
      <c r="AK2613" s="3"/>
      <c r="AU2613" t="s">
        <v>2742</v>
      </c>
      <c r="AV2613" s="5">
        <v>40696</v>
      </c>
      <c r="AW2613" t="s">
        <v>1582</v>
      </c>
      <c r="AX2613" t="s">
        <v>1760</v>
      </c>
      <c r="AY2613" t="s">
        <v>1582</v>
      </c>
      <c r="AZ2613" t="s">
        <v>1760</v>
      </c>
      <c r="BA2613" t="s">
        <v>1582</v>
      </c>
      <c r="BB2613" t="s">
        <v>1760</v>
      </c>
      <c r="BC2613">
        <v>30</v>
      </c>
      <c r="BD2613">
        <v>24</v>
      </c>
      <c r="BE2613">
        <v>24</v>
      </c>
      <c r="BF2613">
        <v>24</v>
      </c>
      <c r="BK2613" s="4">
        <v>3713</v>
      </c>
      <c r="BL2613" s="4">
        <v>3897</v>
      </c>
      <c r="BM2613" s="4">
        <v>4078</v>
      </c>
      <c r="BN2613" s="4">
        <v>4262</v>
      </c>
      <c r="BT2613">
        <v>12</v>
      </c>
      <c r="BU2613">
        <v>16</v>
      </c>
      <c r="BV2613">
        <v>0</v>
      </c>
      <c r="BX2613">
        <v>2.75</v>
      </c>
      <c r="BZ2613">
        <v>1.56</v>
      </c>
      <c r="CK2613" t="s">
        <v>3642</v>
      </c>
      <c r="CM2613">
        <v>1911</v>
      </c>
    </row>
    <row r="2614" spans="1:91" x14ac:dyDescent="0.3">
      <c r="A2614" t="s">
        <v>3648</v>
      </c>
      <c r="B2614">
        <v>47166</v>
      </c>
      <c r="D2614">
        <v>12</v>
      </c>
      <c r="E2614">
        <v>566000</v>
      </c>
      <c r="S2614">
        <v>0.5</v>
      </c>
      <c r="Y2614">
        <v>0.5</v>
      </c>
      <c r="AA2614">
        <v>1.81</v>
      </c>
      <c r="AB2614" t="s">
        <v>379</v>
      </c>
      <c r="AC2614" s="3">
        <v>1.84</v>
      </c>
      <c r="AE2614" s="3">
        <v>1.71</v>
      </c>
      <c r="AI2614">
        <v>1.81</v>
      </c>
      <c r="AK2614" s="3"/>
      <c r="AU2614" t="s">
        <v>3649</v>
      </c>
      <c r="AV2614" s="5">
        <v>40634</v>
      </c>
      <c r="AW2614" t="s">
        <v>3650</v>
      </c>
      <c r="AX2614" s="5">
        <v>40756</v>
      </c>
      <c r="AY2614" t="s">
        <v>3651</v>
      </c>
      <c r="AZ2614" s="5">
        <v>40575</v>
      </c>
      <c r="BA2614" t="s">
        <v>1622</v>
      </c>
      <c r="BB2614" s="5">
        <v>40695</v>
      </c>
      <c r="BC2614">
        <v>16</v>
      </c>
      <c r="BD2614">
        <v>20</v>
      </c>
      <c r="BE2614">
        <v>14</v>
      </c>
      <c r="BF2614">
        <v>18</v>
      </c>
      <c r="BK2614" s="4">
        <v>3958</v>
      </c>
      <c r="BL2614" s="4">
        <v>4078</v>
      </c>
      <c r="BM2614" s="4">
        <v>4200</v>
      </c>
      <c r="BN2614" s="4">
        <v>4323</v>
      </c>
      <c r="BT2614">
        <v>11</v>
      </c>
      <c r="BU2614">
        <v>17</v>
      </c>
      <c r="BV2614">
        <v>0</v>
      </c>
      <c r="BX2614">
        <v>1.87</v>
      </c>
      <c r="BZ2614">
        <v>1.62</v>
      </c>
      <c r="CK2614" t="s">
        <v>360</v>
      </c>
      <c r="CM2614">
        <v>1911</v>
      </c>
    </row>
    <row r="2615" spans="1:91" x14ac:dyDescent="0.3">
      <c r="A2615" t="s">
        <v>3652</v>
      </c>
      <c r="B2615">
        <v>47263</v>
      </c>
      <c r="D2615">
        <v>12</v>
      </c>
      <c r="E2615">
        <v>481544</v>
      </c>
      <c r="S2615">
        <v>0.5</v>
      </c>
      <c r="Y2615">
        <v>0.5</v>
      </c>
      <c r="AA2615">
        <v>0.81</v>
      </c>
      <c r="AC2615" s="3">
        <v>0.87</v>
      </c>
      <c r="AE2615" s="3">
        <v>0.4</v>
      </c>
      <c r="AI2615">
        <v>0.84</v>
      </c>
      <c r="AK2615" s="3"/>
      <c r="AU2615" t="s">
        <v>1720</v>
      </c>
      <c r="AV2615" t="s">
        <v>3423</v>
      </c>
      <c r="AW2615" t="s">
        <v>3632</v>
      </c>
      <c r="AX2615" s="5">
        <v>40787</v>
      </c>
      <c r="AY2615" t="s">
        <v>1720</v>
      </c>
      <c r="AZ2615" t="s">
        <v>3423</v>
      </c>
      <c r="BA2615" t="s">
        <v>1720</v>
      </c>
      <c r="BB2615" t="s">
        <v>3423</v>
      </c>
      <c r="BC2615">
        <v>9</v>
      </c>
      <c r="BD2615">
        <v>21</v>
      </c>
      <c r="BE2615">
        <v>9</v>
      </c>
      <c r="BF2615">
        <v>9</v>
      </c>
      <c r="BK2615" s="4">
        <v>3988</v>
      </c>
      <c r="BL2615" s="4">
        <v>4109</v>
      </c>
      <c r="BM2615" s="4">
        <v>4200</v>
      </c>
      <c r="BN2615" s="4">
        <v>4353</v>
      </c>
      <c r="BT2615">
        <v>19</v>
      </c>
      <c r="BU2615">
        <v>5</v>
      </c>
      <c r="BV2615">
        <v>3</v>
      </c>
      <c r="BX2615">
        <v>1.03</v>
      </c>
      <c r="BZ2615">
        <v>0.78</v>
      </c>
      <c r="CK2615" t="s">
        <v>360</v>
      </c>
      <c r="CM2615">
        <v>1911</v>
      </c>
    </row>
    <row r="2616" spans="1:91" x14ac:dyDescent="0.3">
      <c r="A2616" t="s">
        <v>3652</v>
      </c>
      <c r="B2616">
        <v>47264</v>
      </c>
      <c r="C2616" t="s">
        <v>3653</v>
      </c>
      <c r="D2616">
        <v>12</v>
      </c>
      <c r="E2616">
        <v>228652</v>
      </c>
      <c r="S2616">
        <v>0.5</v>
      </c>
      <c r="Y2616">
        <v>0.5</v>
      </c>
      <c r="AA2616">
        <v>1.21</v>
      </c>
      <c r="AC2616" s="3">
        <v>1.21</v>
      </c>
      <c r="AE2616" s="3">
        <v>1.18</v>
      </c>
      <c r="AI2616">
        <v>0.81</v>
      </c>
      <c r="AK2616" s="3"/>
      <c r="AU2616" t="s">
        <v>1720</v>
      </c>
      <c r="AV2616" t="s">
        <v>3423</v>
      </c>
      <c r="AW2616" t="s">
        <v>3632</v>
      </c>
      <c r="AX2616" s="5">
        <v>40787</v>
      </c>
      <c r="AY2616" t="s">
        <v>3632</v>
      </c>
      <c r="AZ2616" s="5">
        <v>40787</v>
      </c>
      <c r="BA2616" t="s">
        <v>1720</v>
      </c>
      <c r="BB2616" t="s">
        <v>3423</v>
      </c>
      <c r="BC2616">
        <v>9</v>
      </c>
      <c r="BD2616">
        <v>21</v>
      </c>
      <c r="BE2616">
        <v>21</v>
      </c>
      <c r="BF2616">
        <v>9</v>
      </c>
      <c r="BK2616" s="4">
        <v>3988</v>
      </c>
      <c r="BL2616" s="4">
        <v>4109</v>
      </c>
      <c r="BM2616" s="4">
        <v>4200</v>
      </c>
      <c r="BN2616" s="4">
        <v>4353</v>
      </c>
      <c r="BT2616">
        <v>17</v>
      </c>
      <c r="BU2616">
        <v>17</v>
      </c>
      <c r="BV2616">
        <v>9</v>
      </c>
      <c r="BX2616">
        <v>1.4</v>
      </c>
      <c r="BZ2616">
        <v>1.1200000000000001</v>
      </c>
      <c r="CM2616">
        <v>1911</v>
      </c>
    </row>
    <row r="2617" spans="1:91" x14ac:dyDescent="0.3">
      <c r="A2617" t="s">
        <v>3654</v>
      </c>
      <c r="B2617">
        <v>47327</v>
      </c>
      <c r="D2617">
        <v>12</v>
      </c>
      <c r="E2617">
        <v>100000</v>
      </c>
      <c r="S2617">
        <v>1</v>
      </c>
      <c r="Y2617">
        <v>1</v>
      </c>
      <c r="AA2617">
        <v>0.18</v>
      </c>
      <c r="AC2617" s="3">
        <v>0.18</v>
      </c>
      <c r="AE2617" s="3">
        <v>0.18</v>
      </c>
      <c r="AI2617">
        <v>0.18</v>
      </c>
      <c r="AK2617" s="3"/>
      <c r="AU2617" t="s">
        <v>2340</v>
      </c>
      <c r="AV2617" t="s">
        <v>2341</v>
      </c>
      <c r="AW2617" t="s">
        <v>2340</v>
      </c>
      <c r="AX2617" t="s">
        <v>2341</v>
      </c>
      <c r="AY2617" t="s">
        <v>2340</v>
      </c>
      <c r="AZ2617" t="s">
        <v>2341</v>
      </c>
      <c r="BA2617" t="s">
        <v>2340</v>
      </c>
      <c r="BB2617" t="s">
        <v>2341</v>
      </c>
      <c r="BC2617">
        <v>6</v>
      </c>
      <c r="BD2617">
        <v>6</v>
      </c>
      <c r="BE2617">
        <v>6</v>
      </c>
      <c r="BF2617">
        <v>6</v>
      </c>
      <c r="BK2617" s="4">
        <v>1005</v>
      </c>
      <c r="BL2617" s="4">
        <v>3197</v>
      </c>
      <c r="BM2617" s="4">
        <v>3988</v>
      </c>
      <c r="BN2617" s="4">
        <v>4353</v>
      </c>
      <c r="BT2617">
        <v>13</v>
      </c>
      <c r="BU2617">
        <v>6</v>
      </c>
      <c r="BV2617">
        <v>6</v>
      </c>
      <c r="BX2617">
        <v>0.25</v>
      </c>
      <c r="BZ2617">
        <v>0.12</v>
      </c>
      <c r="CK2617" t="s">
        <v>360</v>
      </c>
      <c r="CM2617">
        <v>1911</v>
      </c>
    </row>
    <row r="2618" spans="1:91" x14ac:dyDescent="0.3">
      <c r="A2618" t="s">
        <v>3655</v>
      </c>
      <c r="B2618">
        <v>47386</v>
      </c>
      <c r="D2618">
        <v>12</v>
      </c>
      <c r="E2618">
        <v>500000</v>
      </c>
      <c r="T2618" t="s">
        <v>1548</v>
      </c>
      <c r="Z2618" t="s">
        <v>1548</v>
      </c>
      <c r="AA2618">
        <v>0.31</v>
      </c>
      <c r="AC2618" s="3">
        <v>0.31</v>
      </c>
      <c r="AE2618" s="3">
        <v>0.25</v>
      </c>
      <c r="AI2618">
        <v>0.25</v>
      </c>
      <c r="AK2618" s="3"/>
      <c r="AV2618" t="s">
        <v>385</v>
      </c>
      <c r="AX2618" t="s">
        <v>385</v>
      </c>
      <c r="AZ2618" t="s">
        <v>385</v>
      </c>
      <c r="BB2618" t="s">
        <v>385</v>
      </c>
      <c r="BW2618" t="s">
        <v>802</v>
      </c>
      <c r="BX2618">
        <v>0.34</v>
      </c>
      <c r="BZ2618">
        <v>0.18</v>
      </c>
      <c r="CK2618" t="s">
        <v>360</v>
      </c>
      <c r="CM2618">
        <v>1911</v>
      </c>
    </row>
    <row r="2619" spans="1:91" x14ac:dyDescent="0.3">
      <c r="A2619" t="s">
        <v>3655</v>
      </c>
      <c r="B2619">
        <v>47388</v>
      </c>
      <c r="C2619" t="s">
        <v>3656</v>
      </c>
      <c r="D2619">
        <v>12</v>
      </c>
      <c r="E2619">
        <v>54500</v>
      </c>
      <c r="S2619">
        <v>1</v>
      </c>
      <c r="Y2619">
        <v>1</v>
      </c>
      <c r="AA2619">
        <v>0.81</v>
      </c>
      <c r="AC2619" s="3">
        <v>0.81</v>
      </c>
      <c r="AE2619" s="3">
        <v>0.81</v>
      </c>
      <c r="AI2619">
        <v>0.81</v>
      </c>
      <c r="AK2619" s="3"/>
      <c r="AV2619" t="s">
        <v>385</v>
      </c>
      <c r="AX2619" t="s">
        <v>385</v>
      </c>
      <c r="AZ2619" t="s">
        <v>385</v>
      </c>
      <c r="BB2619" t="s">
        <v>385</v>
      </c>
      <c r="BW2619" t="s">
        <v>802</v>
      </c>
      <c r="BX2619">
        <v>0.81</v>
      </c>
      <c r="BZ2619">
        <v>0.5</v>
      </c>
      <c r="CM2619">
        <v>1911</v>
      </c>
    </row>
    <row r="2620" spans="1:91" x14ac:dyDescent="0.3">
      <c r="A2620" t="s">
        <v>3657</v>
      </c>
      <c r="B2620">
        <v>47759</v>
      </c>
      <c r="D2620">
        <v>12</v>
      </c>
      <c r="E2620">
        <v>160000</v>
      </c>
      <c r="T2620" t="s">
        <v>1548</v>
      </c>
      <c r="Z2620" t="s">
        <v>1548</v>
      </c>
      <c r="AA2620">
        <v>8.5</v>
      </c>
      <c r="AC2620" s="3">
        <v>8.5</v>
      </c>
      <c r="AE2620" s="3">
        <v>8.25</v>
      </c>
      <c r="AI2620">
        <v>8.25</v>
      </c>
      <c r="AK2620" s="3"/>
      <c r="AU2620" t="s">
        <v>1496</v>
      </c>
      <c r="AV2620" s="5">
        <v>40608</v>
      </c>
      <c r="AW2620" t="s">
        <v>1496</v>
      </c>
      <c r="AX2620" s="5">
        <v>40608</v>
      </c>
      <c r="AY2620" t="s">
        <v>1496</v>
      </c>
      <c r="AZ2620" s="5">
        <v>40608</v>
      </c>
      <c r="BA2620" t="s">
        <v>1496</v>
      </c>
      <c r="BB2620" s="5">
        <v>40608</v>
      </c>
      <c r="BC2620">
        <v>75</v>
      </c>
      <c r="BD2620">
        <v>75</v>
      </c>
      <c r="BE2620">
        <v>75</v>
      </c>
      <c r="BF2620">
        <v>75</v>
      </c>
      <c r="BK2620" s="4">
        <v>3805</v>
      </c>
      <c r="BL2620" s="4">
        <v>3988</v>
      </c>
      <c r="BM2620" s="4">
        <v>4170</v>
      </c>
      <c r="BN2620" s="4">
        <v>4353</v>
      </c>
      <c r="BT2620">
        <v>7</v>
      </c>
      <c r="BU2620">
        <v>11</v>
      </c>
      <c r="BV2620">
        <v>3</v>
      </c>
      <c r="BX2620">
        <v>8.5</v>
      </c>
      <c r="BZ2620">
        <v>8</v>
      </c>
      <c r="CK2620" t="s">
        <v>360</v>
      </c>
      <c r="CM2620">
        <v>1911</v>
      </c>
    </row>
    <row r="2621" spans="1:91" x14ac:dyDescent="0.3">
      <c r="A2621" t="s">
        <v>3657</v>
      </c>
      <c r="B2621">
        <v>47760</v>
      </c>
      <c r="C2621" t="s">
        <v>1632</v>
      </c>
      <c r="D2621">
        <v>12</v>
      </c>
      <c r="E2621">
        <v>320000</v>
      </c>
      <c r="T2621" t="s">
        <v>3531</v>
      </c>
      <c r="Z2621" t="s">
        <v>3531</v>
      </c>
      <c r="AA2621">
        <v>10.18</v>
      </c>
      <c r="AC2621" s="3">
        <v>10.18</v>
      </c>
      <c r="AE2621" s="3">
        <v>9.56</v>
      </c>
      <c r="AI2621">
        <v>9.56</v>
      </c>
      <c r="AK2621" s="3"/>
      <c r="AU2621" t="s">
        <v>1463</v>
      </c>
      <c r="AV2621" t="s">
        <v>1464</v>
      </c>
      <c r="AW2621" t="s">
        <v>1463</v>
      </c>
      <c r="AX2621" t="s">
        <v>1464</v>
      </c>
      <c r="AY2621" t="s">
        <v>1463</v>
      </c>
      <c r="AZ2621" t="s">
        <v>1464</v>
      </c>
      <c r="BA2621" t="s">
        <v>2126</v>
      </c>
      <c r="BB2621" s="5">
        <v>40701</v>
      </c>
      <c r="BC2621">
        <v>60</v>
      </c>
      <c r="BD2621">
        <v>60</v>
      </c>
      <c r="BE2621">
        <v>60</v>
      </c>
      <c r="BF2621">
        <v>90</v>
      </c>
      <c r="BK2621" s="4">
        <v>3685</v>
      </c>
      <c r="BL2621" s="4">
        <v>3866</v>
      </c>
      <c r="BM2621" s="4">
        <v>4050</v>
      </c>
      <c r="BN2621" s="4">
        <v>4231</v>
      </c>
      <c r="BT2621">
        <v>6</v>
      </c>
      <c r="BU2621">
        <v>10</v>
      </c>
      <c r="BV2621">
        <v>9</v>
      </c>
      <c r="BX2621">
        <v>10.62</v>
      </c>
      <c r="BZ2621">
        <v>6.56</v>
      </c>
      <c r="CM2621">
        <v>1911</v>
      </c>
    </row>
    <row r="2622" spans="1:91" x14ac:dyDescent="0.3">
      <c r="A2622" t="s">
        <v>3658</v>
      </c>
      <c r="B2622">
        <v>47769</v>
      </c>
      <c r="D2622">
        <v>12</v>
      </c>
      <c r="E2622" s="2">
        <v>1049880</v>
      </c>
      <c r="S2622">
        <v>1</v>
      </c>
      <c r="Y2622">
        <v>1</v>
      </c>
      <c r="AA2622">
        <v>1</v>
      </c>
      <c r="AC2622" s="3">
        <v>1</v>
      </c>
      <c r="AE2622" s="3">
        <v>0.87</v>
      </c>
      <c r="AI2622">
        <v>0.87</v>
      </c>
      <c r="AK2622" s="3"/>
      <c r="AV2622" t="s">
        <v>385</v>
      </c>
      <c r="AX2622" t="s">
        <v>385</v>
      </c>
      <c r="AZ2622" t="s">
        <v>385</v>
      </c>
      <c r="BB2622" t="s">
        <v>385</v>
      </c>
      <c r="BW2622" t="s">
        <v>802</v>
      </c>
      <c r="BX2622">
        <v>1.78</v>
      </c>
      <c r="BZ2622">
        <v>0.87</v>
      </c>
      <c r="CM2622">
        <v>1911</v>
      </c>
    </row>
    <row r="2623" spans="1:91" x14ac:dyDescent="0.3">
      <c r="A2623" t="s">
        <v>3659</v>
      </c>
      <c r="B2623">
        <v>47805</v>
      </c>
      <c r="D2623">
        <v>12</v>
      </c>
      <c r="E2623">
        <v>575033</v>
      </c>
      <c r="S2623">
        <v>1</v>
      </c>
      <c r="Y2623">
        <v>1</v>
      </c>
      <c r="AA2623">
        <v>0.75</v>
      </c>
      <c r="AC2623" s="3">
        <v>0.81</v>
      </c>
      <c r="AE2623" s="3">
        <v>0.75</v>
      </c>
      <c r="AI2623">
        <v>0.81</v>
      </c>
      <c r="AK2623" s="3"/>
      <c r="AU2623" t="s">
        <v>1582</v>
      </c>
      <c r="AV2623" t="s">
        <v>1760</v>
      </c>
      <c r="AW2623" t="s">
        <v>1582</v>
      </c>
      <c r="AX2623" t="s">
        <v>1760</v>
      </c>
      <c r="AY2623" t="s">
        <v>1582</v>
      </c>
      <c r="AZ2623" t="s">
        <v>1760</v>
      </c>
      <c r="BA2623" t="s">
        <v>1717</v>
      </c>
      <c r="BB2623" t="s">
        <v>1719</v>
      </c>
      <c r="BC2623">
        <v>24</v>
      </c>
      <c r="BD2623">
        <v>24</v>
      </c>
      <c r="BE2623">
        <v>24</v>
      </c>
      <c r="BF2623">
        <v>12</v>
      </c>
      <c r="BK2623" s="4">
        <v>3654</v>
      </c>
      <c r="BL2623" s="4">
        <v>3835</v>
      </c>
      <c r="BM2623" s="4">
        <v>4019</v>
      </c>
      <c r="BN2623" s="4">
        <v>4200</v>
      </c>
      <c r="BT2623">
        <v>6</v>
      </c>
      <c r="BU2623">
        <v>3</v>
      </c>
      <c r="BV2623">
        <v>0</v>
      </c>
      <c r="BX2623">
        <v>1.43</v>
      </c>
      <c r="BZ2623">
        <v>0.71</v>
      </c>
      <c r="CK2623" t="s">
        <v>360</v>
      </c>
      <c r="CM2623">
        <v>1911</v>
      </c>
    </row>
    <row r="2624" spans="1:91" x14ac:dyDescent="0.3">
      <c r="A2624" t="s">
        <v>3660</v>
      </c>
      <c r="B2624">
        <v>47944</v>
      </c>
      <c r="D2624">
        <v>12</v>
      </c>
      <c r="E2624" s="2">
        <v>4000000</v>
      </c>
      <c r="S2624">
        <v>1</v>
      </c>
      <c r="Y2624">
        <v>1</v>
      </c>
      <c r="AA2624">
        <v>1.75</v>
      </c>
      <c r="AC2624" s="3">
        <v>1.75</v>
      </c>
      <c r="AE2624" s="3">
        <v>1.5</v>
      </c>
      <c r="AI2624">
        <v>1.65</v>
      </c>
      <c r="AK2624" s="3"/>
      <c r="AV2624" t="s">
        <v>385</v>
      </c>
      <c r="AX2624" t="s">
        <v>385</v>
      </c>
      <c r="AZ2624" t="s">
        <v>385</v>
      </c>
      <c r="BB2624" t="s">
        <v>385</v>
      </c>
      <c r="BW2624" t="s">
        <v>802</v>
      </c>
      <c r="BX2624">
        <v>2.81</v>
      </c>
      <c r="BZ2624">
        <v>1.5</v>
      </c>
      <c r="CM2624">
        <v>1911</v>
      </c>
    </row>
    <row r="2625" spans="1:91" x14ac:dyDescent="0.3">
      <c r="A2625" t="s">
        <v>3661</v>
      </c>
      <c r="B2625">
        <v>47890</v>
      </c>
      <c r="D2625">
        <v>12</v>
      </c>
      <c r="E2625" s="2">
        <v>3000000</v>
      </c>
      <c r="S2625">
        <v>1</v>
      </c>
      <c r="Y2625">
        <v>1</v>
      </c>
      <c r="AA2625">
        <v>1.9</v>
      </c>
      <c r="AC2625" s="3">
        <v>1.9</v>
      </c>
      <c r="AE2625" s="3">
        <v>1.65</v>
      </c>
      <c r="AI2625">
        <v>1.5</v>
      </c>
      <c r="AK2625" s="3"/>
      <c r="AV2625" t="s">
        <v>385</v>
      </c>
      <c r="AX2625" t="s">
        <v>385</v>
      </c>
      <c r="AZ2625" t="s">
        <v>385</v>
      </c>
      <c r="BB2625" t="s">
        <v>385</v>
      </c>
      <c r="BW2625" t="s">
        <v>802</v>
      </c>
      <c r="BX2625">
        <v>2.46</v>
      </c>
      <c r="BZ2625">
        <v>1.65</v>
      </c>
      <c r="CK2625" t="s">
        <v>3610</v>
      </c>
      <c r="CM2625">
        <v>1911</v>
      </c>
    </row>
    <row r="2626" spans="1:91" x14ac:dyDescent="0.3">
      <c r="A2626" t="s">
        <v>3662</v>
      </c>
      <c r="B2626">
        <v>47938</v>
      </c>
      <c r="D2626">
        <v>12</v>
      </c>
      <c r="E2626" s="2">
        <v>1866660</v>
      </c>
      <c r="T2626" t="s">
        <v>1548</v>
      </c>
      <c r="Z2626" t="s">
        <v>1548</v>
      </c>
      <c r="AA2626">
        <v>6.53</v>
      </c>
      <c r="AC2626" s="3">
        <v>6.84</v>
      </c>
      <c r="AE2626" s="3">
        <v>6.53</v>
      </c>
      <c r="AI2626">
        <v>6.65</v>
      </c>
      <c r="AK2626" s="3"/>
      <c r="AU2626" t="s">
        <v>2962</v>
      </c>
      <c r="AV2626" s="5">
        <v>40699</v>
      </c>
      <c r="AW2626" t="s">
        <v>2962</v>
      </c>
      <c r="AX2626" s="5">
        <v>40699</v>
      </c>
      <c r="AY2626" t="s">
        <v>2962</v>
      </c>
      <c r="AZ2626" s="5">
        <v>40699</v>
      </c>
      <c r="BA2626" t="s">
        <v>2962</v>
      </c>
      <c r="BB2626" s="5">
        <v>40699</v>
      </c>
      <c r="BC2626">
        <v>66</v>
      </c>
      <c r="BD2626">
        <v>66</v>
      </c>
      <c r="BE2626">
        <v>66</v>
      </c>
      <c r="BF2626">
        <v>66</v>
      </c>
      <c r="BK2626" s="4">
        <v>3866</v>
      </c>
      <c r="BL2626" s="4">
        <v>4050</v>
      </c>
      <c r="BM2626" s="4">
        <v>4231</v>
      </c>
      <c r="BN2626" s="4">
        <v>4415</v>
      </c>
      <c r="BT2626">
        <v>8</v>
      </c>
      <c r="BU2626">
        <v>5</v>
      </c>
      <c r="BV2626">
        <v>3</v>
      </c>
      <c r="BX2626">
        <v>8.7100000000000009</v>
      </c>
      <c r="BZ2626">
        <v>6.34</v>
      </c>
      <c r="CK2626" t="s">
        <v>3610</v>
      </c>
      <c r="CM2626">
        <v>1911</v>
      </c>
    </row>
    <row r="2627" spans="1:91" x14ac:dyDescent="0.3">
      <c r="A2627" t="s">
        <v>3663</v>
      </c>
      <c r="B2627">
        <v>48012</v>
      </c>
      <c r="D2627">
        <v>12</v>
      </c>
      <c r="E2627" s="2">
        <v>1513700</v>
      </c>
      <c r="S2627">
        <v>1</v>
      </c>
      <c r="Y2627">
        <v>1</v>
      </c>
      <c r="AA2627">
        <v>2</v>
      </c>
      <c r="AC2627" s="3">
        <v>2.15</v>
      </c>
      <c r="AE2627" s="3">
        <v>2</v>
      </c>
      <c r="AI2627">
        <v>2.06</v>
      </c>
      <c r="AK2627" s="3"/>
      <c r="AU2627" t="s">
        <v>1582</v>
      </c>
      <c r="AV2627" t="s">
        <v>1760</v>
      </c>
      <c r="AW2627" t="s">
        <v>1582</v>
      </c>
      <c r="AX2627" t="s">
        <v>1760</v>
      </c>
      <c r="AY2627" t="s">
        <v>1582</v>
      </c>
      <c r="AZ2627" t="s">
        <v>1760</v>
      </c>
      <c r="BA2627" t="s">
        <v>1582</v>
      </c>
      <c r="BB2627" t="s">
        <v>1760</v>
      </c>
      <c r="BC2627">
        <v>24</v>
      </c>
      <c r="BD2627">
        <v>24</v>
      </c>
      <c r="BE2627">
        <v>24</v>
      </c>
      <c r="BF2627">
        <v>24</v>
      </c>
      <c r="BK2627" s="4">
        <v>3805</v>
      </c>
      <c r="BL2627" s="4">
        <v>3988</v>
      </c>
      <c r="BM2627" s="4">
        <v>4170</v>
      </c>
      <c r="BN2627" s="4">
        <v>4353</v>
      </c>
      <c r="BT2627">
        <v>9</v>
      </c>
      <c r="BU2627">
        <v>14</v>
      </c>
      <c r="BV2627">
        <v>0</v>
      </c>
      <c r="BX2627">
        <v>3.25</v>
      </c>
      <c r="BZ2627">
        <v>1.9</v>
      </c>
      <c r="CK2627" t="s">
        <v>360</v>
      </c>
      <c r="CM2627">
        <v>1911</v>
      </c>
    </row>
    <row r="2628" spans="1:91" x14ac:dyDescent="0.3">
      <c r="A2628" t="s">
        <v>3664</v>
      </c>
      <c r="B2628">
        <v>48080</v>
      </c>
      <c r="D2628">
        <v>12</v>
      </c>
      <c r="E2628">
        <v>375000</v>
      </c>
      <c r="S2628">
        <v>5</v>
      </c>
      <c r="Y2628">
        <v>5</v>
      </c>
      <c r="AA2628">
        <v>70.62</v>
      </c>
      <c r="AC2628" s="3">
        <v>74.12</v>
      </c>
      <c r="AE2628" s="3">
        <v>68.62</v>
      </c>
      <c r="AI2628">
        <v>73.25</v>
      </c>
      <c r="AK2628" s="3"/>
      <c r="AU2628" t="s">
        <v>1950</v>
      </c>
      <c r="AV2628" t="s">
        <v>3574</v>
      </c>
      <c r="AW2628" t="s">
        <v>1205</v>
      </c>
      <c r="AX2628" t="s">
        <v>1206</v>
      </c>
      <c r="AY2628" t="s">
        <v>1205</v>
      </c>
      <c r="AZ2628" t="s">
        <v>1206</v>
      </c>
      <c r="BA2628" t="s">
        <v>3665</v>
      </c>
      <c r="BB2628" s="5">
        <v>40716</v>
      </c>
      <c r="BC2628">
        <v>360</v>
      </c>
      <c r="BD2628">
        <v>300</v>
      </c>
      <c r="BE2628">
        <v>300</v>
      </c>
      <c r="BF2628">
        <v>270</v>
      </c>
      <c r="BK2628" s="4">
        <v>3774</v>
      </c>
      <c r="BL2628" s="4">
        <v>3958</v>
      </c>
      <c r="BM2628" s="4">
        <v>4139</v>
      </c>
      <c r="BN2628" s="4">
        <v>4323</v>
      </c>
      <c r="BT2628">
        <v>3</v>
      </c>
      <c r="BU2628">
        <v>5</v>
      </c>
      <c r="BV2628">
        <v>3</v>
      </c>
      <c r="BX2628">
        <v>74.12</v>
      </c>
      <c r="BZ2628">
        <v>57</v>
      </c>
      <c r="CK2628" t="s">
        <v>558</v>
      </c>
      <c r="CM2628">
        <v>1911</v>
      </c>
    </row>
    <row r="2629" spans="1:91" x14ac:dyDescent="0.3">
      <c r="A2629" t="s">
        <v>3664</v>
      </c>
      <c r="B2629">
        <v>48090</v>
      </c>
      <c r="C2629" t="s">
        <v>817</v>
      </c>
      <c r="D2629">
        <v>12</v>
      </c>
      <c r="E2629">
        <v>325000</v>
      </c>
      <c r="S2629">
        <v>5</v>
      </c>
      <c r="Y2629">
        <v>5</v>
      </c>
      <c r="AA2629">
        <v>5.62</v>
      </c>
      <c r="AC2629" s="3">
        <v>5.62</v>
      </c>
      <c r="AE2629" s="3">
        <v>5.59</v>
      </c>
      <c r="AI2629">
        <v>5.62</v>
      </c>
      <c r="AK2629" s="3"/>
      <c r="AU2629" t="s">
        <v>2742</v>
      </c>
      <c r="AV2629" s="5">
        <v>40696</v>
      </c>
      <c r="AW2629" t="s">
        <v>2742</v>
      </c>
      <c r="AX2629" s="5">
        <v>40696</v>
      </c>
      <c r="AY2629" t="s">
        <v>2742</v>
      </c>
      <c r="AZ2629" s="5">
        <v>40696</v>
      </c>
      <c r="BA2629" t="s">
        <v>2742</v>
      </c>
      <c r="BB2629" s="5">
        <v>40696</v>
      </c>
      <c r="BC2629">
        <v>30</v>
      </c>
      <c r="BD2629">
        <v>30</v>
      </c>
      <c r="BE2629">
        <v>30</v>
      </c>
      <c r="BF2629">
        <v>30</v>
      </c>
      <c r="BK2629" s="4">
        <v>3774</v>
      </c>
      <c r="BL2629" s="4">
        <v>3958</v>
      </c>
      <c r="BM2629" s="4">
        <v>4139</v>
      </c>
      <c r="BN2629" s="4">
        <v>4323</v>
      </c>
      <c r="BT2629">
        <v>4</v>
      </c>
      <c r="BU2629">
        <v>9</v>
      </c>
      <c r="BV2629">
        <v>0</v>
      </c>
      <c r="BX2629">
        <v>5.87</v>
      </c>
      <c r="BZ2629">
        <v>5.56</v>
      </c>
      <c r="CM2629">
        <v>1911</v>
      </c>
    </row>
    <row r="2630" spans="1:91" x14ac:dyDescent="0.3">
      <c r="A2630" t="s">
        <v>3666</v>
      </c>
      <c r="B2630">
        <v>48122</v>
      </c>
      <c r="D2630">
        <v>12</v>
      </c>
      <c r="E2630">
        <v>150000</v>
      </c>
      <c r="S2630">
        <v>1</v>
      </c>
      <c r="Y2630">
        <v>1</v>
      </c>
      <c r="AA2630">
        <v>1.1499999999999999</v>
      </c>
      <c r="AC2630" s="3">
        <v>1.1499999999999999</v>
      </c>
      <c r="AE2630" s="3">
        <v>1</v>
      </c>
      <c r="AI2630">
        <v>1</v>
      </c>
      <c r="AK2630" s="3"/>
      <c r="AU2630" t="s">
        <v>1463</v>
      </c>
      <c r="AV2630" t="s">
        <v>1464</v>
      </c>
      <c r="AW2630" t="s">
        <v>1463</v>
      </c>
      <c r="AX2630" t="s">
        <v>1464</v>
      </c>
      <c r="AY2630" t="s">
        <v>1463</v>
      </c>
      <c r="AZ2630" t="s">
        <v>1464</v>
      </c>
      <c r="BB2630" t="s">
        <v>810</v>
      </c>
      <c r="BC2630">
        <v>60</v>
      </c>
      <c r="BD2630">
        <v>60</v>
      </c>
      <c r="BE2630">
        <v>60</v>
      </c>
      <c r="BK2630" s="4">
        <v>2709</v>
      </c>
      <c r="BL2630" s="4">
        <v>2862</v>
      </c>
      <c r="BM2630" s="4">
        <v>3409</v>
      </c>
      <c r="BW2630" t="s">
        <v>802</v>
      </c>
      <c r="BX2630">
        <v>3.37</v>
      </c>
      <c r="BZ2630">
        <v>0.87</v>
      </c>
      <c r="CM2630">
        <v>1911</v>
      </c>
    </row>
    <row r="2631" spans="1:91" x14ac:dyDescent="0.3">
      <c r="A2631" t="s">
        <v>3667</v>
      </c>
      <c r="B2631">
        <v>48128</v>
      </c>
      <c r="D2631">
        <v>12</v>
      </c>
      <c r="E2631">
        <v>550000</v>
      </c>
      <c r="S2631">
        <v>5</v>
      </c>
      <c r="Y2631">
        <v>5</v>
      </c>
      <c r="AA2631">
        <v>6.37</v>
      </c>
      <c r="AC2631" s="3">
        <v>6.37</v>
      </c>
      <c r="AE2631" s="3">
        <v>6.12</v>
      </c>
      <c r="AI2631">
        <v>6.12</v>
      </c>
      <c r="AK2631" s="3"/>
      <c r="AU2631" t="s">
        <v>3289</v>
      </c>
      <c r="AV2631" t="s">
        <v>3590</v>
      </c>
      <c r="AW2631" t="s">
        <v>3289</v>
      </c>
      <c r="AX2631" t="s">
        <v>3590</v>
      </c>
      <c r="AY2631" t="s">
        <v>3289</v>
      </c>
      <c r="AZ2631" t="s">
        <v>3590</v>
      </c>
      <c r="BA2631" t="s">
        <v>1782</v>
      </c>
      <c r="BB2631" s="5">
        <v>40706</v>
      </c>
      <c r="BC2631">
        <v>180</v>
      </c>
      <c r="BD2631">
        <v>180</v>
      </c>
      <c r="BE2631">
        <v>180</v>
      </c>
      <c r="BF2631">
        <v>150</v>
      </c>
      <c r="BK2631" s="4">
        <v>3866</v>
      </c>
      <c r="BL2631" s="4">
        <v>4050</v>
      </c>
      <c r="BM2631" s="4">
        <v>4231</v>
      </c>
      <c r="BN2631" s="4">
        <v>4415</v>
      </c>
      <c r="BT2631">
        <v>22</v>
      </c>
      <c r="BU2631">
        <v>8</v>
      </c>
      <c r="BV2631">
        <v>6</v>
      </c>
      <c r="BX2631">
        <v>10.25</v>
      </c>
      <c r="BZ2631">
        <v>6.12</v>
      </c>
      <c r="CK2631" t="s">
        <v>558</v>
      </c>
      <c r="CM2631">
        <v>1911</v>
      </c>
    </row>
    <row r="2632" spans="1:91" x14ac:dyDescent="0.3">
      <c r="A2632" t="s">
        <v>3668</v>
      </c>
      <c r="B2632">
        <v>48138</v>
      </c>
      <c r="D2632">
        <v>12</v>
      </c>
      <c r="E2632" s="2">
        <v>1000000</v>
      </c>
      <c r="S2632">
        <v>1</v>
      </c>
      <c r="Y2632">
        <v>1</v>
      </c>
      <c r="AA2632">
        <v>3.06</v>
      </c>
      <c r="AC2632" s="3">
        <v>3.12</v>
      </c>
      <c r="AE2632" s="3">
        <v>3</v>
      </c>
      <c r="AI2632">
        <v>3</v>
      </c>
      <c r="AK2632" s="3"/>
      <c r="AU2632" t="s">
        <v>1465</v>
      </c>
      <c r="AV2632" t="s">
        <v>1466</v>
      </c>
      <c r="AW2632" t="s">
        <v>2742</v>
      </c>
      <c r="AX2632" s="5">
        <v>40696</v>
      </c>
      <c r="AY2632" t="s">
        <v>1465</v>
      </c>
      <c r="AZ2632" t="s">
        <v>1466</v>
      </c>
      <c r="BA2632" t="s">
        <v>1497</v>
      </c>
      <c r="BB2632" s="5">
        <v>40697</v>
      </c>
      <c r="BC2632">
        <v>36</v>
      </c>
      <c r="BD2632">
        <v>30</v>
      </c>
      <c r="BE2632">
        <v>36</v>
      </c>
      <c r="BF2632">
        <v>42</v>
      </c>
      <c r="BK2632" s="4">
        <v>3835</v>
      </c>
      <c r="BL2632" s="4">
        <v>4019</v>
      </c>
      <c r="BM2632" s="4">
        <v>4200</v>
      </c>
      <c r="BN2632" s="4">
        <v>4415</v>
      </c>
      <c r="BT2632">
        <v>10</v>
      </c>
      <c r="BU2632">
        <v>16</v>
      </c>
      <c r="BV2632">
        <v>9</v>
      </c>
      <c r="BX2632">
        <v>3.43</v>
      </c>
      <c r="BZ2632">
        <v>2.62</v>
      </c>
      <c r="CK2632" t="s">
        <v>360</v>
      </c>
      <c r="CM2632">
        <v>1911</v>
      </c>
    </row>
    <row r="2633" spans="1:91" x14ac:dyDescent="0.3">
      <c r="A2633" t="s">
        <v>3669</v>
      </c>
      <c r="B2633">
        <v>48169</v>
      </c>
      <c r="D2633">
        <v>12</v>
      </c>
      <c r="E2633">
        <v>460000</v>
      </c>
      <c r="S2633">
        <v>1</v>
      </c>
      <c r="Y2633">
        <v>1</v>
      </c>
      <c r="AA2633">
        <v>1.25</v>
      </c>
      <c r="AC2633" s="3">
        <v>1.31</v>
      </c>
      <c r="AE2633" s="3">
        <v>1.18</v>
      </c>
      <c r="AI2633">
        <v>1.18</v>
      </c>
      <c r="AK2633" s="3"/>
      <c r="AU2633" t="s">
        <v>1582</v>
      </c>
      <c r="AV2633" t="s">
        <v>1760</v>
      </c>
      <c r="AW2633" t="s">
        <v>1622</v>
      </c>
      <c r="AX2633" s="5">
        <v>40695</v>
      </c>
      <c r="AY2633" t="s">
        <v>1717</v>
      </c>
      <c r="AZ2633" t="s">
        <v>1719</v>
      </c>
      <c r="BB2633" t="s">
        <v>810</v>
      </c>
      <c r="BC2633">
        <v>24</v>
      </c>
      <c r="BD2633">
        <v>18</v>
      </c>
      <c r="BE2633">
        <v>12</v>
      </c>
      <c r="BK2633" s="4">
        <v>3501</v>
      </c>
      <c r="BL2633" s="4">
        <v>3685</v>
      </c>
      <c r="BM2633" s="4">
        <v>3866</v>
      </c>
      <c r="BW2633" t="s">
        <v>802</v>
      </c>
      <c r="BX2633">
        <v>2</v>
      </c>
      <c r="BZ2633">
        <v>1.18</v>
      </c>
      <c r="CK2633" t="s">
        <v>3670</v>
      </c>
      <c r="CM2633">
        <v>1911</v>
      </c>
    </row>
    <row r="2634" spans="1:91" x14ac:dyDescent="0.3">
      <c r="A2634" t="s">
        <v>3671</v>
      </c>
      <c r="B2634">
        <v>48183</v>
      </c>
      <c r="D2634">
        <v>12</v>
      </c>
      <c r="E2634">
        <v>700000</v>
      </c>
      <c r="S2634">
        <v>1</v>
      </c>
      <c r="Y2634">
        <v>1</v>
      </c>
      <c r="AA2634">
        <v>3.31</v>
      </c>
      <c r="AC2634" s="3">
        <v>3.31</v>
      </c>
      <c r="AE2634" s="3">
        <v>3.18</v>
      </c>
      <c r="AI2634">
        <v>3.18</v>
      </c>
      <c r="AK2634" s="3"/>
      <c r="AU2634" t="s">
        <v>1467</v>
      </c>
      <c r="AV2634" t="s">
        <v>1468</v>
      </c>
      <c r="AW2634" t="s">
        <v>1467</v>
      </c>
      <c r="AX2634" t="s">
        <v>1468</v>
      </c>
      <c r="AY2634" t="s">
        <v>1467</v>
      </c>
      <c r="AZ2634" t="s">
        <v>1468</v>
      </c>
      <c r="BA2634" t="s">
        <v>1467</v>
      </c>
      <c r="BB2634" t="s">
        <v>1468</v>
      </c>
      <c r="BC2634">
        <v>48</v>
      </c>
      <c r="BD2634">
        <v>48</v>
      </c>
      <c r="BE2634">
        <v>48</v>
      </c>
      <c r="BF2634">
        <v>48</v>
      </c>
      <c r="BK2634" s="4">
        <v>3866</v>
      </c>
      <c r="BL2634" s="4">
        <v>4050</v>
      </c>
      <c r="BM2634" s="4">
        <v>4231</v>
      </c>
      <c r="BN2634" s="4">
        <v>4415</v>
      </c>
      <c r="BT2634">
        <v>12</v>
      </c>
      <c r="BU2634">
        <v>11</v>
      </c>
      <c r="BV2634">
        <v>0</v>
      </c>
      <c r="BX2634">
        <v>4.18</v>
      </c>
      <c r="BZ2634">
        <v>3.18</v>
      </c>
      <c r="CK2634" t="s">
        <v>3670</v>
      </c>
      <c r="CM2634">
        <v>1911</v>
      </c>
    </row>
    <row r="2635" spans="1:91" x14ac:dyDescent="0.3">
      <c r="A2635" t="s">
        <v>3672</v>
      </c>
      <c r="B2635">
        <v>49120</v>
      </c>
      <c r="D2635">
        <v>12</v>
      </c>
      <c r="E2635">
        <v>546265</v>
      </c>
      <c r="S2635">
        <v>1</v>
      </c>
      <c r="Y2635">
        <v>1</v>
      </c>
      <c r="AA2635">
        <v>0.87</v>
      </c>
      <c r="AC2635" s="3">
        <v>0.9</v>
      </c>
      <c r="AE2635" s="3">
        <v>0.84</v>
      </c>
      <c r="AI2635">
        <v>0.84</v>
      </c>
      <c r="AJ2635" t="s">
        <v>379</v>
      </c>
      <c r="AK2635" s="3"/>
      <c r="AU2635" t="s">
        <v>1717</v>
      </c>
      <c r="AV2635" t="s">
        <v>1719</v>
      </c>
      <c r="AW2635" t="s">
        <v>2947</v>
      </c>
      <c r="AX2635" t="s">
        <v>3673</v>
      </c>
      <c r="AY2635" t="s">
        <v>3651</v>
      </c>
      <c r="AZ2635" s="5">
        <v>40575</v>
      </c>
      <c r="BA2635" t="s">
        <v>1720</v>
      </c>
      <c r="BB2635" t="s">
        <v>3423</v>
      </c>
      <c r="BC2635">
        <v>12</v>
      </c>
      <c r="BD2635">
        <v>8</v>
      </c>
      <c r="BE2635">
        <v>14</v>
      </c>
      <c r="BF2635">
        <v>9</v>
      </c>
      <c r="BK2635" s="4">
        <v>3805</v>
      </c>
      <c r="BL2635" s="4">
        <v>3988</v>
      </c>
      <c r="BM2635" s="4">
        <v>4170</v>
      </c>
      <c r="BN2635" s="4">
        <v>4353</v>
      </c>
      <c r="BT2635">
        <v>11</v>
      </c>
      <c r="BU2635">
        <v>7</v>
      </c>
      <c r="BV2635">
        <v>0</v>
      </c>
      <c r="BX2635">
        <v>0.93</v>
      </c>
      <c r="BZ2635">
        <v>0.68</v>
      </c>
      <c r="CK2635" t="s">
        <v>360</v>
      </c>
      <c r="CM2635">
        <v>1911</v>
      </c>
    </row>
    <row r="2636" spans="1:91" x14ac:dyDescent="0.3">
      <c r="A2636" t="s">
        <v>3674</v>
      </c>
      <c r="B2636">
        <v>48335</v>
      </c>
      <c r="D2636">
        <v>12</v>
      </c>
      <c r="E2636">
        <v>135000</v>
      </c>
      <c r="S2636">
        <v>1</v>
      </c>
      <c r="Y2636">
        <v>1</v>
      </c>
      <c r="AA2636">
        <v>0.37</v>
      </c>
      <c r="AC2636" s="3">
        <v>0.37</v>
      </c>
      <c r="AE2636" s="3">
        <v>0.37</v>
      </c>
      <c r="AI2636">
        <v>0.37</v>
      </c>
      <c r="AK2636" s="3"/>
      <c r="AU2636" t="s">
        <v>1465</v>
      </c>
      <c r="AV2636" t="s">
        <v>1466</v>
      </c>
      <c r="AW2636" t="s">
        <v>1582</v>
      </c>
      <c r="AX2636" t="s">
        <v>1760</v>
      </c>
      <c r="AY2636" t="s">
        <v>1717</v>
      </c>
      <c r="AZ2636" t="s">
        <v>1719</v>
      </c>
      <c r="BA2636" t="s">
        <v>1717</v>
      </c>
      <c r="BB2636" t="s">
        <v>1719</v>
      </c>
      <c r="BC2636">
        <v>36</v>
      </c>
      <c r="BD2636">
        <v>24</v>
      </c>
      <c r="BE2636">
        <v>12</v>
      </c>
      <c r="BF2636">
        <v>12</v>
      </c>
      <c r="BK2636" s="4">
        <v>3623</v>
      </c>
      <c r="BL2636" s="4">
        <v>3805</v>
      </c>
      <c r="BM2636" s="4">
        <v>3988</v>
      </c>
      <c r="BN2636" s="4">
        <v>4170</v>
      </c>
      <c r="BT2636">
        <v>26</v>
      </c>
      <c r="BU2636">
        <v>13</v>
      </c>
      <c r="BV2636">
        <v>3</v>
      </c>
      <c r="BX2636">
        <v>0.75</v>
      </c>
      <c r="BZ2636">
        <v>0.37</v>
      </c>
      <c r="CK2636" t="s">
        <v>3610</v>
      </c>
      <c r="CM2636">
        <v>1911</v>
      </c>
    </row>
    <row r="2637" spans="1:91" x14ac:dyDescent="0.3">
      <c r="A2637" t="s">
        <v>3675</v>
      </c>
      <c r="B2637">
        <v>48473</v>
      </c>
      <c r="D2637">
        <v>12</v>
      </c>
      <c r="E2637">
        <v>250000</v>
      </c>
      <c r="S2637">
        <v>1</v>
      </c>
      <c r="Y2637">
        <v>1</v>
      </c>
      <c r="AA2637">
        <v>0.37</v>
      </c>
      <c r="AC2637" s="3">
        <v>0.37</v>
      </c>
      <c r="AE2637" s="3">
        <v>0.31</v>
      </c>
      <c r="AI2637">
        <v>0.31</v>
      </c>
      <c r="AK2637" s="3"/>
      <c r="AV2637" t="s">
        <v>615</v>
      </c>
      <c r="AX2637" t="s">
        <v>615</v>
      </c>
      <c r="AZ2637" t="s">
        <v>615</v>
      </c>
      <c r="BB2637" t="s">
        <v>615</v>
      </c>
      <c r="BG2637">
        <v>2.5</v>
      </c>
      <c r="BH2637">
        <v>2.5</v>
      </c>
      <c r="BI2637">
        <v>2.5</v>
      </c>
      <c r="BJ2637">
        <v>1.25</v>
      </c>
      <c r="BK2637" s="4">
        <v>3774</v>
      </c>
      <c r="BL2637" s="4">
        <v>3958</v>
      </c>
      <c r="BM2637" s="4">
        <v>4139</v>
      </c>
      <c r="BN2637" s="4">
        <v>4323</v>
      </c>
      <c r="BT2637">
        <v>12</v>
      </c>
      <c r="BU2637">
        <v>0</v>
      </c>
      <c r="BV2637">
        <v>0</v>
      </c>
      <c r="BX2637">
        <v>0.62</v>
      </c>
      <c r="BZ2637">
        <v>0.31</v>
      </c>
      <c r="CK2637" t="s">
        <v>3676</v>
      </c>
      <c r="CM2637">
        <v>1911</v>
      </c>
    </row>
    <row r="2638" spans="1:91" x14ac:dyDescent="0.3">
      <c r="A2638" t="s">
        <v>3677</v>
      </c>
      <c r="B2638">
        <v>48806</v>
      </c>
      <c r="D2638">
        <v>12</v>
      </c>
      <c r="E2638">
        <v>116000</v>
      </c>
      <c r="S2638">
        <v>1</v>
      </c>
      <c r="Y2638">
        <v>1</v>
      </c>
      <c r="AA2638">
        <v>0.87</v>
      </c>
      <c r="AC2638" s="3">
        <v>0.87</v>
      </c>
      <c r="AE2638" s="3">
        <v>0.87</v>
      </c>
      <c r="AI2638">
        <v>0.87</v>
      </c>
      <c r="AK2638" s="3"/>
      <c r="AV2638" t="s">
        <v>385</v>
      </c>
      <c r="AX2638" t="s">
        <v>385</v>
      </c>
      <c r="AZ2638" t="s">
        <v>385</v>
      </c>
      <c r="BB2638" t="s">
        <v>385</v>
      </c>
      <c r="BW2638" t="s">
        <v>802</v>
      </c>
      <c r="BX2638">
        <v>1.25</v>
      </c>
      <c r="BZ2638">
        <v>0.62</v>
      </c>
      <c r="CM2638">
        <v>1911</v>
      </c>
    </row>
    <row r="2639" spans="1:91" x14ac:dyDescent="0.3">
      <c r="A2639" t="s">
        <v>3678</v>
      </c>
      <c r="B2639">
        <v>48825</v>
      </c>
      <c r="D2639">
        <v>12</v>
      </c>
      <c r="E2639" s="2">
        <v>3000000</v>
      </c>
      <c r="S2639">
        <v>1</v>
      </c>
      <c r="Y2639">
        <v>1</v>
      </c>
      <c r="AA2639">
        <v>1.46</v>
      </c>
      <c r="AC2639" s="3">
        <v>1.46</v>
      </c>
      <c r="AE2639" s="3">
        <v>1.37</v>
      </c>
      <c r="AI2639">
        <v>1.37</v>
      </c>
      <c r="AK2639" s="3"/>
      <c r="AU2639" t="s">
        <v>1582</v>
      </c>
      <c r="AV2639" t="s">
        <v>1760</v>
      </c>
      <c r="AW2639" t="s">
        <v>1582</v>
      </c>
      <c r="AX2639" t="s">
        <v>1760</v>
      </c>
      <c r="AY2639" t="s">
        <v>1582</v>
      </c>
      <c r="AZ2639" t="s">
        <v>1760</v>
      </c>
      <c r="BA2639" t="s">
        <v>1622</v>
      </c>
      <c r="BB2639" s="5">
        <v>40695</v>
      </c>
      <c r="BC2639">
        <v>24</v>
      </c>
      <c r="BD2639">
        <v>24</v>
      </c>
      <c r="BE2639">
        <v>24</v>
      </c>
      <c r="BF2639">
        <v>18</v>
      </c>
      <c r="BK2639" s="4">
        <v>3866</v>
      </c>
      <c r="BL2639" s="4">
        <v>4050</v>
      </c>
      <c r="BM2639" s="4">
        <v>4231</v>
      </c>
      <c r="BN2639" s="4">
        <v>4415</v>
      </c>
      <c r="BT2639">
        <v>12</v>
      </c>
      <c r="BU2639">
        <v>14</v>
      </c>
      <c r="BV2639">
        <v>6</v>
      </c>
      <c r="BX2639">
        <v>1.68</v>
      </c>
      <c r="BZ2639">
        <v>1.31</v>
      </c>
      <c r="CK2639" t="s">
        <v>3610</v>
      </c>
      <c r="CM2639">
        <v>1911</v>
      </c>
    </row>
    <row r="2640" spans="1:91" x14ac:dyDescent="0.3">
      <c r="A2640" t="s">
        <v>3679</v>
      </c>
      <c r="B2640">
        <v>48828</v>
      </c>
      <c r="D2640">
        <v>12</v>
      </c>
      <c r="E2640">
        <v>650000</v>
      </c>
      <c r="S2640">
        <v>1</v>
      </c>
      <c r="Y2640">
        <v>1</v>
      </c>
      <c r="AA2640">
        <v>0.06</v>
      </c>
      <c r="AC2640" s="3">
        <v>0.06</v>
      </c>
      <c r="AE2640" s="3">
        <v>0.06</v>
      </c>
      <c r="AI2640">
        <v>0.06</v>
      </c>
      <c r="AK2640" s="3"/>
      <c r="AV2640" t="s">
        <v>385</v>
      </c>
      <c r="AX2640" t="s">
        <v>385</v>
      </c>
      <c r="AZ2640" t="s">
        <v>385</v>
      </c>
      <c r="BB2640" t="s">
        <v>385</v>
      </c>
      <c r="BW2640" t="s">
        <v>802</v>
      </c>
      <c r="BX2640">
        <v>0.21</v>
      </c>
      <c r="BZ2640">
        <v>0.06</v>
      </c>
      <c r="CK2640" t="s">
        <v>360</v>
      </c>
      <c r="CM2640">
        <v>1911</v>
      </c>
    </row>
    <row r="2641" spans="1:91" x14ac:dyDescent="0.3">
      <c r="A2641" t="s">
        <v>3680</v>
      </c>
      <c r="B2641">
        <v>48830</v>
      </c>
      <c r="D2641">
        <v>12</v>
      </c>
      <c r="E2641" s="2">
        <v>1650000</v>
      </c>
      <c r="S2641">
        <v>1</v>
      </c>
      <c r="Y2641">
        <v>1</v>
      </c>
      <c r="AA2641">
        <v>0.25</v>
      </c>
      <c r="AC2641" s="3">
        <v>0.25</v>
      </c>
      <c r="AE2641" s="3">
        <v>0.25</v>
      </c>
      <c r="AI2641">
        <v>0.25</v>
      </c>
      <c r="AK2641" s="3"/>
      <c r="AV2641" t="s">
        <v>385</v>
      </c>
      <c r="AX2641" t="s">
        <v>385</v>
      </c>
      <c r="AZ2641" t="s">
        <v>385</v>
      </c>
      <c r="BB2641" t="s">
        <v>385</v>
      </c>
      <c r="BW2641" t="s">
        <v>802</v>
      </c>
      <c r="BX2641">
        <v>0.62</v>
      </c>
      <c r="BZ2641">
        <v>0.25</v>
      </c>
      <c r="CM2641">
        <v>1911</v>
      </c>
    </row>
    <row r="2642" spans="1:91" x14ac:dyDescent="0.3">
      <c r="A2642" t="s">
        <v>3681</v>
      </c>
      <c r="B2642">
        <v>48915</v>
      </c>
      <c r="D2642">
        <v>12</v>
      </c>
      <c r="E2642">
        <v>325000</v>
      </c>
      <c r="S2642">
        <v>1</v>
      </c>
      <c r="Y2642">
        <v>1</v>
      </c>
      <c r="AA2642">
        <v>1.37</v>
      </c>
      <c r="AC2642" s="3">
        <v>1.62</v>
      </c>
      <c r="AE2642" s="3">
        <v>1.37</v>
      </c>
      <c r="AI2642">
        <v>1.46</v>
      </c>
      <c r="AJ2642" t="s">
        <v>379</v>
      </c>
      <c r="AK2642" s="3"/>
      <c r="AU2642" t="s">
        <v>1623</v>
      </c>
      <c r="AV2642" s="5">
        <v>40603</v>
      </c>
      <c r="AW2642" t="s">
        <v>1623</v>
      </c>
      <c r="AX2642" s="5">
        <v>40603</v>
      </c>
      <c r="AY2642" t="s">
        <v>1623</v>
      </c>
      <c r="AZ2642" s="5">
        <v>40603</v>
      </c>
      <c r="BA2642" t="s">
        <v>1623</v>
      </c>
      <c r="BB2642" s="5">
        <v>40603</v>
      </c>
      <c r="BC2642">
        <v>15</v>
      </c>
      <c r="BD2642">
        <v>15</v>
      </c>
      <c r="BE2642">
        <v>15</v>
      </c>
      <c r="BF2642">
        <v>15</v>
      </c>
      <c r="BK2642" s="4">
        <v>4078</v>
      </c>
      <c r="BL2642" s="4">
        <v>4170</v>
      </c>
      <c r="BM2642" s="4">
        <v>4262</v>
      </c>
      <c r="BN2642" s="4">
        <v>4353</v>
      </c>
      <c r="BT2642">
        <v>17</v>
      </c>
      <c r="BU2642">
        <v>0</v>
      </c>
      <c r="BV2642">
        <v>6</v>
      </c>
      <c r="BX2642">
        <v>1.84</v>
      </c>
      <c r="BZ2642">
        <v>1.25</v>
      </c>
      <c r="CK2642" t="s">
        <v>360</v>
      </c>
      <c r="CM2642">
        <v>1911</v>
      </c>
    </row>
    <row r="2643" spans="1:91" x14ac:dyDescent="0.3">
      <c r="A2643" t="s">
        <v>3682</v>
      </c>
      <c r="B2643">
        <v>48938</v>
      </c>
      <c r="D2643">
        <v>12</v>
      </c>
      <c r="E2643">
        <v>50000</v>
      </c>
      <c r="S2643">
        <v>1</v>
      </c>
      <c r="Y2643">
        <v>1</v>
      </c>
      <c r="AA2643">
        <v>3.37</v>
      </c>
      <c r="AC2643" s="3">
        <v>3.5</v>
      </c>
      <c r="AE2643" s="3">
        <v>3.12</v>
      </c>
      <c r="AI2643">
        <v>3.12</v>
      </c>
      <c r="AK2643" s="3"/>
      <c r="AU2643" t="s">
        <v>1717</v>
      </c>
      <c r="AV2643" t="s">
        <v>1719</v>
      </c>
      <c r="AW2643" t="s">
        <v>1717</v>
      </c>
      <c r="AX2643" t="s">
        <v>1719</v>
      </c>
      <c r="AY2643" t="s">
        <v>1717</v>
      </c>
      <c r="AZ2643" t="s">
        <v>1719</v>
      </c>
      <c r="BA2643" t="s">
        <v>1467</v>
      </c>
      <c r="BB2643" t="s">
        <v>1468</v>
      </c>
      <c r="BC2643">
        <v>12</v>
      </c>
      <c r="BD2643">
        <v>12</v>
      </c>
      <c r="BE2643">
        <v>12</v>
      </c>
      <c r="BF2643">
        <v>48</v>
      </c>
      <c r="BK2643" s="4">
        <v>4078</v>
      </c>
      <c r="BL2643" s="4">
        <v>4170</v>
      </c>
      <c r="BM2643" s="4">
        <v>4262</v>
      </c>
      <c r="BN2643" s="4">
        <v>4353</v>
      </c>
      <c r="BT2643">
        <v>11</v>
      </c>
      <c r="BU2643">
        <v>4</v>
      </c>
      <c r="BV2643">
        <v>0</v>
      </c>
      <c r="BX2643">
        <v>3.5</v>
      </c>
      <c r="BZ2643">
        <v>1.1200000000000001</v>
      </c>
      <c r="CM2643">
        <v>1911</v>
      </c>
    </row>
    <row r="2644" spans="1:91" x14ac:dyDescent="0.3">
      <c r="A2644" t="s">
        <v>3683</v>
      </c>
      <c r="B2644">
        <v>48978</v>
      </c>
      <c r="D2644">
        <v>12</v>
      </c>
      <c r="E2644">
        <v>200000</v>
      </c>
      <c r="S2644">
        <v>1</v>
      </c>
      <c r="Y2644">
        <v>1</v>
      </c>
      <c r="AA2644">
        <v>0.43</v>
      </c>
      <c r="AC2644" s="3">
        <v>0.43</v>
      </c>
      <c r="AE2644" s="3">
        <v>0.43</v>
      </c>
      <c r="AI2644">
        <v>0.43</v>
      </c>
      <c r="AK2644" s="3"/>
      <c r="AU2644" t="s">
        <v>1717</v>
      </c>
      <c r="AV2644" t="s">
        <v>1719</v>
      </c>
      <c r="AW2644" t="s">
        <v>1717</v>
      </c>
      <c r="AX2644" t="s">
        <v>1719</v>
      </c>
      <c r="AY2644" t="s">
        <v>1717</v>
      </c>
      <c r="AZ2644" t="s">
        <v>1719</v>
      </c>
      <c r="BA2644" t="s">
        <v>1717</v>
      </c>
      <c r="BB2644" t="s">
        <v>1719</v>
      </c>
      <c r="BC2644">
        <v>12</v>
      </c>
      <c r="BD2644">
        <v>12</v>
      </c>
      <c r="BE2644">
        <v>12</v>
      </c>
      <c r="BF2644">
        <v>12</v>
      </c>
      <c r="BK2644" s="4">
        <v>3774</v>
      </c>
      <c r="BL2644" s="4">
        <v>3958</v>
      </c>
      <c r="BM2644" s="4">
        <v>4139</v>
      </c>
      <c r="BN2644" s="4">
        <v>4323</v>
      </c>
      <c r="BT2644">
        <v>22</v>
      </c>
      <c r="BU2644">
        <v>16</v>
      </c>
      <c r="BV2644">
        <v>0</v>
      </c>
      <c r="BX2644">
        <v>0.65</v>
      </c>
      <c r="BZ2644">
        <v>0.43</v>
      </c>
      <c r="CK2644" t="s">
        <v>360</v>
      </c>
      <c r="CM2644">
        <v>1911</v>
      </c>
    </row>
    <row r="2645" spans="1:91" x14ac:dyDescent="0.3">
      <c r="A2645" t="s">
        <v>3684</v>
      </c>
      <c r="B2645">
        <v>49053</v>
      </c>
      <c r="D2645">
        <v>12</v>
      </c>
      <c r="E2645" s="2">
        <v>1750000</v>
      </c>
      <c r="S2645">
        <v>1</v>
      </c>
      <c r="Y2645">
        <v>1</v>
      </c>
      <c r="AA2645">
        <v>1.56</v>
      </c>
      <c r="AC2645" s="3">
        <v>1.56</v>
      </c>
      <c r="AE2645" s="3">
        <v>1.56</v>
      </c>
      <c r="AI2645">
        <v>1.56</v>
      </c>
      <c r="AK2645" s="3"/>
      <c r="AV2645" t="s">
        <v>385</v>
      </c>
      <c r="AW2645" t="s">
        <v>1717</v>
      </c>
      <c r="AX2645" t="s">
        <v>1719</v>
      </c>
      <c r="AY2645" t="s">
        <v>1622</v>
      </c>
      <c r="AZ2645" s="5">
        <v>40695</v>
      </c>
      <c r="BA2645" t="s">
        <v>1717</v>
      </c>
      <c r="BB2645" t="s">
        <v>1719</v>
      </c>
      <c r="BD2645">
        <v>12</v>
      </c>
      <c r="BE2645">
        <v>18</v>
      </c>
      <c r="BF2645">
        <v>12</v>
      </c>
      <c r="BL2645" s="4">
        <v>3409</v>
      </c>
      <c r="BM2645" s="4">
        <v>3774</v>
      </c>
      <c r="BN2645" s="4">
        <v>4139</v>
      </c>
      <c r="BT2645">
        <v>3</v>
      </c>
      <c r="BU2645">
        <v>6</v>
      </c>
      <c r="BV2645">
        <v>0</v>
      </c>
      <c r="BX2645">
        <v>1.75</v>
      </c>
      <c r="BZ2645">
        <v>1.43</v>
      </c>
      <c r="CM2645">
        <v>1911</v>
      </c>
    </row>
    <row r="2646" spans="1:91" x14ac:dyDescent="0.3">
      <c r="A2646" t="s">
        <v>3685</v>
      </c>
      <c r="B2646">
        <v>49061</v>
      </c>
      <c r="D2646">
        <v>12</v>
      </c>
      <c r="E2646">
        <v>401865</v>
      </c>
      <c r="S2646">
        <v>1</v>
      </c>
      <c r="Y2646">
        <v>1</v>
      </c>
      <c r="AA2646">
        <v>3.81</v>
      </c>
      <c r="AC2646" s="3">
        <v>3.87</v>
      </c>
      <c r="AE2646" s="3">
        <v>3.68</v>
      </c>
      <c r="AI2646">
        <v>3.68</v>
      </c>
      <c r="AK2646" s="3"/>
      <c r="AV2646" t="s">
        <v>385</v>
      </c>
      <c r="AX2646" t="s">
        <v>385</v>
      </c>
      <c r="AY2646" t="s">
        <v>2742</v>
      </c>
      <c r="AZ2646" s="5">
        <v>40696</v>
      </c>
      <c r="BA2646" t="s">
        <v>2742</v>
      </c>
      <c r="BB2646" s="5">
        <v>40696</v>
      </c>
      <c r="BE2646">
        <v>30</v>
      </c>
      <c r="BF2646">
        <v>30</v>
      </c>
      <c r="BM2646" s="4">
        <v>3958</v>
      </c>
      <c r="BN2646" s="4">
        <v>4170</v>
      </c>
      <c r="BT2646">
        <v>3</v>
      </c>
      <c r="BU2646">
        <v>7</v>
      </c>
      <c r="BV2646">
        <v>9</v>
      </c>
      <c r="BX2646">
        <v>4.18</v>
      </c>
      <c r="BZ2646">
        <v>2.93</v>
      </c>
      <c r="CK2646" t="s">
        <v>360</v>
      </c>
      <c r="CM2646">
        <v>1911</v>
      </c>
    </row>
    <row r="2647" spans="1:91" x14ac:dyDescent="0.3">
      <c r="A2647" t="s">
        <v>3686</v>
      </c>
      <c r="B2647">
        <v>49108</v>
      </c>
      <c r="D2647">
        <v>12</v>
      </c>
      <c r="E2647">
        <v>630000</v>
      </c>
      <c r="S2647">
        <v>1</v>
      </c>
      <c r="Y2647">
        <v>1</v>
      </c>
      <c r="AA2647">
        <v>0.56000000000000005</v>
      </c>
      <c r="AC2647" s="3">
        <v>0.56000000000000005</v>
      </c>
      <c r="AE2647" s="3">
        <v>0.56000000000000005</v>
      </c>
      <c r="AI2647">
        <v>0.56000000000000005</v>
      </c>
      <c r="AK2647" s="3"/>
      <c r="AV2647" t="s">
        <v>385</v>
      </c>
      <c r="AX2647" t="s">
        <v>385</v>
      </c>
      <c r="AZ2647" t="s">
        <v>385</v>
      </c>
      <c r="BB2647" t="s">
        <v>385</v>
      </c>
      <c r="BW2647" t="s">
        <v>802</v>
      </c>
      <c r="BX2647">
        <v>0.81</v>
      </c>
      <c r="BZ2647">
        <v>0.5</v>
      </c>
      <c r="CM2647">
        <v>1911</v>
      </c>
    </row>
    <row r="2648" spans="1:91" x14ac:dyDescent="0.3">
      <c r="A2648" t="s">
        <v>3687</v>
      </c>
      <c r="B2648">
        <v>49326</v>
      </c>
      <c r="D2648">
        <v>12</v>
      </c>
      <c r="E2648">
        <v>550000</v>
      </c>
      <c r="T2648" t="s">
        <v>1675</v>
      </c>
      <c r="Z2648" t="s">
        <v>1675</v>
      </c>
      <c r="AA2648">
        <v>1.1499999999999999</v>
      </c>
      <c r="AC2648" s="3">
        <v>1.1499999999999999</v>
      </c>
      <c r="AE2648" s="3">
        <v>1.0900000000000001</v>
      </c>
      <c r="AI2648">
        <v>1.1200000000000001</v>
      </c>
      <c r="AK2648" s="3"/>
      <c r="AV2648" t="s">
        <v>385</v>
      </c>
      <c r="AW2648" t="s">
        <v>1622</v>
      </c>
      <c r="AX2648" s="5">
        <v>40695</v>
      </c>
      <c r="AY2648" t="s">
        <v>3688</v>
      </c>
      <c r="AZ2648" s="5">
        <v>40604</v>
      </c>
      <c r="BA2648" t="s">
        <v>3688</v>
      </c>
      <c r="BB2648" s="5">
        <v>40604</v>
      </c>
      <c r="BD2648">
        <v>18</v>
      </c>
      <c r="BE2648">
        <v>27</v>
      </c>
      <c r="BF2648">
        <v>27</v>
      </c>
      <c r="BL2648" s="4">
        <v>3623</v>
      </c>
      <c r="BM2648" s="4">
        <v>3988</v>
      </c>
      <c r="BN2648" s="4">
        <v>4353</v>
      </c>
      <c r="BT2648">
        <v>10</v>
      </c>
      <c r="BU2648">
        <v>0</v>
      </c>
      <c r="BV2648">
        <v>0</v>
      </c>
      <c r="BX2648">
        <v>1.18</v>
      </c>
      <c r="BZ2648">
        <v>0.9</v>
      </c>
      <c r="CK2648" t="s">
        <v>360</v>
      </c>
      <c r="CM2648">
        <v>1911</v>
      </c>
    </row>
    <row r="2649" spans="1:91" x14ac:dyDescent="0.3">
      <c r="A2649" t="s">
        <v>3687</v>
      </c>
      <c r="B2649">
        <v>49328</v>
      </c>
      <c r="C2649" t="s">
        <v>3689</v>
      </c>
      <c r="D2649">
        <v>12</v>
      </c>
      <c r="E2649">
        <v>550000</v>
      </c>
      <c r="S2649">
        <v>1</v>
      </c>
      <c r="Y2649">
        <v>1</v>
      </c>
      <c r="AA2649">
        <v>1.62</v>
      </c>
      <c r="AC2649" s="3">
        <v>1.62</v>
      </c>
      <c r="AE2649" s="3">
        <v>1.62</v>
      </c>
      <c r="AI2649">
        <v>1.62</v>
      </c>
      <c r="AK2649" s="3"/>
      <c r="AU2649" t="s">
        <v>1582</v>
      </c>
      <c r="AV2649" t="s">
        <v>1760</v>
      </c>
      <c r="AW2649" t="s">
        <v>1582</v>
      </c>
      <c r="AX2649" t="s">
        <v>1760</v>
      </c>
      <c r="AY2649" t="s">
        <v>1465</v>
      </c>
      <c r="AZ2649" t="s">
        <v>1466</v>
      </c>
      <c r="BA2649" t="s">
        <v>1465</v>
      </c>
      <c r="BB2649" t="s">
        <v>1466</v>
      </c>
      <c r="BC2649">
        <v>24</v>
      </c>
      <c r="BD2649">
        <v>24</v>
      </c>
      <c r="BE2649">
        <v>36</v>
      </c>
      <c r="BF2649">
        <v>36</v>
      </c>
      <c r="BK2649" s="4">
        <v>3258</v>
      </c>
      <c r="BL2649" s="4">
        <v>3623</v>
      </c>
      <c r="BM2649" s="4">
        <v>3988</v>
      </c>
      <c r="BN2649" s="4">
        <v>4353</v>
      </c>
      <c r="BT2649">
        <v>9</v>
      </c>
      <c r="BU2649">
        <v>4</v>
      </c>
      <c r="BV2649">
        <v>9</v>
      </c>
      <c r="BX2649">
        <v>1.65</v>
      </c>
      <c r="BZ2649">
        <v>1.4</v>
      </c>
      <c r="CM2649">
        <v>1911</v>
      </c>
    </row>
    <row r="2650" spans="1:91" x14ac:dyDescent="0.3">
      <c r="A2650" t="s">
        <v>3690</v>
      </c>
      <c r="B2650">
        <v>49469</v>
      </c>
      <c r="D2650">
        <v>12</v>
      </c>
      <c r="E2650">
        <v>851098</v>
      </c>
      <c r="S2650">
        <v>1</v>
      </c>
      <c r="Y2650">
        <v>1</v>
      </c>
      <c r="AA2650">
        <v>2.9</v>
      </c>
      <c r="AC2650" s="3">
        <v>3</v>
      </c>
      <c r="AE2650" s="3">
        <v>2.65</v>
      </c>
      <c r="AI2650">
        <v>2.65</v>
      </c>
      <c r="AK2650" s="3"/>
      <c r="AV2650" t="s">
        <v>385</v>
      </c>
      <c r="AX2650" t="s">
        <v>385</v>
      </c>
      <c r="AZ2650" t="s">
        <v>385</v>
      </c>
      <c r="BB2650" t="s">
        <v>385</v>
      </c>
      <c r="BW2650" t="s">
        <v>802</v>
      </c>
      <c r="BX2650">
        <v>6.12</v>
      </c>
      <c r="BZ2650">
        <v>2</v>
      </c>
      <c r="CK2650" t="s">
        <v>360</v>
      </c>
      <c r="CM2650">
        <v>1911</v>
      </c>
    </row>
    <row r="2651" spans="1:91" x14ac:dyDescent="0.3">
      <c r="A2651" t="s">
        <v>3691</v>
      </c>
      <c r="B2651">
        <v>49484</v>
      </c>
      <c r="D2651">
        <v>12</v>
      </c>
      <c r="E2651">
        <v>350000</v>
      </c>
      <c r="S2651">
        <v>1</v>
      </c>
      <c r="Y2651">
        <v>1</v>
      </c>
      <c r="AA2651">
        <v>1.21</v>
      </c>
      <c r="AC2651" s="3">
        <v>1.21</v>
      </c>
      <c r="AE2651" s="3">
        <v>1.06</v>
      </c>
      <c r="AI2651">
        <v>1.06</v>
      </c>
      <c r="AK2651" s="3"/>
      <c r="AV2651" t="s">
        <v>385</v>
      </c>
      <c r="AX2651" t="s">
        <v>385</v>
      </c>
      <c r="AY2651" t="s">
        <v>1582</v>
      </c>
      <c r="AZ2651" t="s">
        <v>1760</v>
      </c>
      <c r="BB2651" t="s">
        <v>810</v>
      </c>
      <c r="BE2651">
        <v>24</v>
      </c>
      <c r="BM2651" s="4">
        <v>3289</v>
      </c>
      <c r="BW2651" t="s">
        <v>802</v>
      </c>
      <c r="BX2651">
        <v>2.4</v>
      </c>
      <c r="BZ2651">
        <v>1</v>
      </c>
      <c r="CK2651" t="s">
        <v>1117</v>
      </c>
      <c r="CM2651">
        <v>1911</v>
      </c>
    </row>
    <row r="2652" spans="1:91" x14ac:dyDescent="0.3">
      <c r="A2652" t="s">
        <v>3692</v>
      </c>
      <c r="B2652">
        <v>49567</v>
      </c>
      <c r="D2652">
        <v>12</v>
      </c>
      <c r="E2652">
        <v>625000</v>
      </c>
      <c r="S2652">
        <v>2</v>
      </c>
      <c r="Y2652">
        <v>2</v>
      </c>
      <c r="AA2652">
        <v>5.75</v>
      </c>
      <c r="AC2652" s="3">
        <v>6</v>
      </c>
      <c r="AE2652" s="3">
        <v>5.75</v>
      </c>
      <c r="AI2652">
        <v>5.87</v>
      </c>
      <c r="AK2652" s="3"/>
      <c r="AV2652" t="s">
        <v>615</v>
      </c>
      <c r="AX2652" t="s">
        <v>615</v>
      </c>
      <c r="AZ2652" t="s">
        <v>615</v>
      </c>
      <c r="BB2652" t="s">
        <v>615</v>
      </c>
      <c r="BG2652">
        <v>20</v>
      </c>
      <c r="BH2652">
        <v>12.5</v>
      </c>
      <c r="BI2652">
        <v>12.5</v>
      </c>
      <c r="BJ2652">
        <v>12.5</v>
      </c>
      <c r="BK2652" s="4">
        <v>3044</v>
      </c>
      <c r="BL2652" s="4">
        <v>3409</v>
      </c>
      <c r="BM2652" s="4">
        <v>3774</v>
      </c>
      <c r="BN2652" s="4">
        <v>4139</v>
      </c>
      <c r="BT2652">
        <v>4</v>
      </c>
      <c r="BU2652">
        <v>5</v>
      </c>
      <c r="BV2652">
        <v>0</v>
      </c>
      <c r="BX2652">
        <v>6</v>
      </c>
      <c r="BZ2652">
        <v>5</v>
      </c>
      <c r="CK2652" t="s">
        <v>3693</v>
      </c>
      <c r="CM2652">
        <v>1911</v>
      </c>
    </row>
    <row r="2653" spans="1:91" x14ac:dyDescent="0.3">
      <c r="A2653" t="s">
        <v>3694</v>
      </c>
      <c r="B2653">
        <v>49611</v>
      </c>
      <c r="D2653">
        <v>12</v>
      </c>
      <c r="E2653">
        <v>187558</v>
      </c>
      <c r="T2653" t="s">
        <v>1548</v>
      </c>
      <c r="Z2653" t="s">
        <v>1548</v>
      </c>
      <c r="AA2653">
        <v>0.43</v>
      </c>
      <c r="AC2653" s="3">
        <v>0.53</v>
      </c>
      <c r="AE2653" s="3">
        <v>0.43</v>
      </c>
      <c r="AI2653">
        <v>0.43</v>
      </c>
      <c r="AK2653" s="3"/>
      <c r="AV2653" t="s">
        <v>385</v>
      </c>
      <c r="AX2653" t="s">
        <v>385</v>
      </c>
      <c r="AZ2653" t="s">
        <v>385</v>
      </c>
      <c r="BB2653" t="s">
        <v>385</v>
      </c>
      <c r="BW2653" t="s">
        <v>802</v>
      </c>
      <c r="BX2653">
        <v>0.75</v>
      </c>
      <c r="BZ2653">
        <v>0.37</v>
      </c>
      <c r="CK2653" t="s">
        <v>360</v>
      </c>
      <c r="CM2653">
        <v>1911</v>
      </c>
    </row>
    <row r="2654" spans="1:91" x14ac:dyDescent="0.3">
      <c r="A2654" t="s">
        <v>3695</v>
      </c>
      <c r="B2654">
        <v>49629</v>
      </c>
      <c r="D2654">
        <v>12</v>
      </c>
      <c r="E2654">
        <v>300000</v>
      </c>
      <c r="S2654">
        <v>1</v>
      </c>
      <c r="Y2654">
        <v>1</v>
      </c>
      <c r="AA2654">
        <v>1.21</v>
      </c>
      <c r="AC2654" s="3">
        <v>1.25</v>
      </c>
      <c r="AE2654" s="3">
        <v>1.1499999999999999</v>
      </c>
      <c r="AI2654">
        <v>1.25</v>
      </c>
      <c r="AK2654" s="3"/>
      <c r="AU2654" t="s">
        <v>1582</v>
      </c>
      <c r="AV2654" t="s">
        <v>1760</v>
      </c>
      <c r="AW2654" t="s">
        <v>1582</v>
      </c>
      <c r="AX2654" t="s">
        <v>1760</v>
      </c>
      <c r="AY2654" t="s">
        <v>1582</v>
      </c>
      <c r="AZ2654" t="s">
        <v>1760</v>
      </c>
      <c r="BA2654" t="s">
        <v>1717</v>
      </c>
      <c r="BB2654" t="s">
        <v>1719</v>
      </c>
      <c r="BC2654">
        <v>24</v>
      </c>
      <c r="BD2654">
        <v>24</v>
      </c>
      <c r="BE2654">
        <v>24</v>
      </c>
      <c r="BF2654">
        <v>12</v>
      </c>
      <c r="BK2654" s="4">
        <v>3805</v>
      </c>
      <c r="BL2654" s="4">
        <v>3988</v>
      </c>
      <c r="BM2654" s="4">
        <v>4170</v>
      </c>
      <c r="BN2654" s="4">
        <v>4353</v>
      </c>
      <c r="BT2654">
        <v>12</v>
      </c>
      <c r="BU2654">
        <v>0</v>
      </c>
      <c r="BV2654">
        <v>0</v>
      </c>
      <c r="BX2654">
        <v>1.21</v>
      </c>
      <c r="BZ2654">
        <v>0.62</v>
      </c>
      <c r="CM2654">
        <v>1911</v>
      </c>
    </row>
    <row r="2655" spans="1:91" x14ac:dyDescent="0.3">
      <c r="A2655" t="s">
        <v>3696</v>
      </c>
      <c r="B2655">
        <v>49699</v>
      </c>
      <c r="D2655">
        <v>12</v>
      </c>
      <c r="E2655">
        <v>135000</v>
      </c>
      <c r="S2655">
        <v>4</v>
      </c>
      <c r="Y2655">
        <v>4</v>
      </c>
      <c r="AA2655">
        <v>0.68</v>
      </c>
      <c r="AC2655" s="3">
        <v>0.68</v>
      </c>
      <c r="AE2655" s="3">
        <v>0.68</v>
      </c>
      <c r="AI2655">
        <v>0.68</v>
      </c>
      <c r="AK2655" s="3"/>
      <c r="AU2655" t="s">
        <v>1463</v>
      </c>
      <c r="AV2655" t="s">
        <v>1464</v>
      </c>
      <c r="AW2655" t="s">
        <v>1463</v>
      </c>
      <c r="AX2655" t="s">
        <v>1464</v>
      </c>
      <c r="AY2655" t="s">
        <v>2742</v>
      </c>
      <c r="AZ2655" s="5">
        <v>40696</v>
      </c>
      <c r="BB2655" t="s">
        <v>810</v>
      </c>
      <c r="BC2655">
        <v>60</v>
      </c>
      <c r="BD2655">
        <v>60</v>
      </c>
      <c r="BE2655">
        <v>30</v>
      </c>
      <c r="BK2655" s="4">
        <v>1767</v>
      </c>
      <c r="BL2655" s="4">
        <v>1948</v>
      </c>
      <c r="BM2655" s="4">
        <v>2132</v>
      </c>
      <c r="BW2655" t="s">
        <v>802</v>
      </c>
      <c r="BX2655">
        <v>0.68</v>
      </c>
      <c r="BZ2655">
        <v>0.62</v>
      </c>
      <c r="CK2655" t="s">
        <v>360</v>
      </c>
      <c r="CM2655">
        <v>1911</v>
      </c>
    </row>
    <row r="2656" spans="1:91" x14ac:dyDescent="0.3">
      <c r="A2656" t="s">
        <v>3697</v>
      </c>
      <c r="B2656">
        <v>49715</v>
      </c>
      <c r="D2656">
        <v>12</v>
      </c>
      <c r="E2656">
        <v>160000</v>
      </c>
      <c r="S2656">
        <v>1</v>
      </c>
      <c r="Y2656">
        <v>1</v>
      </c>
      <c r="AA2656">
        <v>2.75</v>
      </c>
      <c r="AC2656" s="3">
        <v>3.25</v>
      </c>
      <c r="AE2656" s="3">
        <v>2.68</v>
      </c>
      <c r="AI2656">
        <v>3.18</v>
      </c>
      <c r="AJ2656" t="s">
        <v>379</v>
      </c>
      <c r="AK2656" s="3"/>
      <c r="AU2656" t="s">
        <v>1582</v>
      </c>
      <c r="AV2656" t="s">
        <v>1760</v>
      </c>
      <c r="AW2656" t="s">
        <v>1582</v>
      </c>
      <c r="AX2656" t="s">
        <v>1760</v>
      </c>
      <c r="AY2656" t="s">
        <v>1463</v>
      </c>
      <c r="AZ2656" t="s">
        <v>1464</v>
      </c>
      <c r="BA2656" t="s">
        <v>1799</v>
      </c>
      <c r="BB2656" t="s">
        <v>2964</v>
      </c>
      <c r="BC2656">
        <v>24</v>
      </c>
      <c r="BD2656">
        <v>24</v>
      </c>
      <c r="BE2656">
        <v>60</v>
      </c>
      <c r="BF2656">
        <v>96</v>
      </c>
      <c r="BK2656" s="4">
        <v>3988</v>
      </c>
      <c r="BL2656" s="4">
        <v>4109</v>
      </c>
      <c r="BM2656" s="4">
        <v>4170</v>
      </c>
      <c r="BN2656" s="4">
        <v>4262</v>
      </c>
      <c r="BT2656">
        <v>26</v>
      </c>
      <c r="BU2656">
        <v>13</v>
      </c>
      <c r="BV2656">
        <v>6</v>
      </c>
      <c r="BX2656">
        <v>4.87</v>
      </c>
      <c r="BZ2656">
        <v>1.56</v>
      </c>
      <c r="CK2656" t="s">
        <v>360</v>
      </c>
      <c r="CM2656">
        <v>1911</v>
      </c>
    </row>
    <row r="2657" spans="1:91" x14ac:dyDescent="0.3">
      <c r="A2657" t="s">
        <v>3698</v>
      </c>
      <c r="B2657">
        <v>49927</v>
      </c>
      <c r="D2657">
        <v>12</v>
      </c>
      <c r="E2657" s="2">
        <v>1059270</v>
      </c>
      <c r="T2657" t="s">
        <v>1548</v>
      </c>
      <c r="Z2657" t="s">
        <v>1548</v>
      </c>
      <c r="AA2657">
        <v>0.12</v>
      </c>
      <c r="AC2657" s="3">
        <v>0.12</v>
      </c>
      <c r="AE2657" s="3">
        <v>0.12</v>
      </c>
      <c r="AI2657">
        <v>0.12</v>
      </c>
      <c r="AK2657" s="3"/>
      <c r="AV2657" t="s">
        <v>385</v>
      </c>
      <c r="AX2657" t="s">
        <v>385</v>
      </c>
      <c r="AZ2657" t="s">
        <v>385</v>
      </c>
      <c r="BA2657" t="s">
        <v>2340</v>
      </c>
      <c r="BB2657" t="s">
        <v>2341</v>
      </c>
      <c r="BF2657">
        <v>6</v>
      </c>
      <c r="BN2657" s="4">
        <v>3988</v>
      </c>
      <c r="BT2657">
        <v>13</v>
      </c>
      <c r="BU2657">
        <v>6</v>
      </c>
      <c r="BV2657">
        <v>9</v>
      </c>
      <c r="BX2657">
        <v>0.25</v>
      </c>
      <c r="BZ2657">
        <v>0.12</v>
      </c>
      <c r="CK2657" t="s">
        <v>360</v>
      </c>
      <c r="CM2657">
        <v>1911</v>
      </c>
    </row>
    <row r="2658" spans="1:91" x14ac:dyDescent="0.3">
      <c r="A2658" t="s">
        <v>3699</v>
      </c>
      <c r="B2658">
        <v>50038</v>
      </c>
      <c r="D2658">
        <v>12</v>
      </c>
      <c r="E2658">
        <v>500000</v>
      </c>
      <c r="S2658">
        <v>1</v>
      </c>
      <c r="Y2658">
        <v>1</v>
      </c>
      <c r="AA2658">
        <v>0.18</v>
      </c>
      <c r="AC2658" s="3">
        <v>0.18</v>
      </c>
      <c r="AE2658" s="3">
        <v>0.18</v>
      </c>
      <c r="AI2658">
        <v>0.18</v>
      </c>
      <c r="AK2658" s="3"/>
      <c r="AV2658" t="s">
        <v>385</v>
      </c>
      <c r="AX2658" t="s">
        <v>385</v>
      </c>
      <c r="AZ2658" t="s">
        <v>385</v>
      </c>
      <c r="BB2658" t="s">
        <v>385</v>
      </c>
      <c r="BW2658" t="s">
        <v>802</v>
      </c>
      <c r="BX2658">
        <v>0.31</v>
      </c>
      <c r="BZ2658">
        <v>0.18</v>
      </c>
      <c r="CK2658" t="s">
        <v>360</v>
      </c>
      <c r="CM2658">
        <v>1911</v>
      </c>
    </row>
    <row r="2659" spans="1:91" x14ac:dyDescent="0.3">
      <c r="A2659" t="s">
        <v>3700</v>
      </c>
      <c r="B2659">
        <v>50027</v>
      </c>
      <c r="D2659">
        <v>12</v>
      </c>
      <c r="E2659">
        <v>500000</v>
      </c>
      <c r="S2659">
        <v>1</v>
      </c>
      <c r="Y2659">
        <v>1</v>
      </c>
      <c r="AA2659">
        <v>3.81</v>
      </c>
      <c r="AC2659" s="3">
        <v>3.93</v>
      </c>
      <c r="AE2659" s="3">
        <v>3.75</v>
      </c>
      <c r="AI2659">
        <v>3.87</v>
      </c>
      <c r="AK2659" s="3"/>
      <c r="AU2659" t="s">
        <v>2847</v>
      </c>
      <c r="AV2659" s="5">
        <v>40698</v>
      </c>
      <c r="AW2659" t="s">
        <v>2847</v>
      </c>
      <c r="AX2659" s="5">
        <v>40698</v>
      </c>
      <c r="AY2659" t="s">
        <v>2847</v>
      </c>
      <c r="AZ2659" s="5">
        <v>40698</v>
      </c>
      <c r="BA2659" t="s">
        <v>2847</v>
      </c>
      <c r="BB2659" s="5">
        <v>40698</v>
      </c>
      <c r="BC2659">
        <v>54</v>
      </c>
      <c r="BD2659">
        <v>54</v>
      </c>
      <c r="BE2659">
        <v>54</v>
      </c>
      <c r="BF2659">
        <v>54</v>
      </c>
      <c r="BK2659" s="4">
        <v>3835</v>
      </c>
      <c r="BL2659" s="4">
        <v>4019</v>
      </c>
      <c r="BM2659" s="4">
        <v>4200</v>
      </c>
      <c r="BN2659" s="4">
        <v>4384</v>
      </c>
      <c r="BT2659">
        <v>11</v>
      </c>
      <c r="BU2659">
        <v>12</v>
      </c>
      <c r="BV2659">
        <v>3</v>
      </c>
      <c r="BX2659">
        <v>4.71</v>
      </c>
      <c r="BZ2659">
        <v>3.56</v>
      </c>
      <c r="CK2659" t="s">
        <v>3701</v>
      </c>
      <c r="CM2659">
        <v>1911</v>
      </c>
    </row>
    <row r="2660" spans="1:91" x14ac:dyDescent="0.3">
      <c r="A2660" t="s">
        <v>3702</v>
      </c>
      <c r="B2660">
        <v>50039</v>
      </c>
      <c r="D2660">
        <v>12</v>
      </c>
      <c r="E2660" s="2">
        <v>1496110</v>
      </c>
      <c r="S2660">
        <v>1</v>
      </c>
      <c r="Y2660">
        <v>1</v>
      </c>
      <c r="AB2660" t="s">
        <v>385</v>
      </c>
      <c r="AC2660" s="3">
        <v>1</v>
      </c>
      <c r="AE2660" s="3">
        <v>1</v>
      </c>
      <c r="AI2660">
        <v>1</v>
      </c>
      <c r="AK2660" s="3"/>
      <c r="AV2660" t="s">
        <v>385</v>
      </c>
      <c r="AX2660" t="s">
        <v>385</v>
      </c>
      <c r="AZ2660" t="s">
        <v>385</v>
      </c>
      <c r="BB2660" t="s">
        <v>385</v>
      </c>
      <c r="BW2660" t="s">
        <v>802</v>
      </c>
      <c r="BY2660" t="s">
        <v>385</v>
      </c>
      <c r="CA2660" t="s">
        <v>385</v>
      </c>
      <c r="CK2660" t="s">
        <v>3670</v>
      </c>
      <c r="CM2660">
        <v>1911</v>
      </c>
    </row>
    <row r="2661" spans="1:91" x14ac:dyDescent="0.3">
      <c r="A2661" t="s">
        <v>3703</v>
      </c>
      <c r="B2661">
        <v>50102</v>
      </c>
      <c r="D2661">
        <v>12</v>
      </c>
      <c r="E2661" s="2">
        <v>1060670</v>
      </c>
      <c r="S2661">
        <v>1</v>
      </c>
      <c r="Y2661">
        <v>1</v>
      </c>
      <c r="AA2661">
        <v>2.1800000000000002</v>
      </c>
      <c r="AC2661" s="3">
        <v>2.1800000000000002</v>
      </c>
      <c r="AE2661" s="3">
        <v>2.12</v>
      </c>
      <c r="AI2661">
        <v>2.12</v>
      </c>
      <c r="AK2661" s="3"/>
      <c r="AU2661" t="s">
        <v>1717</v>
      </c>
      <c r="AV2661" t="s">
        <v>1719</v>
      </c>
      <c r="AW2661" t="s">
        <v>1717</v>
      </c>
      <c r="AX2661" t="s">
        <v>1719</v>
      </c>
      <c r="AY2661" t="s">
        <v>1717</v>
      </c>
      <c r="AZ2661" t="s">
        <v>1719</v>
      </c>
      <c r="BA2661" t="s">
        <v>1717</v>
      </c>
      <c r="BB2661" t="s">
        <v>1719</v>
      </c>
      <c r="BC2661">
        <v>12</v>
      </c>
      <c r="BD2661">
        <v>12</v>
      </c>
      <c r="BE2661">
        <v>12</v>
      </c>
      <c r="BF2661">
        <v>12</v>
      </c>
      <c r="BK2661" s="4">
        <v>3866</v>
      </c>
      <c r="BL2661" s="4">
        <v>4050</v>
      </c>
      <c r="BM2661" s="4">
        <v>4231</v>
      </c>
      <c r="BN2661" s="4">
        <v>4415</v>
      </c>
      <c r="BT2661">
        <v>4</v>
      </c>
      <c r="BU2661">
        <v>14</v>
      </c>
      <c r="BV2661">
        <v>3</v>
      </c>
      <c r="BX2661">
        <v>2.37</v>
      </c>
      <c r="BZ2661">
        <v>1.87</v>
      </c>
      <c r="CK2661" t="s">
        <v>3670</v>
      </c>
      <c r="CM2661">
        <v>1911</v>
      </c>
    </row>
    <row r="2662" spans="1:91" x14ac:dyDescent="0.3">
      <c r="A2662" t="s">
        <v>3704</v>
      </c>
      <c r="B2662">
        <v>50103</v>
      </c>
      <c r="D2662">
        <v>12</v>
      </c>
      <c r="E2662">
        <v>472000</v>
      </c>
      <c r="S2662">
        <v>1</v>
      </c>
      <c r="Y2662">
        <v>1</v>
      </c>
      <c r="AA2662">
        <v>3.06</v>
      </c>
      <c r="AC2662" s="3">
        <v>3.18</v>
      </c>
      <c r="AE2662" s="3">
        <v>3.06</v>
      </c>
      <c r="AI2662">
        <v>3.12</v>
      </c>
      <c r="AK2662" s="3"/>
      <c r="AU2662" t="s">
        <v>3595</v>
      </c>
      <c r="AV2662" t="s">
        <v>3596</v>
      </c>
      <c r="AW2662" t="s">
        <v>3595</v>
      </c>
      <c r="AX2662" t="s">
        <v>3596</v>
      </c>
      <c r="AY2662" t="s">
        <v>3595</v>
      </c>
      <c r="AZ2662" t="s">
        <v>3596</v>
      </c>
      <c r="BA2662" t="s">
        <v>3595</v>
      </c>
      <c r="BB2662" t="s">
        <v>3596</v>
      </c>
      <c r="BC2662">
        <v>84</v>
      </c>
      <c r="BD2662">
        <v>84</v>
      </c>
      <c r="BE2662">
        <v>84</v>
      </c>
      <c r="BF2662">
        <v>84</v>
      </c>
      <c r="BK2662" s="4">
        <v>3835</v>
      </c>
      <c r="BL2662" s="4">
        <v>4019</v>
      </c>
      <c r="BM2662" s="4">
        <v>4200</v>
      </c>
      <c r="BN2662" s="4">
        <v>4384</v>
      </c>
      <c r="BT2662">
        <v>22</v>
      </c>
      <c r="BU2662">
        <v>8</v>
      </c>
      <c r="BV2662">
        <v>0</v>
      </c>
      <c r="BX2662">
        <v>4.25</v>
      </c>
      <c r="BZ2662">
        <v>2.93</v>
      </c>
      <c r="CK2662" t="s">
        <v>3701</v>
      </c>
      <c r="CM2662">
        <v>1911</v>
      </c>
    </row>
    <row r="2663" spans="1:91" x14ac:dyDescent="0.3">
      <c r="A2663" t="s">
        <v>3705</v>
      </c>
      <c r="B2663">
        <v>50114</v>
      </c>
      <c r="D2663">
        <v>12</v>
      </c>
      <c r="E2663">
        <v>224929</v>
      </c>
      <c r="S2663">
        <v>1</v>
      </c>
      <c r="Y2663">
        <v>1</v>
      </c>
      <c r="AA2663">
        <v>0.18</v>
      </c>
      <c r="AC2663" s="3">
        <v>0.18</v>
      </c>
      <c r="AE2663" s="3">
        <v>0.18</v>
      </c>
      <c r="AI2663">
        <v>0.18</v>
      </c>
      <c r="AK2663" s="3"/>
      <c r="AU2663" t="s">
        <v>1717</v>
      </c>
      <c r="AV2663" t="s">
        <v>1719</v>
      </c>
      <c r="AW2663" t="s">
        <v>1717</v>
      </c>
      <c r="AX2663" t="s">
        <v>1719</v>
      </c>
      <c r="AY2663" t="s">
        <v>1717</v>
      </c>
      <c r="AZ2663" t="s">
        <v>1719</v>
      </c>
      <c r="BB2663" t="s">
        <v>810</v>
      </c>
      <c r="BC2663">
        <v>12</v>
      </c>
      <c r="BD2663">
        <v>12</v>
      </c>
      <c r="BE2663">
        <v>12</v>
      </c>
      <c r="BK2663" s="4">
        <v>3105</v>
      </c>
      <c r="BL2663" s="4">
        <v>3348</v>
      </c>
      <c r="BM2663" s="4">
        <v>3470</v>
      </c>
      <c r="BW2663" t="s">
        <v>802</v>
      </c>
      <c r="BX2663">
        <v>0.5</v>
      </c>
      <c r="BZ2663">
        <v>0.12</v>
      </c>
      <c r="CM2663">
        <v>1911</v>
      </c>
    </row>
    <row r="2664" spans="1:91" x14ac:dyDescent="0.3">
      <c r="A2664" t="s">
        <v>3706</v>
      </c>
      <c r="B2664">
        <v>50159</v>
      </c>
      <c r="D2664">
        <v>12</v>
      </c>
      <c r="E2664">
        <v>495907</v>
      </c>
      <c r="S2664">
        <v>1</v>
      </c>
      <c r="Y2664">
        <v>1</v>
      </c>
      <c r="AA2664">
        <v>2.75</v>
      </c>
      <c r="AC2664" s="3">
        <v>2.96</v>
      </c>
      <c r="AE2664" s="3">
        <v>2.68</v>
      </c>
      <c r="AI2664">
        <v>2.75</v>
      </c>
      <c r="AK2664" s="3"/>
      <c r="AU2664" t="s">
        <v>1467</v>
      </c>
      <c r="AV2664" t="s">
        <v>1468</v>
      </c>
      <c r="AW2664" t="s">
        <v>1465</v>
      </c>
      <c r="AX2664" t="s">
        <v>1466</v>
      </c>
      <c r="AY2664" t="s">
        <v>1582</v>
      </c>
      <c r="AZ2664" t="s">
        <v>1760</v>
      </c>
      <c r="BA2664" t="s">
        <v>1582</v>
      </c>
      <c r="BB2664" t="s">
        <v>1760</v>
      </c>
      <c r="BC2664">
        <v>48</v>
      </c>
      <c r="BD2664">
        <v>36</v>
      </c>
      <c r="BE2664">
        <v>24</v>
      </c>
      <c r="BF2664">
        <v>24</v>
      </c>
      <c r="BK2664" s="4">
        <v>4078</v>
      </c>
      <c r="BL2664" s="4">
        <v>4170</v>
      </c>
      <c r="BM2664" s="4">
        <v>4262</v>
      </c>
      <c r="BN2664" s="4">
        <v>4353</v>
      </c>
      <c r="BT2664">
        <v>20</v>
      </c>
      <c r="BU2664">
        <v>0</v>
      </c>
      <c r="BV2664">
        <v>0</v>
      </c>
      <c r="BX2664">
        <v>5.43</v>
      </c>
      <c r="BZ2664">
        <v>2.68</v>
      </c>
      <c r="CK2664" t="s">
        <v>360</v>
      </c>
      <c r="CM2664">
        <v>1911</v>
      </c>
    </row>
    <row r="2665" spans="1:91" x14ac:dyDescent="0.3">
      <c r="A2665" t="s">
        <v>3707</v>
      </c>
      <c r="B2665">
        <v>50160</v>
      </c>
      <c r="D2665">
        <v>12</v>
      </c>
      <c r="E2665">
        <v>384375</v>
      </c>
      <c r="S2665">
        <v>1</v>
      </c>
      <c r="Y2665">
        <v>1</v>
      </c>
      <c r="AA2665">
        <v>1.53</v>
      </c>
      <c r="AC2665" s="3">
        <v>1.53</v>
      </c>
      <c r="AE2665" s="3">
        <v>1.43</v>
      </c>
      <c r="AI2665">
        <v>1.53</v>
      </c>
      <c r="AK2665" s="3"/>
      <c r="AV2665" t="s">
        <v>385</v>
      </c>
      <c r="AX2665" t="s">
        <v>385</v>
      </c>
      <c r="AZ2665" t="s">
        <v>385</v>
      </c>
      <c r="BA2665" t="s">
        <v>1717</v>
      </c>
      <c r="BB2665" t="s">
        <v>1719</v>
      </c>
      <c r="BF2665">
        <v>12</v>
      </c>
      <c r="BN2665" s="4">
        <v>4139</v>
      </c>
      <c r="BT2665">
        <v>3</v>
      </c>
      <c r="BU2665">
        <v>5</v>
      </c>
      <c r="BV2665">
        <v>3</v>
      </c>
      <c r="BX2665">
        <v>1.84</v>
      </c>
      <c r="BZ2665">
        <v>1.18</v>
      </c>
      <c r="CK2665" t="s">
        <v>360</v>
      </c>
      <c r="CM2665">
        <v>1911</v>
      </c>
    </row>
    <row r="2666" spans="1:91" x14ac:dyDescent="0.3">
      <c r="A2666" t="s">
        <v>3708</v>
      </c>
      <c r="B2666">
        <v>50410</v>
      </c>
      <c r="D2666">
        <v>12</v>
      </c>
      <c r="E2666" s="2">
        <v>2004420</v>
      </c>
      <c r="S2666">
        <v>1</v>
      </c>
      <c r="Y2666">
        <v>1</v>
      </c>
      <c r="AA2666">
        <v>0.59</v>
      </c>
      <c r="AC2666" s="3">
        <v>0.65</v>
      </c>
      <c r="AE2666" s="3">
        <v>0.59</v>
      </c>
      <c r="AI2666">
        <v>0.62</v>
      </c>
      <c r="AK2666" s="3"/>
      <c r="AV2666" t="s">
        <v>385</v>
      </c>
      <c r="AX2666" t="s">
        <v>385</v>
      </c>
      <c r="AZ2666" t="s">
        <v>385</v>
      </c>
      <c r="BA2666" t="s">
        <v>1720</v>
      </c>
      <c r="BB2666" t="s">
        <v>3423</v>
      </c>
      <c r="BF2666">
        <v>9</v>
      </c>
      <c r="BN2666" s="4">
        <v>3685</v>
      </c>
      <c r="BT2666">
        <v>6</v>
      </c>
      <c r="BU2666">
        <v>0</v>
      </c>
      <c r="BV2666">
        <v>0</v>
      </c>
      <c r="BX2666">
        <v>1.18</v>
      </c>
      <c r="BZ2666">
        <v>0.59</v>
      </c>
      <c r="CM2666">
        <v>1911</v>
      </c>
    </row>
    <row r="2667" spans="1:91" x14ac:dyDescent="0.3">
      <c r="A2667" t="s">
        <v>3709</v>
      </c>
      <c r="B2667">
        <v>50564</v>
      </c>
      <c r="D2667">
        <v>12</v>
      </c>
      <c r="E2667" s="2">
        <v>1267740</v>
      </c>
      <c r="T2667" t="s">
        <v>1758</v>
      </c>
      <c r="Z2667" t="s">
        <v>1758</v>
      </c>
      <c r="AA2667">
        <v>0.93</v>
      </c>
      <c r="AC2667" s="3">
        <v>0.93</v>
      </c>
      <c r="AE2667" s="3">
        <v>0.84</v>
      </c>
      <c r="AI2667">
        <v>0.84</v>
      </c>
      <c r="AK2667" s="3"/>
      <c r="AV2667" t="s">
        <v>385</v>
      </c>
      <c r="AX2667" t="s">
        <v>385</v>
      </c>
      <c r="AZ2667" t="s">
        <v>385</v>
      </c>
      <c r="BA2667" t="s">
        <v>2340</v>
      </c>
      <c r="BB2667" t="s">
        <v>2341</v>
      </c>
      <c r="BF2667">
        <v>6</v>
      </c>
      <c r="BN2667" s="4">
        <v>4231</v>
      </c>
      <c r="BT2667">
        <v>2</v>
      </c>
      <c r="BU2667">
        <v>19</v>
      </c>
      <c r="BV2667">
        <v>6</v>
      </c>
      <c r="BX2667">
        <v>1.1200000000000001</v>
      </c>
      <c r="BZ2667">
        <v>0.81</v>
      </c>
      <c r="CM2667">
        <v>1911</v>
      </c>
    </row>
    <row r="2668" spans="1:91" x14ac:dyDescent="0.3">
      <c r="A2668" t="s">
        <v>3710</v>
      </c>
      <c r="B2668">
        <v>50597</v>
      </c>
      <c r="D2668">
        <v>12</v>
      </c>
      <c r="E2668">
        <v>550000</v>
      </c>
      <c r="S2668">
        <v>1</v>
      </c>
      <c r="Y2668">
        <v>1</v>
      </c>
      <c r="AA2668">
        <v>3.18</v>
      </c>
      <c r="AC2668" s="3">
        <v>3.31</v>
      </c>
      <c r="AE2668" s="3">
        <v>2.81</v>
      </c>
      <c r="AI2668">
        <v>2.87</v>
      </c>
      <c r="AK2668" s="3"/>
      <c r="AU2668" t="s">
        <v>1463</v>
      </c>
      <c r="AV2668" t="s">
        <v>1464</v>
      </c>
      <c r="AW2668" t="s">
        <v>1463</v>
      </c>
      <c r="AX2668" t="s">
        <v>1464</v>
      </c>
      <c r="AY2668" t="s">
        <v>1463</v>
      </c>
      <c r="AZ2668" t="s">
        <v>1464</v>
      </c>
      <c r="BA2668" t="s">
        <v>1582</v>
      </c>
      <c r="BB2668" t="s">
        <v>1760</v>
      </c>
      <c r="BC2668">
        <v>60</v>
      </c>
      <c r="BD2668">
        <v>60</v>
      </c>
      <c r="BE2668">
        <v>60</v>
      </c>
      <c r="BF2668">
        <v>24</v>
      </c>
      <c r="BK2668" s="4">
        <v>3866</v>
      </c>
      <c r="BL2668" s="4">
        <v>4050</v>
      </c>
      <c r="BM2668" s="4">
        <v>4231</v>
      </c>
      <c r="BN2668" s="4">
        <v>4415</v>
      </c>
      <c r="BT2668">
        <v>12</v>
      </c>
      <c r="BU2668">
        <v>3</v>
      </c>
      <c r="BV2668">
        <v>6</v>
      </c>
      <c r="BX2668">
        <v>5</v>
      </c>
      <c r="BZ2668">
        <v>2.81</v>
      </c>
      <c r="CK2668" t="s">
        <v>360</v>
      </c>
      <c r="CM2668">
        <v>1911</v>
      </c>
    </row>
    <row r="2669" spans="1:91" x14ac:dyDescent="0.3">
      <c r="A2669" t="s">
        <v>3711</v>
      </c>
      <c r="B2669">
        <v>50599</v>
      </c>
      <c r="D2669">
        <v>12</v>
      </c>
      <c r="E2669">
        <v>860000</v>
      </c>
      <c r="S2669">
        <v>1</v>
      </c>
      <c r="Y2669">
        <v>1</v>
      </c>
      <c r="AA2669">
        <v>1.25</v>
      </c>
      <c r="AC2669" s="3">
        <v>1.25</v>
      </c>
      <c r="AE2669" s="3">
        <v>1.1200000000000001</v>
      </c>
      <c r="AI2669">
        <v>1.1200000000000001</v>
      </c>
      <c r="AK2669" s="3"/>
      <c r="AU2669" t="s">
        <v>1622</v>
      </c>
      <c r="AV2669" s="5">
        <v>40695</v>
      </c>
      <c r="AW2669" t="s">
        <v>1582</v>
      </c>
      <c r="AX2669" t="s">
        <v>1760</v>
      </c>
      <c r="AY2669" t="s">
        <v>1622</v>
      </c>
      <c r="AZ2669" s="5">
        <v>40695</v>
      </c>
      <c r="BA2669" t="s">
        <v>1622</v>
      </c>
      <c r="BB2669" s="5">
        <v>40695</v>
      </c>
      <c r="BC2669">
        <v>18</v>
      </c>
      <c r="BD2669">
        <v>24</v>
      </c>
      <c r="BE2669">
        <v>18</v>
      </c>
      <c r="BF2669">
        <v>18</v>
      </c>
      <c r="BK2669" s="4">
        <v>4170</v>
      </c>
      <c r="BL2669" s="4">
        <v>4200</v>
      </c>
      <c r="BM2669" s="4">
        <v>4292</v>
      </c>
      <c r="BN2669" s="4">
        <v>4353</v>
      </c>
      <c r="BT2669">
        <v>28</v>
      </c>
      <c r="BU2669">
        <v>17</v>
      </c>
      <c r="BV2669">
        <v>9</v>
      </c>
      <c r="BX2669">
        <v>1.31</v>
      </c>
      <c r="BZ2669">
        <v>1.1200000000000001</v>
      </c>
      <c r="CK2669" t="s">
        <v>3701</v>
      </c>
      <c r="CM2669">
        <v>1911</v>
      </c>
    </row>
    <row r="2670" spans="1:91" x14ac:dyDescent="0.3">
      <c r="A2670" t="s">
        <v>3712</v>
      </c>
      <c r="B2670">
        <v>50636</v>
      </c>
      <c r="D2670">
        <v>12</v>
      </c>
      <c r="E2670">
        <v>95722</v>
      </c>
      <c r="S2670">
        <v>1</v>
      </c>
      <c r="Y2670">
        <v>1</v>
      </c>
      <c r="AA2670">
        <v>1.62</v>
      </c>
      <c r="AC2670" s="3">
        <v>1.62</v>
      </c>
      <c r="AE2670" s="3">
        <v>1.62</v>
      </c>
      <c r="AI2670">
        <v>1.62</v>
      </c>
      <c r="AK2670" s="3"/>
      <c r="AU2670" t="s">
        <v>1622</v>
      </c>
      <c r="AV2670" s="5">
        <v>40695</v>
      </c>
      <c r="AW2670" t="s">
        <v>1582</v>
      </c>
      <c r="AX2670" t="s">
        <v>1760</v>
      </c>
      <c r="AY2670" t="s">
        <v>1582</v>
      </c>
      <c r="AZ2670" t="s">
        <v>1760</v>
      </c>
      <c r="BA2670" t="s">
        <v>1582</v>
      </c>
      <c r="BB2670" t="s">
        <v>1760</v>
      </c>
      <c r="BC2670">
        <v>18</v>
      </c>
      <c r="BD2670">
        <v>24</v>
      </c>
      <c r="BE2670">
        <v>24</v>
      </c>
      <c r="BF2670">
        <v>24</v>
      </c>
      <c r="BK2670" s="4">
        <v>4050</v>
      </c>
      <c r="BL2670" s="4">
        <v>4231</v>
      </c>
      <c r="BM2670" s="4">
        <v>4353</v>
      </c>
      <c r="BN2670" s="4">
        <v>4415</v>
      </c>
      <c r="BT2670">
        <v>18</v>
      </c>
      <c r="BU2670">
        <v>9</v>
      </c>
      <c r="BV2670">
        <v>3</v>
      </c>
      <c r="BX2670">
        <v>1.62</v>
      </c>
      <c r="BZ2670">
        <v>1.5</v>
      </c>
      <c r="CK2670" t="s">
        <v>3670</v>
      </c>
      <c r="CM2670">
        <v>1911</v>
      </c>
    </row>
    <row r="2671" spans="1:91" x14ac:dyDescent="0.3">
      <c r="A2671" t="s">
        <v>3713</v>
      </c>
      <c r="B2671">
        <v>50713</v>
      </c>
      <c r="D2671">
        <v>12</v>
      </c>
      <c r="E2671">
        <v>240000</v>
      </c>
      <c r="T2671" t="s">
        <v>1548</v>
      </c>
      <c r="Z2671" t="s">
        <v>1548</v>
      </c>
      <c r="AA2671">
        <v>4.25</v>
      </c>
      <c r="AC2671" s="3">
        <v>4.25</v>
      </c>
      <c r="AE2671" s="3">
        <v>4</v>
      </c>
      <c r="AI2671">
        <v>4</v>
      </c>
      <c r="AK2671" s="3"/>
      <c r="AU2671" t="s">
        <v>2742</v>
      </c>
      <c r="AV2671" s="5">
        <v>40696</v>
      </c>
      <c r="AW2671" t="s">
        <v>2742</v>
      </c>
      <c r="AX2671" s="5">
        <v>40696</v>
      </c>
      <c r="AY2671" t="s">
        <v>1465</v>
      </c>
      <c r="AZ2671" t="s">
        <v>1466</v>
      </c>
      <c r="BA2671" t="s">
        <v>2742</v>
      </c>
      <c r="BB2671" s="5">
        <v>40696</v>
      </c>
      <c r="BC2671">
        <v>30</v>
      </c>
      <c r="BD2671">
        <v>30</v>
      </c>
      <c r="BE2671">
        <v>36</v>
      </c>
      <c r="BF2671">
        <v>30</v>
      </c>
      <c r="BK2671" s="4">
        <v>4078</v>
      </c>
      <c r="BL2671" s="4">
        <v>4170</v>
      </c>
      <c r="BM2671" s="4">
        <v>4262</v>
      </c>
      <c r="BN2671" s="4">
        <v>4353</v>
      </c>
      <c r="BT2671">
        <v>13</v>
      </c>
      <c r="BU2671">
        <v>2</v>
      </c>
      <c r="BV2671">
        <v>6</v>
      </c>
      <c r="BY2671" t="s">
        <v>385</v>
      </c>
      <c r="CA2671" t="s">
        <v>385</v>
      </c>
      <c r="CK2671" t="s">
        <v>360</v>
      </c>
      <c r="CM2671">
        <v>1911</v>
      </c>
    </row>
    <row r="2672" spans="1:91" x14ac:dyDescent="0.3">
      <c r="A2672" t="s">
        <v>3714</v>
      </c>
      <c r="B2672">
        <v>50714</v>
      </c>
      <c r="D2672">
        <v>12</v>
      </c>
      <c r="E2672">
        <v>669085</v>
      </c>
      <c r="S2672">
        <v>1</v>
      </c>
      <c r="Y2672">
        <v>1</v>
      </c>
      <c r="AA2672">
        <v>0.84</v>
      </c>
      <c r="AC2672" s="3">
        <v>0.9</v>
      </c>
      <c r="AE2672" s="3">
        <v>0.78</v>
      </c>
      <c r="AI2672">
        <v>0.78</v>
      </c>
      <c r="AK2672" s="3"/>
      <c r="AV2672" t="s">
        <v>385</v>
      </c>
      <c r="AX2672" t="s">
        <v>385</v>
      </c>
      <c r="AZ2672" t="s">
        <v>385</v>
      </c>
      <c r="BB2672" t="s">
        <v>385</v>
      </c>
      <c r="BW2672" t="s">
        <v>802</v>
      </c>
      <c r="BX2672">
        <v>1.71</v>
      </c>
      <c r="BZ2672">
        <v>0.65</v>
      </c>
      <c r="CK2672" t="s">
        <v>360</v>
      </c>
      <c r="CM2672">
        <v>1911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1833"/>
  <sheetViews>
    <sheetView tabSelected="1" topLeftCell="B1" zoomScale="55" zoomScaleNormal="55" workbookViewId="0">
      <pane xSplit="8" ySplit="1" topLeftCell="J933" activePane="bottomRight" state="frozen"/>
      <selection activeCell="B1" sqref="B1"/>
      <selection pane="topRight" activeCell="I1" sqref="I1"/>
      <selection pane="bottomLeft" activeCell="B2" sqref="B2"/>
      <selection pane="bottomRight" activeCell="I960" sqref="I960"/>
    </sheetView>
  </sheetViews>
  <sheetFormatPr defaultColWidth="9.109375" defaultRowHeight="15.6" x14ac:dyDescent="0.3"/>
  <cols>
    <col min="1" max="1" width="7.44140625" style="21" bestFit="1" customWidth="1"/>
    <col min="2" max="2" width="61.109375" style="21" customWidth="1"/>
    <col min="3" max="3" width="9.33203125" style="21" bestFit="1" customWidth="1"/>
    <col min="4" max="4" width="10.6640625" style="21" bestFit="1" customWidth="1"/>
    <col min="5" max="5" width="21.33203125" style="21" bestFit="1" customWidth="1"/>
    <col min="6" max="6" width="24.88671875" style="21" bestFit="1" customWidth="1"/>
    <col min="7" max="7" width="20.6640625" style="21" bestFit="1" customWidth="1"/>
    <col min="8" max="8" width="15.77734375" style="96" customWidth="1"/>
    <col min="9" max="9" width="13.88671875" style="21" bestFit="1" customWidth="1"/>
    <col min="10" max="10" width="12.5546875" style="21" bestFit="1" customWidth="1"/>
    <col min="11" max="11" width="10.21875" style="21" bestFit="1" customWidth="1"/>
    <col min="12" max="12" width="13.21875" style="21" bestFit="1" customWidth="1"/>
    <col min="13" max="13" width="17" style="21" bestFit="1" customWidth="1"/>
    <col min="14" max="14" width="13.21875" style="21" bestFit="1" customWidth="1"/>
    <col min="15" max="15" width="118.88671875" style="21" bestFit="1" customWidth="1"/>
    <col min="16" max="16" width="12.21875" style="196" bestFit="1" customWidth="1"/>
    <col min="17" max="18" width="23.77734375" style="21" customWidth="1"/>
    <col min="19" max="20" width="17.88671875" style="101" bestFit="1" customWidth="1"/>
    <col min="21" max="21" width="20.21875" style="101" bestFit="1" customWidth="1"/>
    <col min="22" max="22" width="18.33203125" style="101" bestFit="1" customWidth="1"/>
    <col min="23" max="23" width="18.109375" style="101" customWidth="1"/>
    <col min="24" max="24" width="18" style="101" bestFit="1" customWidth="1"/>
    <col min="25" max="26" width="17.21875" style="101" customWidth="1"/>
    <col min="27" max="27" width="18.109375" style="101" customWidth="1"/>
    <col min="28" max="29" width="17.21875" style="101" customWidth="1"/>
    <col min="30" max="30" width="20" style="101" bestFit="1" customWidth="1"/>
    <col min="31" max="31" width="18.33203125" style="101" customWidth="1"/>
    <col min="32" max="32" width="21.5546875" style="101" bestFit="1" customWidth="1"/>
    <col min="33" max="33" width="16.21875" style="155" bestFit="1" customWidth="1"/>
    <col min="34" max="34" width="17.77734375" style="101" bestFit="1" customWidth="1"/>
    <col min="35" max="35" width="12.33203125" style="101" bestFit="1" customWidth="1"/>
    <col min="36" max="36" width="16.77734375" style="101" bestFit="1" customWidth="1"/>
    <col min="37" max="37" width="16.6640625" style="101" customWidth="1"/>
    <col min="38" max="38" width="15.44140625" style="101" bestFit="1" customWidth="1"/>
    <col min="39" max="40" width="17.44140625" style="101" bestFit="1" customWidth="1"/>
    <col min="41" max="41" width="16.109375" style="101" customWidth="1"/>
    <col min="42" max="42" width="12.33203125" style="21" bestFit="1" customWidth="1"/>
    <col min="43" max="16384" width="9.109375" style="21"/>
  </cols>
  <sheetData>
    <row r="1" spans="1:41" ht="66.75" customHeight="1" thickBot="1" x14ac:dyDescent="0.35">
      <c r="A1" s="18" t="s">
        <v>3723</v>
      </c>
      <c r="B1" s="34" t="s">
        <v>3724</v>
      </c>
      <c r="C1" s="34" t="s">
        <v>4134</v>
      </c>
      <c r="D1" s="34" t="s">
        <v>3734</v>
      </c>
      <c r="E1" s="34" t="s">
        <v>3725</v>
      </c>
      <c r="F1" s="35" t="s">
        <v>3743</v>
      </c>
      <c r="G1" s="35" t="s">
        <v>3742</v>
      </c>
      <c r="H1" s="84" t="s">
        <v>3727</v>
      </c>
      <c r="I1" s="35" t="s">
        <v>3735</v>
      </c>
      <c r="J1" s="35" t="s">
        <v>3729</v>
      </c>
      <c r="K1" s="35" t="s">
        <v>3731</v>
      </c>
      <c r="L1" s="19" t="s">
        <v>3736</v>
      </c>
      <c r="M1" s="20" t="s">
        <v>3737</v>
      </c>
      <c r="N1" s="36" t="s">
        <v>3726</v>
      </c>
      <c r="O1" s="35" t="s">
        <v>3728</v>
      </c>
      <c r="P1" s="193" t="s">
        <v>4132</v>
      </c>
      <c r="Q1" s="109" t="s">
        <v>4069</v>
      </c>
      <c r="R1" s="37" t="s">
        <v>4070</v>
      </c>
      <c r="S1" s="98" t="s">
        <v>3732</v>
      </c>
      <c r="T1" s="100" t="s">
        <v>3739</v>
      </c>
      <c r="U1" s="99" t="s">
        <v>4078</v>
      </c>
      <c r="V1" s="99" t="s">
        <v>4079</v>
      </c>
      <c r="W1" s="99" t="s">
        <v>4080</v>
      </c>
      <c r="X1" s="99" t="s">
        <v>4068</v>
      </c>
      <c r="Y1" s="99" t="s">
        <v>4084</v>
      </c>
      <c r="Z1" s="99" t="s">
        <v>4085</v>
      </c>
      <c r="AA1" s="99" t="s">
        <v>4080</v>
      </c>
      <c r="AB1" s="100" t="s">
        <v>4076</v>
      </c>
      <c r="AC1" s="100" t="s">
        <v>4077</v>
      </c>
      <c r="AD1" s="100" t="s">
        <v>4081</v>
      </c>
      <c r="AE1" s="99" t="s">
        <v>4071</v>
      </c>
      <c r="AF1" s="140" t="s">
        <v>4064</v>
      </c>
      <c r="AG1" s="100" t="s">
        <v>3738</v>
      </c>
      <c r="AH1" s="100" t="s">
        <v>4072</v>
      </c>
      <c r="AI1" s="100" t="s">
        <v>4065</v>
      </c>
      <c r="AJ1" s="100" t="s">
        <v>4082</v>
      </c>
      <c r="AK1" s="100" t="s">
        <v>4083</v>
      </c>
      <c r="AL1" s="99" t="s">
        <v>4067</v>
      </c>
      <c r="AM1" s="100" t="s">
        <v>4066</v>
      </c>
      <c r="AN1" s="100" t="s">
        <v>3730</v>
      </c>
      <c r="AO1" s="100" t="s">
        <v>3741</v>
      </c>
    </row>
    <row r="2" spans="1:41" s="119" customFormat="1" ht="16.2" thickBot="1" x14ac:dyDescent="0.35">
      <c r="A2" s="31"/>
      <c r="B2" s="213" t="s">
        <v>1</v>
      </c>
      <c r="C2" s="31" t="str">
        <f>VLOOKUP((CONCATENATE(B2)),ID!$A$2:$D$305,3,0)</f>
        <v>RL001</v>
      </c>
      <c r="D2" s="31">
        <v>1</v>
      </c>
      <c r="E2" s="31" t="s">
        <v>4057</v>
      </c>
      <c r="F2" s="31" t="s">
        <v>1117</v>
      </c>
      <c r="G2" s="31" t="s">
        <v>3744</v>
      </c>
      <c r="H2" s="86">
        <v>3653</v>
      </c>
      <c r="I2" s="38">
        <v>3696</v>
      </c>
      <c r="J2" s="38">
        <v>3688</v>
      </c>
      <c r="K2" s="31">
        <v>1</v>
      </c>
      <c r="L2" s="38">
        <v>3710</v>
      </c>
      <c r="M2" s="38">
        <v>3731</v>
      </c>
      <c r="N2" s="38">
        <v>3713</v>
      </c>
      <c r="O2" s="31" t="s">
        <v>3733</v>
      </c>
      <c r="P2" s="194" t="str">
        <f>IF(AJ2=0,"?","1")</f>
        <v>1</v>
      </c>
      <c r="Q2" s="103">
        <v>1</v>
      </c>
      <c r="R2" s="39" t="str">
        <f t="shared" ref="R2:R29" si="0">IF(Q2=0,"?","-")</f>
        <v>-</v>
      </c>
      <c r="S2" s="122">
        <f>T2-X2</f>
        <v>1540287</v>
      </c>
      <c r="T2" s="119">
        <v>4162451</v>
      </c>
      <c r="U2" s="119">
        <f>T2-V2</f>
        <v>3647760</v>
      </c>
      <c r="V2" s="119">
        <f>150+71210+443331</f>
        <v>514691</v>
      </c>
      <c r="W2" s="122" t="str">
        <f t="shared" ref="W2:W20" si="1">IF(V2+U2=T2,"1","0")</f>
        <v>1</v>
      </c>
      <c r="X2" s="119">
        <f>Y2+Z2</f>
        <v>2622164</v>
      </c>
      <c r="Y2" s="119">
        <f>AB2</f>
        <v>2607892</v>
      </c>
      <c r="Z2" s="119">
        <f>6240+8032</f>
        <v>14272</v>
      </c>
      <c r="AA2" s="122" t="str">
        <f t="shared" ref="AA2:AA21" si="2">IF(Z2+Y2=X2,"1","0")</f>
        <v>1</v>
      </c>
      <c r="AB2" s="120">
        <v>2607892</v>
      </c>
      <c r="AC2" s="119">
        <v>0</v>
      </c>
      <c r="AD2" s="120">
        <v>2607892</v>
      </c>
      <c r="AE2" s="119">
        <v>71210</v>
      </c>
      <c r="AG2" s="145">
        <v>33739</v>
      </c>
      <c r="AH2" s="119">
        <f>AG2+AI2+AL2</f>
        <v>168014</v>
      </c>
      <c r="AI2" s="119">
        <v>11028</v>
      </c>
      <c r="AJ2" s="119">
        <v>37500</v>
      </c>
      <c r="AL2" s="119">
        <v>123247</v>
      </c>
      <c r="AM2" s="119">
        <v>172765</v>
      </c>
      <c r="AO2" s="119">
        <v>400000</v>
      </c>
    </row>
    <row r="3" spans="1:41" s="123" customFormat="1" ht="15" customHeight="1" thickBot="1" x14ac:dyDescent="0.35">
      <c r="A3" s="40">
        <v>1.1000000000000001</v>
      </c>
      <c r="B3" s="213" t="s">
        <v>1</v>
      </c>
      <c r="C3" s="31" t="str">
        <f>VLOOKUP((CONCATENATE(B3)),ID!$A$2:$D$305,3,0)</f>
        <v>RL001</v>
      </c>
      <c r="D3" s="31">
        <v>1</v>
      </c>
      <c r="E3" s="31" t="s">
        <v>4057</v>
      </c>
      <c r="F3" s="31" t="s">
        <v>1117</v>
      </c>
      <c r="G3" s="31" t="s">
        <v>3744</v>
      </c>
      <c r="H3" s="85">
        <v>4018</v>
      </c>
      <c r="I3" s="38">
        <v>4060</v>
      </c>
      <c r="J3" s="38">
        <v>4050</v>
      </c>
      <c r="K3" s="31">
        <v>1</v>
      </c>
      <c r="L3" s="38">
        <v>4074</v>
      </c>
      <c r="M3" s="38">
        <v>4461</v>
      </c>
      <c r="N3" s="38">
        <v>4077</v>
      </c>
      <c r="O3" s="31" t="s">
        <v>3733</v>
      </c>
      <c r="P3" s="194" t="str">
        <f>IF(AJ3=0,"?","1")</f>
        <v>1</v>
      </c>
      <c r="Q3" s="103">
        <v>1</v>
      </c>
      <c r="R3" s="39" t="str">
        <f t="shared" si="0"/>
        <v>-</v>
      </c>
      <c r="S3" s="120">
        <f t="shared" ref="S3:S147" si="3">T3-X3</f>
        <v>1566802</v>
      </c>
      <c r="T3" s="121">
        <v>4187978</v>
      </c>
      <c r="U3" s="121">
        <f>T3-V3</f>
        <v>3773873</v>
      </c>
      <c r="V3" s="121">
        <f>96835+4+140+317126</f>
        <v>414105</v>
      </c>
      <c r="W3" s="122" t="str">
        <f t="shared" si="1"/>
        <v>1</v>
      </c>
      <c r="X3" s="121">
        <f>Y3+Z3</f>
        <v>2621176</v>
      </c>
      <c r="Y3" s="120">
        <v>2607892</v>
      </c>
      <c r="Z3" s="120">
        <f>7044+6240</f>
        <v>13284</v>
      </c>
      <c r="AA3" s="122" t="str">
        <f t="shared" si="2"/>
        <v>1</v>
      </c>
      <c r="AB3" s="120">
        <f t="shared" ref="AB3:AB147" si="4">SUM(AC3+AD3)</f>
        <v>2607892</v>
      </c>
      <c r="AC3" s="120">
        <v>0</v>
      </c>
      <c r="AD3" s="120">
        <v>2607892</v>
      </c>
      <c r="AE3" s="120">
        <v>96835</v>
      </c>
      <c r="AF3" s="156"/>
      <c r="AG3" s="146">
        <f>AH3-AI3-AL3</f>
        <v>61846</v>
      </c>
      <c r="AH3" s="121">
        <f>204847-4442+84-4660</f>
        <v>195829</v>
      </c>
      <c r="AI3" s="121">
        <v>11195</v>
      </c>
      <c r="AJ3" s="121">
        <v>67500</v>
      </c>
      <c r="AK3" s="121"/>
      <c r="AL3" s="121">
        <v>122788</v>
      </c>
      <c r="AM3" s="121">
        <v>197566</v>
      </c>
      <c r="AO3" s="121">
        <v>400000</v>
      </c>
    </row>
    <row r="4" spans="1:41" s="123" customFormat="1" ht="15" customHeight="1" thickBot="1" x14ac:dyDescent="0.35">
      <c r="A4" s="32">
        <v>1.2</v>
      </c>
      <c r="B4" s="214" t="s">
        <v>1</v>
      </c>
      <c r="C4" s="31" t="str">
        <f>VLOOKUP((CONCATENATE(B4)),ID!$A$2:$D$305,3,0)</f>
        <v>RL001</v>
      </c>
      <c r="D4" s="32">
        <v>1</v>
      </c>
      <c r="E4" s="31" t="s">
        <v>4057</v>
      </c>
      <c r="F4" s="31" t="s">
        <v>1117</v>
      </c>
      <c r="G4" s="31" t="s">
        <v>3744</v>
      </c>
      <c r="H4" s="86">
        <v>4383</v>
      </c>
      <c r="I4" s="33">
        <v>4424</v>
      </c>
      <c r="J4" s="33">
        <v>4420</v>
      </c>
      <c r="K4" s="32">
        <v>1</v>
      </c>
      <c r="L4" s="33">
        <v>4438</v>
      </c>
      <c r="M4" s="33">
        <v>4459</v>
      </c>
      <c r="N4" s="33">
        <v>4441</v>
      </c>
      <c r="O4" s="32" t="s">
        <v>3733</v>
      </c>
      <c r="P4" s="194" t="str">
        <f>IF(AJ4=0,"?","1")</f>
        <v>1</v>
      </c>
      <c r="Q4" s="103">
        <v>1</v>
      </c>
      <c r="R4" s="39" t="str">
        <f t="shared" si="0"/>
        <v>-</v>
      </c>
      <c r="S4" s="120">
        <f t="shared" si="3"/>
        <v>1564908</v>
      </c>
      <c r="T4" s="124">
        <v>4191777</v>
      </c>
      <c r="U4" s="124">
        <f>T4-V4</f>
        <v>3756580</v>
      </c>
      <c r="V4" s="124">
        <f>20+124244+140+310793</f>
        <v>435197</v>
      </c>
      <c r="W4" s="122" t="str">
        <f t="shared" si="1"/>
        <v>1</v>
      </c>
      <c r="X4" s="124">
        <f>Y4+Z4</f>
        <v>2626869</v>
      </c>
      <c r="Y4" s="124">
        <f>2607892</f>
        <v>2607892</v>
      </c>
      <c r="Z4" s="123">
        <f>12737+6240</f>
        <v>18977</v>
      </c>
      <c r="AA4" s="122" t="str">
        <f t="shared" si="2"/>
        <v>1</v>
      </c>
      <c r="AB4" s="120">
        <f t="shared" si="4"/>
        <v>2607892</v>
      </c>
      <c r="AC4" s="124">
        <v>0</v>
      </c>
      <c r="AD4" s="124">
        <v>2607892</v>
      </c>
      <c r="AE4" s="124">
        <v>124244</v>
      </c>
      <c r="AF4" s="141"/>
      <c r="AG4" s="147">
        <f>AH4-AI4-AL4</f>
        <v>61668</v>
      </c>
      <c r="AH4" s="124">
        <f>61668+AI4+AL4</f>
        <v>195942</v>
      </c>
      <c r="AI4" s="124">
        <f>11486</f>
        <v>11486</v>
      </c>
      <c r="AJ4" s="124">
        <v>67500</v>
      </c>
      <c r="AK4" s="124"/>
      <c r="AL4" s="124">
        <v>122788</v>
      </c>
      <c r="AM4" s="124">
        <v>198376</v>
      </c>
      <c r="AN4" s="124"/>
      <c r="AO4" s="121">
        <v>400000</v>
      </c>
    </row>
    <row r="5" spans="1:41" s="123" customFormat="1" ht="15" customHeight="1" thickBot="1" x14ac:dyDescent="0.35">
      <c r="A5" s="32"/>
      <c r="B5" s="214" t="s">
        <v>1</v>
      </c>
      <c r="C5" s="31" t="str">
        <f>VLOOKUP((CONCATENATE(B5)),ID!$A$2:$D$305,3,0)</f>
        <v>RL001</v>
      </c>
      <c r="D5" s="32">
        <v>1</v>
      </c>
      <c r="E5" s="31" t="s">
        <v>4057</v>
      </c>
      <c r="F5" s="31" t="s">
        <v>1117</v>
      </c>
      <c r="G5" s="31" t="s">
        <v>3744</v>
      </c>
      <c r="H5" s="85">
        <v>4749</v>
      </c>
      <c r="I5" s="33">
        <v>4788</v>
      </c>
      <c r="J5" s="33">
        <v>4779</v>
      </c>
      <c r="K5" s="32">
        <v>1</v>
      </c>
      <c r="L5" s="33">
        <v>4802</v>
      </c>
      <c r="M5" s="33">
        <v>4823</v>
      </c>
      <c r="N5" s="33">
        <v>4805</v>
      </c>
      <c r="O5" s="32" t="s">
        <v>3733</v>
      </c>
      <c r="P5" s="194" t="str">
        <f>IF(AJ5=0,"?","1")</f>
        <v>1</v>
      </c>
      <c r="Q5" s="103">
        <v>1</v>
      </c>
      <c r="R5" s="39" t="str">
        <f t="shared" si="0"/>
        <v>-</v>
      </c>
      <c r="S5" s="120">
        <f t="shared" si="3"/>
        <v>1555841</v>
      </c>
      <c r="T5" s="124">
        <v>4183609</v>
      </c>
      <c r="U5" s="124">
        <f>T5-V5</f>
        <v>3771294</v>
      </c>
      <c r="V5" s="124">
        <f>140+2232+105793+304150</f>
        <v>412315</v>
      </c>
      <c r="W5" s="122" t="str">
        <f t="shared" si="1"/>
        <v>1</v>
      </c>
      <c r="X5" s="124">
        <f>Y5+Z5</f>
        <v>2627768</v>
      </c>
      <c r="Y5" s="124">
        <f>2607892</f>
        <v>2607892</v>
      </c>
      <c r="Z5" s="123">
        <f>13636+6240</f>
        <v>19876</v>
      </c>
      <c r="AA5" s="122" t="str">
        <f t="shared" si="2"/>
        <v>1</v>
      </c>
      <c r="AB5" s="120">
        <f t="shared" si="4"/>
        <v>2607892</v>
      </c>
      <c r="AC5" s="124">
        <v>0</v>
      </c>
      <c r="AD5" s="124">
        <f>Y5</f>
        <v>2607892</v>
      </c>
      <c r="AE5" s="124">
        <v>105793</v>
      </c>
      <c r="AF5" s="141"/>
      <c r="AG5" s="147">
        <f>AH5-AI5-AL5</f>
        <v>54495</v>
      </c>
      <c r="AH5" s="124">
        <f>54495+AI5+AL5</f>
        <v>189927</v>
      </c>
      <c r="AI5" s="124">
        <v>12644</v>
      </c>
      <c r="AJ5" s="124">
        <v>52500</v>
      </c>
      <c r="AK5" s="124"/>
      <c r="AL5" s="124">
        <v>122788</v>
      </c>
      <c r="AM5" s="124">
        <v>193374</v>
      </c>
      <c r="AN5" s="124"/>
      <c r="AO5" s="121">
        <v>400000</v>
      </c>
    </row>
    <row r="6" spans="1:41" s="123" customFormat="1" ht="15" customHeight="1" thickBot="1" x14ac:dyDescent="0.35">
      <c r="A6" s="32"/>
      <c r="B6" s="214" t="s">
        <v>1</v>
      </c>
      <c r="C6" s="31" t="str">
        <f>VLOOKUP((CONCATENATE(B6)),ID!$A$2:$D$305,3,0)</f>
        <v>RL001</v>
      </c>
      <c r="D6" s="32">
        <v>1</v>
      </c>
      <c r="E6" s="31" t="s">
        <v>4057</v>
      </c>
      <c r="F6" s="31" t="s">
        <v>1117</v>
      </c>
      <c r="G6" s="31" t="s">
        <v>3744</v>
      </c>
      <c r="H6" s="86">
        <v>5114</v>
      </c>
      <c r="I6" s="33">
        <v>5159</v>
      </c>
      <c r="J6" s="33">
        <v>5155</v>
      </c>
      <c r="K6" s="32">
        <v>1</v>
      </c>
      <c r="L6" s="33">
        <v>5166</v>
      </c>
      <c r="M6" s="33">
        <v>5187</v>
      </c>
      <c r="N6" s="33">
        <v>5170</v>
      </c>
      <c r="O6" s="32" t="s">
        <v>3733</v>
      </c>
      <c r="P6" s="194" t="str">
        <f>IF(AJ6=0,"?","1")</f>
        <v>1</v>
      </c>
      <c r="Q6" s="103">
        <v>1</v>
      </c>
      <c r="R6" s="39" t="str">
        <f t="shared" si="0"/>
        <v>-</v>
      </c>
      <c r="S6" s="120">
        <f t="shared" si="3"/>
        <v>1567818</v>
      </c>
      <c r="T6" s="124">
        <v>4195688</v>
      </c>
      <c r="U6" s="124">
        <f>T6-V6</f>
        <v>3796971</v>
      </c>
      <c r="V6" s="124">
        <f>101315+93+140+297169</f>
        <v>398717</v>
      </c>
      <c r="W6" s="122" t="str">
        <f t="shared" si="1"/>
        <v>1</v>
      </c>
      <c r="X6" s="124">
        <f>Y6+Z6</f>
        <v>2627870</v>
      </c>
      <c r="Y6" s="124">
        <f>2607892</f>
        <v>2607892</v>
      </c>
      <c r="Z6" s="123">
        <f>13738+6240</f>
        <v>19978</v>
      </c>
      <c r="AA6" s="122" t="str">
        <f t="shared" si="2"/>
        <v>1</v>
      </c>
      <c r="AB6" s="120">
        <f t="shared" si="4"/>
        <v>2607892</v>
      </c>
      <c r="AC6" s="124">
        <v>0</v>
      </c>
      <c r="AD6" s="124">
        <f>Y6</f>
        <v>2607892</v>
      </c>
      <c r="AE6" s="124">
        <v>101315</v>
      </c>
      <c r="AF6" s="141"/>
      <c r="AG6" s="147">
        <f>AH6-AI6-AL6</f>
        <v>61414</v>
      </c>
      <c r="AH6" s="124">
        <f>61414+AI6+AL6</f>
        <v>196824</v>
      </c>
      <c r="AI6" s="124">
        <v>12622</v>
      </c>
      <c r="AJ6" s="124">
        <v>67500</v>
      </c>
      <c r="AK6" s="124"/>
      <c r="AL6" s="124">
        <v>122788</v>
      </c>
      <c r="AM6" s="124">
        <v>200744</v>
      </c>
      <c r="AN6" s="124"/>
      <c r="AO6" s="121">
        <v>400000</v>
      </c>
    </row>
    <row r="7" spans="1:41" s="123" customFormat="1" ht="15" customHeight="1" thickBot="1" x14ac:dyDescent="0.35">
      <c r="A7" s="32"/>
      <c r="B7" s="211" t="s">
        <v>2</v>
      </c>
      <c r="C7" s="31" t="str">
        <f>VLOOKUP((CONCATENATE(B7)),ID!$A$2:$D$305,3,0)</f>
        <v>RL002</v>
      </c>
      <c r="D7" s="32">
        <v>0</v>
      </c>
      <c r="E7" s="17" t="s">
        <v>4057</v>
      </c>
      <c r="F7" s="17" t="s">
        <v>1117</v>
      </c>
      <c r="G7" s="17" t="s">
        <v>3853</v>
      </c>
      <c r="H7" s="87">
        <v>3653</v>
      </c>
      <c r="I7" s="33">
        <v>3673</v>
      </c>
      <c r="J7" s="33">
        <v>3680</v>
      </c>
      <c r="K7" s="32">
        <v>1</v>
      </c>
      <c r="L7" s="33">
        <v>3698</v>
      </c>
      <c r="M7" s="33">
        <v>3712</v>
      </c>
      <c r="N7" s="33">
        <v>3688</v>
      </c>
      <c r="O7" s="17" t="s">
        <v>3740</v>
      </c>
      <c r="P7" s="194">
        <v>1</v>
      </c>
      <c r="Q7" s="103">
        <v>1</v>
      </c>
      <c r="R7" s="39" t="str">
        <f t="shared" si="0"/>
        <v>-</v>
      </c>
      <c r="S7" s="120">
        <f t="shared" si="3"/>
        <v>45771</v>
      </c>
      <c r="T7" s="124">
        <v>424282</v>
      </c>
      <c r="U7" s="124">
        <f>1286+1655+21852+264886</f>
        <v>289679</v>
      </c>
      <c r="V7" s="124">
        <f>T7-U7</f>
        <v>134603</v>
      </c>
      <c r="W7" s="122" t="str">
        <f t="shared" si="1"/>
        <v>1</v>
      </c>
      <c r="X7" s="124">
        <f>T7-36755-9016</f>
        <v>378511</v>
      </c>
      <c r="Y7" s="124">
        <v>236747</v>
      </c>
      <c r="Z7" s="123">
        <f t="shared" ref="Z7:Z14" si="5">X7-Y7</f>
        <v>141764</v>
      </c>
      <c r="AA7" s="122" t="str">
        <f t="shared" si="2"/>
        <v>1</v>
      </c>
      <c r="AB7" s="120">
        <f>AC7+AD7</f>
        <v>236747</v>
      </c>
      <c r="AC7" s="124">
        <v>236747</v>
      </c>
      <c r="AD7" s="124">
        <v>0</v>
      </c>
      <c r="AE7" s="124">
        <v>70871</v>
      </c>
      <c r="AF7" s="141"/>
      <c r="AG7" s="147">
        <f>53774-5037</f>
        <v>48737</v>
      </c>
      <c r="AH7" s="124">
        <f>AG7+AL7</f>
        <v>64886</v>
      </c>
      <c r="AI7" s="124"/>
      <c r="AJ7" s="124"/>
      <c r="AK7" s="124"/>
      <c r="AL7" s="124">
        <f>5911+10238</f>
        <v>16149</v>
      </c>
      <c r="AM7" s="124">
        <v>134203</v>
      </c>
      <c r="AN7" s="124">
        <v>1363</v>
      </c>
      <c r="AO7" s="124"/>
    </row>
    <row r="8" spans="1:41" s="123" customFormat="1" ht="15" customHeight="1" thickBot="1" x14ac:dyDescent="0.35">
      <c r="A8" s="32"/>
      <c r="B8" s="211" t="s">
        <v>2</v>
      </c>
      <c r="C8" s="31" t="str">
        <f>VLOOKUP((CONCATENATE(B8)),ID!$A$2:$D$305,3,0)</f>
        <v>RL002</v>
      </c>
      <c r="D8" s="32">
        <v>0</v>
      </c>
      <c r="E8" s="17" t="s">
        <v>4057</v>
      </c>
      <c r="F8" s="17" t="s">
        <v>1117</v>
      </c>
      <c r="G8" s="17" t="s">
        <v>3853</v>
      </c>
      <c r="H8" s="88">
        <v>3834</v>
      </c>
      <c r="I8" s="33">
        <v>3856</v>
      </c>
      <c r="J8" s="33">
        <v>3860</v>
      </c>
      <c r="K8" s="32">
        <v>0</v>
      </c>
      <c r="L8" s="33"/>
      <c r="M8" s="33"/>
      <c r="N8" s="33">
        <v>3873</v>
      </c>
      <c r="O8" s="17" t="s">
        <v>3740</v>
      </c>
      <c r="P8" s="194">
        <v>1</v>
      </c>
      <c r="Q8" s="103">
        <v>1</v>
      </c>
      <c r="R8" s="39" t="str">
        <f t="shared" si="0"/>
        <v>-</v>
      </c>
      <c r="S8" s="120">
        <f t="shared" si="3"/>
        <v>50641</v>
      </c>
      <c r="T8" s="124">
        <v>485214</v>
      </c>
      <c r="U8" s="124">
        <f>20594+1644+1252+326183</f>
        <v>349673</v>
      </c>
      <c r="V8" s="124">
        <f t="shared" ref="V8:V14" si="6">T8-U8</f>
        <v>135541</v>
      </c>
      <c r="W8" s="122" t="str">
        <f t="shared" si="1"/>
        <v>1</v>
      </c>
      <c r="X8" s="124">
        <f>T8-9991-40650</f>
        <v>434573</v>
      </c>
      <c r="Y8" s="124">
        <v>302302</v>
      </c>
      <c r="Z8" s="123">
        <f t="shared" si="5"/>
        <v>132271</v>
      </c>
      <c r="AA8" s="122" t="str">
        <f t="shared" si="2"/>
        <v>1</v>
      </c>
      <c r="AB8" s="120">
        <f>AC8+AD8</f>
        <v>302302</v>
      </c>
      <c r="AC8" s="124">
        <v>302302</v>
      </c>
      <c r="AD8" s="124">
        <v>0</v>
      </c>
      <c r="AE8" s="124">
        <v>73186</v>
      </c>
      <c r="AF8" s="141"/>
      <c r="AG8" s="147">
        <f>AH8-AL8</f>
        <v>36553</v>
      </c>
      <c r="AH8" s="124">
        <f>56363-5430</f>
        <v>50933</v>
      </c>
      <c r="AI8" s="124"/>
      <c r="AJ8" s="124"/>
      <c r="AK8" s="124"/>
      <c r="AL8" s="124">
        <f>4145+10235</f>
        <v>14380</v>
      </c>
      <c r="AM8" s="124">
        <v>135080</v>
      </c>
      <c r="AN8" s="124">
        <v>1204</v>
      </c>
      <c r="AO8" s="124"/>
    </row>
    <row r="9" spans="1:41" s="123" customFormat="1" ht="16.2" thickBot="1" x14ac:dyDescent="0.35">
      <c r="A9" s="60">
        <v>2.1</v>
      </c>
      <c r="B9" s="211" t="s">
        <v>2</v>
      </c>
      <c r="C9" s="31" t="str">
        <f>VLOOKUP((CONCATENATE(B9)),ID!$A$2:$D$305,3,0)</f>
        <v>RL002</v>
      </c>
      <c r="D9" s="17">
        <v>0</v>
      </c>
      <c r="E9" s="17" t="s">
        <v>4057</v>
      </c>
      <c r="F9" s="17" t="s">
        <v>1117</v>
      </c>
      <c r="G9" s="17" t="s">
        <v>3853</v>
      </c>
      <c r="H9" s="87">
        <v>4018</v>
      </c>
      <c r="I9" s="22">
        <v>4046</v>
      </c>
      <c r="J9" s="22">
        <v>4042</v>
      </c>
      <c r="K9" s="17">
        <v>0</v>
      </c>
      <c r="L9" s="22"/>
      <c r="M9" s="22"/>
      <c r="N9" s="22">
        <v>4063</v>
      </c>
      <c r="O9" s="17" t="s">
        <v>3740</v>
      </c>
      <c r="P9" s="194">
        <v>1</v>
      </c>
      <c r="Q9" s="103">
        <v>1</v>
      </c>
      <c r="R9" s="39" t="str">
        <f t="shared" si="0"/>
        <v>-</v>
      </c>
      <c r="S9" s="120">
        <f t="shared" si="3"/>
        <v>49617</v>
      </c>
      <c r="T9" s="161">
        <v>471243</v>
      </c>
      <c r="U9" s="161">
        <f>308097+1202+1633+12000</f>
        <v>322932</v>
      </c>
      <c r="V9" s="124">
        <f t="shared" si="6"/>
        <v>148311</v>
      </c>
      <c r="W9" s="122" t="str">
        <f t="shared" si="1"/>
        <v>1</v>
      </c>
      <c r="X9" s="161">
        <f>T9-10966-38651</f>
        <v>421626</v>
      </c>
      <c r="Y9" s="161">
        <v>312028</v>
      </c>
      <c r="Z9" s="161">
        <f t="shared" si="5"/>
        <v>109598</v>
      </c>
      <c r="AA9" s="122" t="str">
        <f t="shared" si="2"/>
        <v>1</v>
      </c>
      <c r="AB9" s="137">
        <f t="shared" si="4"/>
        <v>312028</v>
      </c>
      <c r="AC9" s="161">
        <v>312028</v>
      </c>
      <c r="AD9" s="161">
        <v>0</v>
      </c>
      <c r="AE9" s="161">
        <v>73688</v>
      </c>
      <c r="AF9" s="162"/>
      <c r="AG9" s="163">
        <f>AH9-AL9</f>
        <v>37144</v>
      </c>
      <c r="AH9" s="161">
        <f>58699-5832</f>
        <v>52867</v>
      </c>
      <c r="AI9" s="161"/>
      <c r="AJ9" s="161"/>
      <c r="AK9" s="161"/>
      <c r="AL9" s="161">
        <f>21555-5832</f>
        <v>15723</v>
      </c>
      <c r="AM9" s="161">
        <v>139999</v>
      </c>
      <c r="AN9" s="161">
        <v>1471</v>
      </c>
      <c r="AO9" s="161"/>
    </row>
    <row r="10" spans="1:41" s="123" customFormat="1" ht="16.2" thickBot="1" x14ac:dyDescent="0.35">
      <c r="A10" s="21">
        <v>2.2000000000000002</v>
      </c>
      <c r="B10" s="211" t="s">
        <v>2</v>
      </c>
      <c r="C10" s="31" t="str">
        <f>VLOOKUP((CONCATENATE(B10)),ID!$A$2:$D$305,3,0)</f>
        <v>RL002</v>
      </c>
      <c r="D10" s="21">
        <v>0</v>
      </c>
      <c r="E10" s="21" t="s">
        <v>4057</v>
      </c>
      <c r="F10" s="21" t="s">
        <v>1117</v>
      </c>
      <c r="G10" s="21" t="s">
        <v>3853</v>
      </c>
      <c r="H10" s="88">
        <v>4199</v>
      </c>
      <c r="I10" s="43">
        <v>4217</v>
      </c>
      <c r="J10" s="43">
        <v>4224</v>
      </c>
      <c r="K10" s="21">
        <v>1</v>
      </c>
      <c r="L10" s="43">
        <v>4225</v>
      </c>
      <c r="M10" s="43">
        <v>4235</v>
      </c>
      <c r="N10" s="43">
        <v>4232</v>
      </c>
      <c r="O10" s="17" t="s">
        <v>3740</v>
      </c>
      <c r="P10" s="194">
        <v>1</v>
      </c>
      <c r="Q10" s="103">
        <v>1</v>
      </c>
      <c r="R10" s="39" t="str">
        <f t="shared" si="0"/>
        <v>-</v>
      </c>
      <c r="S10" s="120">
        <f t="shared" si="3"/>
        <v>65228</v>
      </c>
      <c r="T10" s="137">
        <v>461755</v>
      </c>
      <c r="U10" s="138">
        <f>361356+1176+1622+19965</f>
        <v>384119</v>
      </c>
      <c r="V10" s="124">
        <f t="shared" si="6"/>
        <v>77636</v>
      </c>
      <c r="W10" s="122" t="str">
        <f t="shared" si="1"/>
        <v>1</v>
      </c>
      <c r="X10" s="138">
        <f>T10-11941-53287</f>
        <v>396527</v>
      </c>
      <c r="Y10" s="138">
        <v>271078</v>
      </c>
      <c r="Z10" s="138">
        <f t="shared" si="5"/>
        <v>125449</v>
      </c>
      <c r="AA10" s="122" t="str">
        <f t="shared" si="2"/>
        <v>1</v>
      </c>
      <c r="AB10" s="137">
        <f t="shared" si="4"/>
        <v>271078</v>
      </c>
      <c r="AC10" s="138">
        <v>271078</v>
      </c>
      <c r="AD10" s="138">
        <v>0</v>
      </c>
      <c r="AE10" s="138">
        <v>13157</v>
      </c>
      <c r="AF10" s="138"/>
      <c r="AG10" s="153">
        <f>AH10-AL10</f>
        <v>47293</v>
      </c>
      <c r="AH10" s="138">
        <f>69226-6488</f>
        <v>62738</v>
      </c>
      <c r="AI10" s="138"/>
      <c r="AJ10" s="138"/>
      <c r="AK10" s="138"/>
      <c r="AL10" s="138">
        <f>5210+10235</f>
        <v>15445</v>
      </c>
      <c r="AM10" s="138">
        <f>AN10</f>
        <v>1688</v>
      </c>
      <c r="AN10" s="138">
        <v>1688</v>
      </c>
      <c r="AO10" s="138"/>
    </row>
    <row r="11" spans="1:41" s="123" customFormat="1" ht="16.2" thickBot="1" x14ac:dyDescent="0.35">
      <c r="A11" s="17">
        <v>2.2999999999999998</v>
      </c>
      <c r="B11" s="211" t="s">
        <v>2</v>
      </c>
      <c r="C11" s="31" t="str">
        <f>VLOOKUP((CONCATENATE(B11)),ID!$A$2:$D$305,3,0)</f>
        <v>RL002</v>
      </c>
      <c r="D11" s="17">
        <v>0</v>
      </c>
      <c r="E11" s="17" t="s">
        <v>4057</v>
      </c>
      <c r="F11" s="17" t="s">
        <v>1117</v>
      </c>
      <c r="G11" s="17" t="s">
        <v>3853</v>
      </c>
      <c r="H11" s="87">
        <v>4383</v>
      </c>
      <c r="I11" s="22">
        <v>4406</v>
      </c>
      <c r="J11" s="22">
        <v>4406</v>
      </c>
      <c r="K11" s="17">
        <v>1</v>
      </c>
      <c r="L11" s="22">
        <v>4422</v>
      </c>
      <c r="M11" s="22">
        <v>4436</v>
      </c>
      <c r="N11" s="22">
        <v>4423</v>
      </c>
      <c r="O11" s="17" t="s">
        <v>3740</v>
      </c>
      <c r="P11" s="194">
        <v>1</v>
      </c>
      <c r="Q11" s="103">
        <v>1</v>
      </c>
      <c r="R11" s="39" t="str">
        <f t="shared" si="0"/>
        <v>-</v>
      </c>
      <c r="S11" s="120">
        <f t="shared" si="3"/>
        <v>61802</v>
      </c>
      <c r="T11" s="161">
        <v>391283</v>
      </c>
      <c r="U11" s="161">
        <f>278985+1126+1611+18703</f>
        <v>300425</v>
      </c>
      <c r="V11" s="124">
        <f t="shared" si="6"/>
        <v>90858</v>
      </c>
      <c r="W11" s="122" t="str">
        <f t="shared" si="1"/>
        <v>1</v>
      </c>
      <c r="X11" s="138">
        <f>T11-12916-48886</f>
        <v>329481</v>
      </c>
      <c r="Y11" s="161">
        <v>193154</v>
      </c>
      <c r="Z11" s="161">
        <f t="shared" si="5"/>
        <v>136327</v>
      </c>
      <c r="AA11" s="122" t="str">
        <f t="shared" si="2"/>
        <v>1</v>
      </c>
      <c r="AB11" s="137">
        <f t="shared" si="4"/>
        <v>193154</v>
      </c>
      <c r="AC11" s="161">
        <v>193154</v>
      </c>
      <c r="AD11" s="161">
        <v>0</v>
      </c>
      <c r="AE11" s="161">
        <v>16350</v>
      </c>
      <c r="AF11" s="162"/>
      <c r="AG11" s="163">
        <f>53886-20531</f>
        <v>33355</v>
      </c>
      <c r="AH11" s="161">
        <f>53848-5980</f>
        <v>47868</v>
      </c>
      <c r="AI11" s="161"/>
      <c r="AJ11" s="161"/>
      <c r="AK11" s="161"/>
      <c r="AL11" s="161">
        <f>10235+4446</f>
        <v>14681</v>
      </c>
      <c r="AM11" s="161">
        <v>142456</v>
      </c>
      <c r="AN11" s="161">
        <v>1451</v>
      </c>
      <c r="AO11" s="161"/>
    </row>
    <row r="12" spans="1:41" s="123" customFormat="1" ht="16.2" thickBot="1" x14ac:dyDescent="0.35">
      <c r="A12" s="17">
        <v>2.4</v>
      </c>
      <c r="B12" s="211" t="s">
        <v>2</v>
      </c>
      <c r="C12" s="31" t="str">
        <f>VLOOKUP((CONCATENATE(B12)),ID!$A$2:$D$305,3,0)</f>
        <v>RL002</v>
      </c>
      <c r="D12" s="17">
        <v>0</v>
      </c>
      <c r="E12" s="17" t="s">
        <v>4057</v>
      </c>
      <c r="F12" s="17" t="s">
        <v>1117</v>
      </c>
      <c r="G12" s="17" t="s">
        <v>3853</v>
      </c>
      <c r="H12" s="87">
        <v>4565</v>
      </c>
      <c r="I12" s="22">
        <v>4588</v>
      </c>
      <c r="J12" s="22">
        <v>4588</v>
      </c>
      <c r="K12" s="17">
        <v>0</v>
      </c>
      <c r="L12" s="22"/>
      <c r="M12" s="22"/>
      <c r="N12" s="22">
        <v>4598</v>
      </c>
      <c r="O12" s="17" t="s">
        <v>3740</v>
      </c>
      <c r="P12" s="194">
        <v>1</v>
      </c>
      <c r="Q12" s="103">
        <v>1</v>
      </c>
      <c r="R12" s="39" t="str">
        <f t="shared" si="0"/>
        <v>-</v>
      </c>
      <c r="S12" s="120">
        <f t="shared" si="3"/>
        <v>63688</v>
      </c>
      <c r="T12" s="161">
        <v>397189</v>
      </c>
      <c r="U12" s="161">
        <f>300657+1076+1600+18400</f>
        <v>321733</v>
      </c>
      <c r="V12" s="124">
        <f t="shared" si="6"/>
        <v>75456</v>
      </c>
      <c r="W12" s="122" t="str">
        <f t="shared" si="1"/>
        <v>1</v>
      </c>
      <c r="X12" s="138">
        <f>T12-14028-49660</f>
        <v>333501</v>
      </c>
      <c r="Y12" s="161">
        <v>202554</v>
      </c>
      <c r="Z12" s="161">
        <f t="shared" si="5"/>
        <v>130947</v>
      </c>
      <c r="AA12" s="122" t="str">
        <f t="shared" si="2"/>
        <v>1</v>
      </c>
      <c r="AB12" s="137">
        <f t="shared" si="4"/>
        <v>202554</v>
      </c>
      <c r="AC12" s="161">
        <v>202554</v>
      </c>
      <c r="AD12" s="161">
        <v>0</v>
      </c>
      <c r="AE12" s="161">
        <v>12667</v>
      </c>
      <c r="AF12" s="162"/>
      <c r="AG12" s="163">
        <f>49660-12436</f>
        <v>37224</v>
      </c>
      <c r="AH12" s="161">
        <f>56189-5267</f>
        <v>50922</v>
      </c>
      <c r="AI12" s="161"/>
      <c r="AJ12" s="161"/>
      <c r="AK12" s="161"/>
      <c r="AL12" s="161">
        <f>3636+10235</f>
        <v>13871</v>
      </c>
      <c r="AM12" s="161">
        <v>137079</v>
      </c>
      <c r="AN12" s="161">
        <v>1151</v>
      </c>
      <c r="AO12" s="161"/>
    </row>
    <row r="13" spans="1:41" s="123" customFormat="1" ht="16.2" thickBot="1" x14ac:dyDescent="0.35">
      <c r="A13" s="17"/>
      <c r="B13" s="211" t="s">
        <v>2</v>
      </c>
      <c r="C13" s="31" t="str">
        <f>VLOOKUP((CONCATENATE(B13)),ID!$A$2:$D$305,3,0)</f>
        <v>RL002</v>
      </c>
      <c r="D13" s="17">
        <v>0</v>
      </c>
      <c r="E13" s="17" t="s">
        <v>4057</v>
      </c>
      <c r="F13" s="17" t="s">
        <v>1117</v>
      </c>
      <c r="G13" s="17" t="s">
        <v>3853</v>
      </c>
      <c r="H13" s="87">
        <v>4749</v>
      </c>
      <c r="I13" s="22">
        <v>4770</v>
      </c>
      <c r="J13" s="22">
        <v>4779</v>
      </c>
      <c r="K13" s="17">
        <v>1</v>
      </c>
      <c r="L13" s="22">
        <v>4781</v>
      </c>
      <c r="M13" s="22">
        <v>4795</v>
      </c>
      <c r="N13" s="22">
        <v>4794</v>
      </c>
      <c r="O13" s="17" t="s">
        <v>3740</v>
      </c>
      <c r="P13" s="194">
        <v>1</v>
      </c>
      <c r="Q13" s="103">
        <v>1</v>
      </c>
      <c r="R13" s="39" t="str">
        <f t="shared" si="0"/>
        <v>-</v>
      </c>
      <c r="S13" s="120">
        <f t="shared" si="3"/>
        <v>67615</v>
      </c>
      <c r="T13" s="161">
        <v>398650</v>
      </c>
      <c r="U13" s="161">
        <f>304401+1589+7648</f>
        <v>313638</v>
      </c>
      <c r="V13" s="124">
        <f>T13-U13</f>
        <v>85012</v>
      </c>
      <c r="W13" s="122" t="str">
        <f t="shared" si="1"/>
        <v>1</v>
      </c>
      <c r="X13" s="138">
        <f>T13-15613-52002</f>
        <v>331035</v>
      </c>
      <c r="Y13" s="161">
        <v>214551</v>
      </c>
      <c r="Z13" s="161">
        <f t="shared" si="5"/>
        <v>116484</v>
      </c>
      <c r="AA13" s="122" t="str">
        <f t="shared" si="2"/>
        <v>1</v>
      </c>
      <c r="AB13" s="137">
        <f>AC13+AD13</f>
        <v>214551</v>
      </c>
      <c r="AC13" s="161">
        <v>214551</v>
      </c>
      <c r="AD13" s="161">
        <v>0</v>
      </c>
      <c r="AE13" s="161">
        <v>15374</v>
      </c>
      <c r="AF13" s="162"/>
      <c r="AG13" s="163">
        <f>62002-12535</f>
        <v>49467</v>
      </c>
      <c r="AH13" s="161">
        <f>70127-6986</f>
        <v>63141</v>
      </c>
      <c r="AI13" s="161"/>
      <c r="AJ13" s="122"/>
      <c r="AK13" s="161"/>
      <c r="AL13" s="161">
        <f>3613+10235</f>
        <v>13848</v>
      </c>
      <c r="AM13" s="161">
        <v>174042</v>
      </c>
      <c r="AN13" s="161">
        <v>1459</v>
      </c>
      <c r="AO13" s="161"/>
    </row>
    <row r="14" spans="1:41" s="123" customFormat="1" ht="16.2" thickBot="1" x14ac:dyDescent="0.35">
      <c r="A14" s="17"/>
      <c r="B14" s="211" t="s">
        <v>2</v>
      </c>
      <c r="C14" s="31" t="str">
        <f>VLOOKUP((CONCATENATE(B14)),ID!$A$2:$D$305,3,0)</f>
        <v>RL002</v>
      </c>
      <c r="D14" s="17">
        <v>1</v>
      </c>
      <c r="E14" s="17" t="s">
        <v>4057</v>
      </c>
      <c r="F14" s="17" t="s">
        <v>1117</v>
      </c>
      <c r="G14" s="17" t="s">
        <v>3853</v>
      </c>
      <c r="H14" s="87">
        <v>5114</v>
      </c>
      <c r="I14" s="22">
        <v>5141</v>
      </c>
      <c r="J14" s="22">
        <v>5141</v>
      </c>
      <c r="K14" s="17">
        <v>1</v>
      </c>
      <c r="L14" s="22">
        <v>5150</v>
      </c>
      <c r="M14" s="22">
        <v>5159</v>
      </c>
      <c r="N14" s="22">
        <v>5157</v>
      </c>
      <c r="O14" s="17" t="s">
        <v>3740</v>
      </c>
      <c r="P14" s="194" t="str">
        <f t="shared" ref="P14:P24" si="7">IF(AJ14=0,"?","1")</f>
        <v>1</v>
      </c>
      <c r="Q14" s="103">
        <v>1</v>
      </c>
      <c r="R14" s="39" t="str">
        <f t="shared" si="0"/>
        <v>-</v>
      </c>
      <c r="S14" s="120">
        <f t="shared" si="3"/>
        <v>90879</v>
      </c>
      <c r="T14" s="161">
        <v>410167</v>
      </c>
      <c r="U14" s="161">
        <f>318591+1568+3773</f>
        <v>323932</v>
      </c>
      <c r="V14" s="124">
        <f t="shared" si="6"/>
        <v>86235</v>
      </c>
      <c r="W14" s="122" t="str">
        <f t="shared" si="1"/>
        <v>1</v>
      </c>
      <c r="X14" s="138">
        <f>T14-74236-16643</f>
        <v>319288</v>
      </c>
      <c r="Y14" s="161">
        <v>185754</v>
      </c>
      <c r="Z14" s="161">
        <f t="shared" si="5"/>
        <v>133534</v>
      </c>
      <c r="AA14" s="122" t="str">
        <f t="shared" si="2"/>
        <v>1</v>
      </c>
      <c r="AB14" s="137">
        <f>AC14+AD14</f>
        <v>185754</v>
      </c>
      <c r="AC14" s="161">
        <v>185754</v>
      </c>
      <c r="AD14" s="161">
        <v>0</v>
      </c>
      <c r="AE14" s="161">
        <v>11502</v>
      </c>
      <c r="AF14" s="162"/>
      <c r="AG14" s="163">
        <f>AH14-AL14</f>
        <v>101659</v>
      </c>
      <c r="AH14" s="161">
        <f>144715-14156</f>
        <v>130559</v>
      </c>
      <c r="AI14" s="161"/>
      <c r="AJ14" s="122">
        <v>94512</v>
      </c>
      <c r="AK14" s="161"/>
      <c r="AL14" s="161">
        <f>20471+8429</f>
        <v>28900</v>
      </c>
      <c r="AM14" s="161">
        <v>351460</v>
      </c>
      <c r="AN14" s="161"/>
      <c r="AO14" s="161"/>
    </row>
    <row r="15" spans="1:41" s="138" customFormat="1" ht="16.2" thickBot="1" x14ac:dyDescent="0.35">
      <c r="A15" s="118"/>
      <c r="B15" s="211" t="s">
        <v>11</v>
      </c>
      <c r="C15" s="31" t="str">
        <f>VLOOKUP((CONCATENATE(B15)),ID!$A$2:$D$305,3,0)</f>
        <v>RL003</v>
      </c>
      <c r="D15" s="60">
        <v>1</v>
      </c>
      <c r="E15" s="60" t="s">
        <v>4057</v>
      </c>
      <c r="F15" s="60" t="s">
        <v>1117</v>
      </c>
      <c r="G15" s="60" t="s">
        <v>3775</v>
      </c>
      <c r="H15" s="89">
        <v>3652</v>
      </c>
      <c r="I15" s="160">
        <v>3815</v>
      </c>
      <c r="J15" s="160">
        <v>3814</v>
      </c>
      <c r="K15" s="118">
        <v>1</v>
      </c>
      <c r="L15" s="160">
        <v>3818</v>
      </c>
      <c r="M15" s="160">
        <v>3824</v>
      </c>
      <c r="N15" s="160">
        <v>3824</v>
      </c>
      <c r="O15" s="60" t="s">
        <v>3774</v>
      </c>
      <c r="P15" s="194" t="str">
        <f t="shared" si="7"/>
        <v>1</v>
      </c>
      <c r="Q15" s="103">
        <v>1</v>
      </c>
      <c r="R15" s="39" t="str">
        <f t="shared" si="0"/>
        <v>-</v>
      </c>
      <c r="S15" s="137">
        <f t="shared" si="3"/>
        <v>884475</v>
      </c>
      <c r="T15" s="161">
        <v>1902919</v>
      </c>
      <c r="U15" s="161">
        <f>T15-V15</f>
        <v>967536</v>
      </c>
      <c r="V15" s="161">
        <f>25314+317568+177695+414806</f>
        <v>935383</v>
      </c>
      <c r="W15" s="122" t="str">
        <f t="shared" si="1"/>
        <v>1</v>
      </c>
      <c r="X15" s="138">
        <f>Y15+Z15</f>
        <v>1018444</v>
      </c>
      <c r="Y15" s="161">
        <f>AD15</f>
        <v>693025</v>
      </c>
      <c r="Z15" s="161">
        <f>87723+173356+64340</f>
        <v>325419</v>
      </c>
      <c r="AA15" s="122" t="str">
        <f t="shared" si="2"/>
        <v>1</v>
      </c>
      <c r="AB15" s="120">
        <f>AC15+AD15</f>
        <v>693025</v>
      </c>
      <c r="AC15" s="161">
        <v>0</v>
      </c>
      <c r="AD15" s="161">
        <f>655359+37666</f>
        <v>693025</v>
      </c>
      <c r="AE15" s="161">
        <v>25314</v>
      </c>
      <c r="AF15" s="162"/>
      <c r="AG15" s="163">
        <f>AH15-AI15-AL15</f>
        <v>403266</v>
      </c>
      <c r="AH15" s="161">
        <f>650849-33165-43659</f>
        <v>574025</v>
      </c>
      <c r="AI15" s="161">
        <v>3197</v>
      </c>
      <c r="AJ15" s="122">
        <f>211250</f>
        <v>211250</v>
      </c>
      <c r="AK15" s="161"/>
      <c r="AL15" s="161">
        <f>40000+45000+75000+7562</f>
        <v>167562</v>
      </c>
      <c r="AM15" s="161">
        <f>60672+1122226</f>
        <v>1182898</v>
      </c>
      <c r="AN15" s="161"/>
      <c r="AO15" s="161"/>
    </row>
    <row r="16" spans="1:41" s="126" customFormat="1" ht="16.2" thickBot="1" x14ac:dyDescent="0.35">
      <c r="A16" s="60">
        <v>3.1</v>
      </c>
      <c r="B16" s="211" t="s">
        <v>11</v>
      </c>
      <c r="C16" s="31" t="str">
        <f>VLOOKUP((CONCATENATE(B16)),ID!$A$2:$D$305,3,0)</f>
        <v>RL003</v>
      </c>
      <c r="D16" s="60">
        <v>1</v>
      </c>
      <c r="E16" s="60" t="s">
        <v>4057</v>
      </c>
      <c r="F16" s="60" t="s">
        <v>1117</v>
      </c>
      <c r="G16" s="60" t="s">
        <v>3775</v>
      </c>
      <c r="H16" s="89">
        <v>4018</v>
      </c>
      <c r="I16" s="61">
        <v>4181</v>
      </c>
      <c r="J16" s="61">
        <v>4181</v>
      </c>
      <c r="K16" s="60">
        <v>1</v>
      </c>
      <c r="L16" s="61">
        <v>4181</v>
      </c>
      <c r="M16" s="61">
        <v>4189</v>
      </c>
      <c r="N16" s="61">
        <v>4189</v>
      </c>
      <c r="O16" s="60" t="s">
        <v>3774</v>
      </c>
      <c r="P16" s="194" t="str">
        <f t="shared" si="7"/>
        <v>1</v>
      </c>
      <c r="Q16" s="103">
        <v>1</v>
      </c>
      <c r="R16" s="39" t="str">
        <f t="shared" si="0"/>
        <v>-</v>
      </c>
      <c r="S16" s="120">
        <f t="shared" si="3"/>
        <v>859352</v>
      </c>
      <c r="T16" s="125">
        <v>1878638</v>
      </c>
      <c r="U16" s="125">
        <f>22692+946633</f>
        <v>969325</v>
      </c>
      <c r="V16" s="125">
        <f t="shared" ref="V16:V21" si="8">T16-U16</f>
        <v>909313</v>
      </c>
      <c r="W16" s="122" t="str">
        <f t="shared" si="1"/>
        <v>1</v>
      </c>
      <c r="X16" s="125">
        <f>270000+42375+89033+466172+151706</f>
        <v>1019286</v>
      </c>
      <c r="Y16" s="125">
        <f>151706</f>
        <v>151706</v>
      </c>
      <c r="Z16" s="125">
        <f>270000+89033+466172+42375</f>
        <v>867580</v>
      </c>
      <c r="AA16" s="122" t="str">
        <f t="shared" si="2"/>
        <v>1</v>
      </c>
      <c r="AB16" s="120">
        <f t="shared" si="4"/>
        <v>151706</v>
      </c>
      <c r="AC16" s="125">
        <v>0</v>
      </c>
      <c r="AD16" s="125">
        <v>151706</v>
      </c>
      <c r="AE16" s="125">
        <v>79488</v>
      </c>
      <c r="AF16" s="142"/>
      <c r="AG16" s="148">
        <f>AH16-AI16-AL16</f>
        <v>490082</v>
      </c>
      <c r="AH16" s="125">
        <f>740299-36906-20000</f>
        <v>683393</v>
      </c>
      <c r="AI16" s="125">
        <v>18311</v>
      </c>
      <c r="AJ16" s="126">
        <v>212889</v>
      </c>
      <c r="AK16" s="125"/>
      <c r="AL16" s="125">
        <v>175000</v>
      </c>
      <c r="AM16" s="125">
        <f>1332521+66554</f>
        <v>1399075</v>
      </c>
      <c r="AN16" s="125"/>
      <c r="AO16" s="125"/>
    </row>
    <row r="17" spans="1:41" s="126" customFormat="1" ht="16.2" thickBot="1" x14ac:dyDescent="0.35">
      <c r="A17" s="60">
        <v>3.2</v>
      </c>
      <c r="B17" s="211" t="s">
        <v>11</v>
      </c>
      <c r="C17" s="31" t="str">
        <f>VLOOKUP((CONCATENATE(B17)),ID!$A$2:$D$305,3,0)</f>
        <v>RL003</v>
      </c>
      <c r="D17" s="60">
        <v>1</v>
      </c>
      <c r="E17" s="60" t="s">
        <v>4057</v>
      </c>
      <c r="F17" s="60" t="s">
        <v>1117</v>
      </c>
      <c r="G17" s="60" t="s">
        <v>3775</v>
      </c>
      <c r="H17" s="89">
        <v>4383</v>
      </c>
      <c r="I17" s="61">
        <v>4527</v>
      </c>
      <c r="J17" s="61">
        <v>4525</v>
      </c>
      <c r="K17" s="60">
        <v>1</v>
      </c>
      <c r="L17" s="61">
        <v>4528</v>
      </c>
      <c r="M17" s="61">
        <v>4539</v>
      </c>
      <c r="N17" s="61">
        <v>4539</v>
      </c>
      <c r="O17" s="60" t="s">
        <v>3774</v>
      </c>
      <c r="P17" s="194" t="str">
        <f t="shared" si="7"/>
        <v>1</v>
      </c>
      <c r="Q17" s="103">
        <v>1</v>
      </c>
      <c r="R17" s="39" t="str">
        <f t="shared" si="0"/>
        <v>-</v>
      </c>
      <c r="S17" s="120">
        <f t="shared" si="3"/>
        <v>1226686</v>
      </c>
      <c r="T17" s="125">
        <v>2253459</v>
      </c>
      <c r="U17" s="125">
        <f>398849+30689</f>
        <v>429538</v>
      </c>
      <c r="V17" s="125">
        <f t="shared" si="8"/>
        <v>1823921</v>
      </c>
      <c r="W17" s="122" t="str">
        <f t="shared" si="1"/>
        <v>1</v>
      </c>
      <c r="X17" s="125">
        <f>Z17</f>
        <v>1026773</v>
      </c>
      <c r="Y17" s="125">
        <v>0</v>
      </c>
      <c r="Z17" s="125">
        <f>2253459-152097-290969-44405-500000-50000-189215</f>
        <v>1026773</v>
      </c>
      <c r="AA17" s="122" t="str">
        <f t="shared" si="2"/>
        <v>1</v>
      </c>
      <c r="AB17" s="120">
        <f t="shared" si="4"/>
        <v>0</v>
      </c>
      <c r="AC17" s="125">
        <v>0</v>
      </c>
      <c r="AD17" s="125">
        <v>0</v>
      </c>
      <c r="AE17" s="125">
        <v>708748</v>
      </c>
      <c r="AF17" s="142"/>
      <c r="AG17" s="148">
        <f>AH17-AI17-AL17</f>
        <v>565883</v>
      </c>
      <c r="AH17" s="125">
        <f>844730-34597-30000</f>
        <v>780133</v>
      </c>
      <c r="AI17" s="125">
        <v>24250</v>
      </c>
      <c r="AJ17" s="125">
        <v>241381</v>
      </c>
      <c r="AK17" s="125"/>
      <c r="AL17" s="125">
        <v>190000</v>
      </c>
      <c r="AM17" s="125">
        <f>1516886+71372</f>
        <v>1588258</v>
      </c>
      <c r="AN17" s="125"/>
      <c r="AO17" s="125"/>
    </row>
    <row r="18" spans="1:41" s="126" customFormat="1" ht="16.2" thickBot="1" x14ac:dyDescent="0.35">
      <c r="A18" s="60"/>
      <c r="B18" s="211" t="s">
        <v>11</v>
      </c>
      <c r="C18" s="31" t="str">
        <f>VLOOKUP((CONCATENATE(B18)),ID!$A$2:$D$305,3,0)</f>
        <v>RL003</v>
      </c>
      <c r="D18" s="60">
        <v>1</v>
      </c>
      <c r="E18" s="60" t="s">
        <v>4057</v>
      </c>
      <c r="F18" s="60" t="s">
        <v>1117</v>
      </c>
      <c r="G18" s="60" t="s">
        <v>3775</v>
      </c>
      <c r="H18" s="89">
        <v>4749</v>
      </c>
      <c r="I18" s="61">
        <v>4899</v>
      </c>
      <c r="J18" s="61">
        <v>4897</v>
      </c>
      <c r="K18" s="60">
        <v>1</v>
      </c>
      <c r="L18" s="61">
        <v>4899</v>
      </c>
      <c r="M18" s="61">
        <v>4910</v>
      </c>
      <c r="N18" s="61">
        <v>4910</v>
      </c>
      <c r="O18" s="60" t="s">
        <v>3774</v>
      </c>
      <c r="P18" s="194" t="str">
        <f t="shared" si="7"/>
        <v>1</v>
      </c>
      <c r="Q18" s="103">
        <v>1</v>
      </c>
      <c r="R18" s="39" t="str">
        <f t="shared" si="0"/>
        <v>-</v>
      </c>
      <c r="S18" s="120">
        <f t="shared" si="3"/>
        <v>1526013</v>
      </c>
      <c r="T18" s="125">
        <v>2703006</v>
      </c>
      <c r="U18" s="125">
        <f>44288+571955+360537</f>
        <v>976780</v>
      </c>
      <c r="V18" s="125">
        <f t="shared" si="8"/>
        <v>1726226</v>
      </c>
      <c r="W18" s="122" t="str">
        <f t="shared" si="1"/>
        <v>1</v>
      </c>
      <c r="X18" s="125">
        <f>Z18+Y18</f>
        <v>1176993</v>
      </c>
      <c r="Y18" s="125">
        <v>0</v>
      </c>
      <c r="Z18" s="125">
        <f>2703006-168776-497237-60000-750000-50000</f>
        <v>1176993</v>
      </c>
      <c r="AA18" s="122" t="str">
        <f t="shared" si="2"/>
        <v>1</v>
      </c>
      <c r="AB18" s="120">
        <f t="shared" si="4"/>
        <v>0</v>
      </c>
      <c r="AC18" s="125">
        <v>0</v>
      </c>
      <c r="AD18" s="125">
        <v>0</v>
      </c>
      <c r="AE18" s="125">
        <v>635562</v>
      </c>
      <c r="AF18" s="142"/>
      <c r="AG18" s="148">
        <f>AH18-AI18-AL18</f>
        <v>582664</v>
      </c>
      <c r="AH18" s="125">
        <f>905102-42097-60000</f>
        <v>803005</v>
      </c>
      <c r="AI18" s="125">
        <v>30341</v>
      </c>
      <c r="AJ18" s="125">
        <v>248158</v>
      </c>
      <c r="AK18" s="125"/>
      <c r="AL18" s="125">
        <v>190000</v>
      </c>
      <c r="AM18" s="125">
        <f>1663835+87263</f>
        <v>1751098</v>
      </c>
      <c r="AN18" s="125"/>
      <c r="AO18" s="125"/>
    </row>
    <row r="19" spans="1:41" s="126" customFormat="1" ht="16.2" thickBot="1" x14ac:dyDescent="0.35">
      <c r="A19" s="60"/>
      <c r="B19" s="211" t="s">
        <v>11</v>
      </c>
      <c r="C19" s="31" t="str">
        <f>VLOOKUP((CONCATENATE(B19)),ID!$A$2:$D$305,3,0)</f>
        <v>RL003</v>
      </c>
      <c r="D19" s="60">
        <v>1</v>
      </c>
      <c r="E19" s="60" t="s">
        <v>4057</v>
      </c>
      <c r="F19" s="60" t="s">
        <v>1117</v>
      </c>
      <c r="G19" s="60" t="s">
        <v>3775</v>
      </c>
      <c r="H19" s="89">
        <v>5114</v>
      </c>
      <c r="I19" s="61">
        <v>5263</v>
      </c>
      <c r="J19" s="61">
        <v>5260</v>
      </c>
      <c r="K19" s="60">
        <v>1</v>
      </c>
      <c r="L19" s="61">
        <v>5267</v>
      </c>
      <c r="M19" s="61">
        <v>5274</v>
      </c>
      <c r="N19" s="61">
        <v>5274</v>
      </c>
      <c r="O19" s="60" t="s">
        <v>3774</v>
      </c>
      <c r="P19" s="194" t="str">
        <f t="shared" si="7"/>
        <v>1</v>
      </c>
      <c r="Q19" s="103">
        <v>1</v>
      </c>
      <c r="R19" s="39" t="str">
        <f t="shared" si="0"/>
        <v>-</v>
      </c>
      <c r="S19" s="120">
        <f t="shared" si="3"/>
        <v>2082030</v>
      </c>
      <c r="T19" s="125">
        <v>3150494</v>
      </c>
      <c r="U19" s="125">
        <f>1060769+59681+289488</f>
        <v>1409938</v>
      </c>
      <c r="V19" s="125">
        <f t="shared" si="8"/>
        <v>1740556</v>
      </c>
      <c r="W19" s="122" t="str">
        <f t="shared" si="1"/>
        <v>1</v>
      </c>
      <c r="X19" s="125">
        <f>Z19+Y19</f>
        <v>1068464</v>
      </c>
      <c r="Y19" s="125">
        <v>0</v>
      </c>
      <c r="Z19" s="125">
        <f>3150494-251062-700319-80649-1000000-50000</f>
        <v>1068464</v>
      </c>
      <c r="AA19" s="122" t="str">
        <f t="shared" si="2"/>
        <v>1</v>
      </c>
      <c r="AB19" s="120">
        <f t="shared" si="4"/>
        <v>0</v>
      </c>
      <c r="AC19" s="125">
        <v>0</v>
      </c>
      <c r="AD19" s="125">
        <v>0</v>
      </c>
      <c r="AE19" s="125">
        <v>243602</v>
      </c>
      <c r="AF19" s="142"/>
      <c r="AG19" s="148">
        <f>AH19-AI19-AL19</f>
        <v>709286</v>
      </c>
      <c r="AH19" s="125">
        <f>972814-48776</f>
        <v>924038</v>
      </c>
      <c r="AI19" s="125">
        <v>24752</v>
      </c>
      <c r="AJ19" s="125">
        <v>250000</v>
      </c>
      <c r="AK19" s="125"/>
      <c r="AL19" s="125">
        <v>190000</v>
      </c>
      <c r="AM19" s="125">
        <f>1811774+104868</f>
        <v>1916642</v>
      </c>
      <c r="AN19" s="125"/>
      <c r="AO19" s="125"/>
    </row>
    <row r="20" spans="1:41" s="126" customFormat="1" ht="16.2" thickBot="1" x14ac:dyDescent="0.35">
      <c r="A20" s="60"/>
      <c r="B20" s="211" t="s">
        <v>13</v>
      </c>
      <c r="C20" s="31" t="str">
        <f>VLOOKUP((CONCATENATE(B20)),ID!$A$2:$D$305,3,0)</f>
        <v>RL004</v>
      </c>
      <c r="D20" s="17">
        <v>1</v>
      </c>
      <c r="E20" s="17" t="s">
        <v>4057</v>
      </c>
      <c r="F20" s="17" t="s">
        <v>1117</v>
      </c>
      <c r="G20" s="17" t="s">
        <v>3776</v>
      </c>
      <c r="H20" s="87">
        <v>3834</v>
      </c>
      <c r="I20" s="61">
        <v>3961</v>
      </c>
      <c r="J20" s="61">
        <v>3960</v>
      </c>
      <c r="K20" s="60">
        <v>0</v>
      </c>
      <c r="L20" s="61"/>
      <c r="M20" s="61"/>
      <c r="N20" s="61">
        <v>3972</v>
      </c>
      <c r="O20" s="17" t="s">
        <v>3774</v>
      </c>
      <c r="P20" s="194" t="str">
        <f t="shared" si="7"/>
        <v>1</v>
      </c>
      <c r="Q20" s="103">
        <v>1</v>
      </c>
      <c r="R20" s="39" t="str">
        <f t="shared" si="0"/>
        <v>-</v>
      </c>
      <c r="S20" s="120">
        <f>T20-X20</f>
        <v>189664</v>
      </c>
      <c r="T20" s="125">
        <v>931283</v>
      </c>
      <c r="U20" s="125">
        <f>T20-V20</f>
        <v>722589</v>
      </c>
      <c r="V20" s="125">
        <f>AE20+31801+106250</f>
        <v>208694</v>
      </c>
      <c r="W20" s="122" t="str">
        <f t="shared" si="1"/>
        <v>1</v>
      </c>
      <c r="X20" s="125">
        <f>Y20+Z20</f>
        <v>741619</v>
      </c>
      <c r="Y20" s="125">
        <f>AD20+641031</f>
        <v>739127</v>
      </c>
      <c r="Z20" s="125">
        <f>1509+983</f>
        <v>2492</v>
      </c>
      <c r="AA20" s="122" t="str">
        <f t="shared" si="2"/>
        <v>1</v>
      </c>
      <c r="AB20" s="120">
        <f t="shared" si="4"/>
        <v>98096</v>
      </c>
      <c r="AC20" s="125">
        <v>0</v>
      </c>
      <c r="AD20" s="125">
        <v>98096</v>
      </c>
      <c r="AE20" s="125">
        <v>70643</v>
      </c>
      <c r="AF20" s="142"/>
      <c r="AG20" s="148">
        <f t="shared" ref="AG20:AG25" si="9">AH20-AL20</f>
        <v>197563</v>
      </c>
      <c r="AH20" s="125">
        <f>488014-14940-14940-12394-1200</f>
        <v>444540</v>
      </c>
      <c r="AI20" s="125"/>
      <c r="AJ20" s="125">
        <v>106250</v>
      </c>
      <c r="AK20" s="125"/>
      <c r="AL20" s="125">
        <f>240441+6536</f>
        <v>246977</v>
      </c>
      <c r="AM20" s="125"/>
      <c r="AN20" s="125"/>
      <c r="AO20" s="125"/>
    </row>
    <row r="21" spans="1:41" s="123" customFormat="1" ht="16.2" thickBot="1" x14ac:dyDescent="0.35">
      <c r="A21" s="17">
        <v>4.0999999999999996</v>
      </c>
      <c r="B21" s="211" t="s">
        <v>13</v>
      </c>
      <c r="C21" s="31" t="str">
        <f>VLOOKUP((CONCATENATE(B21)),ID!$A$2:$D$305,3,0)</f>
        <v>RL004</v>
      </c>
      <c r="D21" s="17">
        <v>1</v>
      </c>
      <c r="E21" s="17" t="s">
        <v>4057</v>
      </c>
      <c r="F21" s="17" t="s">
        <v>1117</v>
      </c>
      <c r="G21" s="17" t="s">
        <v>3776</v>
      </c>
      <c r="H21" s="87">
        <v>4199</v>
      </c>
      <c r="I21" s="22">
        <v>4325</v>
      </c>
      <c r="J21" s="22">
        <v>4324</v>
      </c>
      <c r="K21" s="17">
        <v>0</v>
      </c>
      <c r="L21" s="22"/>
      <c r="M21" s="22"/>
      <c r="N21" s="22">
        <v>4335</v>
      </c>
      <c r="O21" s="17" t="s">
        <v>3774</v>
      </c>
      <c r="P21" s="194" t="str">
        <f t="shared" si="7"/>
        <v>1</v>
      </c>
      <c r="Q21" s="103">
        <v>1</v>
      </c>
      <c r="R21" s="39" t="str">
        <f t="shared" si="0"/>
        <v>-</v>
      </c>
      <c r="S21" s="120">
        <f t="shared" si="3"/>
        <v>185442</v>
      </c>
      <c r="T21" s="127">
        <v>759564</v>
      </c>
      <c r="U21" s="127">
        <f>409659+159925</f>
        <v>569584</v>
      </c>
      <c r="V21" s="127">
        <f t="shared" si="8"/>
        <v>189980</v>
      </c>
      <c r="W21" s="122" t="str">
        <f t="shared" ref="W21:W77" si="10">IF(V21+U21=T21,"1","0")</f>
        <v>1</v>
      </c>
      <c r="X21" s="127">
        <f>Y21+Z21</f>
        <v>574122</v>
      </c>
      <c r="Y21" s="127">
        <f>461569+110577</f>
        <v>572146</v>
      </c>
      <c r="Z21" s="127">
        <f>993+983</f>
        <v>1976</v>
      </c>
      <c r="AA21" s="122" t="str">
        <f t="shared" si="2"/>
        <v>1</v>
      </c>
      <c r="AB21" s="120">
        <f t="shared" si="4"/>
        <v>110577</v>
      </c>
      <c r="AC21" s="127">
        <v>0</v>
      </c>
      <c r="AD21" s="125">
        <v>110577</v>
      </c>
      <c r="AE21" s="127">
        <v>70438</v>
      </c>
      <c r="AF21" s="143"/>
      <c r="AG21" s="149">
        <f t="shared" si="9"/>
        <v>208240</v>
      </c>
      <c r="AH21" s="128">
        <f>545256-4262-4262-12498-1200</f>
        <v>523034</v>
      </c>
      <c r="AI21" s="128"/>
      <c r="AJ21" s="128">
        <v>106250</v>
      </c>
      <c r="AK21" s="129"/>
      <c r="AL21" s="128">
        <f>5320+309474</f>
        <v>314794</v>
      </c>
      <c r="AM21" s="129"/>
      <c r="AN21" s="129"/>
      <c r="AO21" s="127"/>
    </row>
    <row r="22" spans="1:41" s="123" customFormat="1" ht="16.2" thickBot="1" x14ac:dyDescent="0.35">
      <c r="A22" s="17">
        <v>4.2</v>
      </c>
      <c r="B22" s="211" t="s">
        <v>13</v>
      </c>
      <c r="C22" s="31" t="str">
        <f>VLOOKUP((CONCATENATE(B22)),ID!$A$2:$D$305,3,0)</f>
        <v>RL004</v>
      </c>
      <c r="D22" s="17">
        <v>1</v>
      </c>
      <c r="E22" s="17" t="s">
        <v>4057</v>
      </c>
      <c r="F22" s="17" t="s">
        <v>1117</v>
      </c>
      <c r="G22" s="17" t="s">
        <v>3776</v>
      </c>
      <c r="H22" s="87">
        <v>4565</v>
      </c>
      <c r="I22" s="22">
        <v>4696</v>
      </c>
      <c r="J22" s="61">
        <v>4692</v>
      </c>
      <c r="K22" s="17">
        <v>0</v>
      </c>
      <c r="L22" s="22"/>
      <c r="M22" s="22"/>
      <c r="N22" s="22">
        <v>4706</v>
      </c>
      <c r="O22" s="17" t="s">
        <v>3774</v>
      </c>
      <c r="P22" s="194" t="str">
        <f t="shared" si="7"/>
        <v>1</v>
      </c>
      <c r="Q22" s="103">
        <v>1</v>
      </c>
      <c r="R22" s="39" t="str">
        <f t="shared" si="0"/>
        <v>-</v>
      </c>
      <c r="S22" s="120">
        <f t="shared" si="3"/>
        <v>182820</v>
      </c>
      <c r="T22" s="127">
        <v>1211607</v>
      </c>
      <c r="U22" s="127">
        <f t="shared" ref="U22:U29" si="11">T22-V22</f>
        <v>1023885</v>
      </c>
      <c r="V22" s="127">
        <f>106250+11920+69552</f>
        <v>187722</v>
      </c>
      <c r="W22" s="122" t="str">
        <f t="shared" si="10"/>
        <v>1</v>
      </c>
      <c r="X22" s="127">
        <f>Y22+Z22</f>
        <v>1028787</v>
      </c>
      <c r="Y22" s="127">
        <f>110286+915968</f>
        <v>1026254</v>
      </c>
      <c r="Z22" s="127">
        <f>1217+1316</f>
        <v>2533</v>
      </c>
      <c r="AA22" s="122" t="str">
        <f t="shared" ref="AA22:AA77" si="12">IF(Z22+Y22=X22,"1","0")</f>
        <v>1</v>
      </c>
      <c r="AB22" s="120">
        <f t="shared" si="4"/>
        <v>110286</v>
      </c>
      <c r="AC22" s="127">
        <v>0</v>
      </c>
      <c r="AD22" s="127">
        <v>110286</v>
      </c>
      <c r="AE22" s="127">
        <v>69552</v>
      </c>
      <c r="AF22" s="143"/>
      <c r="AG22" s="149">
        <f t="shared" si="9"/>
        <v>209969</v>
      </c>
      <c r="AH22" s="128">
        <f>551032-2532-13499-2532-1200</f>
        <v>531269</v>
      </c>
      <c r="AI22" s="128"/>
      <c r="AJ22" s="128">
        <v>106250</v>
      </c>
      <c r="AK22" s="128"/>
      <c r="AL22" s="128">
        <f>316000+5300</f>
        <v>321300</v>
      </c>
      <c r="AM22" s="128"/>
      <c r="AN22" s="129"/>
      <c r="AO22" s="127"/>
    </row>
    <row r="23" spans="1:41" s="123" customFormat="1" ht="16.2" thickBot="1" x14ac:dyDescent="0.35">
      <c r="A23" s="17"/>
      <c r="B23" s="211" t="s">
        <v>13</v>
      </c>
      <c r="C23" s="31" t="str">
        <f>VLOOKUP((CONCATENATE(B23)),ID!$A$2:$D$305,3,0)</f>
        <v>RL004</v>
      </c>
      <c r="D23" s="17">
        <v>1</v>
      </c>
      <c r="E23" s="17" t="s">
        <v>4057</v>
      </c>
      <c r="F23" s="17" t="s">
        <v>1117</v>
      </c>
      <c r="G23" s="17" t="s">
        <v>3776</v>
      </c>
      <c r="H23" s="87">
        <v>4930</v>
      </c>
      <c r="I23" s="22">
        <v>5057</v>
      </c>
      <c r="J23" s="61">
        <v>5057</v>
      </c>
      <c r="K23" s="17">
        <v>0</v>
      </c>
      <c r="L23" s="22"/>
      <c r="M23" s="22"/>
      <c r="N23" s="22">
        <v>5065</v>
      </c>
      <c r="O23" s="17" t="s">
        <v>3774</v>
      </c>
      <c r="P23" s="194" t="str">
        <f t="shared" si="7"/>
        <v>1</v>
      </c>
      <c r="Q23" s="103">
        <v>1</v>
      </c>
      <c r="R23" s="39" t="str">
        <f t="shared" si="0"/>
        <v>-</v>
      </c>
      <c r="S23" s="120">
        <f t="shared" si="3"/>
        <v>181395</v>
      </c>
      <c r="T23" s="127">
        <v>1631560</v>
      </c>
      <c r="U23" s="127">
        <f t="shared" si="11"/>
        <v>1447315</v>
      </c>
      <c r="V23" s="127">
        <f>67695+10300+106250</f>
        <v>184245</v>
      </c>
      <c r="W23" s="122" t="str">
        <f t="shared" si="10"/>
        <v>1</v>
      </c>
      <c r="X23" s="127">
        <f>Y23+Z23</f>
        <v>1450165</v>
      </c>
      <c r="Y23" s="127">
        <f>AD23+1337676</f>
        <v>1448034</v>
      </c>
      <c r="Z23" s="127">
        <f>1201+930</f>
        <v>2131</v>
      </c>
      <c r="AA23" s="122" t="str">
        <f t="shared" si="12"/>
        <v>1</v>
      </c>
      <c r="AB23" s="120">
        <f>AC23+AD23</f>
        <v>110358</v>
      </c>
      <c r="AC23" s="127">
        <v>0</v>
      </c>
      <c r="AD23" s="127">
        <v>110358</v>
      </c>
      <c r="AE23" s="127">
        <v>67695</v>
      </c>
      <c r="AF23" s="143"/>
      <c r="AG23" s="149">
        <f t="shared" si="9"/>
        <v>211078</v>
      </c>
      <c r="AH23" s="128">
        <f>547712-1424-1424-11265-1200</f>
        <v>532399</v>
      </c>
      <c r="AI23" s="128"/>
      <c r="AJ23" s="128">
        <v>106250</v>
      </c>
      <c r="AK23" s="128"/>
      <c r="AL23" s="128">
        <f>316000+5321</f>
        <v>321321</v>
      </c>
      <c r="AM23" s="128"/>
      <c r="AN23" s="129"/>
      <c r="AO23" s="127"/>
    </row>
    <row r="24" spans="1:41" s="123" customFormat="1" ht="16.2" thickBot="1" x14ac:dyDescent="0.35">
      <c r="A24" s="17"/>
      <c r="B24" s="211" t="s">
        <v>13</v>
      </c>
      <c r="C24" s="31" t="str">
        <f>VLOOKUP((CONCATENATE(B24)),ID!$A$2:$D$305,3,0)</f>
        <v>RL004</v>
      </c>
      <c r="D24" s="17">
        <v>1</v>
      </c>
      <c r="E24" s="17" t="s">
        <v>4057</v>
      </c>
      <c r="F24" s="17" t="s">
        <v>1117</v>
      </c>
      <c r="G24" s="17" t="s">
        <v>3776</v>
      </c>
      <c r="H24" s="87">
        <v>5295</v>
      </c>
      <c r="I24" s="22">
        <v>5436</v>
      </c>
      <c r="J24" s="61">
        <v>5436</v>
      </c>
      <c r="K24" s="17">
        <v>0</v>
      </c>
      <c r="L24" s="22"/>
      <c r="M24" s="22"/>
      <c r="N24" s="22">
        <v>5444</v>
      </c>
      <c r="O24" s="17" t="s">
        <v>3774</v>
      </c>
      <c r="P24" s="194" t="str">
        <f t="shared" si="7"/>
        <v>1</v>
      </c>
      <c r="Q24" s="103">
        <v>1</v>
      </c>
      <c r="R24" s="39" t="str">
        <f t="shared" si="0"/>
        <v>-</v>
      </c>
      <c r="S24" s="120">
        <f t="shared" si="3"/>
        <v>173259</v>
      </c>
      <c r="T24" s="127">
        <v>1781690</v>
      </c>
      <c r="U24" s="127">
        <f t="shared" si="11"/>
        <v>1604365</v>
      </c>
      <c r="V24" s="127">
        <f>68168+2907+106250</f>
        <v>177325</v>
      </c>
      <c r="W24" s="122" t="str">
        <f t="shared" si="10"/>
        <v>1</v>
      </c>
      <c r="X24" s="127">
        <f>Y24+Z24</f>
        <v>1608431</v>
      </c>
      <c r="Y24" s="127">
        <f>1495950+110259</f>
        <v>1606209</v>
      </c>
      <c r="Z24" s="127">
        <f>1308+914</f>
        <v>2222</v>
      </c>
      <c r="AA24" s="122" t="str">
        <f t="shared" si="12"/>
        <v>1</v>
      </c>
      <c r="AB24" s="120">
        <f>AC24+AD24</f>
        <v>110259</v>
      </c>
      <c r="AC24" s="127">
        <v>0</v>
      </c>
      <c r="AD24" s="127">
        <v>110259</v>
      </c>
      <c r="AE24" s="127">
        <v>68168</v>
      </c>
      <c r="AF24" s="143"/>
      <c r="AG24" s="149">
        <f t="shared" si="9"/>
        <v>204365</v>
      </c>
      <c r="AH24" s="128">
        <f>554354-8136-8136-11453-1200</f>
        <v>525429</v>
      </c>
      <c r="AI24" s="128"/>
      <c r="AJ24" s="128">
        <v>106250</v>
      </c>
      <c r="AK24" s="128"/>
      <c r="AL24" s="128">
        <f>316000+5064</f>
        <v>321064</v>
      </c>
      <c r="AM24" s="128"/>
      <c r="AN24" s="129"/>
      <c r="AO24" s="127"/>
    </row>
    <row r="25" spans="1:41" s="123" customFormat="1" ht="16.2" thickBot="1" x14ac:dyDescent="0.35">
      <c r="A25" s="17"/>
      <c r="B25" s="211" t="s">
        <v>15</v>
      </c>
      <c r="C25" s="31" t="str">
        <f>VLOOKUP((CONCATENATE(B25)),ID!$A$2:$D$305,3,0)</f>
        <v>RL005</v>
      </c>
      <c r="D25" s="17">
        <v>1</v>
      </c>
      <c r="E25" s="17" t="s">
        <v>4057</v>
      </c>
      <c r="F25" s="17" t="s">
        <v>1117</v>
      </c>
      <c r="G25" s="17" t="s">
        <v>3776</v>
      </c>
      <c r="H25" s="87">
        <v>3834</v>
      </c>
      <c r="I25" s="22">
        <v>3978</v>
      </c>
      <c r="J25" s="61">
        <v>3968</v>
      </c>
      <c r="K25" s="17">
        <v>1</v>
      </c>
      <c r="L25" s="22">
        <v>3979</v>
      </c>
      <c r="M25" s="22">
        <v>3988</v>
      </c>
      <c r="N25" s="22">
        <v>3987</v>
      </c>
      <c r="O25" s="17" t="s">
        <v>3774</v>
      </c>
      <c r="P25" s="194">
        <v>1</v>
      </c>
      <c r="Q25" s="103">
        <v>1</v>
      </c>
      <c r="R25" s="39" t="str">
        <f t="shared" si="0"/>
        <v>-</v>
      </c>
      <c r="S25" s="120">
        <f>T25-X25</f>
        <v>175178</v>
      </c>
      <c r="T25" s="127">
        <v>340507</v>
      </c>
      <c r="U25" s="127">
        <f t="shared" si="11"/>
        <v>155596</v>
      </c>
      <c r="V25" s="127">
        <f>28133+156778</f>
        <v>184911</v>
      </c>
      <c r="W25" s="122" t="str">
        <f t="shared" si="10"/>
        <v>1</v>
      </c>
      <c r="X25" s="127">
        <f>T25-53900-43069-78209</f>
        <v>165329</v>
      </c>
      <c r="Y25" s="127">
        <f>33763+32000</f>
        <v>65763</v>
      </c>
      <c r="Z25" s="127">
        <f>X25-Y25</f>
        <v>99566</v>
      </c>
      <c r="AA25" s="122" t="str">
        <f t="shared" si="12"/>
        <v>1</v>
      </c>
      <c r="AB25" s="120">
        <f>AC25+AD25</f>
        <v>65763</v>
      </c>
      <c r="AC25" s="127">
        <v>0</v>
      </c>
      <c r="AD25" s="127">
        <v>65763</v>
      </c>
      <c r="AE25" s="127">
        <v>28133</v>
      </c>
      <c r="AF25" s="143"/>
      <c r="AG25" s="149">
        <f t="shared" si="9"/>
        <v>63617</v>
      </c>
      <c r="AH25" s="128">
        <f>114262-384-50-AK25</f>
        <v>113422</v>
      </c>
      <c r="AI25" s="128"/>
      <c r="AJ25" s="128"/>
      <c r="AK25" s="128">
        <v>406</v>
      </c>
      <c r="AL25" s="128">
        <v>49805</v>
      </c>
      <c r="AM25" s="128">
        <v>245533</v>
      </c>
      <c r="AN25" s="129"/>
      <c r="AO25" s="127"/>
    </row>
    <row r="26" spans="1:41" s="123" customFormat="1" ht="16.2" thickBot="1" x14ac:dyDescent="0.35">
      <c r="A26" s="17">
        <v>5.0999999999999996</v>
      </c>
      <c r="B26" s="211" t="s">
        <v>15</v>
      </c>
      <c r="C26" s="31" t="str">
        <f>VLOOKUP((CONCATENATE(B26)),ID!$A$2:$D$305,3,0)</f>
        <v>RL005</v>
      </c>
      <c r="D26" s="17">
        <v>1</v>
      </c>
      <c r="E26" s="17" t="s">
        <v>4057</v>
      </c>
      <c r="F26" s="17" t="s">
        <v>1117</v>
      </c>
      <c r="G26" s="17" t="s">
        <v>3776</v>
      </c>
      <c r="H26" s="87">
        <v>4199</v>
      </c>
      <c r="I26" s="22">
        <v>4342</v>
      </c>
      <c r="J26" s="22">
        <v>4336</v>
      </c>
      <c r="K26" s="17">
        <v>1</v>
      </c>
      <c r="L26" s="22">
        <v>4343</v>
      </c>
      <c r="M26" s="22">
        <v>4352</v>
      </c>
      <c r="N26" s="22">
        <v>4352</v>
      </c>
      <c r="O26" s="17" t="s">
        <v>3774</v>
      </c>
      <c r="P26" s="194">
        <v>1</v>
      </c>
      <c r="Q26" s="103">
        <v>1</v>
      </c>
      <c r="R26" s="39" t="str">
        <f t="shared" si="0"/>
        <v>-</v>
      </c>
      <c r="S26" s="120">
        <f t="shared" si="3"/>
        <v>126436</v>
      </c>
      <c r="T26" s="127">
        <v>658127</v>
      </c>
      <c r="U26" s="127">
        <f t="shared" si="11"/>
        <v>398637</v>
      </c>
      <c r="V26" s="127">
        <f>148072+29000+82418</f>
        <v>259490</v>
      </c>
      <c r="W26" s="122" t="str">
        <f t="shared" si="10"/>
        <v>1</v>
      </c>
      <c r="X26" s="127">
        <f>T26-49471-76965</f>
        <v>531691</v>
      </c>
      <c r="Y26" s="127">
        <f>270869+155620</f>
        <v>426489</v>
      </c>
      <c r="Z26" s="127">
        <f>X26-Y26</f>
        <v>105202</v>
      </c>
      <c r="AA26" s="122" t="str">
        <f t="shared" si="12"/>
        <v>1</v>
      </c>
      <c r="AB26" s="120">
        <f t="shared" si="4"/>
        <v>426489</v>
      </c>
      <c r="AC26" s="127">
        <v>0</v>
      </c>
      <c r="AD26" s="127">
        <v>426489</v>
      </c>
      <c r="AE26" s="127">
        <v>82418</v>
      </c>
      <c r="AF26" s="143"/>
      <c r="AG26" s="149">
        <f>AH26-AL26</f>
        <v>82676</v>
      </c>
      <c r="AH26" s="128">
        <f>128264+111+21+9442-50</f>
        <v>137788</v>
      </c>
      <c r="AI26" s="128"/>
      <c r="AJ26" s="128"/>
      <c r="AK26" s="127">
        <v>0</v>
      </c>
      <c r="AL26" s="127">
        <f>5307+49805</f>
        <v>55112</v>
      </c>
      <c r="AM26" s="127">
        <v>293023</v>
      </c>
      <c r="AN26" s="127"/>
      <c r="AO26" s="127"/>
    </row>
    <row r="27" spans="1:41" s="123" customFormat="1" ht="16.2" thickBot="1" x14ac:dyDescent="0.35">
      <c r="A27" s="17">
        <v>5.2</v>
      </c>
      <c r="B27" s="211" t="s">
        <v>15</v>
      </c>
      <c r="C27" s="31" t="str">
        <f>VLOOKUP((CONCATENATE(B27)),ID!$A$2:$D$305,3,0)</f>
        <v>RL005</v>
      </c>
      <c r="D27" s="17">
        <v>1</v>
      </c>
      <c r="E27" s="17" t="s">
        <v>4057</v>
      </c>
      <c r="F27" s="17" t="s">
        <v>1117</v>
      </c>
      <c r="G27" s="17" t="s">
        <v>3776</v>
      </c>
      <c r="H27" s="87">
        <v>4565</v>
      </c>
      <c r="I27" s="22">
        <v>4718</v>
      </c>
      <c r="J27" s="22">
        <v>4692</v>
      </c>
      <c r="K27" s="17">
        <v>1</v>
      </c>
      <c r="L27" s="22">
        <v>4720</v>
      </c>
      <c r="M27" s="22">
        <v>4730</v>
      </c>
      <c r="N27" s="22">
        <v>4730</v>
      </c>
      <c r="O27" s="17" t="s">
        <v>3774</v>
      </c>
      <c r="P27" s="194">
        <v>1</v>
      </c>
      <c r="Q27" s="103">
        <v>1</v>
      </c>
      <c r="R27" s="39" t="str">
        <f t="shared" si="0"/>
        <v>-</v>
      </c>
      <c r="S27" s="120">
        <f t="shared" si="3"/>
        <v>580317</v>
      </c>
      <c r="T27" s="127">
        <v>859306</v>
      </c>
      <c r="U27" s="127">
        <f t="shared" si="11"/>
        <v>358857</v>
      </c>
      <c r="V27" s="127">
        <f>201156+34780+264513</f>
        <v>500449</v>
      </c>
      <c r="W27" s="122" t="str">
        <f t="shared" si="10"/>
        <v>1</v>
      </c>
      <c r="X27" s="127">
        <f>T27-485590-53059-41668</f>
        <v>278989</v>
      </c>
      <c r="Y27" s="127">
        <f>155620</f>
        <v>155620</v>
      </c>
      <c r="Z27" s="127">
        <f>X27-Y27</f>
        <v>123369</v>
      </c>
      <c r="AA27" s="122" t="str">
        <f t="shared" si="12"/>
        <v>1</v>
      </c>
      <c r="AB27" s="120">
        <f t="shared" si="4"/>
        <v>155620</v>
      </c>
      <c r="AC27" s="127">
        <v>0</v>
      </c>
      <c r="AD27" s="127">
        <v>155620</v>
      </c>
      <c r="AE27" s="127">
        <v>201156</v>
      </c>
      <c r="AF27" s="143"/>
      <c r="AG27" s="149">
        <f>AH27-49805-49611-9231</f>
        <v>24364</v>
      </c>
      <c r="AH27" s="127">
        <f>123430+9385+9+187</f>
        <v>133011</v>
      </c>
      <c r="AI27" s="127"/>
      <c r="AJ27" s="127"/>
      <c r="AK27" s="127">
        <v>0</v>
      </c>
      <c r="AL27" s="127">
        <f>9231+49611+49805</f>
        <v>108647</v>
      </c>
      <c r="AM27" s="127">
        <v>319312</v>
      </c>
      <c r="AN27" s="127"/>
      <c r="AO27" s="127"/>
    </row>
    <row r="28" spans="1:41" s="123" customFormat="1" ht="16.2" thickBot="1" x14ac:dyDescent="0.35">
      <c r="A28" s="164"/>
      <c r="B28" s="211" t="s">
        <v>15</v>
      </c>
      <c r="C28" s="31" t="str">
        <f>VLOOKUP((CONCATENATE(B28)),ID!$A$2:$D$305,3,0)</f>
        <v>RL005</v>
      </c>
      <c r="D28" s="17">
        <v>1</v>
      </c>
      <c r="E28" s="17" t="s">
        <v>4057</v>
      </c>
      <c r="F28" s="17" t="s">
        <v>1117</v>
      </c>
      <c r="G28" s="17" t="s">
        <v>3776</v>
      </c>
      <c r="H28" s="87">
        <v>4930</v>
      </c>
      <c r="I28" s="22">
        <v>5093</v>
      </c>
      <c r="J28" s="22">
        <v>5079</v>
      </c>
      <c r="K28" s="24">
        <v>1</v>
      </c>
      <c r="L28" s="30">
        <v>5094</v>
      </c>
      <c r="M28" s="22">
        <v>5101</v>
      </c>
      <c r="N28" s="29">
        <v>5101</v>
      </c>
      <c r="O28" s="17" t="s">
        <v>3774</v>
      </c>
      <c r="P28" s="194">
        <v>1</v>
      </c>
      <c r="Q28" s="103">
        <v>1</v>
      </c>
      <c r="R28" s="39" t="str">
        <f t="shared" si="0"/>
        <v>-</v>
      </c>
      <c r="S28" s="120">
        <f>T28-X28</f>
        <v>164773</v>
      </c>
      <c r="T28" s="127">
        <v>450951</v>
      </c>
      <c r="U28" s="127">
        <f t="shared" si="11"/>
        <v>152627</v>
      </c>
      <c r="V28" s="127">
        <f>46210+873+35934+215307</f>
        <v>298324</v>
      </c>
      <c r="W28" s="122" t="str">
        <f t="shared" si="10"/>
        <v>1</v>
      </c>
      <c r="X28" s="127">
        <f>T28-54599-45276-64898</f>
        <v>286178</v>
      </c>
      <c r="Y28" s="127">
        <v>110044</v>
      </c>
      <c r="Z28" s="127">
        <f>X28-Y28</f>
        <v>176134</v>
      </c>
      <c r="AA28" s="122" t="str">
        <f t="shared" si="12"/>
        <v>1</v>
      </c>
      <c r="AB28" s="120">
        <f>AC28+AD28</f>
        <v>110044</v>
      </c>
      <c r="AC28" s="127">
        <v>0</v>
      </c>
      <c r="AD28" s="127">
        <v>110044</v>
      </c>
      <c r="AE28" s="127">
        <v>46210</v>
      </c>
      <c r="AF28" s="143"/>
      <c r="AG28" s="149">
        <f>AH28-AL28</f>
        <v>68869</v>
      </c>
      <c r="AH28" s="127">
        <f>189819-16668-50</f>
        <v>173101</v>
      </c>
      <c r="AI28" s="127"/>
      <c r="AJ28" s="127"/>
      <c r="AK28" s="127">
        <v>0</v>
      </c>
      <c r="AL28" s="127">
        <f>49611+54621</f>
        <v>104232</v>
      </c>
      <c r="AM28" s="127">
        <v>367024</v>
      </c>
      <c r="AN28" s="127"/>
      <c r="AO28" s="127"/>
    </row>
    <row r="29" spans="1:41" s="123" customFormat="1" ht="16.2" thickBot="1" x14ac:dyDescent="0.35">
      <c r="A29" s="164"/>
      <c r="B29" s="211" t="s">
        <v>15</v>
      </c>
      <c r="C29" s="31" t="str">
        <f>VLOOKUP((CONCATENATE(B29)),ID!$A$2:$D$305,3,0)</f>
        <v>RL005</v>
      </c>
      <c r="D29" s="17">
        <v>1</v>
      </c>
      <c r="E29" s="17" t="s">
        <v>4057</v>
      </c>
      <c r="F29" s="17" t="s">
        <v>1117</v>
      </c>
      <c r="G29" s="17" t="s">
        <v>3776</v>
      </c>
      <c r="H29" s="87">
        <v>5295</v>
      </c>
      <c r="I29" s="22">
        <v>5442</v>
      </c>
      <c r="J29" s="22">
        <v>5436</v>
      </c>
      <c r="K29" s="24">
        <v>1</v>
      </c>
      <c r="L29" s="30">
        <v>5443</v>
      </c>
      <c r="M29" s="22">
        <v>5450</v>
      </c>
      <c r="N29" s="29">
        <v>5450</v>
      </c>
      <c r="O29" s="17" t="s">
        <v>3774</v>
      </c>
      <c r="P29" s="194">
        <v>1</v>
      </c>
      <c r="Q29" s="103">
        <v>1</v>
      </c>
      <c r="R29" s="39" t="str">
        <f t="shared" si="0"/>
        <v>-</v>
      </c>
      <c r="S29" s="120">
        <f>T29-X29</f>
        <v>74085</v>
      </c>
      <c r="T29" s="127">
        <v>480997</v>
      </c>
      <c r="U29" s="127">
        <f t="shared" si="11"/>
        <v>217656</v>
      </c>
      <c r="V29" s="127">
        <f>192468+28717+42156</f>
        <v>263341</v>
      </c>
      <c r="W29" s="122" t="str">
        <f t="shared" si="10"/>
        <v>1</v>
      </c>
      <c r="X29" s="127">
        <f>T29-45276-28809</f>
        <v>406912</v>
      </c>
      <c r="Y29" s="127">
        <v>0</v>
      </c>
      <c r="Z29" s="127">
        <f>X29-Y29</f>
        <v>406912</v>
      </c>
      <c r="AA29" s="122" t="str">
        <f t="shared" si="12"/>
        <v>1</v>
      </c>
      <c r="AB29" s="120">
        <f>AC29+AD29</f>
        <v>261136</v>
      </c>
      <c r="AC29" s="127">
        <v>0</v>
      </c>
      <c r="AD29" s="127">
        <v>261136</v>
      </c>
      <c r="AE29" s="127">
        <v>42156</v>
      </c>
      <c r="AF29" s="143"/>
      <c r="AG29" s="149">
        <f>AH29-AL29</f>
        <v>8912</v>
      </c>
      <c r="AH29" s="127">
        <f>161895-14898-17474-4050</f>
        <v>125473</v>
      </c>
      <c r="AI29" s="127"/>
      <c r="AJ29" s="127">
        <v>4594</v>
      </c>
      <c r="AK29" s="127">
        <v>0</v>
      </c>
      <c r="AL29" s="127">
        <f>60000+49611+6950</f>
        <v>116561</v>
      </c>
      <c r="AM29" s="127">
        <v>348488</v>
      </c>
      <c r="AN29" s="127"/>
      <c r="AO29" s="127"/>
    </row>
    <row r="30" spans="1:41" s="123" customFormat="1" ht="16.2" thickBot="1" x14ac:dyDescent="0.35">
      <c r="A30" s="164"/>
      <c r="B30" s="211" t="s">
        <v>18</v>
      </c>
      <c r="C30" s="31" t="str">
        <f>VLOOKUP((CONCATENATE(B30)),ID!$A$2:$D$305,3,0)</f>
        <v>RL006</v>
      </c>
      <c r="D30" s="60">
        <v>0</v>
      </c>
      <c r="E30" s="60" t="s">
        <v>4057</v>
      </c>
      <c r="F30" s="60" t="s">
        <v>1117</v>
      </c>
      <c r="G30" s="60" t="s">
        <v>3777</v>
      </c>
      <c r="H30" s="89">
        <v>3653</v>
      </c>
      <c r="I30" s="22">
        <v>3794</v>
      </c>
      <c r="J30" s="22">
        <v>3803</v>
      </c>
      <c r="K30" s="24">
        <v>1</v>
      </c>
      <c r="L30" s="30">
        <v>3818</v>
      </c>
      <c r="M30" s="22">
        <v>3834</v>
      </c>
      <c r="N30" s="29">
        <v>3818</v>
      </c>
      <c r="O30" s="60" t="s">
        <v>3778</v>
      </c>
      <c r="P30" s="194">
        <v>1</v>
      </c>
      <c r="Q30" s="103">
        <v>0</v>
      </c>
      <c r="R30" s="39" t="s">
        <v>4075</v>
      </c>
      <c r="S30" s="120">
        <f t="shared" si="3"/>
        <v>22122623</v>
      </c>
      <c r="T30" s="127">
        <v>138875307</v>
      </c>
      <c r="U30" s="127">
        <f>128915714</f>
        <v>128915714</v>
      </c>
      <c r="V30" s="127">
        <f>T30-U30</f>
        <v>9959593</v>
      </c>
      <c r="W30" s="122" t="str">
        <f t="shared" si="10"/>
        <v>1</v>
      </c>
      <c r="X30" s="127">
        <f>T30-22122623</f>
        <v>116752684</v>
      </c>
      <c r="Y30" s="127">
        <v>25614972</v>
      </c>
      <c r="Z30" s="127">
        <f t="shared" ref="Z30:Z39" si="13">X30-Y30</f>
        <v>91137712</v>
      </c>
      <c r="AA30" s="122" t="str">
        <f t="shared" si="12"/>
        <v>1</v>
      </c>
      <c r="AB30" s="120">
        <f>AC30+AD30</f>
        <v>25614972</v>
      </c>
      <c r="AC30" s="127">
        <v>0</v>
      </c>
      <c r="AD30" s="127">
        <f>Y30</f>
        <v>25614972</v>
      </c>
      <c r="AE30" s="127">
        <v>1105</v>
      </c>
      <c r="AF30" s="143"/>
      <c r="AG30" s="149">
        <f t="shared" ref="AG30:AG39" si="14">AH30-AL30</f>
        <v>268160</v>
      </c>
      <c r="AH30" s="127">
        <v>268160</v>
      </c>
      <c r="AI30" s="127"/>
      <c r="AJ30" s="127"/>
      <c r="AK30" s="127"/>
      <c r="AL30" s="127"/>
      <c r="AM30" s="127"/>
      <c r="AN30" s="127"/>
      <c r="AO30" s="127"/>
    </row>
    <row r="31" spans="1:41" s="123" customFormat="1" ht="16.2" thickBot="1" x14ac:dyDescent="0.35">
      <c r="A31" s="164"/>
      <c r="B31" s="211" t="s">
        <v>18</v>
      </c>
      <c r="C31" s="31" t="str">
        <f>VLOOKUP((CONCATENATE(B31)),ID!$A$2:$D$305,3,0)</f>
        <v>RL006</v>
      </c>
      <c r="D31" s="60">
        <v>0</v>
      </c>
      <c r="E31" s="60" t="s">
        <v>4057</v>
      </c>
      <c r="F31" s="60" t="s">
        <v>1117</v>
      </c>
      <c r="G31" s="60" t="s">
        <v>3777</v>
      </c>
      <c r="H31" s="89">
        <v>3834</v>
      </c>
      <c r="I31" s="22">
        <v>3977</v>
      </c>
      <c r="J31" s="22">
        <v>3982</v>
      </c>
      <c r="K31" s="24">
        <v>1</v>
      </c>
      <c r="L31" s="30">
        <v>4006</v>
      </c>
      <c r="M31" s="22">
        <v>4018</v>
      </c>
      <c r="N31" s="29">
        <v>4000</v>
      </c>
      <c r="O31" s="60" t="s">
        <v>3778</v>
      </c>
      <c r="P31" s="194">
        <v>1</v>
      </c>
      <c r="Q31" s="103">
        <v>0</v>
      </c>
      <c r="R31" s="39" t="s">
        <v>4075</v>
      </c>
      <c r="S31" s="120">
        <f t="shared" si="3"/>
        <v>22122433</v>
      </c>
      <c r="T31" s="127">
        <v>139767815</v>
      </c>
      <c r="U31" s="127">
        <f>129850524</f>
        <v>129850524</v>
      </c>
      <c r="V31" s="127">
        <f t="shared" ref="V31:V39" si="15">T31-U31</f>
        <v>9917291</v>
      </c>
      <c r="W31" s="122" t="str">
        <f t="shared" si="10"/>
        <v>1</v>
      </c>
      <c r="X31" s="127">
        <f>25494315+84581031+7570036</f>
        <v>117645382</v>
      </c>
      <c r="Y31" s="127">
        <f>25494315</f>
        <v>25494315</v>
      </c>
      <c r="Z31" s="127">
        <f t="shared" si="13"/>
        <v>92151067</v>
      </c>
      <c r="AA31" s="122" t="str">
        <f t="shared" si="12"/>
        <v>1</v>
      </c>
      <c r="AB31" s="120">
        <f>AC31+AD31</f>
        <v>25494315</v>
      </c>
      <c r="AC31" s="127">
        <v>0</v>
      </c>
      <c r="AD31" s="127">
        <f>Y31</f>
        <v>25494315</v>
      </c>
      <c r="AE31" s="127">
        <v>435</v>
      </c>
      <c r="AF31" s="143"/>
      <c r="AG31" s="149">
        <f t="shared" si="14"/>
        <v>281319</v>
      </c>
      <c r="AH31" s="127">
        <v>281319</v>
      </c>
      <c r="AI31" s="127"/>
      <c r="AJ31" s="127"/>
      <c r="AK31" s="127"/>
      <c r="AL31" s="127"/>
      <c r="AM31" s="127"/>
      <c r="AN31" s="127"/>
      <c r="AO31" s="127"/>
    </row>
    <row r="32" spans="1:41" s="126" customFormat="1" ht="16.2" thickBot="1" x14ac:dyDescent="0.35">
      <c r="A32" s="63">
        <v>6.1</v>
      </c>
      <c r="B32" s="211" t="s">
        <v>18</v>
      </c>
      <c r="C32" s="31" t="str">
        <f>VLOOKUP((CONCATENATE(B32)),ID!$A$2:$D$305,3,0)</f>
        <v>RL006</v>
      </c>
      <c r="D32" s="60">
        <v>0</v>
      </c>
      <c r="E32" s="60" t="s">
        <v>4057</v>
      </c>
      <c r="F32" s="60" t="s">
        <v>1117</v>
      </c>
      <c r="G32" s="60" t="s">
        <v>3777</v>
      </c>
      <c r="H32" s="89">
        <v>4018</v>
      </c>
      <c r="I32" s="61">
        <v>4168</v>
      </c>
      <c r="J32" s="61">
        <v>4164</v>
      </c>
      <c r="K32" s="64">
        <v>1</v>
      </c>
      <c r="L32" s="65">
        <v>4181</v>
      </c>
      <c r="M32" s="61">
        <v>4199</v>
      </c>
      <c r="N32" s="66">
        <v>4182</v>
      </c>
      <c r="O32" s="60" t="s">
        <v>3778</v>
      </c>
      <c r="P32" s="194">
        <v>1</v>
      </c>
      <c r="Q32" s="104">
        <v>0</v>
      </c>
      <c r="R32" s="39" t="s">
        <v>4075</v>
      </c>
      <c r="S32" s="120">
        <f t="shared" si="3"/>
        <v>22122431</v>
      </c>
      <c r="T32" s="125">
        <v>140289814</v>
      </c>
      <c r="U32" s="125">
        <f>130752239</f>
        <v>130752239</v>
      </c>
      <c r="V32" s="127">
        <f t="shared" si="15"/>
        <v>9537575</v>
      </c>
      <c r="W32" s="122" t="str">
        <f t="shared" si="10"/>
        <v>1</v>
      </c>
      <c r="X32" s="125">
        <f t="shared" ref="X32:X39" si="16">T32-22122431</f>
        <v>118167383</v>
      </c>
      <c r="Y32" s="125">
        <v>25494315</v>
      </c>
      <c r="Z32" s="127">
        <f t="shared" si="13"/>
        <v>92673068</v>
      </c>
      <c r="AA32" s="122" t="str">
        <f t="shared" si="12"/>
        <v>1</v>
      </c>
      <c r="AB32" s="120">
        <f t="shared" si="4"/>
        <v>25494315</v>
      </c>
      <c r="AC32" s="127">
        <v>0</v>
      </c>
      <c r="AD32" s="127">
        <f t="shared" ref="AD32:AD39" si="17">Y32</f>
        <v>25494315</v>
      </c>
      <c r="AE32" s="125">
        <v>4697</v>
      </c>
      <c r="AF32" s="142"/>
      <c r="AG32" s="149">
        <f t="shared" si="14"/>
        <v>502713</v>
      </c>
      <c r="AH32" s="125">
        <v>502713</v>
      </c>
      <c r="AI32" s="125"/>
      <c r="AJ32" s="125"/>
      <c r="AK32" s="125"/>
      <c r="AL32" s="125"/>
      <c r="AM32" s="125"/>
      <c r="AN32" s="125"/>
      <c r="AO32" s="125"/>
    </row>
    <row r="33" spans="1:41" s="126" customFormat="1" ht="16.2" thickBot="1" x14ac:dyDescent="0.35">
      <c r="A33" s="63">
        <v>6.2</v>
      </c>
      <c r="B33" s="211" t="s">
        <v>18</v>
      </c>
      <c r="C33" s="31" t="str">
        <f>VLOOKUP((CONCATENATE(B33)),ID!$A$2:$D$305,3,0)</f>
        <v>RL006</v>
      </c>
      <c r="D33" s="60">
        <v>0</v>
      </c>
      <c r="E33" s="60" t="s">
        <v>4057</v>
      </c>
      <c r="F33" s="60" t="s">
        <v>1117</v>
      </c>
      <c r="G33" s="60" t="s">
        <v>3777</v>
      </c>
      <c r="H33" s="89">
        <v>4199</v>
      </c>
      <c r="I33" s="61">
        <v>4350</v>
      </c>
      <c r="J33" s="61">
        <v>4346</v>
      </c>
      <c r="K33" s="64">
        <v>1</v>
      </c>
      <c r="L33" s="65">
        <v>4370</v>
      </c>
      <c r="M33" s="61">
        <v>4382</v>
      </c>
      <c r="N33" s="66">
        <v>4364</v>
      </c>
      <c r="O33" s="60" t="s">
        <v>3778</v>
      </c>
      <c r="P33" s="194">
        <v>1</v>
      </c>
      <c r="Q33" s="104">
        <v>0</v>
      </c>
      <c r="R33" s="39" t="s">
        <v>4075</v>
      </c>
      <c r="S33" s="120">
        <f t="shared" si="3"/>
        <v>22122431</v>
      </c>
      <c r="T33" s="125">
        <v>142770758</v>
      </c>
      <c r="U33" s="125">
        <v>133261815</v>
      </c>
      <c r="V33" s="127">
        <f t="shared" si="15"/>
        <v>9508943</v>
      </c>
      <c r="W33" s="122" t="str">
        <f t="shared" si="10"/>
        <v>1</v>
      </c>
      <c r="X33" s="125">
        <f t="shared" si="16"/>
        <v>120648327</v>
      </c>
      <c r="Y33" s="125">
        <v>25528065</v>
      </c>
      <c r="Z33" s="127">
        <f t="shared" si="13"/>
        <v>95120262</v>
      </c>
      <c r="AA33" s="122" t="str">
        <f t="shared" si="12"/>
        <v>1</v>
      </c>
      <c r="AB33" s="120">
        <f t="shared" si="4"/>
        <v>25528065</v>
      </c>
      <c r="AC33" s="127">
        <v>0</v>
      </c>
      <c r="AD33" s="127">
        <f t="shared" si="17"/>
        <v>25528065</v>
      </c>
      <c r="AE33" s="125">
        <v>7260</v>
      </c>
      <c r="AF33" s="142"/>
      <c r="AG33" s="149">
        <f t="shared" si="14"/>
        <v>433603</v>
      </c>
      <c r="AH33" s="125">
        <v>433603</v>
      </c>
      <c r="AI33" s="125"/>
      <c r="AJ33" s="125"/>
      <c r="AK33" s="125"/>
      <c r="AL33" s="125"/>
      <c r="AM33" s="125"/>
      <c r="AN33" s="125"/>
      <c r="AO33" s="125"/>
    </row>
    <row r="34" spans="1:41" s="126" customFormat="1" ht="16.2" thickBot="1" x14ac:dyDescent="0.35">
      <c r="A34" s="63">
        <v>6.3</v>
      </c>
      <c r="B34" s="211" t="s">
        <v>18</v>
      </c>
      <c r="C34" s="31" t="str">
        <f>VLOOKUP((CONCATENATE(B34)),ID!$A$2:$D$305,3,0)</f>
        <v>RL006</v>
      </c>
      <c r="D34" s="60">
        <v>0</v>
      </c>
      <c r="E34" s="60" t="s">
        <v>4057</v>
      </c>
      <c r="F34" s="60" t="s">
        <v>1117</v>
      </c>
      <c r="G34" s="60" t="s">
        <v>3777</v>
      </c>
      <c r="H34" s="89">
        <v>4383</v>
      </c>
      <c r="I34" s="61">
        <v>4546</v>
      </c>
      <c r="J34" s="61">
        <v>4538</v>
      </c>
      <c r="K34" s="64">
        <v>1</v>
      </c>
      <c r="L34" s="65">
        <v>4552</v>
      </c>
      <c r="M34" s="61">
        <v>4564</v>
      </c>
      <c r="N34" s="66">
        <v>4560</v>
      </c>
      <c r="O34" s="60" t="s">
        <v>3778</v>
      </c>
      <c r="P34" s="194">
        <v>1</v>
      </c>
      <c r="Q34" s="104">
        <v>0</v>
      </c>
      <c r="R34" s="39" t="s">
        <v>4075</v>
      </c>
      <c r="S34" s="120">
        <f t="shared" si="3"/>
        <v>22122431</v>
      </c>
      <c r="T34" s="125">
        <v>143648125</v>
      </c>
      <c r="U34" s="125">
        <v>134235792</v>
      </c>
      <c r="V34" s="127">
        <f t="shared" si="15"/>
        <v>9412333</v>
      </c>
      <c r="W34" s="122" t="str">
        <f t="shared" si="10"/>
        <v>1</v>
      </c>
      <c r="X34" s="125">
        <f t="shared" si="16"/>
        <v>121525694</v>
      </c>
      <c r="Y34" s="125">
        <v>25528065</v>
      </c>
      <c r="Z34" s="127">
        <f t="shared" si="13"/>
        <v>95997629</v>
      </c>
      <c r="AA34" s="122" t="str">
        <f t="shared" si="12"/>
        <v>1</v>
      </c>
      <c r="AB34" s="120">
        <f t="shared" si="4"/>
        <v>25528065</v>
      </c>
      <c r="AC34" s="127">
        <v>0</v>
      </c>
      <c r="AD34" s="127">
        <f t="shared" si="17"/>
        <v>25528065</v>
      </c>
      <c r="AE34" s="125">
        <v>4218</v>
      </c>
      <c r="AF34" s="142"/>
      <c r="AG34" s="149">
        <f t="shared" si="14"/>
        <v>704106</v>
      </c>
      <c r="AH34" s="125">
        <v>704106</v>
      </c>
      <c r="AI34" s="125"/>
      <c r="AJ34" s="125"/>
      <c r="AK34" s="125"/>
      <c r="AL34" s="125"/>
      <c r="AM34" s="125"/>
      <c r="AN34" s="125"/>
      <c r="AO34" s="125"/>
    </row>
    <row r="35" spans="1:41" s="126" customFormat="1" ht="16.2" thickBot="1" x14ac:dyDescent="0.35">
      <c r="A35" s="63">
        <v>6.4</v>
      </c>
      <c r="B35" s="211" t="s">
        <v>18</v>
      </c>
      <c r="C35" s="31" t="str">
        <f>VLOOKUP((CONCATENATE(B35)),ID!$A$2:$D$305,3,0)</f>
        <v>RL006</v>
      </c>
      <c r="D35" s="60">
        <v>0</v>
      </c>
      <c r="E35" s="60" t="s">
        <v>4057</v>
      </c>
      <c r="F35" s="60" t="s">
        <v>1117</v>
      </c>
      <c r="G35" s="60" t="s">
        <v>3777</v>
      </c>
      <c r="H35" s="89">
        <v>4565</v>
      </c>
      <c r="I35" s="61">
        <v>4714</v>
      </c>
      <c r="J35" s="61">
        <v>4709</v>
      </c>
      <c r="K35" s="64">
        <v>1</v>
      </c>
      <c r="L35" s="65">
        <v>4734</v>
      </c>
      <c r="M35" s="61">
        <v>4749</v>
      </c>
      <c r="N35" s="66">
        <v>4735</v>
      </c>
      <c r="O35" s="60" t="s">
        <v>3778</v>
      </c>
      <c r="P35" s="194">
        <v>1</v>
      </c>
      <c r="Q35" s="104">
        <v>0</v>
      </c>
      <c r="R35" s="39" t="s">
        <v>4075</v>
      </c>
      <c r="S35" s="120">
        <f t="shared" si="3"/>
        <v>22122431</v>
      </c>
      <c r="T35" s="125">
        <v>145087525</v>
      </c>
      <c r="U35" s="125">
        <v>135610485</v>
      </c>
      <c r="V35" s="127">
        <f t="shared" si="15"/>
        <v>9477040</v>
      </c>
      <c r="W35" s="122" t="str">
        <f t="shared" si="10"/>
        <v>1</v>
      </c>
      <c r="X35" s="125">
        <f t="shared" si="16"/>
        <v>122965094</v>
      </c>
      <c r="Y35" s="125">
        <v>25528065</v>
      </c>
      <c r="Z35" s="127">
        <f t="shared" si="13"/>
        <v>97437029</v>
      </c>
      <c r="AA35" s="122" t="str">
        <f t="shared" si="12"/>
        <v>1</v>
      </c>
      <c r="AB35" s="120">
        <f t="shared" si="4"/>
        <v>25528065</v>
      </c>
      <c r="AC35" s="127">
        <v>0</v>
      </c>
      <c r="AD35" s="127">
        <f t="shared" si="17"/>
        <v>25528065</v>
      </c>
      <c r="AE35" s="125">
        <v>8873</v>
      </c>
      <c r="AF35" s="142"/>
      <c r="AG35" s="149">
        <f t="shared" si="14"/>
        <v>636701</v>
      </c>
      <c r="AH35" s="125">
        <v>636701</v>
      </c>
      <c r="AI35" s="125"/>
      <c r="AJ35" s="125"/>
      <c r="AK35" s="125"/>
      <c r="AL35" s="125"/>
      <c r="AM35" s="125"/>
      <c r="AN35" s="125"/>
      <c r="AO35" s="125"/>
    </row>
    <row r="36" spans="1:41" s="126" customFormat="1" ht="16.2" thickBot="1" x14ac:dyDescent="0.35">
      <c r="A36" s="63"/>
      <c r="B36" s="211" t="s">
        <v>18</v>
      </c>
      <c r="C36" s="31" t="str">
        <f>VLOOKUP((CONCATENATE(B36)),ID!$A$2:$D$305,3,0)</f>
        <v>RL006</v>
      </c>
      <c r="D36" s="60">
        <v>0</v>
      </c>
      <c r="E36" s="60" t="s">
        <v>4057</v>
      </c>
      <c r="F36" s="60" t="s">
        <v>1117</v>
      </c>
      <c r="G36" s="60" t="s">
        <v>3777</v>
      </c>
      <c r="H36" s="89">
        <v>4749</v>
      </c>
      <c r="I36" s="61">
        <v>4907</v>
      </c>
      <c r="J36" s="61">
        <v>4907</v>
      </c>
      <c r="K36" s="64">
        <v>0</v>
      </c>
      <c r="L36" s="65"/>
      <c r="M36" s="61"/>
      <c r="N36" s="66">
        <v>4930</v>
      </c>
      <c r="O36" s="60" t="s">
        <v>3778</v>
      </c>
      <c r="P36" s="194">
        <v>0</v>
      </c>
      <c r="Q36" s="104">
        <v>0</v>
      </c>
      <c r="R36" s="39" t="s">
        <v>4075</v>
      </c>
      <c r="S36" s="120">
        <f t="shared" si="3"/>
        <v>22122431</v>
      </c>
      <c r="T36" s="125">
        <v>145821247</v>
      </c>
      <c r="U36" s="125">
        <v>136606883</v>
      </c>
      <c r="V36" s="127">
        <f t="shared" si="15"/>
        <v>9214364</v>
      </c>
      <c r="W36" s="122" t="str">
        <f t="shared" si="10"/>
        <v>1</v>
      </c>
      <c r="X36" s="125">
        <f t="shared" si="16"/>
        <v>123698816</v>
      </c>
      <c r="Y36" s="125">
        <v>25528065</v>
      </c>
      <c r="Z36" s="127">
        <f t="shared" si="13"/>
        <v>98170751</v>
      </c>
      <c r="AA36" s="122" t="str">
        <f t="shared" si="12"/>
        <v>1</v>
      </c>
      <c r="AB36" s="120">
        <f t="shared" si="4"/>
        <v>25528065</v>
      </c>
      <c r="AC36" s="127">
        <v>0</v>
      </c>
      <c r="AD36" s="127">
        <f t="shared" si="17"/>
        <v>25528065</v>
      </c>
      <c r="AE36" s="125">
        <v>6268</v>
      </c>
      <c r="AF36" s="142"/>
      <c r="AG36" s="149">
        <f t="shared" si="14"/>
        <v>1092936</v>
      </c>
      <c r="AH36" s="125">
        <v>1092936</v>
      </c>
      <c r="AI36" s="125"/>
      <c r="AJ36" s="125"/>
      <c r="AK36" s="125"/>
      <c r="AL36" s="125"/>
      <c r="AM36" s="125"/>
      <c r="AN36" s="125"/>
      <c r="AO36" s="125"/>
    </row>
    <row r="37" spans="1:41" s="126" customFormat="1" ht="16.2" thickBot="1" x14ac:dyDescent="0.35">
      <c r="A37" s="63"/>
      <c r="B37" s="211" t="s">
        <v>18</v>
      </c>
      <c r="C37" s="31" t="str">
        <f>VLOOKUP((CONCATENATE(B37)),ID!$A$2:$D$305,3,0)</f>
        <v>RL006</v>
      </c>
      <c r="D37" s="60">
        <v>0</v>
      </c>
      <c r="E37" s="60" t="s">
        <v>4057</v>
      </c>
      <c r="F37" s="60" t="s">
        <v>1117</v>
      </c>
      <c r="G37" s="60" t="s">
        <v>3777</v>
      </c>
      <c r="H37" s="89">
        <v>4839</v>
      </c>
      <c r="I37" s="61">
        <v>4907</v>
      </c>
      <c r="J37" s="61">
        <v>4918</v>
      </c>
      <c r="K37" s="64">
        <v>0</v>
      </c>
      <c r="L37" s="65"/>
      <c r="M37" s="61"/>
      <c r="N37" s="66">
        <v>4930</v>
      </c>
      <c r="O37" s="60" t="s">
        <v>3778</v>
      </c>
      <c r="P37" s="194">
        <v>0</v>
      </c>
      <c r="Q37" s="104">
        <v>0</v>
      </c>
      <c r="R37" s="39" t="s">
        <v>4075</v>
      </c>
      <c r="S37" s="120">
        <f t="shared" si="3"/>
        <v>22122431</v>
      </c>
      <c r="T37" s="125">
        <v>147040218</v>
      </c>
      <c r="U37" s="125">
        <v>137826220</v>
      </c>
      <c r="V37" s="127">
        <f t="shared" si="15"/>
        <v>9213998</v>
      </c>
      <c r="W37" s="122" t="str">
        <f t="shared" si="10"/>
        <v>1</v>
      </c>
      <c r="X37" s="125">
        <f t="shared" si="16"/>
        <v>124917787</v>
      </c>
      <c r="Y37" s="125">
        <v>25528065</v>
      </c>
      <c r="Z37" s="127">
        <f t="shared" si="13"/>
        <v>99389722</v>
      </c>
      <c r="AA37" s="122" t="str">
        <f t="shared" si="12"/>
        <v>1</v>
      </c>
      <c r="AB37" s="120">
        <f t="shared" si="4"/>
        <v>25528065</v>
      </c>
      <c r="AC37" s="127">
        <v>0</v>
      </c>
      <c r="AD37" s="127">
        <f t="shared" si="17"/>
        <v>25528065</v>
      </c>
      <c r="AE37" s="125">
        <v>7379</v>
      </c>
      <c r="AF37" s="142"/>
      <c r="AG37" s="149">
        <f t="shared" si="14"/>
        <v>596938</v>
      </c>
      <c r="AH37" s="125">
        <v>596938</v>
      </c>
      <c r="AI37" s="125"/>
      <c r="AJ37" s="125"/>
      <c r="AK37" s="125"/>
      <c r="AL37" s="125"/>
      <c r="AM37" s="125"/>
      <c r="AN37" s="125"/>
      <c r="AO37" s="125"/>
    </row>
    <row r="38" spans="1:41" s="126" customFormat="1" ht="16.2" thickBot="1" x14ac:dyDescent="0.35">
      <c r="A38" s="63"/>
      <c r="B38" s="211" t="s">
        <v>18</v>
      </c>
      <c r="C38" s="31" t="str">
        <f>VLOOKUP((CONCATENATE(B38)),ID!$A$2:$D$305,3,0)</f>
        <v>RL006</v>
      </c>
      <c r="D38" s="60">
        <v>0</v>
      </c>
      <c r="E38" s="60" t="s">
        <v>4057</v>
      </c>
      <c r="F38" s="60" t="s">
        <v>1117</v>
      </c>
      <c r="G38" s="60" t="s">
        <v>3777</v>
      </c>
      <c r="H38" s="89">
        <v>5022</v>
      </c>
      <c r="I38" s="61">
        <v>5302</v>
      </c>
      <c r="J38" s="61">
        <v>5296</v>
      </c>
      <c r="K38" s="64">
        <v>0</v>
      </c>
      <c r="L38" s="65"/>
      <c r="M38" s="61"/>
      <c r="N38" s="66">
        <v>5316</v>
      </c>
      <c r="O38" s="60" t="s">
        <v>3778</v>
      </c>
      <c r="P38" s="194">
        <v>0</v>
      </c>
      <c r="Q38" s="104">
        <v>0</v>
      </c>
      <c r="R38" s="39" t="s">
        <v>4075</v>
      </c>
      <c r="S38" s="120">
        <f t="shared" si="3"/>
        <v>22122431</v>
      </c>
      <c r="T38" s="125">
        <v>148804292</v>
      </c>
      <c r="U38" s="125">
        <v>139334020</v>
      </c>
      <c r="V38" s="127">
        <f t="shared" si="15"/>
        <v>9470272</v>
      </c>
      <c r="W38" s="122" t="str">
        <f t="shared" si="10"/>
        <v>1</v>
      </c>
      <c r="X38" s="125">
        <f t="shared" si="16"/>
        <v>126681861</v>
      </c>
      <c r="Y38" s="125">
        <v>25528065</v>
      </c>
      <c r="Z38" s="127">
        <f t="shared" si="13"/>
        <v>101153796</v>
      </c>
      <c r="AA38" s="122" t="str">
        <f t="shared" si="12"/>
        <v>1</v>
      </c>
      <c r="AB38" s="120">
        <f t="shared" si="4"/>
        <v>25528065</v>
      </c>
      <c r="AC38" s="127">
        <v>0</v>
      </c>
      <c r="AD38" s="127">
        <f t="shared" si="17"/>
        <v>25528065</v>
      </c>
      <c r="AE38" s="125">
        <v>13306</v>
      </c>
      <c r="AF38" s="142"/>
      <c r="AG38" s="149">
        <f t="shared" si="14"/>
        <v>813324</v>
      </c>
      <c r="AH38" s="125">
        <v>813324</v>
      </c>
      <c r="AI38" s="125"/>
      <c r="AJ38" s="125"/>
      <c r="AK38" s="125"/>
      <c r="AL38" s="125"/>
      <c r="AM38" s="125"/>
      <c r="AN38" s="125"/>
      <c r="AO38" s="125"/>
    </row>
    <row r="39" spans="1:41" s="126" customFormat="1" ht="16.2" thickBot="1" x14ac:dyDescent="0.35">
      <c r="A39" s="63"/>
      <c r="B39" s="211" t="s">
        <v>18</v>
      </c>
      <c r="C39" s="31" t="str">
        <f>VLOOKUP((CONCATENATE(B39)),ID!$A$2:$D$305,3,0)</f>
        <v>RL006</v>
      </c>
      <c r="D39" s="60">
        <v>0</v>
      </c>
      <c r="E39" s="60" t="s">
        <v>4057</v>
      </c>
      <c r="F39" s="60" t="s">
        <v>1117</v>
      </c>
      <c r="G39" s="60" t="s">
        <v>3777</v>
      </c>
      <c r="H39" s="89">
        <v>5204</v>
      </c>
      <c r="I39" s="61">
        <v>5302</v>
      </c>
      <c r="J39" s="61">
        <v>5301</v>
      </c>
      <c r="K39" s="64">
        <v>0</v>
      </c>
      <c r="L39" s="65"/>
      <c r="M39" s="61"/>
      <c r="N39" s="66">
        <v>5316</v>
      </c>
      <c r="O39" s="60" t="s">
        <v>3778</v>
      </c>
      <c r="P39" s="194">
        <v>0</v>
      </c>
      <c r="Q39" s="104">
        <v>0</v>
      </c>
      <c r="R39" s="39" t="s">
        <v>4075</v>
      </c>
      <c r="S39" s="120">
        <f t="shared" si="3"/>
        <v>22122431</v>
      </c>
      <c r="T39" s="125">
        <v>151909516</v>
      </c>
      <c r="U39" s="125">
        <v>142016843</v>
      </c>
      <c r="V39" s="127">
        <f t="shared" si="15"/>
        <v>9892673</v>
      </c>
      <c r="W39" s="122" t="str">
        <f t="shared" si="10"/>
        <v>1</v>
      </c>
      <c r="X39" s="125">
        <f t="shared" si="16"/>
        <v>129787085</v>
      </c>
      <c r="Y39" s="125">
        <v>25528065</v>
      </c>
      <c r="Z39" s="127">
        <f t="shared" si="13"/>
        <v>104259020</v>
      </c>
      <c r="AA39" s="122" t="str">
        <f t="shared" si="12"/>
        <v>1</v>
      </c>
      <c r="AB39" s="120">
        <f t="shared" si="4"/>
        <v>25528065</v>
      </c>
      <c r="AC39" s="127">
        <v>0</v>
      </c>
      <c r="AD39" s="127">
        <f t="shared" si="17"/>
        <v>25528065</v>
      </c>
      <c r="AE39" s="125">
        <v>4143</v>
      </c>
      <c r="AF39" s="142"/>
      <c r="AG39" s="149">
        <f t="shared" si="14"/>
        <v>1457804</v>
      </c>
      <c r="AH39" s="125">
        <v>1457804</v>
      </c>
      <c r="AI39" s="125"/>
      <c r="AJ39" s="125"/>
      <c r="AK39" s="125"/>
      <c r="AL39" s="125"/>
      <c r="AM39" s="125"/>
      <c r="AN39" s="125"/>
      <c r="AO39" s="125"/>
    </row>
    <row r="40" spans="1:41" s="126" customFormat="1" ht="16.2" thickBot="1" x14ac:dyDescent="0.35">
      <c r="A40" s="63"/>
      <c r="B40" s="211" t="s">
        <v>3768</v>
      </c>
      <c r="C40" s="31" t="str">
        <f>VLOOKUP((CONCATENATE(B40)),ID!$A$2:$D$305,3,0)</f>
        <v>RL007</v>
      </c>
      <c r="D40" s="17">
        <v>0</v>
      </c>
      <c r="E40" s="17" t="s">
        <v>4057</v>
      </c>
      <c r="F40" s="17" t="s">
        <v>3773</v>
      </c>
      <c r="G40" s="17" t="s">
        <v>3853</v>
      </c>
      <c r="H40" s="87">
        <v>3653</v>
      </c>
      <c r="I40" s="61">
        <v>3672</v>
      </c>
      <c r="J40" s="61">
        <v>3682</v>
      </c>
      <c r="K40" s="64">
        <v>1</v>
      </c>
      <c r="L40" s="65">
        <v>3680</v>
      </c>
      <c r="M40" s="61">
        <v>3694</v>
      </c>
      <c r="N40" s="66">
        <v>3694</v>
      </c>
      <c r="O40" s="17" t="s">
        <v>3772</v>
      </c>
      <c r="P40" s="194">
        <v>1</v>
      </c>
      <c r="Q40" s="103">
        <v>1</v>
      </c>
      <c r="R40" s="39" t="str">
        <f t="shared" ref="R40:R57" si="18">IF(Q40=0,"?","-")</f>
        <v>-</v>
      </c>
      <c r="S40" s="120">
        <f t="shared" si="3"/>
        <v>163027</v>
      </c>
      <c r="T40" s="125">
        <v>367690</v>
      </c>
      <c r="U40" s="125">
        <f>124564+50986</f>
        <v>175550</v>
      </c>
      <c r="V40" s="125">
        <f>T40-U40</f>
        <v>192140</v>
      </c>
      <c r="W40" s="122" t="str">
        <f t="shared" si="10"/>
        <v>1</v>
      </c>
      <c r="X40" s="125">
        <f>367690-6102-47940-108985</f>
        <v>204663</v>
      </c>
      <c r="Y40" s="125">
        <v>16679</v>
      </c>
      <c r="Z40" s="125">
        <f>X40-Y40</f>
        <v>187984</v>
      </c>
      <c r="AA40" s="122" t="str">
        <f t="shared" si="12"/>
        <v>1</v>
      </c>
      <c r="AB40" s="120">
        <f>AC40+AD40</f>
        <v>16679</v>
      </c>
      <c r="AC40" s="125">
        <v>0</v>
      </c>
      <c r="AD40" s="125">
        <v>16679</v>
      </c>
      <c r="AE40" s="125">
        <v>6775</v>
      </c>
      <c r="AF40" s="142"/>
      <c r="AG40" s="148">
        <f t="shared" ref="AG40:AG47" si="19">AH40-AL40</f>
        <v>117462</v>
      </c>
      <c r="AH40" s="125">
        <f>162864-1526-10511-13772</f>
        <v>137055</v>
      </c>
      <c r="AI40" s="125"/>
      <c r="AJ40" s="125">
        <v>0</v>
      </c>
      <c r="AK40" s="125"/>
      <c r="AL40" s="125">
        <f>18300+124+1169</f>
        <v>19593</v>
      </c>
      <c r="AM40" s="125">
        <v>406284</v>
      </c>
      <c r="AN40" s="125">
        <v>31931</v>
      </c>
      <c r="AO40" s="125"/>
    </row>
    <row r="41" spans="1:41" s="126" customFormat="1" ht="16.2" thickBot="1" x14ac:dyDescent="0.35">
      <c r="A41" s="63"/>
      <c r="B41" s="211" t="s">
        <v>3768</v>
      </c>
      <c r="C41" s="31" t="str">
        <f>VLOOKUP((CONCATENATE(B41)),ID!$A$2:$D$305,3,0)</f>
        <v>RL007</v>
      </c>
      <c r="D41" s="17">
        <v>0</v>
      </c>
      <c r="E41" s="17" t="s">
        <v>4057</v>
      </c>
      <c r="F41" s="17" t="s">
        <v>3773</v>
      </c>
      <c r="G41" s="17" t="s">
        <v>3853</v>
      </c>
      <c r="H41" s="87">
        <v>3834</v>
      </c>
      <c r="I41" s="61">
        <v>3848</v>
      </c>
      <c r="J41" s="61">
        <v>3857</v>
      </c>
      <c r="K41" s="64">
        <v>1</v>
      </c>
      <c r="L41" s="65">
        <v>3856</v>
      </c>
      <c r="M41" s="65">
        <v>3870</v>
      </c>
      <c r="N41" s="65">
        <v>3870</v>
      </c>
      <c r="O41" s="17" t="s">
        <v>3772</v>
      </c>
      <c r="P41" s="194">
        <v>1</v>
      </c>
      <c r="Q41" s="103">
        <v>1</v>
      </c>
      <c r="R41" s="39" t="str">
        <f t="shared" si="18"/>
        <v>-</v>
      </c>
      <c r="S41" s="120">
        <f t="shared" si="3"/>
        <v>140617</v>
      </c>
      <c r="T41" s="125">
        <v>310488</v>
      </c>
      <c r="U41" s="125">
        <f>19719+5453</f>
        <v>25172</v>
      </c>
      <c r="V41" s="125">
        <f>T41-U41</f>
        <v>285316</v>
      </c>
      <c r="W41" s="122" t="str">
        <f>IF(V41+U41=T41,"1","0")</f>
        <v>1</v>
      </c>
      <c r="X41" s="125">
        <f>310488-6199-21913-112505</f>
        <v>169871</v>
      </c>
      <c r="Y41" s="125">
        <v>21022</v>
      </c>
      <c r="Z41" s="125">
        <f>X41-Y41</f>
        <v>148849</v>
      </c>
      <c r="AA41" s="122" t="str">
        <f t="shared" si="12"/>
        <v>1</v>
      </c>
      <c r="AB41" s="120">
        <f t="shared" ref="AB41:AB48" si="20">AC41+AD41</f>
        <v>21022</v>
      </c>
      <c r="AC41" s="125">
        <v>0</v>
      </c>
      <c r="AD41" s="125">
        <v>21022</v>
      </c>
      <c r="AE41" s="125">
        <v>53914</v>
      </c>
      <c r="AF41" s="142"/>
      <c r="AG41" s="148">
        <f t="shared" si="19"/>
        <v>118600</v>
      </c>
      <c r="AH41" s="125">
        <f>162039+350-10839-13764</f>
        <v>137786</v>
      </c>
      <c r="AI41" s="125"/>
      <c r="AJ41" s="125">
        <v>0</v>
      </c>
      <c r="AK41" s="125"/>
      <c r="AL41" s="125">
        <f>18300+530+356</f>
        <v>19186</v>
      </c>
      <c r="AM41" s="125">
        <v>385274</v>
      </c>
      <c r="AN41" s="125">
        <v>23939</v>
      </c>
      <c r="AO41" s="125"/>
    </row>
    <row r="42" spans="1:41" s="126" customFormat="1" ht="16.2" thickBot="1" x14ac:dyDescent="0.35">
      <c r="A42" s="63"/>
      <c r="B42" s="211" t="s">
        <v>3768</v>
      </c>
      <c r="C42" s="31" t="str">
        <f>VLOOKUP((CONCATENATE(B42)),ID!$A$2:$D$305,3,0)</f>
        <v>RL007</v>
      </c>
      <c r="D42" s="17">
        <v>0</v>
      </c>
      <c r="E42" s="17" t="s">
        <v>4057</v>
      </c>
      <c r="F42" s="17" t="s">
        <v>3773</v>
      </c>
      <c r="G42" s="17" t="s">
        <v>3853</v>
      </c>
      <c r="H42" s="87">
        <v>4018</v>
      </c>
      <c r="I42" s="61">
        <v>4030</v>
      </c>
      <c r="J42" s="61">
        <v>4039</v>
      </c>
      <c r="K42" s="64">
        <v>1</v>
      </c>
      <c r="L42" s="65">
        <v>4052</v>
      </c>
      <c r="M42" s="65">
        <v>4038</v>
      </c>
      <c r="N42" s="165">
        <v>4052</v>
      </c>
      <c r="O42" s="17" t="s">
        <v>3772</v>
      </c>
      <c r="P42" s="194">
        <v>1</v>
      </c>
      <c r="Q42" s="103">
        <v>1</v>
      </c>
      <c r="R42" s="39" t="str">
        <f t="shared" si="18"/>
        <v>-</v>
      </c>
      <c r="S42" s="120">
        <f t="shared" si="3"/>
        <v>116411</v>
      </c>
      <c r="T42" s="125">
        <v>319477</v>
      </c>
      <c r="U42" s="125">
        <f>22539+5453</f>
        <v>27992</v>
      </c>
      <c r="V42" s="125">
        <f>T42-U42</f>
        <v>291485</v>
      </c>
      <c r="W42" s="122" t="str">
        <f t="shared" si="10"/>
        <v>1</v>
      </c>
      <c r="X42" s="125">
        <f>Y42+137279+7877+19707+17232+1066</f>
        <v>203066</v>
      </c>
      <c r="Y42" s="125">
        <f>AB42+198</f>
        <v>19905</v>
      </c>
      <c r="Z42" s="125">
        <f>X42-Y42</f>
        <v>183161</v>
      </c>
      <c r="AA42" s="122" t="str">
        <f t="shared" si="12"/>
        <v>1</v>
      </c>
      <c r="AB42" s="120">
        <f t="shared" si="20"/>
        <v>19707</v>
      </c>
      <c r="AC42" s="125">
        <v>0</v>
      </c>
      <c r="AD42" s="125">
        <v>19707</v>
      </c>
      <c r="AE42" s="125">
        <v>6860</v>
      </c>
      <c r="AF42" s="142"/>
      <c r="AG42" s="148">
        <f t="shared" si="19"/>
        <v>106142</v>
      </c>
      <c r="AH42" s="125">
        <f>150119-1807-10021-13775</f>
        <v>124516</v>
      </c>
      <c r="AI42" s="125"/>
      <c r="AJ42" s="125">
        <v>0</v>
      </c>
      <c r="AK42" s="125"/>
      <c r="AL42" s="125">
        <f>18300+71+3</f>
        <v>18374</v>
      </c>
      <c r="AM42" s="125">
        <v>366541</v>
      </c>
      <c r="AN42" s="125">
        <v>30169</v>
      </c>
      <c r="AO42" s="125"/>
    </row>
    <row r="43" spans="1:41" s="126" customFormat="1" ht="16.2" thickBot="1" x14ac:dyDescent="0.35">
      <c r="A43" s="63"/>
      <c r="B43" s="211" t="s">
        <v>3768</v>
      </c>
      <c r="C43" s="31" t="str">
        <f>VLOOKUP((CONCATENATE(B43)),ID!$A$2:$D$305,3,0)</f>
        <v>RL007</v>
      </c>
      <c r="D43" s="17">
        <v>0</v>
      </c>
      <c r="E43" s="17" t="s">
        <v>4057</v>
      </c>
      <c r="F43" s="17" t="s">
        <v>3773</v>
      </c>
      <c r="G43" s="17" t="s">
        <v>3853</v>
      </c>
      <c r="H43" s="87">
        <v>4199</v>
      </c>
      <c r="I43" s="61">
        <v>4212</v>
      </c>
      <c r="J43" s="61">
        <v>4221</v>
      </c>
      <c r="K43" s="64">
        <v>1</v>
      </c>
      <c r="L43" s="65">
        <v>4220</v>
      </c>
      <c r="M43" s="65">
        <v>4234</v>
      </c>
      <c r="N43" s="165">
        <v>4234</v>
      </c>
      <c r="O43" s="17" t="s">
        <v>3772</v>
      </c>
      <c r="P43" s="194">
        <v>1</v>
      </c>
      <c r="Q43" s="103">
        <v>1</v>
      </c>
      <c r="R43" s="39" t="str">
        <f t="shared" si="18"/>
        <v>-</v>
      </c>
      <c r="S43" s="120">
        <f t="shared" si="3"/>
        <v>139591</v>
      </c>
      <c r="T43" s="125">
        <v>331787</v>
      </c>
      <c r="U43" s="125">
        <f>22539+5453</f>
        <v>27992</v>
      </c>
      <c r="V43" s="125">
        <f>T43-U43</f>
        <v>303795</v>
      </c>
      <c r="W43" s="122" t="str">
        <f t="shared" si="10"/>
        <v>1</v>
      </c>
      <c r="X43" s="125">
        <f>Y43+1184+17232+5481+148529</f>
        <v>192196</v>
      </c>
      <c r="Y43" s="125">
        <f>AB43+502</f>
        <v>19770</v>
      </c>
      <c r="Z43" s="125">
        <f>X43-Y43</f>
        <v>172426</v>
      </c>
      <c r="AA43" s="122" t="str">
        <f t="shared" si="12"/>
        <v>1</v>
      </c>
      <c r="AB43" s="120">
        <f t="shared" si="20"/>
        <v>19268</v>
      </c>
      <c r="AC43" s="125">
        <v>0</v>
      </c>
      <c r="AD43" s="125">
        <v>19268</v>
      </c>
      <c r="AE43" s="125">
        <f>5413</f>
        <v>5413</v>
      </c>
      <c r="AF43" s="142"/>
      <c r="AG43" s="148">
        <f t="shared" si="19"/>
        <v>104069</v>
      </c>
      <c r="AH43" s="125">
        <f>148185-2254-13769-9643</f>
        <v>122519</v>
      </c>
      <c r="AI43" s="125"/>
      <c r="AJ43" s="125">
        <v>0</v>
      </c>
      <c r="AK43" s="125"/>
      <c r="AL43" s="125">
        <f>18300+50+100</f>
        <v>18450</v>
      </c>
      <c r="AM43" s="125">
        <v>354247</v>
      </c>
      <c r="AN43" s="125">
        <v>24576</v>
      </c>
      <c r="AO43" s="125"/>
    </row>
    <row r="44" spans="1:41" s="123" customFormat="1" ht="16.2" thickBot="1" x14ac:dyDescent="0.35">
      <c r="A44" s="41">
        <v>7.1</v>
      </c>
      <c r="B44" s="211" t="s">
        <v>3768</v>
      </c>
      <c r="C44" s="31" t="str">
        <f>VLOOKUP((CONCATENATE(B44)),ID!$A$2:$D$305,3,0)</f>
        <v>RL007</v>
      </c>
      <c r="D44" s="17">
        <v>0</v>
      </c>
      <c r="E44" s="17" t="s">
        <v>4057</v>
      </c>
      <c r="F44" s="17" t="s">
        <v>3773</v>
      </c>
      <c r="G44" s="17" t="s">
        <v>3853</v>
      </c>
      <c r="H44" s="87">
        <v>4383</v>
      </c>
      <c r="I44" s="22">
        <v>4402</v>
      </c>
      <c r="J44" s="22">
        <v>4403</v>
      </c>
      <c r="K44" s="24">
        <v>1</v>
      </c>
      <c r="L44" s="30">
        <v>4402</v>
      </c>
      <c r="M44" s="22">
        <v>4416</v>
      </c>
      <c r="N44" s="29">
        <v>4416</v>
      </c>
      <c r="O44" s="17" t="s">
        <v>3772</v>
      </c>
      <c r="P44" s="194">
        <v>1</v>
      </c>
      <c r="Q44" s="103">
        <v>1</v>
      </c>
      <c r="R44" s="39" t="str">
        <f>IF(Q44=0,"?","-")</f>
        <v>-</v>
      </c>
      <c r="S44" s="120">
        <f t="shared" si="3"/>
        <v>156907</v>
      </c>
      <c r="T44" s="127">
        <v>362512</v>
      </c>
      <c r="U44" s="127">
        <f>T44-V44</f>
        <v>32082</v>
      </c>
      <c r="V44" s="127">
        <f>45350+69+5482+98297+43416+100327+7138+30351</f>
        <v>330430</v>
      </c>
      <c r="W44" s="122" t="str">
        <f t="shared" si="10"/>
        <v>1</v>
      </c>
      <c r="X44" s="127">
        <f>1052+17232+19017+5329+162206+769</f>
        <v>205605</v>
      </c>
      <c r="Y44" s="127">
        <f>19017+769</f>
        <v>19786</v>
      </c>
      <c r="Z44" s="127">
        <f>5329+162206+17232+1052</f>
        <v>185819</v>
      </c>
      <c r="AA44" s="122" t="str">
        <f t="shared" si="12"/>
        <v>1</v>
      </c>
      <c r="AB44" s="120">
        <f t="shared" si="20"/>
        <v>19017</v>
      </c>
      <c r="AC44" s="127">
        <v>0</v>
      </c>
      <c r="AD44" s="127">
        <v>19017</v>
      </c>
      <c r="AE44" s="127">
        <v>7138</v>
      </c>
      <c r="AF44" s="143"/>
      <c r="AG44" s="149">
        <f t="shared" si="19"/>
        <v>117956</v>
      </c>
      <c r="AH44" s="127">
        <f>158736+616+862-10071-13776</f>
        <v>136367</v>
      </c>
      <c r="AI44" s="127"/>
      <c r="AJ44" s="127">
        <v>0</v>
      </c>
      <c r="AK44" s="127"/>
      <c r="AL44" s="127">
        <f>18300+111</f>
        <v>18411</v>
      </c>
      <c r="AM44" s="127">
        <f>372876</f>
        <v>372876</v>
      </c>
      <c r="AN44" s="127">
        <v>28769</v>
      </c>
      <c r="AO44" s="127"/>
    </row>
    <row r="45" spans="1:41" s="123" customFormat="1" ht="16.2" thickBot="1" x14ac:dyDescent="0.35">
      <c r="A45" s="41">
        <v>7.2</v>
      </c>
      <c r="B45" s="211" t="s">
        <v>3768</v>
      </c>
      <c r="C45" s="31" t="str">
        <f>VLOOKUP((CONCATENATE(B45)),ID!$A$2:$D$305,3,0)</f>
        <v>RL007</v>
      </c>
      <c r="D45" s="17">
        <v>0</v>
      </c>
      <c r="E45" s="17" t="s">
        <v>4057</v>
      </c>
      <c r="F45" s="17" t="s">
        <v>3773</v>
      </c>
      <c r="G45" s="17" t="s">
        <v>3853</v>
      </c>
      <c r="H45" s="87">
        <v>4565</v>
      </c>
      <c r="I45" s="22">
        <v>4584</v>
      </c>
      <c r="J45" s="22">
        <v>4584</v>
      </c>
      <c r="K45" s="24">
        <v>1</v>
      </c>
      <c r="L45" s="30">
        <v>4584</v>
      </c>
      <c r="M45" s="22">
        <v>4598</v>
      </c>
      <c r="N45" s="29">
        <v>4598</v>
      </c>
      <c r="O45" s="17" t="s">
        <v>3772</v>
      </c>
      <c r="P45" s="194">
        <v>1</v>
      </c>
      <c r="Q45" s="103">
        <v>1</v>
      </c>
      <c r="R45" s="39" t="str">
        <f t="shared" si="18"/>
        <v>-</v>
      </c>
      <c r="S45" s="120">
        <f t="shared" si="3"/>
        <v>132017</v>
      </c>
      <c r="T45" s="127">
        <v>339475</v>
      </c>
      <c r="U45" s="127">
        <f>27630+4903+30351</f>
        <v>62884</v>
      </c>
      <c r="V45" s="127">
        <f>T45-U45</f>
        <v>276591</v>
      </c>
      <c r="W45" s="122" t="str">
        <f t="shared" si="10"/>
        <v>1</v>
      </c>
      <c r="X45" s="127">
        <f>1082+17232+17120+3006+168877+141</f>
        <v>207458</v>
      </c>
      <c r="Y45" s="127">
        <f>17120+141</f>
        <v>17261</v>
      </c>
      <c r="Z45" s="127">
        <f>168877+3006+17232+1082</f>
        <v>190197</v>
      </c>
      <c r="AA45" s="122" t="str">
        <f t="shared" si="12"/>
        <v>1</v>
      </c>
      <c r="AB45" s="120">
        <f t="shared" si="20"/>
        <v>17120</v>
      </c>
      <c r="AC45" s="127">
        <v>0</v>
      </c>
      <c r="AD45" s="127">
        <v>17120</v>
      </c>
      <c r="AE45" s="127">
        <f>2577+87039</f>
        <v>89616</v>
      </c>
      <c r="AF45" s="143"/>
      <c r="AG45" s="149">
        <f t="shared" si="19"/>
        <v>85713</v>
      </c>
      <c r="AH45" s="127">
        <f>124976+616+984-8686-13777</f>
        <v>104113</v>
      </c>
      <c r="AI45" s="127"/>
      <c r="AJ45" s="127">
        <v>0</v>
      </c>
      <c r="AK45" s="127"/>
      <c r="AL45" s="127">
        <f>18300+100</f>
        <v>18400</v>
      </c>
      <c r="AM45" s="127">
        <v>325375</v>
      </c>
      <c r="AN45" s="127">
        <v>23120</v>
      </c>
      <c r="AO45" s="127"/>
    </row>
    <row r="46" spans="1:41" s="123" customFormat="1" ht="16.2" thickBot="1" x14ac:dyDescent="0.35">
      <c r="A46" s="31"/>
      <c r="B46" s="211" t="s">
        <v>3768</v>
      </c>
      <c r="C46" s="31" t="str">
        <f>VLOOKUP((CONCATENATE(B46)),ID!$A$2:$D$305,3,0)</f>
        <v>RL007</v>
      </c>
      <c r="D46" s="17">
        <v>0</v>
      </c>
      <c r="E46" s="17" t="s">
        <v>4057</v>
      </c>
      <c r="F46" s="17" t="s">
        <v>3773</v>
      </c>
      <c r="G46" s="17" t="s">
        <v>3853</v>
      </c>
      <c r="H46" s="87">
        <v>4749</v>
      </c>
      <c r="I46" s="38">
        <v>4765</v>
      </c>
      <c r="J46" s="22">
        <v>4773</v>
      </c>
      <c r="K46" s="24">
        <v>1</v>
      </c>
      <c r="L46" s="30">
        <v>4773</v>
      </c>
      <c r="M46" s="22">
        <v>4787</v>
      </c>
      <c r="N46" s="29">
        <v>4787</v>
      </c>
      <c r="O46" s="17" t="s">
        <v>3772</v>
      </c>
      <c r="P46" s="194">
        <v>1</v>
      </c>
      <c r="Q46" s="103">
        <v>1</v>
      </c>
      <c r="R46" s="39" t="str">
        <f t="shared" si="18"/>
        <v>-</v>
      </c>
      <c r="S46" s="120">
        <f t="shared" si="3"/>
        <v>200335</v>
      </c>
      <c r="T46" s="127">
        <v>449420</v>
      </c>
      <c r="U46" s="127">
        <f>53410+49766+30351</f>
        <v>133527</v>
      </c>
      <c r="V46" s="127">
        <f>T46-U46</f>
        <v>315893</v>
      </c>
      <c r="W46" s="122" t="str">
        <f t="shared" si="10"/>
        <v>1</v>
      </c>
      <c r="X46" s="127">
        <f>449420-6548-50000-143787</f>
        <v>249085</v>
      </c>
      <c r="Y46" s="127">
        <f>17194+1207</f>
        <v>18401</v>
      </c>
      <c r="Z46" s="127">
        <f>X46-Y46</f>
        <v>230684</v>
      </c>
      <c r="AA46" s="122" t="str">
        <f t="shared" si="12"/>
        <v>1</v>
      </c>
      <c r="AB46" s="120">
        <f t="shared" si="20"/>
        <v>17194</v>
      </c>
      <c r="AC46" s="127">
        <v>0</v>
      </c>
      <c r="AD46" s="127">
        <v>17194</v>
      </c>
      <c r="AE46" s="127">
        <f>156830</f>
        <v>156830</v>
      </c>
      <c r="AF46" s="143"/>
      <c r="AG46" s="149">
        <f t="shared" si="19"/>
        <v>148956</v>
      </c>
      <c r="AH46" s="127">
        <f>196144-2918-12099-13771</f>
        <v>167356</v>
      </c>
      <c r="AI46" s="127"/>
      <c r="AJ46" s="127">
        <v>0</v>
      </c>
      <c r="AK46" s="127"/>
      <c r="AL46" s="127">
        <v>18400</v>
      </c>
      <c r="AM46" s="127">
        <v>441770</v>
      </c>
      <c r="AN46" s="127">
        <v>31524</v>
      </c>
      <c r="AO46" s="127"/>
    </row>
    <row r="47" spans="1:41" s="123" customFormat="1" ht="16.2" thickBot="1" x14ac:dyDescent="0.35">
      <c r="A47" s="31"/>
      <c r="B47" s="211" t="s">
        <v>3768</v>
      </c>
      <c r="C47" s="31" t="str">
        <f>VLOOKUP((CONCATENATE(B47)),ID!$A$2:$D$305,3,0)</f>
        <v>RL007</v>
      </c>
      <c r="D47" s="17">
        <v>1</v>
      </c>
      <c r="E47" s="17" t="s">
        <v>4057</v>
      </c>
      <c r="F47" s="17" t="s">
        <v>3773</v>
      </c>
      <c r="G47" s="17" t="s">
        <v>3853</v>
      </c>
      <c r="H47" s="87">
        <v>5114</v>
      </c>
      <c r="I47" s="38">
        <v>5127</v>
      </c>
      <c r="J47" s="22">
        <v>5151</v>
      </c>
      <c r="K47" s="24">
        <v>1</v>
      </c>
      <c r="L47" s="30">
        <v>5151</v>
      </c>
      <c r="M47" s="22">
        <v>5165</v>
      </c>
      <c r="N47" s="29">
        <v>5165</v>
      </c>
      <c r="O47" s="17" t="s">
        <v>3772</v>
      </c>
      <c r="P47" s="194" t="str">
        <f t="shared" ref="P47:P57" si="21">IF(AJ47=0,"?","1")</f>
        <v>1</v>
      </c>
      <c r="Q47" s="103">
        <v>1</v>
      </c>
      <c r="R47" s="39" t="str">
        <f t="shared" si="18"/>
        <v>-</v>
      </c>
      <c r="S47" s="120">
        <f t="shared" si="3"/>
        <v>320601</v>
      </c>
      <c r="T47" s="127">
        <v>470148</v>
      </c>
      <c r="U47" s="127">
        <f>4453+40780+145688</f>
        <v>190921</v>
      </c>
      <c r="V47" s="127">
        <f t="shared" ref="V47:V77" si="22">T47-U47</f>
        <v>279227</v>
      </c>
      <c r="W47" s="122" t="str">
        <f t="shared" si="10"/>
        <v>1</v>
      </c>
      <c r="X47" s="127">
        <f>470148-195015-6566-69070-49950</f>
        <v>149547</v>
      </c>
      <c r="Y47" s="127">
        <f>37868+4500</f>
        <v>42368</v>
      </c>
      <c r="Z47" s="127">
        <f>X47-Y47</f>
        <v>107179</v>
      </c>
      <c r="AA47" s="122" t="str">
        <f t="shared" si="12"/>
        <v>1</v>
      </c>
      <c r="AB47" s="120">
        <f t="shared" si="20"/>
        <v>0</v>
      </c>
      <c r="AC47" s="127">
        <v>0</v>
      </c>
      <c r="AD47" s="127">
        <v>0</v>
      </c>
      <c r="AE47" s="127">
        <v>15589</v>
      </c>
      <c r="AF47" s="143"/>
      <c r="AG47" s="149">
        <f t="shared" si="19"/>
        <v>370488</v>
      </c>
      <c r="AH47" s="127">
        <f>370488+AL47</f>
        <v>372936</v>
      </c>
      <c r="AI47" s="127"/>
      <c r="AJ47" s="127">
        <v>145013</v>
      </c>
      <c r="AK47" s="127"/>
      <c r="AL47" s="127">
        <v>2448</v>
      </c>
      <c r="AM47" s="127">
        <v>421068</v>
      </c>
      <c r="AN47" s="127">
        <v>60630</v>
      </c>
      <c r="AO47" s="127"/>
    </row>
    <row r="48" spans="1:41" s="123" customFormat="1" ht="16.2" thickBot="1" x14ac:dyDescent="0.35">
      <c r="A48" s="31"/>
      <c r="B48" s="215" t="s">
        <v>34</v>
      </c>
      <c r="C48" s="31" t="str">
        <f>VLOOKUP((CONCATENATE(B48)),ID!$A$2:$D$305,3,0)</f>
        <v>RL008</v>
      </c>
      <c r="D48" s="69">
        <v>0</v>
      </c>
      <c r="E48" s="69" t="s">
        <v>4057</v>
      </c>
      <c r="F48" s="69" t="s">
        <v>1117</v>
      </c>
      <c r="G48" s="69" t="s">
        <v>3777</v>
      </c>
      <c r="H48" s="90">
        <v>3653</v>
      </c>
      <c r="I48" s="38">
        <v>3787</v>
      </c>
      <c r="J48" s="22">
        <v>3773</v>
      </c>
      <c r="K48" s="24">
        <v>0</v>
      </c>
      <c r="L48" s="30"/>
      <c r="M48" s="22"/>
      <c r="N48" s="29">
        <v>3797</v>
      </c>
      <c r="O48" s="69" t="s">
        <v>3779</v>
      </c>
      <c r="P48" s="194" t="str">
        <f t="shared" si="21"/>
        <v>1</v>
      </c>
      <c r="Q48" s="103">
        <v>1</v>
      </c>
      <c r="R48" s="39" t="str">
        <f t="shared" si="18"/>
        <v>-</v>
      </c>
      <c r="S48" s="120">
        <f t="shared" si="3"/>
        <v>5798199</v>
      </c>
      <c r="T48" s="127">
        <v>6318923</v>
      </c>
      <c r="U48" s="127">
        <f>331893+5755210+20195</f>
        <v>6107298</v>
      </c>
      <c r="V48" s="127">
        <f t="shared" si="22"/>
        <v>211625</v>
      </c>
      <c r="W48" s="122" t="str">
        <f t="shared" si="10"/>
        <v>1</v>
      </c>
      <c r="X48" s="127">
        <f>T48-130334-283655-5721267+400000-62943</f>
        <v>520724</v>
      </c>
      <c r="Y48" s="127">
        <f>400000</f>
        <v>400000</v>
      </c>
      <c r="Z48" s="127">
        <f>X48-Y48</f>
        <v>120724</v>
      </c>
      <c r="AA48" s="122" t="str">
        <f t="shared" si="12"/>
        <v>1</v>
      </c>
      <c r="AB48" s="120">
        <f t="shared" si="20"/>
        <v>470000</v>
      </c>
      <c r="AC48" s="127">
        <v>0</v>
      </c>
      <c r="AD48" s="127">
        <f>Y48+70000</f>
        <v>470000</v>
      </c>
      <c r="AE48" s="127">
        <v>80877</v>
      </c>
      <c r="AF48" s="143"/>
      <c r="AG48" s="149">
        <f>AH48-AI48-AL48</f>
        <v>96377</v>
      </c>
      <c r="AH48" s="123">
        <f>174674-66210-810</f>
        <v>107654</v>
      </c>
      <c r="AI48" s="127">
        <v>5277</v>
      </c>
      <c r="AJ48" s="127">
        <v>32252</v>
      </c>
      <c r="AK48" s="127"/>
      <c r="AL48" s="127">
        <f>6000</f>
        <v>6000</v>
      </c>
      <c r="AM48" s="127"/>
      <c r="AN48" s="127"/>
      <c r="AO48" s="127"/>
    </row>
    <row r="49" spans="1:41" s="123" customFormat="1" ht="16.2" thickBot="1" x14ac:dyDescent="0.35">
      <c r="A49" s="31"/>
      <c r="B49" s="215" t="s">
        <v>34</v>
      </c>
      <c r="C49" s="31" t="str">
        <f>VLOOKUP((CONCATENATE(B49)),ID!$A$2:$D$305,3,0)</f>
        <v>RL008</v>
      </c>
      <c r="D49" s="69">
        <v>0</v>
      </c>
      <c r="E49" s="69" t="s">
        <v>4057</v>
      </c>
      <c r="F49" s="69" t="s">
        <v>1117</v>
      </c>
      <c r="G49" s="69" t="s">
        <v>3777</v>
      </c>
      <c r="H49" s="91">
        <v>3834</v>
      </c>
      <c r="I49" s="38">
        <v>3976</v>
      </c>
      <c r="J49" s="22">
        <v>3954</v>
      </c>
      <c r="K49" s="24">
        <v>0</v>
      </c>
      <c r="L49" s="30"/>
      <c r="M49" s="22"/>
      <c r="N49" s="29">
        <v>3986</v>
      </c>
      <c r="O49" s="69" t="s">
        <v>3779</v>
      </c>
      <c r="P49" s="194" t="str">
        <f t="shared" si="21"/>
        <v>1</v>
      </c>
      <c r="Q49" s="103">
        <v>1</v>
      </c>
      <c r="R49" s="39" t="str">
        <f t="shared" si="18"/>
        <v>-</v>
      </c>
      <c r="S49" s="120">
        <f t="shared" si="3"/>
        <v>6636893</v>
      </c>
      <c r="T49" s="127">
        <v>7088943</v>
      </c>
      <c r="U49" s="127">
        <f>6038094+341644+75359</f>
        <v>6455097</v>
      </c>
      <c r="V49" s="127">
        <f t="shared" si="22"/>
        <v>633846</v>
      </c>
      <c r="W49" s="122" t="str">
        <f t="shared" si="10"/>
        <v>1</v>
      </c>
      <c r="X49" s="127">
        <f>7088943-162406-290277-62943-6521267+400000</f>
        <v>452050</v>
      </c>
      <c r="Y49" s="127">
        <v>400000</v>
      </c>
      <c r="Z49" s="127">
        <f t="shared" ref="Z49:Z59" si="23">X49-Y49</f>
        <v>52050</v>
      </c>
      <c r="AA49" s="122" t="str">
        <f t="shared" si="12"/>
        <v>1</v>
      </c>
      <c r="AB49" s="120">
        <f>AC49+AD49</f>
        <v>400000</v>
      </c>
      <c r="AC49" s="127">
        <v>0</v>
      </c>
      <c r="AD49" s="127">
        <f>Y49</f>
        <v>400000</v>
      </c>
      <c r="AE49" s="127">
        <v>49881</v>
      </c>
      <c r="AF49" s="143"/>
      <c r="AG49" s="149">
        <f>AH49-AI49-AL49</f>
        <v>181207</v>
      </c>
      <c r="AH49" s="127">
        <f>227438-18841-724</f>
        <v>207873</v>
      </c>
      <c r="AI49" s="127">
        <v>20666</v>
      </c>
      <c r="AJ49" s="127">
        <v>37640</v>
      </c>
      <c r="AK49" s="127"/>
      <c r="AL49" s="127">
        <v>6000</v>
      </c>
      <c r="AM49" s="127"/>
      <c r="AN49" s="127"/>
      <c r="AO49" s="127"/>
    </row>
    <row r="50" spans="1:41" s="126" customFormat="1" ht="16.2" thickBot="1" x14ac:dyDescent="0.35">
      <c r="A50" s="62">
        <v>8.1</v>
      </c>
      <c r="B50" s="212" t="s">
        <v>34</v>
      </c>
      <c r="C50" s="31" t="str">
        <f>VLOOKUP((CONCATENATE(B50)),ID!$A$2:$D$305,3,0)</f>
        <v>RL008</v>
      </c>
      <c r="D50" s="62">
        <v>0</v>
      </c>
      <c r="E50" s="62" t="s">
        <v>4057</v>
      </c>
      <c r="F50" s="62" t="s">
        <v>1117</v>
      </c>
      <c r="G50" s="62" t="s">
        <v>3777</v>
      </c>
      <c r="H50" s="90">
        <v>4018</v>
      </c>
      <c r="I50" s="67">
        <v>4158</v>
      </c>
      <c r="J50" s="68">
        <v>4142</v>
      </c>
      <c r="K50" s="69">
        <v>0</v>
      </c>
      <c r="L50" s="69"/>
      <c r="M50" s="69"/>
      <c r="N50" s="68">
        <v>4168</v>
      </c>
      <c r="O50" s="69" t="s">
        <v>3779</v>
      </c>
      <c r="P50" s="194" t="str">
        <f t="shared" si="21"/>
        <v>1</v>
      </c>
      <c r="Q50" s="103">
        <v>1</v>
      </c>
      <c r="R50" s="39" t="str">
        <f t="shared" si="18"/>
        <v>-</v>
      </c>
      <c r="S50" s="120">
        <f t="shared" si="3"/>
        <v>6637072</v>
      </c>
      <c r="T50" s="125">
        <f>7086813</f>
        <v>7086813</v>
      </c>
      <c r="U50" s="125">
        <f>6116606+38975+341644</f>
        <v>6497225</v>
      </c>
      <c r="V50" s="125">
        <f t="shared" si="22"/>
        <v>589588</v>
      </c>
      <c r="W50" s="122" t="str">
        <f t="shared" si="10"/>
        <v>1</v>
      </c>
      <c r="X50" s="125">
        <f>400000+49741</f>
        <v>449741</v>
      </c>
      <c r="Y50" s="125">
        <v>400000</v>
      </c>
      <c r="Z50" s="127">
        <f t="shared" si="23"/>
        <v>49741</v>
      </c>
      <c r="AA50" s="122" t="str">
        <f t="shared" si="12"/>
        <v>1</v>
      </c>
      <c r="AB50" s="120">
        <f t="shared" si="4"/>
        <v>400000</v>
      </c>
      <c r="AC50" s="125">
        <v>0</v>
      </c>
      <c r="AD50" s="127">
        <f t="shared" ref="AD50:AD57" si="24">Y50</f>
        <v>400000</v>
      </c>
      <c r="AE50" s="125">
        <v>146155</v>
      </c>
      <c r="AF50" s="142"/>
      <c r="AG50" s="157">
        <f>AH50-AI50-AL50</f>
        <v>129101</v>
      </c>
      <c r="AH50" s="130">
        <f>135789+634+4095-1195</f>
        <v>139323</v>
      </c>
      <c r="AI50" s="125">
        <v>4222</v>
      </c>
      <c r="AJ50" s="125">
        <v>38184</v>
      </c>
      <c r="AK50" s="125"/>
      <c r="AL50" s="125">
        <v>6000</v>
      </c>
      <c r="AM50" s="125"/>
      <c r="AN50" s="125"/>
      <c r="AO50" s="125"/>
    </row>
    <row r="51" spans="1:41" s="126" customFormat="1" ht="16.2" thickBot="1" x14ac:dyDescent="0.35">
      <c r="A51" s="70">
        <v>8.1999999999999993</v>
      </c>
      <c r="B51" s="215" t="s">
        <v>34</v>
      </c>
      <c r="C51" s="31" t="str">
        <f>VLOOKUP((CONCATENATE(B51)),ID!$A$2:$D$305,3,0)</f>
        <v>RL008</v>
      </c>
      <c r="D51" s="69">
        <v>0</v>
      </c>
      <c r="E51" s="69" t="s">
        <v>4057</v>
      </c>
      <c r="F51" s="69" t="s">
        <v>1117</v>
      </c>
      <c r="G51" s="69" t="s">
        <v>3777</v>
      </c>
      <c r="H51" s="91">
        <v>4199</v>
      </c>
      <c r="I51" s="68">
        <v>4333</v>
      </c>
      <c r="J51" s="68">
        <v>4260</v>
      </c>
      <c r="K51" s="71">
        <v>0</v>
      </c>
      <c r="L51" s="71"/>
      <c r="M51" s="69"/>
      <c r="N51" s="72">
        <v>4343</v>
      </c>
      <c r="O51" s="69" t="s">
        <v>3779</v>
      </c>
      <c r="P51" s="194" t="str">
        <f t="shared" si="21"/>
        <v>1</v>
      </c>
      <c r="Q51" s="103">
        <v>1</v>
      </c>
      <c r="R51" s="39" t="str">
        <f t="shared" si="18"/>
        <v>-</v>
      </c>
      <c r="S51" s="120">
        <f t="shared" si="3"/>
        <v>6694977</v>
      </c>
      <c r="T51" s="125">
        <v>7147314</v>
      </c>
      <c r="U51" s="125">
        <f>6259386+79019+341644</f>
        <v>6680049</v>
      </c>
      <c r="V51" s="125">
        <f t="shared" si="22"/>
        <v>467265</v>
      </c>
      <c r="W51" s="122" t="str">
        <f t="shared" si="10"/>
        <v>1</v>
      </c>
      <c r="X51" s="125">
        <f>400000+52337</f>
        <v>452337</v>
      </c>
      <c r="Y51" s="125">
        <v>400000</v>
      </c>
      <c r="Z51" s="127">
        <f t="shared" si="23"/>
        <v>52337</v>
      </c>
      <c r="AA51" s="122" t="str">
        <f t="shared" si="12"/>
        <v>1</v>
      </c>
      <c r="AB51" s="120">
        <f t="shared" si="4"/>
        <v>400000</v>
      </c>
      <c r="AC51" s="125">
        <v>0</v>
      </c>
      <c r="AD51" s="127">
        <f t="shared" si="24"/>
        <v>400000</v>
      </c>
      <c r="AE51" s="125">
        <v>187767</v>
      </c>
      <c r="AF51" s="142"/>
      <c r="AG51" s="157">
        <f>AH51-28000</f>
        <v>200855</v>
      </c>
      <c r="AH51" s="130">
        <f>224593+2039+2787+130-694</f>
        <v>228855</v>
      </c>
      <c r="AI51" s="125">
        <v>22000</v>
      </c>
      <c r="AJ51" s="125">
        <v>38184</v>
      </c>
      <c r="AK51" s="125"/>
      <c r="AL51" s="125">
        <v>6000</v>
      </c>
      <c r="AM51" s="125"/>
      <c r="AN51" s="125"/>
      <c r="AO51" s="125"/>
    </row>
    <row r="52" spans="1:41" s="126" customFormat="1" ht="16.2" thickBot="1" x14ac:dyDescent="0.35">
      <c r="A52" s="70">
        <v>8.3000000000000007</v>
      </c>
      <c r="B52" s="215" t="s">
        <v>34</v>
      </c>
      <c r="C52" s="31" t="str">
        <f>VLOOKUP((CONCATENATE(B52)),ID!$A$2:$D$305,3,0)</f>
        <v>RL008</v>
      </c>
      <c r="D52" s="69">
        <v>0</v>
      </c>
      <c r="E52" s="69" t="s">
        <v>4057</v>
      </c>
      <c r="F52" s="69" t="s">
        <v>1117</v>
      </c>
      <c r="G52" s="69" t="s">
        <v>3777</v>
      </c>
      <c r="H52" s="90">
        <v>4383</v>
      </c>
      <c r="I52" s="68">
        <v>4515</v>
      </c>
      <c r="J52" s="68">
        <v>4504</v>
      </c>
      <c r="K52" s="71">
        <v>0</v>
      </c>
      <c r="L52" s="71"/>
      <c r="M52" s="69"/>
      <c r="N52" s="72">
        <v>4525</v>
      </c>
      <c r="O52" s="69" t="s">
        <v>3779</v>
      </c>
      <c r="P52" s="194" t="str">
        <f t="shared" si="21"/>
        <v>1</v>
      </c>
      <c r="Q52" s="103">
        <v>1</v>
      </c>
      <c r="R52" s="39" t="str">
        <f t="shared" si="18"/>
        <v>-</v>
      </c>
      <c r="S52" s="120">
        <f t="shared" si="3"/>
        <v>6694081</v>
      </c>
      <c r="T52" s="125">
        <v>7143749</v>
      </c>
      <c r="U52" s="125">
        <f>6374399+54059+392396</f>
        <v>6820854</v>
      </c>
      <c r="V52" s="125">
        <f t="shared" si="22"/>
        <v>322895</v>
      </c>
      <c r="W52" s="122" t="str">
        <f t="shared" si="10"/>
        <v>1</v>
      </c>
      <c r="X52" s="125">
        <f>389900+10100+49668</f>
        <v>449668</v>
      </c>
      <c r="Y52" s="125">
        <v>400000</v>
      </c>
      <c r="Z52" s="127">
        <f t="shared" si="23"/>
        <v>49668</v>
      </c>
      <c r="AA52" s="122" t="str">
        <f t="shared" si="12"/>
        <v>1</v>
      </c>
      <c r="AB52" s="120">
        <f t="shared" si="4"/>
        <v>400000</v>
      </c>
      <c r="AC52" s="125">
        <v>0</v>
      </c>
      <c r="AD52" s="127">
        <f t="shared" si="24"/>
        <v>400000</v>
      </c>
      <c r="AE52" s="125">
        <v>173663</v>
      </c>
      <c r="AF52" s="142"/>
      <c r="AG52" s="157">
        <f>AH52-4316-5848</f>
        <v>161375</v>
      </c>
      <c r="AH52" s="130">
        <f>171075+1027+132-695</f>
        <v>171539</v>
      </c>
      <c r="AI52" s="125">
        <v>4316</v>
      </c>
      <c r="AJ52" s="125">
        <v>38184</v>
      </c>
      <c r="AK52" s="125"/>
      <c r="AL52" s="125">
        <v>5848</v>
      </c>
      <c r="AM52" s="125"/>
      <c r="AN52" s="125"/>
      <c r="AO52" s="125"/>
    </row>
    <row r="53" spans="1:41" s="126" customFormat="1" ht="16.2" thickBot="1" x14ac:dyDescent="0.35">
      <c r="A53" s="70">
        <v>8.4</v>
      </c>
      <c r="B53" s="215" t="s">
        <v>34</v>
      </c>
      <c r="C53" s="31" t="str">
        <f>VLOOKUP((CONCATENATE(B53)),ID!$A$2:$D$305,3,0)</f>
        <v>RL008</v>
      </c>
      <c r="D53" s="69">
        <v>0</v>
      </c>
      <c r="E53" s="69" t="s">
        <v>4057</v>
      </c>
      <c r="F53" s="69" t="s">
        <v>1117</v>
      </c>
      <c r="G53" s="69" t="s">
        <v>3777</v>
      </c>
      <c r="H53" s="91">
        <v>4565</v>
      </c>
      <c r="I53" s="68">
        <v>4697</v>
      </c>
      <c r="J53" s="68">
        <v>4687</v>
      </c>
      <c r="K53" s="71">
        <v>0</v>
      </c>
      <c r="L53" s="71"/>
      <c r="M53" s="69"/>
      <c r="N53" s="72">
        <v>4707</v>
      </c>
      <c r="O53" s="69" t="s">
        <v>3779</v>
      </c>
      <c r="P53" s="194" t="str">
        <f t="shared" si="21"/>
        <v>1</v>
      </c>
      <c r="Q53" s="103">
        <v>1</v>
      </c>
      <c r="R53" s="39" t="str">
        <f t="shared" si="18"/>
        <v>-</v>
      </c>
      <c r="S53" s="120">
        <f t="shared" si="3"/>
        <v>6779337</v>
      </c>
      <c r="T53" s="125">
        <v>7231309</v>
      </c>
      <c r="U53" s="125">
        <f>6509936+88043+372396</f>
        <v>6970375</v>
      </c>
      <c r="V53" s="125">
        <f t="shared" si="22"/>
        <v>260934</v>
      </c>
      <c r="W53" s="122" t="str">
        <f t="shared" si="10"/>
        <v>1</v>
      </c>
      <c r="X53" s="125">
        <f>388150+11850+51972</f>
        <v>451972</v>
      </c>
      <c r="Y53" s="125">
        <v>400000</v>
      </c>
      <c r="Z53" s="127">
        <f t="shared" si="23"/>
        <v>51972</v>
      </c>
      <c r="AA53" s="122" t="str">
        <f t="shared" si="12"/>
        <v>1</v>
      </c>
      <c r="AB53" s="120">
        <f t="shared" si="4"/>
        <v>400000</v>
      </c>
      <c r="AC53" s="125">
        <v>0</v>
      </c>
      <c r="AD53" s="127">
        <f t="shared" si="24"/>
        <v>400000</v>
      </c>
      <c r="AE53" s="125">
        <v>161975</v>
      </c>
      <c r="AF53" s="142"/>
      <c r="AG53" s="157">
        <f>AH53-23666-5822</f>
        <v>230370</v>
      </c>
      <c r="AH53" s="130">
        <f>257996+1917+732-787</f>
        <v>259858</v>
      </c>
      <c r="AI53" s="125">
        <v>23666</v>
      </c>
      <c r="AJ53" s="125">
        <v>41009</v>
      </c>
      <c r="AK53" s="125"/>
      <c r="AL53" s="125">
        <f>5822+750</f>
        <v>6572</v>
      </c>
      <c r="AM53" s="125"/>
      <c r="AN53" s="125"/>
      <c r="AO53" s="125"/>
    </row>
    <row r="54" spans="1:41" s="126" customFormat="1" ht="16.2" thickBot="1" x14ac:dyDescent="0.35">
      <c r="A54" s="70"/>
      <c r="B54" s="215" t="s">
        <v>34</v>
      </c>
      <c r="C54" s="31" t="str">
        <f>VLOOKUP((CONCATENATE(B54)),ID!$A$2:$D$305,3,0)</f>
        <v>RL008</v>
      </c>
      <c r="D54" s="69">
        <v>0</v>
      </c>
      <c r="E54" s="69" t="s">
        <v>4057</v>
      </c>
      <c r="F54" s="69" t="s">
        <v>1117</v>
      </c>
      <c r="G54" s="69" t="s">
        <v>3777</v>
      </c>
      <c r="H54" s="90">
        <v>4749</v>
      </c>
      <c r="I54" s="68">
        <v>4879</v>
      </c>
      <c r="J54" s="68">
        <v>4868</v>
      </c>
      <c r="K54" s="71">
        <v>0</v>
      </c>
      <c r="L54" s="71"/>
      <c r="M54" s="69"/>
      <c r="N54" s="72">
        <v>4889</v>
      </c>
      <c r="O54" s="69" t="s">
        <v>3779</v>
      </c>
      <c r="P54" s="194" t="str">
        <f t="shared" si="21"/>
        <v>1</v>
      </c>
      <c r="Q54" s="103">
        <v>1</v>
      </c>
      <c r="R54" s="39" t="str">
        <f t="shared" si="18"/>
        <v>-</v>
      </c>
      <c r="S54" s="120">
        <f t="shared" si="3"/>
        <v>6876498</v>
      </c>
      <c r="T54" s="125">
        <v>7344638</v>
      </c>
      <c r="U54" s="125">
        <f>6599479+119122+362396</f>
        <v>7080997</v>
      </c>
      <c r="V54" s="125">
        <f t="shared" si="22"/>
        <v>263641</v>
      </c>
      <c r="W54" s="122" t="str">
        <f t="shared" si="10"/>
        <v>1</v>
      </c>
      <c r="X54" s="125">
        <f>68140+385573+14427</f>
        <v>468140</v>
      </c>
      <c r="Y54" s="125">
        <f>385573+14427</f>
        <v>400000</v>
      </c>
      <c r="Z54" s="127">
        <f t="shared" si="23"/>
        <v>68140</v>
      </c>
      <c r="AA54" s="122" t="str">
        <f t="shared" si="12"/>
        <v>1</v>
      </c>
      <c r="AB54" s="120">
        <f t="shared" si="4"/>
        <v>400000</v>
      </c>
      <c r="AC54" s="125">
        <v>0</v>
      </c>
      <c r="AD54" s="127">
        <f t="shared" si="24"/>
        <v>400000</v>
      </c>
      <c r="AE54" s="125">
        <v>102517</v>
      </c>
      <c r="AF54" s="142"/>
      <c r="AG54" s="157">
        <f>AH54-AI54-AL54</f>
        <v>239832</v>
      </c>
      <c r="AH54" s="130">
        <f>312106-58184-696</f>
        <v>253226</v>
      </c>
      <c r="AI54" s="125">
        <v>6114</v>
      </c>
      <c r="AJ54" s="125">
        <v>44964</v>
      </c>
      <c r="AK54" s="125"/>
      <c r="AL54" s="125">
        <f>1497+5783</f>
        <v>7280</v>
      </c>
      <c r="AM54" s="125"/>
      <c r="AN54" s="125"/>
      <c r="AO54" s="125"/>
    </row>
    <row r="55" spans="1:41" s="126" customFormat="1" ht="16.2" thickBot="1" x14ac:dyDescent="0.35">
      <c r="A55" s="70"/>
      <c r="B55" s="215" t="s">
        <v>34</v>
      </c>
      <c r="C55" s="31" t="str">
        <f>VLOOKUP((CONCATENATE(B55)),ID!$A$2:$D$305,3,0)</f>
        <v>RL008</v>
      </c>
      <c r="D55" s="69">
        <v>0</v>
      </c>
      <c r="E55" s="69" t="s">
        <v>4057</v>
      </c>
      <c r="F55" s="69" t="s">
        <v>1117</v>
      </c>
      <c r="G55" s="69" t="s">
        <v>3777</v>
      </c>
      <c r="H55" s="91">
        <v>4838</v>
      </c>
      <c r="I55" s="68">
        <v>5131</v>
      </c>
      <c r="J55" s="68">
        <v>5128</v>
      </c>
      <c r="K55" s="71">
        <v>0</v>
      </c>
      <c r="L55" s="71"/>
      <c r="M55" s="69"/>
      <c r="N55" s="72">
        <v>5141</v>
      </c>
      <c r="O55" s="69" t="s">
        <v>3779</v>
      </c>
      <c r="P55" s="194" t="str">
        <f t="shared" si="21"/>
        <v>1</v>
      </c>
      <c r="Q55" s="103">
        <v>1</v>
      </c>
      <c r="R55" s="39" t="str">
        <f t="shared" si="18"/>
        <v>-</v>
      </c>
      <c r="S55" s="120">
        <f t="shared" si="3"/>
        <v>6856556</v>
      </c>
      <c r="T55" s="125">
        <v>7437351</v>
      </c>
      <c r="U55" s="125">
        <f>6691522+81710+362396</f>
        <v>7135628</v>
      </c>
      <c r="V55" s="125">
        <f t="shared" si="22"/>
        <v>301723</v>
      </c>
      <c r="W55" s="122" t="str">
        <f t="shared" si="10"/>
        <v>1</v>
      </c>
      <c r="X55" s="125">
        <f>127125+53670+385573+14427</f>
        <v>580795</v>
      </c>
      <c r="Y55" s="125">
        <f>385573+14427</f>
        <v>400000</v>
      </c>
      <c r="Z55" s="127">
        <f t="shared" si="23"/>
        <v>180795</v>
      </c>
      <c r="AA55" s="122" t="str">
        <f t="shared" si="12"/>
        <v>1</v>
      </c>
      <c r="AB55" s="120">
        <f t="shared" si="4"/>
        <v>400000</v>
      </c>
      <c r="AC55" s="125">
        <v>0</v>
      </c>
      <c r="AD55" s="127">
        <f t="shared" si="24"/>
        <v>400000</v>
      </c>
      <c r="AE55" s="125">
        <v>116318</v>
      </c>
      <c r="AF55" s="142"/>
      <c r="AG55" s="157">
        <f>AH55-AI55-AL55</f>
        <v>125094</v>
      </c>
      <c r="AH55" s="130">
        <f>136430-411-3659</f>
        <v>132360</v>
      </c>
      <c r="AI55" s="125">
        <v>3000</v>
      </c>
      <c r="AJ55" s="125">
        <v>23423</v>
      </c>
      <c r="AK55" s="125"/>
      <c r="AL55" s="125">
        <f>2891+1375</f>
        <v>4266</v>
      </c>
      <c r="AM55" s="125"/>
      <c r="AN55" s="125"/>
      <c r="AO55" s="125"/>
    </row>
    <row r="56" spans="1:41" s="126" customFormat="1" ht="16.2" thickBot="1" x14ac:dyDescent="0.35">
      <c r="A56" s="70"/>
      <c r="B56" s="215" t="s">
        <v>34</v>
      </c>
      <c r="C56" s="31" t="str">
        <f>VLOOKUP((CONCATENATE(B56)),ID!$A$2:$D$305,3,0)</f>
        <v>RL008</v>
      </c>
      <c r="D56" s="69">
        <v>1</v>
      </c>
      <c r="E56" s="69" t="s">
        <v>4057</v>
      </c>
      <c r="F56" s="69" t="s">
        <v>1117</v>
      </c>
      <c r="G56" s="69" t="s">
        <v>3777</v>
      </c>
      <c r="H56" s="91">
        <v>5203</v>
      </c>
      <c r="I56" s="68"/>
      <c r="J56" s="68">
        <v>5311</v>
      </c>
      <c r="K56" s="71"/>
      <c r="L56" s="166"/>
      <c r="M56" s="68"/>
      <c r="N56" s="72"/>
      <c r="O56" s="69" t="s">
        <v>3779</v>
      </c>
      <c r="P56" s="194" t="str">
        <f t="shared" si="21"/>
        <v>1</v>
      </c>
      <c r="Q56" s="103">
        <v>1</v>
      </c>
      <c r="R56" s="39" t="str">
        <f t="shared" si="18"/>
        <v>-</v>
      </c>
      <c r="S56" s="120">
        <f t="shared" si="3"/>
        <v>7027917</v>
      </c>
      <c r="T56" s="125">
        <v>7477929</v>
      </c>
      <c r="U56" s="125">
        <f>6802194+106521+277449</f>
        <v>7186164</v>
      </c>
      <c r="V56" s="125">
        <f t="shared" si="22"/>
        <v>291765</v>
      </c>
      <c r="W56" s="122" t="str">
        <f t="shared" si="10"/>
        <v>1</v>
      </c>
      <c r="X56" s="125">
        <f>50012+380088+19912</f>
        <v>450012</v>
      </c>
      <c r="Y56" s="125">
        <v>400000</v>
      </c>
      <c r="Z56" s="127">
        <f t="shared" si="23"/>
        <v>50012</v>
      </c>
      <c r="AA56" s="122" t="str">
        <f t="shared" si="12"/>
        <v>1</v>
      </c>
      <c r="AB56" s="120">
        <f t="shared" si="4"/>
        <v>400000</v>
      </c>
      <c r="AC56" s="125">
        <v>0</v>
      </c>
      <c r="AD56" s="127">
        <f t="shared" si="24"/>
        <v>400000</v>
      </c>
      <c r="AE56" s="125">
        <v>54759</v>
      </c>
      <c r="AF56" s="142"/>
      <c r="AG56" s="157">
        <f>AH56-AI56-AL56</f>
        <v>228074</v>
      </c>
      <c r="AH56" s="130">
        <f>245181-1045-6</f>
        <v>244130</v>
      </c>
      <c r="AI56" s="125">
        <f>5200+5384</f>
        <v>10584</v>
      </c>
      <c r="AJ56" s="125">
        <v>45670</v>
      </c>
      <c r="AK56" s="125"/>
      <c r="AL56" s="125">
        <v>5472</v>
      </c>
      <c r="AM56" s="125"/>
      <c r="AN56" s="125"/>
      <c r="AO56" s="125"/>
    </row>
    <row r="57" spans="1:41" s="126" customFormat="1" ht="16.2" thickBot="1" x14ac:dyDescent="0.35">
      <c r="A57" s="70"/>
      <c r="B57" s="215" t="s">
        <v>34</v>
      </c>
      <c r="C57" s="31" t="str">
        <f>VLOOKUP((CONCATENATE(B57)),ID!$A$2:$D$305,3,0)</f>
        <v>RL008</v>
      </c>
      <c r="D57" s="69">
        <v>0</v>
      </c>
      <c r="E57" s="69" t="s">
        <v>4057</v>
      </c>
      <c r="F57" s="69" t="s">
        <v>1117</v>
      </c>
      <c r="G57" s="69" t="s">
        <v>3777</v>
      </c>
      <c r="H57" s="91">
        <v>5387</v>
      </c>
      <c r="I57" s="68">
        <v>5509</v>
      </c>
      <c r="J57" s="68">
        <v>5506</v>
      </c>
      <c r="K57" s="71">
        <v>1</v>
      </c>
      <c r="L57" s="166">
        <v>5508</v>
      </c>
      <c r="M57" s="68">
        <v>5522</v>
      </c>
      <c r="N57" s="72">
        <v>5519</v>
      </c>
      <c r="O57" s="69" t="s">
        <v>3779</v>
      </c>
      <c r="P57" s="194" t="str">
        <f t="shared" si="21"/>
        <v>1</v>
      </c>
      <c r="Q57" s="103">
        <v>1</v>
      </c>
      <c r="R57" s="39" t="str">
        <f t="shared" si="18"/>
        <v>-</v>
      </c>
      <c r="S57" s="120">
        <f t="shared" si="3"/>
        <v>6948426</v>
      </c>
      <c r="T57" s="125">
        <v>7425613</v>
      </c>
      <c r="U57" s="125">
        <f>277449+6807880</f>
        <v>7085329</v>
      </c>
      <c r="V57" s="125">
        <f t="shared" si="22"/>
        <v>340284</v>
      </c>
      <c r="W57" s="122" t="str">
        <f t="shared" si="10"/>
        <v>1</v>
      </c>
      <c r="X57" s="125">
        <f>77187+400000</f>
        <v>477187</v>
      </c>
      <c r="Y57" s="125">
        <v>400000</v>
      </c>
      <c r="Z57" s="127">
        <f t="shared" si="23"/>
        <v>77187</v>
      </c>
      <c r="AA57" s="122" t="str">
        <f t="shared" si="12"/>
        <v>1</v>
      </c>
      <c r="AB57" s="120">
        <f t="shared" si="4"/>
        <v>400000</v>
      </c>
      <c r="AC57" s="125">
        <v>0</v>
      </c>
      <c r="AD57" s="127">
        <f t="shared" si="24"/>
        <v>400000</v>
      </c>
      <c r="AE57" s="125">
        <v>179674</v>
      </c>
      <c r="AF57" s="142"/>
      <c r="AG57" s="157">
        <f>AH57-AI57-AL57</f>
        <v>187237</v>
      </c>
      <c r="AH57" s="130">
        <f>224851-1192-1</f>
        <v>223658</v>
      </c>
      <c r="AI57" s="125">
        <f>5666+25000</f>
        <v>30666</v>
      </c>
      <c r="AJ57" s="125">
        <v>52698</v>
      </c>
      <c r="AK57" s="125"/>
      <c r="AL57" s="125">
        <v>5755</v>
      </c>
      <c r="AM57" s="125"/>
      <c r="AN57" s="125"/>
      <c r="AO57" s="125"/>
    </row>
    <row r="58" spans="1:41" s="126" customFormat="1" ht="16.2" thickBot="1" x14ac:dyDescent="0.35">
      <c r="A58" s="70"/>
      <c r="B58" s="215" t="s">
        <v>35</v>
      </c>
      <c r="C58" s="31" t="str">
        <f>VLOOKUP((CONCATENATE(B58)),ID!$A$2:$D$305,3,0)</f>
        <v>RL009</v>
      </c>
      <c r="D58" s="69">
        <v>0</v>
      </c>
      <c r="E58" s="69" t="s">
        <v>4057</v>
      </c>
      <c r="F58" s="51" t="s">
        <v>1117</v>
      </c>
      <c r="G58" s="51" t="s">
        <v>3777</v>
      </c>
      <c r="H58" s="92">
        <v>3653</v>
      </c>
      <c r="I58" s="68">
        <v>3805</v>
      </c>
      <c r="J58" s="68">
        <v>3805</v>
      </c>
      <c r="K58" s="71">
        <v>0</v>
      </c>
      <c r="L58" s="71"/>
      <c r="M58" s="69"/>
      <c r="N58" s="72">
        <v>3818</v>
      </c>
      <c r="O58" s="51" t="s">
        <v>3780</v>
      </c>
      <c r="P58" s="194">
        <v>0</v>
      </c>
      <c r="Q58" s="103">
        <v>0</v>
      </c>
      <c r="R58" s="39" t="s">
        <v>4075</v>
      </c>
      <c r="S58" s="120">
        <f t="shared" si="3"/>
        <v>39000000</v>
      </c>
      <c r="T58" s="125">
        <v>339328143</v>
      </c>
      <c r="U58" s="125">
        <f>329207621</f>
        <v>329207621</v>
      </c>
      <c r="V58" s="125">
        <f t="shared" si="22"/>
        <v>10120522</v>
      </c>
      <c r="W58" s="122" t="str">
        <f t="shared" si="10"/>
        <v>1</v>
      </c>
      <c r="X58" s="125">
        <f t="shared" ref="X58:X67" si="25">T58-39000000</f>
        <v>300328143</v>
      </c>
      <c r="Y58" s="125">
        <v>81531764</v>
      </c>
      <c r="Z58" s="127">
        <f t="shared" si="23"/>
        <v>218796379</v>
      </c>
      <c r="AA58" s="122" t="str">
        <f t="shared" si="12"/>
        <v>1</v>
      </c>
      <c r="AB58" s="120">
        <f t="shared" si="4"/>
        <v>81531764</v>
      </c>
      <c r="AC58" s="125">
        <v>0</v>
      </c>
      <c r="AD58" s="125">
        <f>Y58</f>
        <v>81531764</v>
      </c>
      <c r="AE58" s="125">
        <v>29549</v>
      </c>
      <c r="AF58" s="142"/>
      <c r="AG58" s="157">
        <f>AH58-AL58</f>
        <v>5247557</v>
      </c>
      <c r="AH58" s="130">
        <v>5247557</v>
      </c>
      <c r="AI58" s="125"/>
      <c r="AJ58" s="125"/>
      <c r="AK58" s="125"/>
      <c r="AL58" s="125"/>
      <c r="AM58" s="125"/>
      <c r="AN58" s="125"/>
      <c r="AO58" s="125"/>
    </row>
    <row r="59" spans="1:41" s="126" customFormat="1" ht="16.2" thickBot="1" x14ac:dyDescent="0.35">
      <c r="A59" s="70"/>
      <c r="B59" s="215" t="s">
        <v>35</v>
      </c>
      <c r="C59" s="31" t="str">
        <f>VLOOKUP((CONCATENATE(B59)),ID!$A$2:$D$305,3,0)</f>
        <v>RL009</v>
      </c>
      <c r="D59" s="69">
        <v>0</v>
      </c>
      <c r="E59" s="69" t="s">
        <v>4057</v>
      </c>
      <c r="F59" s="51" t="s">
        <v>1117</v>
      </c>
      <c r="G59" s="51" t="s">
        <v>3777</v>
      </c>
      <c r="H59" s="92">
        <v>3834</v>
      </c>
      <c r="I59" s="68">
        <v>3987</v>
      </c>
      <c r="J59" s="68">
        <v>3978</v>
      </c>
      <c r="K59" s="71">
        <v>0</v>
      </c>
      <c r="L59" s="71"/>
      <c r="M59" s="69"/>
      <c r="N59" s="72">
        <v>4000</v>
      </c>
      <c r="O59" s="51" t="s">
        <v>3780</v>
      </c>
      <c r="P59" s="194">
        <v>0</v>
      </c>
      <c r="Q59" s="103">
        <v>0</v>
      </c>
      <c r="R59" s="39" t="s">
        <v>4075</v>
      </c>
      <c r="S59" s="120">
        <f t="shared" si="3"/>
        <v>39000000</v>
      </c>
      <c r="T59" s="125">
        <v>345215567</v>
      </c>
      <c r="U59" s="125">
        <f>334902451</f>
        <v>334902451</v>
      </c>
      <c r="V59" s="125">
        <f t="shared" si="22"/>
        <v>10313116</v>
      </c>
      <c r="W59" s="122" t="str">
        <f t="shared" si="10"/>
        <v>1</v>
      </c>
      <c r="X59" s="125">
        <f t="shared" si="25"/>
        <v>306215567</v>
      </c>
      <c r="Y59" s="125">
        <v>81531764</v>
      </c>
      <c r="Z59" s="127">
        <f t="shared" si="23"/>
        <v>224683803</v>
      </c>
      <c r="AA59" s="122" t="str">
        <f t="shared" si="12"/>
        <v>1</v>
      </c>
      <c r="AB59" s="120">
        <f t="shared" si="4"/>
        <v>81531764</v>
      </c>
      <c r="AC59" s="125">
        <v>0</v>
      </c>
      <c r="AD59" s="125">
        <f>Y59</f>
        <v>81531764</v>
      </c>
      <c r="AE59" s="125">
        <v>47051</v>
      </c>
      <c r="AF59" s="142"/>
      <c r="AG59" s="157">
        <f>AH59-AL59</f>
        <v>9297659</v>
      </c>
      <c r="AH59" s="130">
        <v>9297659</v>
      </c>
      <c r="AI59" s="125"/>
      <c r="AJ59" s="125"/>
      <c r="AK59" s="125"/>
      <c r="AL59" s="125"/>
      <c r="AM59" s="125"/>
      <c r="AN59" s="125"/>
      <c r="AO59" s="125"/>
    </row>
    <row r="60" spans="1:41" s="123" customFormat="1" ht="16.2" thickBot="1" x14ac:dyDescent="0.35">
      <c r="A60" s="52">
        <v>9.1</v>
      </c>
      <c r="B60" s="215" t="s">
        <v>35</v>
      </c>
      <c r="C60" s="31" t="str">
        <f>VLOOKUP((CONCATENATE(B60)),ID!$A$2:$D$305,3,0)</f>
        <v>RL009</v>
      </c>
      <c r="D60" s="69">
        <v>0</v>
      </c>
      <c r="E60" s="51" t="s">
        <v>4057</v>
      </c>
      <c r="F60" s="51" t="s">
        <v>1117</v>
      </c>
      <c r="G60" s="51" t="s">
        <v>3777</v>
      </c>
      <c r="H60" s="92">
        <v>4018</v>
      </c>
      <c r="I60" s="50">
        <v>4170</v>
      </c>
      <c r="J60" s="50">
        <v>4144</v>
      </c>
      <c r="K60" s="53">
        <v>0</v>
      </c>
      <c r="L60" s="53"/>
      <c r="M60" s="51"/>
      <c r="N60" s="54">
        <v>4182</v>
      </c>
      <c r="O60" s="51" t="s">
        <v>3780</v>
      </c>
      <c r="P60" s="194">
        <v>0</v>
      </c>
      <c r="Q60" s="103">
        <v>0</v>
      </c>
      <c r="R60" s="39" t="s">
        <v>4075</v>
      </c>
      <c r="S60" s="120">
        <f t="shared" si="3"/>
        <v>39000000</v>
      </c>
      <c r="T60" s="127">
        <v>347732167</v>
      </c>
      <c r="U60" s="127">
        <f>339358408</f>
        <v>339358408</v>
      </c>
      <c r="V60" s="125">
        <f t="shared" si="22"/>
        <v>8373759</v>
      </c>
      <c r="W60" s="122" t="str">
        <f t="shared" si="10"/>
        <v>1</v>
      </c>
      <c r="X60" s="127">
        <f t="shared" si="25"/>
        <v>308732167</v>
      </c>
      <c r="Y60" s="125">
        <v>81531764</v>
      </c>
      <c r="Z60" s="127">
        <f>X60-Y60</f>
        <v>227200403</v>
      </c>
      <c r="AA60" s="122" t="str">
        <f t="shared" si="12"/>
        <v>1</v>
      </c>
      <c r="AB60" s="120">
        <f t="shared" si="4"/>
        <v>81531764</v>
      </c>
      <c r="AC60" s="127">
        <v>0</v>
      </c>
      <c r="AD60" s="125">
        <f t="shared" ref="AD60:AD69" si="26">Y60</f>
        <v>81531764</v>
      </c>
      <c r="AE60" s="127">
        <v>15877</v>
      </c>
      <c r="AF60" s="143"/>
      <c r="AG60" s="149">
        <f>AH60</f>
        <v>5705354</v>
      </c>
      <c r="AH60" s="127">
        <v>5705354</v>
      </c>
      <c r="AI60" s="127"/>
      <c r="AJ60" s="127"/>
      <c r="AK60" s="127"/>
      <c r="AL60" s="127"/>
      <c r="AM60" s="127"/>
      <c r="AN60" s="127"/>
      <c r="AO60" s="127"/>
    </row>
    <row r="61" spans="1:41" s="123" customFormat="1" ht="16.2" thickBot="1" x14ac:dyDescent="0.35">
      <c r="A61" s="52">
        <v>9.1999999999999993</v>
      </c>
      <c r="B61" s="215" t="s">
        <v>35</v>
      </c>
      <c r="C61" s="31" t="str">
        <f>VLOOKUP((CONCATENATE(B61)),ID!$A$2:$D$305,3,0)</f>
        <v>RL009</v>
      </c>
      <c r="D61" s="69">
        <v>0</v>
      </c>
      <c r="E61" s="51" t="s">
        <v>4057</v>
      </c>
      <c r="F61" s="51" t="s">
        <v>1117</v>
      </c>
      <c r="G61" s="51" t="s">
        <v>3777</v>
      </c>
      <c r="H61" s="92">
        <v>4199</v>
      </c>
      <c r="I61" s="50">
        <v>4353</v>
      </c>
      <c r="J61" s="50">
        <v>4335</v>
      </c>
      <c r="K61" s="53">
        <v>0</v>
      </c>
      <c r="L61" s="53"/>
      <c r="M61" s="51"/>
      <c r="N61" s="54">
        <v>4364</v>
      </c>
      <c r="O61" s="51" t="s">
        <v>3780</v>
      </c>
      <c r="P61" s="194">
        <v>0</v>
      </c>
      <c r="Q61" s="103">
        <v>0</v>
      </c>
      <c r="R61" s="39" t="s">
        <v>4075</v>
      </c>
      <c r="S61" s="120">
        <f t="shared" si="3"/>
        <v>39000000</v>
      </c>
      <c r="T61" s="127">
        <v>352670384</v>
      </c>
      <c r="U61" s="127">
        <v>343831608</v>
      </c>
      <c r="V61" s="125">
        <f t="shared" si="22"/>
        <v>8838776</v>
      </c>
      <c r="W61" s="122" t="str">
        <f t="shared" si="10"/>
        <v>1</v>
      </c>
      <c r="X61" s="127">
        <f t="shared" si="25"/>
        <v>313670384</v>
      </c>
      <c r="Y61" s="125">
        <v>81531764</v>
      </c>
      <c r="Z61" s="127">
        <f>X61-Y61</f>
        <v>232138620</v>
      </c>
      <c r="AA61" s="122" t="str">
        <f t="shared" si="12"/>
        <v>1</v>
      </c>
      <c r="AB61" s="120">
        <f t="shared" si="4"/>
        <v>81531764</v>
      </c>
      <c r="AC61" s="127">
        <v>0</v>
      </c>
      <c r="AD61" s="125">
        <f t="shared" si="26"/>
        <v>81531764</v>
      </c>
      <c r="AE61" s="127">
        <v>23087</v>
      </c>
      <c r="AF61" s="143"/>
      <c r="AG61" s="149">
        <f>AH61</f>
        <v>9223239</v>
      </c>
      <c r="AH61" s="127">
        <v>9223239</v>
      </c>
      <c r="AI61" s="127"/>
      <c r="AJ61" s="127"/>
      <c r="AK61" s="127"/>
      <c r="AL61" s="127"/>
      <c r="AM61" s="127"/>
      <c r="AN61" s="127"/>
      <c r="AO61" s="127"/>
    </row>
    <row r="62" spans="1:41" s="123" customFormat="1" ht="16.2" thickBot="1" x14ac:dyDescent="0.35">
      <c r="A62" s="52">
        <v>9.3000000000000007</v>
      </c>
      <c r="B62" s="215" t="s">
        <v>35</v>
      </c>
      <c r="C62" s="31" t="str">
        <f>VLOOKUP((CONCATENATE(B62)),ID!$A$2:$D$305,3,0)</f>
        <v>RL009</v>
      </c>
      <c r="D62" s="69">
        <v>0</v>
      </c>
      <c r="E62" s="51" t="s">
        <v>4057</v>
      </c>
      <c r="F62" s="51" t="s">
        <v>1117</v>
      </c>
      <c r="G62" s="51" t="s">
        <v>3777</v>
      </c>
      <c r="H62" s="92">
        <v>4383</v>
      </c>
      <c r="I62" s="50">
        <v>4536</v>
      </c>
      <c r="J62" s="50">
        <v>4504</v>
      </c>
      <c r="K62" s="53">
        <v>0</v>
      </c>
      <c r="L62" s="53"/>
      <c r="M62" s="51"/>
      <c r="N62" s="54">
        <v>4546</v>
      </c>
      <c r="O62" s="51" t="s">
        <v>3780</v>
      </c>
      <c r="P62" s="194">
        <v>0</v>
      </c>
      <c r="Q62" s="103">
        <v>0</v>
      </c>
      <c r="R62" s="39" t="s">
        <v>4075</v>
      </c>
      <c r="S62" s="120">
        <f t="shared" si="3"/>
        <v>39000000</v>
      </c>
      <c r="T62" s="127">
        <v>356149426</v>
      </c>
      <c r="U62" s="127">
        <f>348014511</f>
        <v>348014511</v>
      </c>
      <c r="V62" s="125">
        <f t="shared" si="22"/>
        <v>8134915</v>
      </c>
      <c r="W62" s="122" t="str">
        <f t="shared" si="10"/>
        <v>1</v>
      </c>
      <c r="X62" s="127">
        <f t="shared" si="25"/>
        <v>317149426</v>
      </c>
      <c r="Y62" s="125">
        <v>81531764</v>
      </c>
      <c r="Z62" s="127">
        <f>X62-Y62</f>
        <v>235617662</v>
      </c>
      <c r="AA62" s="122" t="str">
        <f t="shared" si="12"/>
        <v>1</v>
      </c>
      <c r="AB62" s="120">
        <f t="shared" si="4"/>
        <v>81531764</v>
      </c>
      <c r="AC62" s="127">
        <v>0</v>
      </c>
      <c r="AD62" s="125">
        <f t="shared" si="26"/>
        <v>81531764</v>
      </c>
      <c r="AE62" s="127">
        <v>30361</v>
      </c>
      <c r="AF62" s="143"/>
      <c r="AG62" s="149">
        <f t="shared" ref="AG62:AG77" si="27">AH62</f>
        <v>7492184</v>
      </c>
      <c r="AH62" s="127">
        <v>7492184</v>
      </c>
      <c r="AI62" s="127"/>
      <c r="AJ62" s="127"/>
      <c r="AK62" s="127"/>
      <c r="AL62" s="127"/>
      <c r="AM62" s="127"/>
      <c r="AN62" s="127"/>
      <c r="AO62" s="127"/>
    </row>
    <row r="63" spans="1:41" s="123" customFormat="1" ht="16.2" thickBot="1" x14ac:dyDescent="0.35">
      <c r="A63" s="52">
        <v>9.4</v>
      </c>
      <c r="B63" s="215" t="s">
        <v>35</v>
      </c>
      <c r="C63" s="31" t="str">
        <f>VLOOKUP((CONCATENATE(B63)),ID!$A$2:$D$305,3,0)</f>
        <v>RL009</v>
      </c>
      <c r="D63" s="69">
        <v>0</v>
      </c>
      <c r="E63" s="51" t="s">
        <v>4057</v>
      </c>
      <c r="F63" s="51" t="s">
        <v>1117</v>
      </c>
      <c r="G63" s="51" t="s">
        <v>3777</v>
      </c>
      <c r="H63" s="92">
        <v>4565</v>
      </c>
      <c r="I63" s="50">
        <v>4718</v>
      </c>
      <c r="J63" s="50">
        <v>4688</v>
      </c>
      <c r="K63" s="53">
        <v>0</v>
      </c>
      <c r="L63" s="53"/>
      <c r="M63" s="51"/>
      <c r="N63" s="54">
        <v>4728</v>
      </c>
      <c r="O63" s="51" t="s">
        <v>3780</v>
      </c>
      <c r="P63" s="194">
        <v>0</v>
      </c>
      <c r="Q63" s="103">
        <v>0</v>
      </c>
      <c r="R63" s="39" t="s">
        <v>4075</v>
      </c>
      <c r="S63" s="120">
        <f t="shared" si="3"/>
        <v>39000000</v>
      </c>
      <c r="T63" s="127">
        <v>360438276</v>
      </c>
      <c r="U63" s="127">
        <f>352366723</f>
        <v>352366723</v>
      </c>
      <c r="V63" s="125">
        <f t="shared" si="22"/>
        <v>8071553</v>
      </c>
      <c r="W63" s="122" t="str">
        <f t="shared" si="10"/>
        <v>1</v>
      </c>
      <c r="X63" s="127">
        <f t="shared" si="25"/>
        <v>321438276</v>
      </c>
      <c r="Y63" s="125">
        <v>81531764</v>
      </c>
      <c r="Z63" s="127">
        <f>X63-Y63</f>
        <v>239906512</v>
      </c>
      <c r="AA63" s="122" t="str">
        <f t="shared" si="12"/>
        <v>1</v>
      </c>
      <c r="AB63" s="120">
        <f t="shared" si="4"/>
        <v>81531764</v>
      </c>
      <c r="AC63" s="127">
        <v>0</v>
      </c>
      <c r="AD63" s="125">
        <f t="shared" si="26"/>
        <v>81531764</v>
      </c>
      <c r="AE63" s="127">
        <v>24334</v>
      </c>
      <c r="AF63" s="143"/>
      <c r="AG63" s="149">
        <f t="shared" si="27"/>
        <v>11230496</v>
      </c>
      <c r="AH63" s="127">
        <v>11230496</v>
      </c>
      <c r="AI63" s="127"/>
      <c r="AJ63" s="127"/>
      <c r="AK63" s="127"/>
      <c r="AL63" s="127"/>
      <c r="AM63" s="127"/>
      <c r="AN63" s="127"/>
      <c r="AO63" s="127"/>
    </row>
    <row r="64" spans="1:41" s="123" customFormat="1" ht="16.2" thickBot="1" x14ac:dyDescent="0.35">
      <c r="A64" s="52"/>
      <c r="B64" s="215" t="s">
        <v>35</v>
      </c>
      <c r="C64" s="31" t="str">
        <f>VLOOKUP((CONCATENATE(B64)),ID!$A$2:$D$305,3,0)</f>
        <v>RL009</v>
      </c>
      <c r="D64" s="69">
        <v>0</v>
      </c>
      <c r="E64" s="51" t="s">
        <v>4057</v>
      </c>
      <c r="F64" s="51" t="s">
        <v>1117</v>
      </c>
      <c r="G64" s="51" t="s">
        <v>3777</v>
      </c>
      <c r="H64" s="92">
        <v>4749</v>
      </c>
      <c r="I64" s="50">
        <v>4900</v>
      </c>
      <c r="J64" s="50">
        <v>4864</v>
      </c>
      <c r="K64" s="53">
        <v>0</v>
      </c>
      <c r="L64" s="53"/>
      <c r="M64" s="51"/>
      <c r="N64" s="54">
        <v>4910</v>
      </c>
      <c r="O64" s="51" t="s">
        <v>3780</v>
      </c>
      <c r="P64" s="194">
        <v>0</v>
      </c>
      <c r="Q64" s="103">
        <v>0</v>
      </c>
      <c r="R64" s="39" t="s">
        <v>4075</v>
      </c>
      <c r="S64" s="120">
        <f t="shared" si="3"/>
        <v>39000000</v>
      </c>
      <c r="T64" s="127">
        <v>363861847</v>
      </c>
      <c r="U64" s="127">
        <f>356038944</f>
        <v>356038944</v>
      </c>
      <c r="V64" s="125">
        <f t="shared" si="22"/>
        <v>7822903</v>
      </c>
      <c r="W64" s="122" t="str">
        <f t="shared" si="10"/>
        <v>1</v>
      </c>
      <c r="X64" s="127">
        <f t="shared" si="25"/>
        <v>324861847</v>
      </c>
      <c r="Y64" s="125">
        <v>81531764</v>
      </c>
      <c r="Z64" s="127">
        <f t="shared" ref="Z64:Z77" si="28">X64-Y64</f>
        <v>243330083</v>
      </c>
      <c r="AA64" s="122" t="str">
        <f t="shared" si="12"/>
        <v>1</v>
      </c>
      <c r="AB64" s="120">
        <f t="shared" si="4"/>
        <v>81531764</v>
      </c>
      <c r="AC64" s="127">
        <v>0</v>
      </c>
      <c r="AD64" s="125">
        <f t="shared" si="26"/>
        <v>81531764</v>
      </c>
      <c r="AE64" s="127">
        <v>38778</v>
      </c>
      <c r="AF64" s="143"/>
      <c r="AG64" s="149">
        <f t="shared" si="27"/>
        <v>10465709</v>
      </c>
      <c r="AH64" s="127">
        <v>10465709</v>
      </c>
      <c r="AI64" s="127"/>
      <c r="AJ64" s="127"/>
      <c r="AK64" s="127"/>
      <c r="AL64" s="127"/>
      <c r="AM64" s="127"/>
      <c r="AN64" s="127"/>
      <c r="AO64" s="127"/>
    </row>
    <row r="65" spans="1:41" s="123" customFormat="1" ht="16.2" thickBot="1" x14ac:dyDescent="0.35">
      <c r="A65" s="52"/>
      <c r="B65" s="215" t="s">
        <v>35</v>
      </c>
      <c r="C65" s="31" t="str">
        <f>VLOOKUP((CONCATENATE(B65)),ID!$A$2:$D$305,3,0)</f>
        <v>RL009</v>
      </c>
      <c r="D65" s="69">
        <v>0</v>
      </c>
      <c r="E65" s="51" t="s">
        <v>4057</v>
      </c>
      <c r="F65" s="51" t="s">
        <v>1117</v>
      </c>
      <c r="G65" s="51" t="s">
        <v>3777</v>
      </c>
      <c r="H65" s="92">
        <v>4930</v>
      </c>
      <c r="I65" s="50">
        <v>5083</v>
      </c>
      <c r="J65" s="50">
        <v>5025</v>
      </c>
      <c r="K65" s="53">
        <v>0</v>
      </c>
      <c r="L65" s="53"/>
      <c r="M65" s="51"/>
      <c r="N65" s="54">
        <v>5092</v>
      </c>
      <c r="O65" s="51" t="s">
        <v>3780</v>
      </c>
      <c r="P65" s="194">
        <v>0</v>
      </c>
      <c r="Q65" s="103">
        <v>0</v>
      </c>
      <c r="R65" s="39" t="s">
        <v>4075</v>
      </c>
      <c r="S65" s="120">
        <f t="shared" si="3"/>
        <v>39000000</v>
      </c>
      <c r="T65" s="127">
        <v>368844324</v>
      </c>
      <c r="U65" s="127">
        <v>358588255</v>
      </c>
      <c r="V65" s="125">
        <f t="shared" si="22"/>
        <v>10256069</v>
      </c>
      <c r="W65" s="122" t="str">
        <f t="shared" si="10"/>
        <v>1</v>
      </c>
      <c r="X65" s="127">
        <f t="shared" si="25"/>
        <v>329844324</v>
      </c>
      <c r="Y65" s="125">
        <v>81531764</v>
      </c>
      <c r="Z65" s="127">
        <f t="shared" si="28"/>
        <v>248312560</v>
      </c>
      <c r="AA65" s="122" t="str">
        <f t="shared" si="12"/>
        <v>1</v>
      </c>
      <c r="AB65" s="120">
        <f t="shared" si="4"/>
        <v>81531764</v>
      </c>
      <c r="AC65" s="127">
        <v>0</v>
      </c>
      <c r="AD65" s="125">
        <f t="shared" si="26"/>
        <v>81531764</v>
      </c>
      <c r="AE65" s="127">
        <v>12125</v>
      </c>
      <c r="AF65" s="143"/>
      <c r="AG65" s="149">
        <f t="shared" si="27"/>
        <v>5891419</v>
      </c>
      <c r="AH65" s="127">
        <v>5891419</v>
      </c>
      <c r="AI65" s="127"/>
      <c r="AJ65" s="127"/>
      <c r="AK65" s="127"/>
      <c r="AL65" s="127"/>
      <c r="AM65" s="127"/>
      <c r="AN65" s="127"/>
      <c r="AO65" s="127"/>
    </row>
    <row r="66" spans="1:41" s="123" customFormat="1" ht="16.2" thickBot="1" x14ac:dyDescent="0.35">
      <c r="A66" s="52"/>
      <c r="B66" s="215" t="s">
        <v>35</v>
      </c>
      <c r="C66" s="31" t="str">
        <f>VLOOKUP((CONCATENATE(B66)),ID!$A$2:$D$305,3,0)</f>
        <v>RL009</v>
      </c>
      <c r="D66" s="69">
        <v>0</v>
      </c>
      <c r="E66" s="51" t="s">
        <v>4057</v>
      </c>
      <c r="F66" s="51" t="s">
        <v>1117</v>
      </c>
      <c r="G66" s="51" t="s">
        <v>3777</v>
      </c>
      <c r="H66" s="92">
        <v>5022</v>
      </c>
      <c r="I66" s="50">
        <v>5271</v>
      </c>
      <c r="J66" s="50">
        <v>5249</v>
      </c>
      <c r="K66" s="53">
        <v>0</v>
      </c>
      <c r="L66" s="53"/>
      <c r="M66" s="51"/>
      <c r="N66" s="54">
        <v>5281</v>
      </c>
      <c r="O66" s="51" t="s">
        <v>3780</v>
      </c>
      <c r="P66" s="194">
        <v>0</v>
      </c>
      <c r="Q66" s="103">
        <v>0</v>
      </c>
      <c r="R66" s="39" t="s">
        <v>4075</v>
      </c>
      <c r="S66" s="120">
        <f t="shared" si="3"/>
        <v>39000000</v>
      </c>
      <c r="T66" s="127">
        <v>374981703</v>
      </c>
      <c r="U66" s="127">
        <v>363987902</v>
      </c>
      <c r="V66" s="125">
        <f t="shared" si="22"/>
        <v>10993801</v>
      </c>
      <c r="W66" s="122" t="str">
        <f t="shared" si="10"/>
        <v>1</v>
      </c>
      <c r="X66" s="127">
        <f t="shared" si="25"/>
        <v>335981703</v>
      </c>
      <c r="Y66" s="125">
        <v>81531764</v>
      </c>
      <c r="Z66" s="127">
        <f t="shared" si="28"/>
        <v>254449939</v>
      </c>
      <c r="AA66" s="122" t="str">
        <f t="shared" si="12"/>
        <v>1</v>
      </c>
      <c r="AB66" s="120">
        <f t="shared" si="4"/>
        <v>81531764</v>
      </c>
      <c r="AC66" s="127">
        <v>0</v>
      </c>
      <c r="AD66" s="125">
        <f t="shared" si="26"/>
        <v>81531764</v>
      </c>
      <c r="AE66" s="127">
        <v>11671</v>
      </c>
      <c r="AF66" s="143"/>
      <c r="AG66" s="149">
        <f t="shared" si="27"/>
        <v>9782382</v>
      </c>
      <c r="AH66" s="127">
        <v>9782382</v>
      </c>
      <c r="AI66" s="127"/>
      <c r="AJ66" s="127"/>
      <c r="AK66" s="127"/>
      <c r="AL66" s="127"/>
      <c r="AM66" s="127"/>
      <c r="AN66" s="127"/>
      <c r="AO66" s="127"/>
    </row>
    <row r="67" spans="1:41" s="123" customFormat="1" ht="16.2" thickBot="1" x14ac:dyDescent="0.35">
      <c r="A67" s="52"/>
      <c r="B67" s="215" t="s">
        <v>35</v>
      </c>
      <c r="C67" s="31" t="str">
        <f>VLOOKUP((CONCATENATE(B67)),ID!$A$2:$D$305,3,0)</f>
        <v>RL009</v>
      </c>
      <c r="D67" s="69">
        <v>0</v>
      </c>
      <c r="E67" s="51" t="s">
        <v>4057</v>
      </c>
      <c r="F67" s="51" t="s">
        <v>1117</v>
      </c>
      <c r="G67" s="51" t="s">
        <v>3777</v>
      </c>
      <c r="H67" s="92">
        <v>5204</v>
      </c>
      <c r="I67" s="50">
        <v>5449</v>
      </c>
      <c r="J67" s="50">
        <v>5435</v>
      </c>
      <c r="K67" s="53">
        <v>0</v>
      </c>
      <c r="L67" s="53"/>
      <c r="M67" s="51"/>
      <c r="N67" s="54">
        <v>5458</v>
      </c>
      <c r="O67" s="51" t="s">
        <v>3780</v>
      </c>
      <c r="P67" s="194">
        <v>0</v>
      </c>
      <c r="Q67" s="103">
        <v>0</v>
      </c>
      <c r="R67" s="39" t="s">
        <v>4075</v>
      </c>
      <c r="S67" s="120">
        <f t="shared" si="3"/>
        <v>39000000</v>
      </c>
      <c r="T67" s="127">
        <v>407803378</v>
      </c>
      <c r="U67" s="127">
        <v>372454893</v>
      </c>
      <c r="V67" s="125">
        <f t="shared" si="22"/>
        <v>35348485</v>
      </c>
      <c r="W67" s="122" t="str">
        <f t="shared" si="10"/>
        <v>1</v>
      </c>
      <c r="X67" s="127">
        <f t="shared" si="25"/>
        <v>368803378</v>
      </c>
      <c r="Y67" s="127">
        <f>84831764+20850000</f>
        <v>105681764</v>
      </c>
      <c r="Z67" s="127">
        <f t="shared" si="28"/>
        <v>263121614</v>
      </c>
      <c r="AA67" s="122" t="str">
        <f t="shared" si="12"/>
        <v>1</v>
      </c>
      <c r="AB67" s="120">
        <f t="shared" si="4"/>
        <v>105681764</v>
      </c>
      <c r="AC67" s="127">
        <v>0</v>
      </c>
      <c r="AD67" s="125">
        <f t="shared" si="26"/>
        <v>105681764</v>
      </c>
      <c r="AE67" s="127">
        <v>3887</v>
      </c>
      <c r="AF67" s="143"/>
      <c r="AG67" s="149">
        <f t="shared" si="27"/>
        <v>11458071</v>
      </c>
      <c r="AH67" s="127">
        <v>11458071</v>
      </c>
      <c r="AI67" s="127"/>
      <c r="AJ67" s="127"/>
      <c r="AK67" s="127"/>
      <c r="AL67" s="127"/>
      <c r="AM67" s="127"/>
      <c r="AN67" s="127"/>
      <c r="AO67" s="127"/>
    </row>
    <row r="68" spans="1:41" s="123" customFormat="1" ht="16.2" thickBot="1" x14ac:dyDescent="0.35">
      <c r="A68" s="52"/>
      <c r="B68" s="211" t="s">
        <v>38</v>
      </c>
      <c r="C68" s="31" t="str">
        <f>VLOOKUP((CONCATENATE(B68)),ID!$A$2:$D$305,3,0)</f>
        <v>RL010</v>
      </c>
      <c r="D68" s="60">
        <v>0</v>
      </c>
      <c r="E68" s="51" t="s">
        <v>4057</v>
      </c>
      <c r="F68" s="51" t="s">
        <v>1117</v>
      </c>
      <c r="G68" s="51" t="s">
        <v>3777</v>
      </c>
      <c r="H68" s="89">
        <v>3653</v>
      </c>
      <c r="I68" s="50">
        <v>3785</v>
      </c>
      <c r="J68" s="50">
        <v>3800</v>
      </c>
      <c r="K68" s="53">
        <v>1</v>
      </c>
      <c r="L68" s="55">
        <v>3814</v>
      </c>
      <c r="M68" s="50">
        <v>3834</v>
      </c>
      <c r="N68" s="54">
        <v>3814</v>
      </c>
      <c r="O68" s="60" t="s">
        <v>3781</v>
      </c>
      <c r="P68" s="194">
        <v>1</v>
      </c>
      <c r="Q68" s="104">
        <v>1</v>
      </c>
      <c r="R68" s="39" t="str">
        <f t="shared" ref="R68:R78" si="29">IF(Q68=0,"?","-")</f>
        <v>-</v>
      </c>
      <c r="S68" s="120">
        <f t="shared" si="3"/>
        <v>57807</v>
      </c>
      <c r="T68" s="127">
        <v>62816</v>
      </c>
      <c r="U68" s="127">
        <v>58463</v>
      </c>
      <c r="V68" s="125">
        <f t="shared" si="22"/>
        <v>4353</v>
      </c>
      <c r="W68" s="122" t="str">
        <f t="shared" si="10"/>
        <v>1</v>
      </c>
      <c r="X68" s="127">
        <f>1206+3803</f>
        <v>5009</v>
      </c>
      <c r="Y68" s="127"/>
      <c r="Z68" s="127">
        <f t="shared" si="28"/>
        <v>5009</v>
      </c>
      <c r="AA68" s="122" t="str">
        <f t="shared" si="12"/>
        <v>1</v>
      </c>
      <c r="AB68" s="120">
        <f t="shared" si="4"/>
        <v>0</v>
      </c>
      <c r="AC68" s="127">
        <v>0</v>
      </c>
      <c r="AD68" s="125">
        <f t="shared" si="26"/>
        <v>0</v>
      </c>
      <c r="AE68" s="127">
        <v>4353</v>
      </c>
      <c r="AF68" s="143"/>
      <c r="AG68" s="149">
        <f t="shared" si="27"/>
        <v>164</v>
      </c>
      <c r="AH68" s="127">
        <f>67306-67142</f>
        <v>164</v>
      </c>
      <c r="AI68" s="127"/>
      <c r="AJ68" s="127"/>
      <c r="AK68" s="127"/>
      <c r="AL68" s="127"/>
      <c r="AM68" s="127"/>
      <c r="AN68" s="127"/>
      <c r="AO68" s="127"/>
    </row>
    <row r="69" spans="1:41" s="123" customFormat="1" ht="16.2" thickBot="1" x14ac:dyDescent="0.35">
      <c r="A69" s="52"/>
      <c r="B69" s="211" t="s">
        <v>38</v>
      </c>
      <c r="C69" s="31" t="str">
        <f>VLOOKUP((CONCATENATE(B69)),ID!$A$2:$D$305,3,0)</f>
        <v>RL010</v>
      </c>
      <c r="D69" s="60">
        <v>0</v>
      </c>
      <c r="E69" s="51" t="s">
        <v>4057</v>
      </c>
      <c r="F69" s="51" t="s">
        <v>1117</v>
      </c>
      <c r="G69" s="51" t="s">
        <v>3777</v>
      </c>
      <c r="H69" s="89">
        <v>3834</v>
      </c>
      <c r="I69" s="50">
        <v>3968</v>
      </c>
      <c r="J69" s="50">
        <v>3982</v>
      </c>
      <c r="K69" s="53">
        <v>1</v>
      </c>
      <c r="L69" s="55">
        <v>3997</v>
      </c>
      <c r="M69" s="50">
        <v>4018</v>
      </c>
      <c r="N69" s="54">
        <v>3996</v>
      </c>
      <c r="O69" s="60" t="s">
        <v>3781</v>
      </c>
      <c r="P69" s="194">
        <v>1</v>
      </c>
      <c r="Q69" s="104">
        <v>1</v>
      </c>
      <c r="R69" s="39" t="str">
        <f t="shared" si="29"/>
        <v>-</v>
      </c>
      <c r="S69" s="120">
        <f t="shared" si="3"/>
        <v>67631</v>
      </c>
      <c r="T69" s="127">
        <v>71634</v>
      </c>
      <c r="U69" s="127">
        <v>68963</v>
      </c>
      <c r="V69" s="125">
        <f t="shared" si="22"/>
        <v>2671</v>
      </c>
      <c r="W69" s="122" t="str">
        <f t="shared" si="10"/>
        <v>1</v>
      </c>
      <c r="X69" s="127">
        <f>776+3227</f>
        <v>4003</v>
      </c>
      <c r="Y69" s="127"/>
      <c r="Z69" s="127">
        <f t="shared" si="28"/>
        <v>4003</v>
      </c>
      <c r="AA69" s="122" t="str">
        <f t="shared" si="12"/>
        <v>1</v>
      </c>
      <c r="AB69" s="120">
        <f t="shared" si="4"/>
        <v>0</v>
      </c>
      <c r="AC69" s="127">
        <v>0</v>
      </c>
      <c r="AD69" s="125">
        <f t="shared" si="26"/>
        <v>0</v>
      </c>
      <c r="AE69" s="127">
        <v>2671</v>
      </c>
      <c r="AF69" s="143"/>
      <c r="AG69" s="149">
        <f t="shared" si="27"/>
        <v>9765</v>
      </c>
      <c r="AH69" s="127">
        <f>68100-57806-529</f>
        <v>9765</v>
      </c>
      <c r="AI69" s="127"/>
      <c r="AJ69" s="127"/>
      <c r="AK69" s="127"/>
      <c r="AL69" s="127"/>
      <c r="AM69" s="127"/>
      <c r="AN69" s="127"/>
      <c r="AO69" s="127"/>
    </row>
    <row r="70" spans="1:41" s="126" customFormat="1" ht="16.2" thickBot="1" x14ac:dyDescent="0.35">
      <c r="A70" s="73">
        <v>10.1</v>
      </c>
      <c r="B70" s="211" t="s">
        <v>38</v>
      </c>
      <c r="C70" s="31" t="str">
        <f>VLOOKUP((CONCATENATE(B70)),ID!$A$2:$D$305,3,0)</f>
        <v>RL010</v>
      </c>
      <c r="D70" s="60">
        <v>0</v>
      </c>
      <c r="E70" s="51" t="s">
        <v>4057</v>
      </c>
      <c r="F70" s="51" t="s">
        <v>1117</v>
      </c>
      <c r="G70" s="51" t="s">
        <v>3777</v>
      </c>
      <c r="H70" s="89">
        <v>4018</v>
      </c>
      <c r="I70" s="61">
        <v>4150</v>
      </c>
      <c r="J70" s="61">
        <v>4164</v>
      </c>
      <c r="K70" s="64">
        <v>1</v>
      </c>
      <c r="L70" s="65">
        <v>4179</v>
      </c>
      <c r="M70" s="61">
        <v>4199</v>
      </c>
      <c r="N70" s="66">
        <v>4178</v>
      </c>
      <c r="O70" s="60" t="s">
        <v>3781</v>
      </c>
      <c r="P70" s="194">
        <v>1</v>
      </c>
      <c r="Q70" s="104">
        <v>1</v>
      </c>
      <c r="R70" s="39" t="str">
        <f t="shared" si="29"/>
        <v>-</v>
      </c>
      <c r="S70" s="120">
        <f t="shared" si="3"/>
        <v>58605</v>
      </c>
      <c r="T70" s="125">
        <v>63509</v>
      </c>
      <c r="U70" s="125">
        <v>59963</v>
      </c>
      <c r="V70" s="125">
        <f t="shared" si="22"/>
        <v>3546</v>
      </c>
      <c r="W70" s="122" t="str">
        <f t="shared" si="10"/>
        <v>1</v>
      </c>
      <c r="X70" s="125">
        <f>1052+3852</f>
        <v>4904</v>
      </c>
      <c r="Y70" s="125"/>
      <c r="Z70" s="127">
        <f t="shared" si="28"/>
        <v>4904</v>
      </c>
      <c r="AA70" s="122" t="str">
        <f t="shared" si="12"/>
        <v>1</v>
      </c>
      <c r="AB70" s="120">
        <f t="shared" si="4"/>
        <v>0</v>
      </c>
      <c r="AC70" s="125">
        <v>0</v>
      </c>
      <c r="AD70" s="125">
        <v>0</v>
      </c>
      <c r="AE70" s="125">
        <v>3546</v>
      </c>
      <c r="AF70" s="142"/>
      <c r="AG70" s="149">
        <f t="shared" si="27"/>
        <v>412</v>
      </c>
      <c r="AH70" s="125">
        <f>68042-67630</f>
        <v>412</v>
      </c>
      <c r="AI70" s="125"/>
      <c r="AJ70" s="125"/>
      <c r="AK70" s="125"/>
      <c r="AL70" s="125"/>
      <c r="AM70" s="125"/>
      <c r="AN70" s="125"/>
      <c r="AO70" s="125"/>
    </row>
    <row r="71" spans="1:41" s="126" customFormat="1" ht="16.2" thickBot="1" x14ac:dyDescent="0.35">
      <c r="A71" s="73">
        <v>10.199999999999999</v>
      </c>
      <c r="B71" s="211" t="s">
        <v>38</v>
      </c>
      <c r="C71" s="31" t="str">
        <f>VLOOKUP((CONCATENATE(B71)),ID!$A$2:$D$305,3,0)</f>
        <v>RL010</v>
      </c>
      <c r="D71" s="60">
        <v>0</v>
      </c>
      <c r="E71" s="51" t="s">
        <v>4057</v>
      </c>
      <c r="F71" s="51" t="s">
        <v>1117</v>
      </c>
      <c r="G71" s="51" t="s">
        <v>3777</v>
      </c>
      <c r="H71" s="89">
        <v>4199</v>
      </c>
      <c r="I71" s="61">
        <v>4339</v>
      </c>
      <c r="J71" s="61">
        <v>4344</v>
      </c>
      <c r="K71" s="64">
        <v>1</v>
      </c>
      <c r="L71" s="65">
        <v>4363</v>
      </c>
      <c r="M71" s="61">
        <v>4383</v>
      </c>
      <c r="N71" s="66">
        <v>4360</v>
      </c>
      <c r="O71" s="60" t="s">
        <v>3781</v>
      </c>
      <c r="P71" s="194">
        <v>1</v>
      </c>
      <c r="Q71" s="104">
        <v>1</v>
      </c>
      <c r="R71" s="39" t="str">
        <f t="shared" si="29"/>
        <v>-</v>
      </c>
      <c r="S71" s="120">
        <f t="shared" si="3"/>
        <v>86363</v>
      </c>
      <c r="T71" s="125">
        <v>94866</v>
      </c>
      <c r="U71" s="125">
        <v>89463</v>
      </c>
      <c r="V71" s="125">
        <f t="shared" si="22"/>
        <v>5403</v>
      </c>
      <c r="W71" s="122" t="str">
        <f t="shared" si="10"/>
        <v>1</v>
      </c>
      <c r="X71" s="125">
        <f>4585+3918</f>
        <v>8503</v>
      </c>
      <c r="Y71" s="125"/>
      <c r="Z71" s="127">
        <f t="shared" si="28"/>
        <v>8503</v>
      </c>
      <c r="AA71" s="122" t="str">
        <f t="shared" si="12"/>
        <v>1</v>
      </c>
      <c r="AB71" s="120">
        <f t="shared" si="4"/>
        <v>0</v>
      </c>
      <c r="AC71" s="125">
        <v>0</v>
      </c>
      <c r="AD71" s="125">
        <v>0</v>
      </c>
      <c r="AE71" s="125">
        <v>5403</v>
      </c>
      <c r="AF71" s="142"/>
      <c r="AG71" s="149">
        <f t="shared" si="27"/>
        <v>80502</v>
      </c>
      <c r="AH71" s="125">
        <f>86936-5860-574</f>
        <v>80502</v>
      </c>
      <c r="AI71" s="125"/>
      <c r="AJ71" s="125"/>
      <c r="AK71" s="125"/>
      <c r="AL71" s="125"/>
      <c r="AM71" s="125"/>
      <c r="AN71" s="125"/>
      <c r="AO71" s="125"/>
    </row>
    <row r="72" spans="1:41" s="126" customFormat="1" ht="16.2" thickBot="1" x14ac:dyDescent="0.35">
      <c r="A72" s="73">
        <v>10.3</v>
      </c>
      <c r="B72" s="211" t="s">
        <v>38</v>
      </c>
      <c r="C72" s="31" t="str">
        <f>VLOOKUP((CONCATENATE(B72)),ID!$A$2:$D$305,3,0)</f>
        <v>RL010</v>
      </c>
      <c r="D72" s="60">
        <v>0</v>
      </c>
      <c r="E72" s="51" t="s">
        <v>4057</v>
      </c>
      <c r="F72" s="51" t="s">
        <v>1117</v>
      </c>
      <c r="G72" s="51" t="s">
        <v>3777</v>
      </c>
      <c r="H72" s="89">
        <v>4383</v>
      </c>
      <c r="I72" s="61">
        <v>4528</v>
      </c>
      <c r="J72" s="61">
        <v>4540</v>
      </c>
      <c r="K72" s="64">
        <v>1</v>
      </c>
      <c r="L72" s="65">
        <v>4545</v>
      </c>
      <c r="M72" s="61">
        <v>4565</v>
      </c>
      <c r="N72" s="66">
        <v>4556</v>
      </c>
      <c r="O72" s="60" t="s">
        <v>3781</v>
      </c>
      <c r="P72" s="194">
        <v>1</v>
      </c>
      <c r="Q72" s="104">
        <v>1</v>
      </c>
      <c r="R72" s="39" t="str">
        <f t="shared" si="29"/>
        <v>-</v>
      </c>
      <c r="S72" s="120">
        <f t="shared" si="3"/>
        <v>52077</v>
      </c>
      <c r="T72" s="125">
        <v>58627</v>
      </c>
      <c r="U72" s="125">
        <v>56478</v>
      </c>
      <c r="V72" s="125">
        <f t="shared" si="22"/>
        <v>2149</v>
      </c>
      <c r="W72" s="122" t="str">
        <f t="shared" si="10"/>
        <v>1</v>
      </c>
      <c r="X72" s="125">
        <f>5540+1010</f>
        <v>6550</v>
      </c>
      <c r="Y72" s="125"/>
      <c r="Z72" s="127">
        <f t="shared" si="28"/>
        <v>6550</v>
      </c>
      <c r="AA72" s="122" t="str">
        <f t="shared" si="12"/>
        <v>1</v>
      </c>
      <c r="AB72" s="120">
        <f t="shared" si="4"/>
        <v>0</v>
      </c>
      <c r="AC72" s="125">
        <v>0</v>
      </c>
      <c r="AD72" s="125">
        <v>0</v>
      </c>
      <c r="AE72" s="125">
        <v>2149</v>
      </c>
      <c r="AF72" s="142"/>
      <c r="AG72" s="149">
        <f>AH72-AI72</f>
        <v>-115</v>
      </c>
      <c r="AH72" s="125">
        <f>86873-86361</f>
        <v>512</v>
      </c>
      <c r="AI72" s="125">
        <v>627</v>
      </c>
      <c r="AJ72" s="125"/>
      <c r="AK72" s="125"/>
      <c r="AL72" s="125"/>
      <c r="AM72" s="125"/>
      <c r="AN72" s="125"/>
      <c r="AO72" s="125"/>
    </row>
    <row r="73" spans="1:41" s="126" customFormat="1" ht="16.2" thickBot="1" x14ac:dyDescent="0.35">
      <c r="A73" s="73">
        <v>10.4</v>
      </c>
      <c r="B73" s="211" t="s">
        <v>38</v>
      </c>
      <c r="C73" s="31" t="str">
        <f>VLOOKUP((CONCATENATE(B73)),ID!$A$2:$D$305,3,0)</f>
        <v>RL010</v>
      </c>
      <c r="D73" s="60">
        <v>0</v>
      </c>
      <c r="E73" s="51" t="s">
        <v>4057</v>
      </c>
      <c r="F73" s="51" t="s">
        <v>1117</v>
      </c>
      <c r="G73" s="51" t="s">
        <v>3777</v>
      </c>
      <c r="H73" s="89">
        <v>4565</v>
      </c>
      <c r="I73" s="61">
        <v>4709</v>
      </c>
      <c r="J73" s="61">
        <v>4708</v>
      </c>
      <c r="K73" s="64">
        <v>1</v>
      </c>
      <c r="L73" s="65">
        <v>4729</v>
      </c>
      <c r="M73" s="61">
        <v>4749</v>
      </c>
      <c r="N73" s="66">
        <v>4724</v>
      </c>
      <c r="O73" s="60" t="s">
        <v>3781</v>
      </c>
      <c r="P73" s="194">
        <v>1</v>
      </c>
      <c r="Q73" s="104">
        <v>1</v>
      </c>
      <c r="R73" s="39" t="str">
        <f t="shared" si="29"/>
        <v>-</v>
      </c>
      <c r="S73" s="120">
        <f t="shared" si="3"/>
        <v>79036</v>
      </c>
      <c r="T73" s="125">
        <v>86411</v>
      </c>
      <c r="U73" s="125">
        <v>83778</v>
      </c>
      <c r="V73" s="125">
        <f t="shared" si="22"/>
        <v>2633</v>
      </c>
      <c r="W73" s="122" t="str">
        <f t="shared" si="10"/>
        <v>1</v>
      </c>
      <c r="X73" s="125">
        <f>616+6759</f>
        <v>7375</v>
      </c>
      <c r="Y73" s="125"/>
      <c r="Z73" s="127">
        <f t="shared" si="28"/>
        <v>7375</v>
      </c>
      <c r="AA73" s="122" t="str">
        <f t="shared" si="12"/>
        <v>1</v>
      </c>
      <c r="AB73" s="120">
        <f t="shared" si="4"/>
        <v>0</v>
      </c>
      <c r="AC73" s="125">
        <v>0</v>
      </c>
      <c r="AD73" s="125">
        <v>0</v>
      </c>
      <c r="AE73" s="125">
        <v>2633</v>
      </c>
      <c r="AF73" s="142"/>
      <c r="AG73" s="149">
        <f>AH73-AI73</f>
        <v>27185</v>
      </c>
      <c r="AH73" s="125">
        <f>80913-52077</f>
        <v>28836</v>
      </c>
      <c r="AI73" s="125">
        <v>1651</v>
      </c>
      <c r="AJ73" s="125"/>
      <c r="AK73" s="125"/>
      <c r="AL73" s="125"/>
      <c r="AM73" s="125"/>
      <c r="AN73" s="125"/>
      <c r="AO73" s="125"/>
    </row>
    <row r="74" spans="1:41" s="126" customFormat="1" ht="16.2" thickBot="1" x14ac:dyDescent="0.35">
      <c r="A74" s="73"/>
      <c r="B74" s="211" t="s">
        <v>38</v>
      </c>
      <c r="C74" s="31" t="str">
        <f>VLOOKUP((CONCATENATE(B74)),ID!$A$2:$D$305,3,0)</f>
        <v>RL010</v>
      </c>
      <c r="D74" s="60">
        <v>0</v>
      </c>
      <c r="E74" s="51" t="s">
        <v>4057</v>
      </c>
      <c r="F74" s="51" t="s">
        <v>1117</v>
      </c>
      <c r="G74" s="51" t="s">
        <v>3777</v>
      </c>
      <c r="H74" s="89">
        <v>4749</v>
      </c>
      <c r="I74" s="61">
        <v>4891</v>
      </c>
      <c r="J74" s="61">
        <v>4904</v>
      </c>
      <c r="K74" s="64">
        <v>1</v>
      </c>
      <c r="L74" s="65">
        <v>4910</v>
      </c>
      <c r="M74" s="61">
        <v>4930</v>
      </c>
      <c r="N74" s="66">
        <v>4920</v>
      </c>
      <c r="O74" s="60" t="s">
        <v>3781</v>
      </c>
      <c r="P74" s="194">
        <v>1</v>
      </c>
      <c r="Q74" s="104">
        <v>1</v>
      </c>
      <c r="R74" s="39" t="str">
        <f t="shared" si="29"/>
        <v>-</v>
      </c>
      <c r="S74" s="120">
        <f t="shared" si="3"/>
        <v>62772</v>
      </c>
      <c r="T74" s="125">
        <v>63963</v>
      </c>
      <c r="U74" s="125">
        <v>62657</v>
      </c>
      <c r="V74" s="125">
        <f t="shared" si="22"/>
        <v>1306</v>
      </c>
      <c r="W74" s="122" t="str">
        <f t="shared" si="10"/>
        <v>1</v>
      </c>
      <c r="X74" s="125">
        <f>856+335</f>
        <v>1191</v>
      </c>
      <c r="Y74" s="125"/>
      <c r="Z74" s="127">
        <f t="shared" si="28"/>
        <v>1191</v>
      </c>
      <c r="AA74" s="122" t="str">
        <f t="shared" si="12"/>
        <v>1</v>
      </c>
      <c r="AB74" s="120">
        <f t="shared" si="4"/>
        <v>0</v>
      </c>
      <c r="AC74" s="125">
        <v>0</v>
      </c>
      <c r="AD74" s="125">
        <v>0</v>
      </c>
      <c r="AE74" s="125">
        <v>1305</v>
      </c>
      <c r="AF74" s="142"/>
      <c r="AG74" s="149">
        <f t="shared" si="27"/>
        <v>2569</v>
      </c>
      <c r="AH74" s="125">
        <f>81605-79036</f>
        <v>2569</v>
      </c>
      <c r="AI74" s="125"/>
      <c r="AJ74" s="125"/>
      <c r="AK74" s="125"/>
      <c r="AL74" s="125"/>
      <c r="AM74" s="125"/>
      <c r="AN74" s="125"/>
      <c r="AO74" s="125"/>
    </row>
    <row r="75" spans="1:41" s="126" customFormat="1" ht="16.2" thickBot="1" x14ac:dyDescent="0.35">
      <c r="A75" s="73"/>
      <c r="B75" s="211" t="s">
        <v>38</v>
      </c>
      <c r="C75" s="31" t="str">
        <f>VLOOKUP((CONCATENATE(B75)),ID!$A$2:$D$305,3,0)</f>
        <v>RL010</v>
      </c>
      <c r="D75" s="60">
        <v>0</v>
      </c>
      <c r="E75" s="51" t="s">
        <v>4057</v>
      </c>
      <c r="F75" s="51" t="s">
        <v>1117</v>
      </c>
      <c r="G75" s="51" t="s">
        <v>3777</v>
      </c>
      <c r="H75" s="89">
        <v>5022</v>
      </c>
      <c r="I75" s="61">
        <v>5080</v>
      </c>
      <c r="J75" s="61">
        <v>5084</v>
      </c>
      <c r="K75" s="64">
        <v>1</v>
      </c>
      <c r="L75" s="65">
        <v>5094</v>
      </c>
      <c r="M75" s="61">
        <v>5114</v>
      </c>
      <c r="N75" s="66">
        <v>5102</v>
      </c>
      <c r="O75" s="60" t="s">
        <v>3781</v>
      </c>
      <c r="P75" s="194" t="str">
        <f t="shared" ref="P75:P124" si="30">IF(AJ75=0,"?","1")</f>
        <v>1</v>
      </c>
      <c r="Q75" s="104">
        <v>1</v>
      </c>
      <c r="R75" s="39" t="str">
        <f t="shared" si="29"/>
        <v>-</v>
      </c>
      <c r="S75" s="120">
        <f t="shared" si="3"/>
        <v>82669</v>
      </c>
      <c r="T75" s="125">
        <v>83836</v>
      </c>
      <c r="U75" s="125">
        <v>81878</v>
      </c>
      <c r="V75" s="125">
        <f t="shared" si="22"/>
        <v>1958</v>
      </c>
      <c r="W75" s="122" t="str">
        <f t="shared" si="10"/>
        <v>1</v>
      </c>
      <c r="X75" s="125">
        <f>771+396</f>
        <v>1167</v>
      </c>
      <c r="Y75" s="125"/>
      <c r="Z75" s="127">
        <f t="shared" si="28"/>
        <v>1167</v>
      </c>
      <c r="AA75" s="122" t="str">
        <f t="shared" si="12"/>
        <v>1</v>
      </c>
      <c r="AB75" s="120">
        <f t="shared" si="4"/>
        <v>0</v>
      </c>
      <c r="AC75" s="125">
        <v>0</v>
      </c>
      <c r="AD75" s="125">
        <v>0</v>
      </c>
      <c r="AE75" s="125">
        <v>1957</v>
      </c>
      <c r="AF75" s="142"/>
      <c r="AG75" s="149">
        <f t="shared" si="27"/>
        <v>116246</v>
      </c>
      <c r="AH75" s="125">
        <f>178609-62275-88</f>
        <v>116246</v>
      </c>
      <c r="AI75" s="125">
        <v>2700</v>
      </c>
      <c r="AJ75" s="125">
        <f>37000+36300</f>
        <v>73300</v>
      </c>
      <c r="AK75" s="125"/>
      <c r="AL75" s="125"/>
      <c r="AM75" s="125"/>
      <c r="AN75" s="125"/>
      <c r="AO75" s="125"/>
    </row>
    <row r="76" spans="1:41" s="126" customFormat="1" ht="16.2" thickBot="1" x14ac:dyDescent="0.35">
      <c r="A76" s="73"/>
      <c r="B76" s="211" t="s">
        <v>38</v>
      </c>
      <c r="C76" s="31" t="str">
        <f>VLOOKUP((CONCATENATE(B76)),ID!$A$2:$D$305,3,0)</f>
        <v>RL010</v>
      </c>
      <c r="D76" s="60">
        <v>0</v>
      </c>
      <c r="E76" s="51" t="s">
        <v>4057</v>
      </c>
      <c r="F76" s="51" t="s">
        <v>1117</v>
      </c>
      <c r="G76" s="51" t="s">
        <v>3777</v>
      </c>
      <c r="H76" s="89">
        <v>5114</v>
      </c>
      <c r="I76" s="61">
        <v>5255</v>
      </c>
      <c r="J76" s="61">
        <v>5268</v>
      </c>
      <c r="K76" s="64">
        <v>1</v>
      </c>
      <c r="L76" s="65">
        <v>5275</v>
      </c>
      <c r="M76" s="61">
        <v>5295</v>
      </c>
      <c r="N76" s="66">
        <v>5284</v>
      </c>
      <c r="O76" s="60" t="s">
        <v>3781</v>
      </c>
      <c r="P76" s="194" t="str">
        <f t="shared" si="30"/>
        <v>1</v>
      </c>
      <c r="Q76" s="104">
        <v>1</v>
      </c>
      <c r="R76" s="39" t="str">
        <f t="shared" si="29"/>
        <v>-</v>
      </c>
      <c r="S76" s="120">
        <f t="shared" si="3"/>
        <v>81195</v>
      </c>
      <c r="T76" s="125">
        <v>131016</v>
      </c>
      <c r="U76" s="125">
        <v>80786</v>
      </c>
      <c r="V76" s="125">
        <f t="shared" si="22"/>
        <v>50230</v>
      </c>
      <c r="W76" s="122" t="str">
        <f t="shared" si="10"/>
        <v>1</v>
      </c>
      <c r="X76" s="125">
        <f>49494+327</f>
        <v>49821</v>
      </c>
      <c r="Y76" s="125"/>
      <c r="Z76" s="127">
        <f t="shared" si="28"/>
        <v>49821</v>
      </c>
      <c r="AA76" s="122" t="str">
        <f t="shared" si="12"/>
        <v>1</v>
      </c>
      <c r="AB76" s="120">
        <f t="shared" si="4"/>
        <v>0</v>
      </c>
      <c r="AC76" s="125">
        <v>0</v>
      </c>
      <c r="AD76" s="125">
        <v>0</v>
      </c>
      <c r="AE76" s="125">
        <v>50229</v>
      </c>
      <c r="AF76" s="142"/>
      <c r="AG76" s="149">
        <f t="shared" si="27"/>
        <v>39568</v>
      </c>
      <c r="AH76" s="125">
        <f>122498-82668-262</f>
        <v>39568</v>
      </c>
      <c r="AI76" s="125">
        <v>3374</v>
      </c>
      <c r="AJ76" s="125">
        <v>37666</v>
      </c>
      <c r="AK76" s="125"/>
      <c r="AL76" s="125"/>
      <c r="AM76" s="125"/>
      <c r="AN76" s="125"/>
      <c r="AO76" s="125"/>
    </row>
    <row r="77" spans="1:41" s="126" customFormat="1" ht="16.2" thickBot="1" x14ac:dyDescent="0.35">
      <c r="A77" s="73"/>
      <c r="B77" s="211" t="s">
        <v>38</v>
      </c>
      <c r="C77" s="31" t="str">
        <f>VLOOKUP((CONCATENATE(B77)),ID!$A$2:$D$305,3,0)</f>
        <v>RL010</v>
      </c>
      <c r="D77" s="60">
        <v>0</v>
      </c>
      <c r="E77" s="51" t="s">
        <v>4057</v>
      </c>
      <c r="F77" s="51" t="s">
        <v>1117</v>
      </c>
      <c r="G77" s="51" t="s">
        <v>3777</v>
      </c>
      <c r="H77" s="89">
        <v>5295</v>
      </c>
      <c r="I77" s="61">
        <v>5444</v>
      </c>
      <c r="J77" s="61">
        <v>5450</v>
      </c>
      <c r="K77" s="64">
        <v>1</v>
      </c>
      <c r="L77" s="65">
        <v>5459</v>
      </c>
      <c r="M77" s="61">
        <v>5479</v>
      </c>
      <c r="N77" s="66">
        <v>5466</v>
      </c>
      <c r="O77" s="60" t="s">
        <v>3781</v>
      </c>
      <c r="P77" s="194" t="str">
        <f t="shared" si="30"/>
        <v>1</v>
      </c>
      <c r="Q77" s="104">
        <v>1</v>
      </c>
      <c r="R77" s="39" t="str">
        <f t="shared" si="29"/>
        <v>-</v>
      </c>
      <c r="S77" s="120">
        <f t="shared" si="3"/>
        <v>92800</v>
      </c>
      <c r="T77" s="125">
        <v>94218</v>
      </c>
      <c r="U77" s="125">
        <v>92286</v>
      </c>
      <c r="V77" s="125">
        <f t="shared" si="22"/>
        <v>1932</v>
      </c>
      <c r="W77" s="122" t="str">
        <f t="shared" si="10"/>
        <v>1</v>
      </c>
      <c r="X77" s="125">
        <f>1111+307</f>
        <v>1418</v>
      </c>
      <c r="Y77" s="125"/>
      <c r="Z77" s="127">
        <f t="shared" si="28"/>
        <v>1418</v>
      </c>
      <c r="AA77" s="122" t="str">
        <f t="shared" si="12"/>
        <v>1</v>
      </c>
      <c r="AB77" s="120">
        <f t="shared" si="4"/>
        <v>0</v>
      </c>
      <c r="AC77" s="125">
        <v>0</v>
      </c>
      <c r="AD77" s="125">
        <v>0</v>
      </c>
      <c r="AE77" s="125">
        <v>1931</v>
      </c>
      <c r="AF77" s="142"/>
      <c r="AG77" s="149">
        <f t="shared" si="27"/>
        <v>63321</v>
      </c>
      <c r="AH77" s="125">
        <f>144515-81194</f>
        <v>63321</v>
      </c>
      <c r="AI77" s="125"/>
      <c r="AJ77" s="125">
        <v>51541</v>
      </c>
      <c r="AK77" s="125"/>
      <c r="AL77" s="125"/>
      <c r="AM77" s="125"/>
      <c r="AN77" s="125"/>
      <c r="AO77" s="125"/>
    </row>
    <row r="78" spans="1:41" s="126" customFormat="1" ht="16.2" thickBot="1" x14ac:dyDescent="0.35">
      <c r="A78" s="73"/>
      <c r="B78" s="211" t="s">
        <v>42</v>
      </c>
      <c r="C78" s="31" t="str">
        <f>VLOOKUP((CONCATENATE(B78)),ID!$A$2:$D$305,3,0)</f>
        <v>RL011</v>
      </c>
      <c r="D78" s="60">
        <v>0</v>
      </c>
      <c r="E78" s="17" t="s">
        <v>4057</v>
      </c>
      <c r="F78" s="17" t="s">
        <v>1117</v>
      </c>
      <c r="G78" s="17" t="s">
        <v>3853</v>
      </c>
      <c r="H78" s="87">
        <v>3653</v>
      </c>
      <c r="I78" s="61">
        <v>3677</v>
      </c>
      <c r="J78" s="61">
        <v>3685</v>
      </c>
      <c r="K78" s="64">
        <v>1</v>
      </c>
      <c r="L78" s="65">
        <v>3686</v>
      </c>
      <c r="M78" s="61">
        <v>3695</v>
      </c>
      <c r="N78" s="66">
        <v>3695</v>
      </c>
      <c r="O78" s="17" t="s">
        <v>3782</v>
      </c>
      <c r="P78" s="194" t="str">
        <f t="shared" si="30"/>
        <v>1</v>
      </c>
      <c r="Q78" s="104">
        <v>1</v>
      </c>
      <c r="R78" s="39" t="str">
        <f t="shared" si="29"/>
        <v>-</v>
      </c>
      <c r="S78" s="120">
        <f t="shared" si="3"/>
        <v>58752</v>
      </c>
      <c r="T78" s="161">
        <v>130063</v>
      </c>
      <c r="U78" s="161">
        <f>61840+2329</f>
        <v>64169</v>
      </c>
      <c r="V78" s="161">
        <f>T78-U78</f>
        <v>65894</v>
      </c>
      <c r="W78" s="122" t="str">
        <f t="shared" ref="W78:W85" si="31">IF(V78+U78=T78,"1","0")</f>
        <v>1</v>
      </c>
      <c r="X78" s="161">
        <f>Y78+Z78</f>
        <v>71311</v>
      </c>
      <c r="Y78" s="161">
        <v>40561</v>
      </c>
      <c r="Z78" s="161">
        <f>877+29873</f>
        <v>30750</v>
      </c>
      <c r="AA78" s="122" t="str">
        <f t="shared" ref="AA78:AA85" si="32">IF(Y78+Z78=X78,"1","0")</f>
        <v>1</v>
      </c>
      <c r="AB78" s="137">
        <f>AC78+AD78</f>
        <v>40561</v>
      </c>
      <c r="AC78" s="161">
        <v>11900</v>
      </c>
      <c r="AD78" s="161">
        <f>Y78-AC78</f>
        <v>28661</v>
      </c>
      <c r="AE78" s="161">
        <v>7972</v>
      </c>
      <c r="AF78" s="142"/>
      <c r="AG78" s="157">
        <f>AH78-AL78</f>
        <v>4445</v>
      </c>
      <c r="AH78" s="125">
        <f>23398-257</f>
        <v>23141</v>
      </c>
      <c r="AI78" s="125"/>
      <c r="AJ78" s="125">
        <v>1162</v>
      </c>
      <c r="AK78" s="125"/>
      <c r="AL78" s="125">
        <f>126+496+11144+6930</f>
        <v>18696</v>
      </c>
      <c r="AM78" s="125">
        <v>62681</v>
      </c>
      <c r="AN78" s="125">
        <v>17129</v>
      </c>
      <c r="AO78" s="125"/>
    </row>
    <row r="79" spans="1:41" s="126" customFormat="1" ht="16.2" thickBot="1" x14ac:dyDescent="0.35">
      <c r="A79" s="73"/>
      <c r="B79" s="211" t="s">
        <v>42</v>
      </c>
      <c r="C79" s="31" t="str">
        <f>VLOOKUP((CONCATENATE(B79)),ID!$A$2:$D$305,3,0)</f>
        <v>RL011</v>
      </c>
      <c r="D79" s="60">
        <v>0</v>
      </c>
      <c r="E79" s="21" t="s">
        <v>4057</v>
      </c>
      <c r="F79" s="21" t="s">
        <v>1117</v>
      </c>
      <c r="G79" s="21" t="s">
        <v>3853</v>
      </c>
      <c r="H79" s="87">
        <v>3834</v>
      </c>
      <c r="I79" s="61">
        <v>3863</v>
      </c>
      <c r="J79" s="61">
        <v>3870</v>
      </c>
      <c r="K79" s="64">
        <v>1</v>
      </c>
      <c r="L79" s="65">
        <v>3875</v>
      </c>
      <c r="M79" s="61">
        <v>3884</v>
      </c>
      <c r="N79" s="66">
        <v>3884</v>
      </c>
      <c r="O79" s="17" t="s">
        <v>3782</v>
      </c>
      <c r="P79" s="194" t="str">
        <f t="shared" si="30"/>
        <v>1</v>
      </c>
      <c r="Q79" s="104">
        <v>1</v>
      </c>
      <c r="R79" s="39" t="str">
        <f t="shared" ref="R79:R99" si="33">IF(Q79=0,"?","-")</f>
        <v>-</v>
      </c>
      <c r="S79" s="120">
        <f t="shared" si="3"/>
        <v>55714</v>
      </c>
      <c r="T79" s="125">
        <v>137411</v>
      </c>
      <c r="U79" s="125">
        <f>61810+2334</f>
        <v>64144</v>
      </c>
      <c r="V79" s="125">
        <f>T79-U79</f>
        <v>73267</v>
      </c>
      <c r="W79" s="122" t="str">
        <f t="shared" si="31"/>
        <v>1</v>
      </c>
      <c r="X79" s="125">
        <f>Y79+Z79</f>
        <v>81697</v>
      </c>
      <c r="Y79" s="125">
        <v>49239</v>
      </c>
      <c r="Z79" s="127">
        <f>30122+2336</f>
        <v>32458</v>
      </c>
      <c r="AA79" s="122" t="str">
        <f t="shared" si="32"/>
        <v>1</v>
      </c>
      <c r="AB79" s="120">
        <f t="shared" si="4"/>
        <v>49239</v>
      </c>
      <c r="AC79" s="125">
        <f>26200</f>
        <v>26200</v>
      </c>
      <c r="AD79" s="161">
        <f>Y79-AC79</f>
        <v>23039</v>
      </c>
      <c r="AE79" s="125">
        <v>10188</v>
      </c>
      <c r="AF79" s="142"/>
      <c r="AG79" s="157">
        <f>AH79-AL79</f>
        <v>3998</v>
      </c>
      <c r="AH79" s="125">
        <f>23063-257</f>
        <v>22806</v>
      </c>
      <c r="AI79" s="125"/>
      <c r="AJ79" s="125">
        <v>1162</v>
      </c>
      <c r="AK79" s="125"/>
      <c r="AL79" s="125">
        <f>126+6930+11144+608</f>
        <v>18808</v>
      </c>
      <c r="AM79" s="125">
        <v>57787</v>
      </c>
      <c r="AN79" s="125">
        <v>14334</v>
      </c>
      <c r="AO79" s="125"/>
    </row>
    <row r="80" spans="1:41" s="123" customFormat="1" ht="16.2" thickBot="1" x14ac:dyDescent="0.35">
      <c r="A80" s="76">
        <v>11.1</v>
      </c>
      <c r="B80" s="211" t="s">
        <v>42</v>
      </c>
      <c r="C80" s="31" t="str">
        <f>VLOOKUP((CONCATENATE(B80)),ID!$A$2:$D$305,3,0)</f>
        <v>RL011</v>
      </c>
      <c r="D80" s="17">
        <v>0</v>
      </c>
      <c r="E80" s="17" t="s">
        <v>4057</v>
      </c>
      <c r="F80" s="17" t="s">
        <v>1117</v>
      </c>
      <c r="G80" s="17" t="s">
        <v>3853</v>
      </c>
      <c r="H80" s="87">
        <v>4018</v>
      </c>
      <c r="I80" s="22">
        <v>4048</v>
      </c>
      <c r="J80" s="22">
        <v>4055</v>
      </c>
      <c r="K80" s="24">
        <v>1</v>
      </c>
      <c r="L80" s="30">
        <v>4056</v>
      </c>
      <c r="M80" s="22">
        <v>4066</v>
      </c>
      <c r="N80" s="29">
        <v>4066</v>
      </c>
      <c r="O80" s="17" t="s">
        <v>3782</v>
      </c>
      <c r="P80" s="194" t="str">
        <f t="shared" si="30"/>
        <v>1</v>
      </c>
      <c r="Q80" s="104">
        <v>1</v>
      </c>
      <c r="R80" s="39" t="str">
        <f t="shared" si="33"/>
        <v>-</v>
      </c>
      <c r="S80" s="120">
        <f t="shared" si="3"/>
        <v>57708</v>
      </c>
      <c r="T80" s="127">
        <v>136284</v>
      </c>
      <c r="U80" s="127">
        <f>61810+2336</f>
        <v>64146</v>
      </c>
      <c r="V80" s="127">
        <f>T80-U80</f>
        <v>72138</v>
      </c>
      <c r="W80" s="122" t="str">
        <f t="shared" si="31"/>
        <v>1</v>
      </c>
      <c r="X80" s="127">
        <f>Y80+Z80</f>
        <v>78576</v>
      </c>
      <c r="Y80" s="127">
        <v>45979</v>
      </c>
      <c r="Z80" s="127">
        <f>2336+30261</f>
        <v>32597</v>
      </c>
      <c r="AA80" s="122" t="str">
        <f t="shared" si="32"/>
        <v>1</v>
      </c>
      <c r="AB80" s="120">
        <f t="shared" si="4"/>
        <v>45979</v>
      </c>
      <c r="AC80" s="127">
        <v>18900</v>
      </c>
      <c r="AD80" s="127">
        <f>Y80-AC80</f>
        <v>27079</v>
      </c>
      <c r="AE80" s="127">
        <v>10977</v>
      </c>
      <c r="AF80" s="143"/>
      <c r="AG80" s="149">
        <f>AH80-AL80</f>
        <v>5595</v>
      </c>
      <c r="AH80" s="127">
        <f>24717-257</f>
        <v>24460</v>
      </c>
      <c r="AI80" s="127"/>
      <c r="AJ80" s="127">
        <v>1162</v>
      </c>
      <c r="AK80" s="127"/>
      <c r="AL80" s="127">
        <f>126+6930+11144+665</f>
        <v>18865</v>
      </c>
      <c r="AM80" s="127">
        <v>63362</v>
      </c>
      <c r="AN80" s="127">
        <v>18475</v>
      </c>
      <c r="AO80" s="127"/>
    </row>
    <row r="81" spans="1:41" s="123" customFormat="1" ht="16.2" thickBot="1" x14ac:dyDescent="0.35">
      <c r="A81" s="21">
        <v>11.2</v>
      </c>
      <c r="B81" s="212" t="s">
        <v>42</v>
      </c>
      <c r="C81" s="31" t="str">
        <f>VLOOKUP((CONCATENATE(B81)),ID!$A$2:$D$305,3,0)</f>
        <v>RL011</v>
      </c>
      <c r="D81" s="21">
        <v>0</v>
      </c>
      <c r="E81" s="21" t="s">
        <v>4057</v>
      </c>
      <c r="F81" s="21" t="s">
        <v>1117</v>
      </c>
      <c r="G81" s="21" t="s">
        <v>3853</v>
      </c>
      <c r="H81" s="87">
        <v>4199</v>
      </c>
      <c r="I81" s="43">
        <v>4231</v>
      </c>
      <c r="J81" s="22">
        <v>4233</v>
      </c>
      <c r="K81" s="24">
        <v>1</v>
      </c>
      <c r="L81" s="30">
        <v>4238</v>
      </c>
      <c r="M81" s="22">
        <v>4248</v>
      </c>
      <c r="N81" s="29">
        <v>4248</v>
      </c>
      <c r="O81" s="17" t="s">
        <v>3782</v>
      </c>
      <c r="P81" s="194" t="str">
        <f t="shared" si="30"/>
        <v>1</v>
      </c>
      <c r="Q81" s="104">
        <v>1</v>
      </c>
      <c r="R81" s="39" t="str">
        <f t="shared" si="33"/>
        <v>-</v>
      </c>
      <c r="S81" s="120">
        <f t="shared" si="3"/>
        <v>56648</v>
      </c>
      <c r="T81" s="127">
        <v>136489</v>
      </c>
      <c r="U81" s="127">
        <f>2336+61810</f>
        <v>64146</v>
      </c>
      <c r="V81" s="127">
        <f>15557+50047+6739</f>
        <v>72343</v>
      </c>
      <c r="W81" s="122" t="str">
        <f t="shared" si="31"/>
        <v>1</v>
      </c>
      <c r="X81" s="127">
        <f>30463+49378</f>
        <v>79841</v>
      </c>
      <c r="Y81" s="123">
        <f>49378</f>
        <v>49378</v>
      </c>
      <c r="Z81" s="127">
        <v>30463</v>
      </c>
      <c r="AA81" s="122" t="str">
        <f t="shared" si="32"/>
        <v>1</v>
      </c>
      <c r="AB81" s="120">
        <f t="shared" si="4"/>
        <v>49378</v>
      </c>
      <c r="AC81" s="127">
        <v>21300</v>
      </c>
      <c r="AD81" s="127">
        <f>49378-AC81</f>
        <v>28078</v>
      </c>
      <c r="AE81" s="127">
        <v>6739</v>
      </c>
      <c r="AF81" s="143"/>
      <c r="AG81" s="149">
        <f>AH81-126-6930-11144-601</f>
        <v>3594</v>
      </c>
      <c r="AH81" s="127">
        <f>22652-257</f>
        <v>22395</v>
      </c>
      <c r="AI81" s="127"/>
      <c r="AJ81" s="127">
        <v>1162</v>
      </c>
      <c r="AK81" s="127"/>
      <c r="AL81" s="127">
        <f>126+6930+11144+601</f>
        <v>18801</v>
      </c>
      <c r="AM81" s="127">
        <v>61590</v>
      </c>
      <c r="AN81" s="127">
        <v>14954</v>
      </c>
      <c r="AO81" s="127"/>
    </row>
    <row r="82" spans="1:41" s="123" customFormat="1" ht="16.2" thickBot="1" x14ac:dyDescent="0.35">
      <c r="A82" s="41">
        <v>11.3</v>
      </c>
      <c r="B82" s="211" t="s">
        <v>42</v>
      </c>
      <c r="C82" s="31" t="str">
        <f>VLOOKUP((CONCATENATE(B82)),ID!$A$2:$D$305,3,0)</f>
        <v>RL011</v>
      </c>
      <c r="D82" s="17">
        <v>0</v>
      </c>
      <c r="E82" s="17" t="s">
        <v>4057</v>
      </c>
      <c r="F82" s="17" t="s">
        <v>1117</v>
      </c>
      <c r="G82" s="17" t="s">
        <v>3853</v>
      </c>
      <c r="H82" s="87">
        <v>4383</v>
      </c>
      <c r="I82" s="22">
        <v>4420</v>
      </c>
      <c r="J82" s="22">
        <v>4424</v>
      </c>
      <c r="K82" s="24">
        <v>1</v>
      </c>
      <c r="L82" s="30">
        <v>4430</v>
      </c>
      <c r="M82" s="22">
        <v>4441</v>
      </c>
      <c r="N82" s="29">
        <v>4441</v>
      </c>
      <c r="O82" s="17" t="s">
        <v>3782</v>
      </c>
      <c r="P82" s="194" t="str">
        <f t="shared" si="30"/>
        <v>1</v>
      </c>
      <c r="Q82" s="104">
        <v>1</v>
      </c>
      <c r="R82" s="39" t="str">
        <f t="shared" si="33"/>
        <v>-</v>
      </c>
      <c r="S82" s="120">
        <f t="shared" si="3"/>
        <v>56912</v>
      </c>
      <c r="T82" s="127">
        <v>134605</v>
      </c>
      <c r="U82" s="127">
        <f>61810+2335</f>
        <v>64145</v>
      </c>
      <c r="V82" s="127">
        <f>T82-U82</f>
        <v>70460</v>
      </c>
      <c r="W82" s="122" t="str">
        <f t="shared" si="31"/>
        <v>1</v>
      </c>
      <c r="X82" s="127">
        <f>30458+47235</f>
        <v>77693</v>
      </c>
      <c r="Y82" s="127">
        <v>47235</v>
      </c>
      <c r="Z82" s="127">
        <v>30458</v>
      </c>
      <c r="AA82" s="122" t="str">
        <f t="shared" si="32"/>
        <v>1</v>
      </c>
      <c r="AB82" s="120">
        <f t="shared" si="4"/>
        <v>47235</v>
      </c>
      <c r="AC82" s="127">
        <v>16500</v>
      </c>
      <c r="AD82" s="127">
        <f>47235-AC82</f>
        <v>30735</v>
      </c>
      <c r="AE82" s="127">
        <f>5869+500</f>
        <v>6369</v>
      </c>
      <c r="AF82" s="143"/>
      <c r="AG82" s="149">
        <f>AH82-126-6930-11144-601</f>
        <v>2857</v>
      </c>
      <c r="AH82" s="127">
        <f>21915-257</f>
        <v>21658</v>
      </c>
      <c r="AI82" s="127"/>
      <c r="AJ82" s="127">
        <v>1162</v>
      </c>
      <c r="AK82" s="127"/>
      <c r="AL82" s="127">
        <f>126+6930+11144+601</f>
        <v>18801</v>
      </c>
      <c r="AM82" s="127">
        <v>63510</v>
      </c>
      <c r="AN82" s="127">
        <v>17841</v>
      </c>
      <c r="AO82" s="127"/>
    </row>
    <row r="83" spans="1:41" s="123" customFormat="1" ht="16.2" thickBot="1" x14ac:dyDescent="0.35">
      <c r="A83" s="41">
        <v>11.4</v>
      </c>
      <c r="B83" s="211" t="s">
        <v>42</v>
      </c>
      <c r="C83" s="31" t="str">
        <f>VLOOKUP((CONCATENATE(B83)),ID!$A$2:$D$305,3,0)</f>
        <v>RL011</v>
      </c>
      <c r="D83" s="17">
        <v>0</v>
      </c>
      <c r="E83" s="17" t="s">
        <v>4057</v>
      </c>
      <c r="F83" s="17" t="s">
        <v>1117</v>
      </c>
      <c r="G83" s="17" t="s">
        <v>3853</v>
      </c>
      <c r="H83" s="87">
        <v>4565</v>
      </c>
      <c r="I83" s="110">
        <v>4604</v>
      </c>
      <c r="J83" s="22">
        <v>4605</v>
      </c>
      <c r="K83" s="111">
        <v>1</v>
      </c>
      <c r="L83" s="112">
        <v>4613</v>
      </c>
      <c r="M83" s="113">
        <v>4623</v>
      </c>
      <c r="N83" s="29">
        <v>4623</v>
      </c>
      <c r="O83" s="17" t="s">
        <v>3782</v>
      </c>
      <c r="P83" s="194" t="str">
        <f t="shared" si="30"/>
        <v>1</v>
      </c>
      <c r="Q83" s="104">
        <v>1</v>
      </c>
      <c r="R83" s="39" t="str">
        <f t="shared" si="33"/>
        <v>-</v>
      </c>
      <c r="S83" s="120">
        <f t="shared" si="3"/>
        <v>50550</v>
      </c>
      <c r="T83" s="127">
        <v>132879</v>
      </c>
      <c r="U83" s="127">
        <f>61810+2335</f>
        <v>64145</v>
      </c>
      <c r="V83" s="127">
        <f>T83-U83</f>
        <v>68734</v>
      </c>
      <c r="W83" s="122" t="str">
        <f t="shared" si="31"/>
        <v>1</v>
      </c>
      <c r="X83" s="127">
        <f>30584+51745</f>
        <v>82329</v>
      </c>
      <c r="Y83" s="127">
        <v>51745</v>
      </c>
      <c r="Z83" s="127">
        <v>30584</v>
      </c>
      <c r="AA83" s="122" t="str">
        <f t="shared" si="32"/>
        <v>1</v>
      </c>
      <c r="AB83" s="120">
        <f t="shared" si="4"/>
        <v>51745</v>
      </c>
      <c r="AC83" s="127">
        <v>23000</v>
      </c>
      <c r="AD83" s="127">
        <f>51745-AC83</f>
        <v>28745</v>
      </c>
      <c r="AE83" s="127">
        <v>8355</v>
      </c>
      <c r="AF83" s="143"/>
      <c r="AG83" s="149">
        <f>AH83-126-6930-11144-622</f>
        <v>1278</v>
      </c>
      <c r="AH83" s="127">
        <f>20357-257</f>
        <v>20100</v>
      </c>
      <c r="AI83" s="127"/>
      <c r="AJ83" s="127">
        <v>1162</v>
      </c>
      <c r="AK83" s="127"/>
      <c r="AL83" s="127">
        <f>126+6930+11144+622</f>
        <v>18822</v>
      </c>
      <c r="AM83" s="127">
        <v>55238</v>
      </c>
      <c r="AN83" s="127">
        <v>13826</v>
      </c>
      <c r="AO83" s="127"/>
    </row>
    <row r="84" spans="1:41" s="123" customFormat="1" ht="16.2" thickBot="1" x14ac:dyDescent="0.35">
      <c r="A84" s="41"/>
      <c r="B84" s="211" t="s">
        <v>42</v>
      </c>
      <c r="C84" s="31" t="str">
        <f>VLOOKUP((CONCATENATE(B84)),ID!$A$2:$D$305,3,0)</f>
        <v>RL011</v>
      </c>
      <c r="D84" s="21">
        <v>0</v>
      </c>
      <c r="E84" s="17" t="s">
        <v>4057</v>
      </c>
      <c r="F84" s="17" t="s">
        <v>1117</v>
      </c>
      <c r="G84" s="17" t="s">
        <v>3853</v>
      </c>
      <c r="H84" s="87">
        <v>4749</v>
      </c>
      <c r="I84" s="110">
        <v>4787</v>
      </c>
      <c r="J84" s="22">
        <v>4786</v>
      </c>
      <c r="K84" s="111">
        <v>1</v>
      </c>
      <c r="L84" s="112">
        <v>4799</v>
      </c>
      <c r="M84" s="113">
        <v>4808</v>
      </c>
      <c r="N84" s="113">
        <v>4808</v>
      </c>
      <c r="O84" s="17" t="s">
        <v>3782</v>
      </c>
      <c r="P84" s="194" t="str">
        <f t="shared" si="30"/>
        <v>1</v>
      </c>
      <c r="Q84" s="104">
        <v>1</v>
      </c>
      <c r="R84" s="39" t="str">
        <f t="shared" si="33"/>
        <v>-</v>
      </c>
      <c r="S84" s="120">
        <f t="shared" si="3"/>
        <v>52481</v>
      </c>
      <c r="T84" s="127">
        <v>142013</v>
      </c>
      <c r="U84" s="127">
        <f>2335+61810</f>
        <v>64145</v>
      </c>
      <c r="V84" s="127">
        <f>T84-U84</f>
        <v>77868</v>
      </c>
      <c r="W84" s="122" t="str">
        <f t="shared" si="31"/>
        <v>1</v>
      </c>
      <c r="X84" s="127">
        <f>142013-4246-45871-2364</f>
        <v>89532</v>
      </c>
      <c r="Y84" s="127">
        <v>56534</v>
      </c>
      <c r="Z84" s="127">
        <f>X84-Y84</f>
        <v>32998</v>
      </c>
      <c r="AA84" s="122" t="str">
        <f t="shared" si="32"/>
        <v>1</v>
      </c>
      <c r="AB84" s="120">
        <f t="shared" si="4"/>
        <v>56534</v>
      </c>
      <c r="AC84" s="127">
        <v>22200</v>
      </c>
      <c r="AD84" s="127">
        <f>Y84-AC84</f>
        <v>34334</v>
      </c>
      <c r="AE84" s="127">
        <v>11579</v>
      </c>
      <c r="AF84" s="143"/>
      <c r="AG84" s="149">
        <f>AH84-AL84</f>
        <v>5652</v>
      </c>
      <c r="AH84" s="127">
        <f>24168-245-266</f>
        <v>23657</v>
      </c>
      <c r="AI84" s="127"/>
      <c r="AJ84" s="127">
        <v>1162</v>
      </c>
      <c r="AK84" s="127"/>
      <c r="AL84" s="127">
        <f>415+11144+6320+126</f>
        <v>18005</v>
      </c>
      <c r="AM84" s="127">
        <f>24148+43384</f>
        <v>67532</v>
      </c>
      <c r="AN84" s="127">
        <v>18355</v>
      </c>
      <c r="AO84" s="127"/>
    </row>
    <row r="85" spans="1:41" s="123" customFormat="1" ht="16.2" thickBot="1" x14ac:dyDescent="0.35">
      <c r="A85" s="41"/>
      <c r="B85" s="211" t="s">
        <v>42</v>
      </c>
      <c r="C85" s="31" t="str">
        <f>VLOOKUP((CONCATENATE(B85)),ID!$A$2:$D$305,3,0)</f>
        <v>RL011</v>
      </c>
      <c r="D85" s="17">
        <v>1</v>
      </c>
      <c r="E85" s="17" t="s">
        <v>4057</v>
      </c>
      <c r="F85" s="17" t="s">
        <v>1117</v>
      </c>
      <c r="G85" s="17" t="s">
        <v>3853</v>
      </c>
      <c r="H85" s="87">
        <v>5114</v>
      </c>
      <c r="I85" s="29">
        <v>5131</v>
      </c>
      <c r="J85" s="22">
        <v>5152</v>
      </c>
      <c r="K85" s="111">
        <v>1</v>
      </c>
      <c r="L85" s="112">
        <v>5155</v>
      </c>
      <c r="M85" s="113">
        <v>5164</v>
      </c>
      <c r="N85" s="113">
        <v>5164</v>
      </c>
      <c r="O85" s="17" t="s">
        <v>3782</v>
      </c>
      <c r="P85" s="194" t="str">
        <f t="shared" si="30"/>
        <v>1</v>
      </c>
      <c r="Q85" s="104">
        <v>1</v>
      </c>
      <c r="R85" s="39" t="str">
        <f t="shared" si="33"/>
        <v>-</v>
      </c>
      <c r="S85" s="120">
        <f t="shared" si="3"/>
        <v>58605</v>
      </c>
      <c r="T85" s="127">
        <v>140307</v>
      </c>
      <c r="U85" s="127">
        <f>61810+2335+2440+10321</f>
        <v>76906</v>
      </c>
      <c r="V85" s="127">
        <f>T85-U85</f>
        <v>63401</v>
      </c>
      <c r="W85" s="122" t="str">
        <f t="shared" si="31"/>
        <v>1</v>
      </c>
      <c r="X85" s="127">
        <f>140307-13849-1005-43751</f>
        <v>81702</v>
      </c>
      <c r="Y85" s="127">
        <f>14100+12507+13130+10991</f>
        <v>50728</v>
      </c>
      <c r="Z85" s="127">
        <f>X85-Y85</f>
        <v>30974</v>
      </c>
      <c r="AA85" s="122" t="str">
        <f t="shared" si="32"/>
        <v>1</v>
      </c>
      <c r="AB85" s="120">
        <f>AC85+AD85</f>
        <v>50728</v>
      </c>
      <c r="AC85" s="127">
        <f>14100</f>
        <v>14100</v>
      </c>
      <c r="AD85" s="127">
        <f>Y85-AC85</f>
        <v>36628</v>
      </c>
      <c r="AE85" s="127">
        <v>10321</v>
      </c>
      <c r="AF85" s="143"/>
      <c r="AG85" s="149">
        <f>AH85-AL85</f>
        <v>21216</v>
      </c>
      <c r="AH85" s="127">
        <f>58251-522</f>
        <v>57729</v>
      </c>
      <c r="AI85" s="127"/>
      <c r="AJ85" s="127">
        <v>2325</v>
      </c>
      <c r="AK85" s="127"/>
      <c r="AL85" s="127">
        <f>111+36149+253</f>
        <v>36513</v>
      </c>
      <c r="AM85" s="127">
        <v>141123</v>
      </c>
      <c r="AN85" s="127">
        <v>31713</v>
      </c>
      <c r="AO85" s="127"/>
    </row>
    <row r="86" spans="1:41" s="123" customFormat="1" ht="16.2" thickBot="1" x14ac:dyDescent="0.35">
      <c r="A86" s="41"/>
      <c r="B86" s="211" t="s">
        <v>56</v>
      </c>
      <c r="C86" s="31" t="str">
        <f>VLOOKUP((CONCATENATE(B86)),ID!$A$2:$D$305,3,0)</f>
        <v>RL012</v>
      </c>
      <c r="D86" s="17">
        <v>1</v>
      </c>
      <c r="E86" s="17" t="s">
        <v>4057</v>
      </c>
      <c r="F86" s="17" t="s">
        <v>1117</v>
      </c>
      <c r="G86" s="17" t="s">
        <v>3776</v>
      </c>
      <c r="H86" s="87">
        <v>3834</v>
      </c>
      <c r="I86" s="29">
        <v>3950</v>
      </c>
      <c r="J86" s="22">
        <v>3944</v>
      </c>
      <c r="K86" s="111">
        <v>1</v>
      </c>
      <c r="L86" s="112">
        <v>3950</v>
      </c>
      <c r="M86" s="113">
        <v>3960</v>
      </c>
      <c r="N86" s="113">
        <v>3960</v>
      </c>
      <c r="O86" s="17" t="s">
        <v>3785</v>
      </c>
      <c r="P86" s="194" t="str">
        <f t="shared" si="30"/>
        <v>1</v>
      </c>
      <c r="Q86" s="104">
        <v>1</v>
      </c>
      <c r="R86" s="39" t="str">
        <f t="shared" si="33"/>
        <v>-</v>
      </c>
      <c r="S86" s="120">
        <f t="shared" si="3"/>
        <v>1416416</v>
      </c>
      <c r="T86" s="127">
        <v>3520864</v>
      </c>
      <c r="U86" s="127">
        <f>T86-V86</f>
        <v>2196109</v>
      </c>
      <c r="V86" s="127">
        <f>9448+478627+836680</f>
        <v>1324755</v>
      </c>
      <c r="W86" s="122" t="str">
        <f t="shared" ref="W86:W219" si="34">IF(V86+U86=T86,"1","0")</f>
        <v>1</v>
      </c>
      <c r="X86" s="127">
        <f>T86-292420-38134-701442-195170-59522-129728</f>
        <v>2104448</v>
      </c>
      <c r="Y86" s="127">
        <v>0</v>
      </c>
      <c r="Z86" s="127">
        <f>X86</f>
        <v>2104448</v>
      </c>
      <c r="AA86" s="122" t="str">
        <f t="shared" ref="AA86:AA219" si="35">IF(Z86+Y86=X86,"1","0")</f>
        <v>1</v>
      </c>
      <c r="AB86" s="120">
        <f t="shared" si="4"/>
        <v>0</v>
      </c>
      <c r="AC86" s="127">
        <v>0</v>
      </c>
      <c r="AD86" s="127">
        <v>0</v>
      </c>
      <c r="AE86" s="127">
        <v>478627</v>
      </c>
      <c r="AF86" s="143"/>
      <c r="AG86" s="149">
        <f>AH86-AI86-AL86</f>
        <v>759509</v>
      </c>
      <c r="AH86" s="127">
        <f>1829179-AK86+1571+16848</f>
        <v>1838332</v>
      </c>
      <c r="AI86" s="127">
        <v>4490</v>
      </c>
      <c r="AJ86" s="127">
        <f>60000+25000+150000+105000+106250</f>
        <v>446250</v>
      </c>
      <c r="AK86" s="127">
        <v>9266</v>
      </c>
      <c r="AL86" s="127">
        <f>1111696-AK86-AI86-23607</f>
        <v>1074333</v>
      </c>
      <c r="AM86" s="127">
        <v>4294432</v>
      </c>
      <c r="AN86" s="127">
        <v>889256</v>
      </c>
      <c r="AO86" s="127"/>
    </row>
    <row r="87" spans="1:41" s="123" customFormat="1" ht="16.2" thickBot="1" x14ac:dyDescent="0.35">
      <c r="A87" s="41">
        <v>12.1</v>
      </c>
      <c r="B87" s="211" t="s">
        <v>56</v>
      </c>
      <c r="C87" s="31" t="str">
        <f>VLOOKUP((CONCATENATE(B87)),ID!$A$2:$D$305,3,0)</f>
        <v>RL012</v>
      </c>
      <c r="D87" s="17">
        <v>1</v>
      </c>
      <c r="E87" s="17" t="s">
        <v>4057</v>
      </c>
      <c r="F87" s="17" t="s">
        <v>1117</v>
      </c>
      <c r="G87" s="17" t="s">
        <v>3776</v>
      </c>
      <c r="H87" s="87">
        <v>4199</v>
      </c>
      <c r="I87" s="22">
        <v>4315</v>
      </c>
      <c r="J87" s="22">
        <v>4310</v>
      </c>
      <c r="K87" s="24">
        <v>1</v>
      </c>
      <c r="L87" s="30">
        <v>4320</v>
      </c>
      <c r="M87" s="22">
        <v>4324</v>
      </c>
      <c r="N87" s="29">
        <v>4324</v>
      </c>
      <c r="O87" s="17" t="s">
        <v>3785</v>
      </c>
      <c r="P87" s="194" t="str">
        <f t="shared" si="30"/>
        <v>1</v>
      </c>
      <c r="Q87" s="104">
        <v>1</v>
      </c>
      <c r="R87" s="39" t="str">
        <f t="shared" si="33"/>
        <v>-</v>
      </c>
      <c r="S87" s="120">
        <f t="shared" si="3"/>
        <v>2941132</v>
      </c>
      <c r="T87" s="127">
        <v>3885408</v>
      </c>
      <c r="U87" s="127">
        <f>T87-V87</f>
        <v>2033423</v>
      </c>
      <c r="V87" s="127">
        <f>839441+1012544</f>
        <v>1851985</v>
      </c>
      <c r="W87" s="122" t="str">
        <f t="shared" si="34"/>
        <v>1</v>
      </c>
      <c r="X87" s="127">
        <f>T87-408456-47401-700917-195179-50000-1539179</f>
        <v>944276</v>
      </c>
      <c r="Y87" s="127">
        <v>0</v>
      </c>
      <c r="Z87" s="127">
        <f>X87</f>
        <v>944276</v>
      </c>
      <c r="AA87" s="122" t="str">
        <f t="shared" si="35"/>
        <v>1</v>
      </c>
      <c r="AB87" s="120">
        <f t="shared" si="4"/>
        <v>0</v>
      </c>
      <c r="AC87" s="127">
        <v>0</v>
      </c>
      <c r="AD87" s="127">
        <v>0</v>
      </c>
      <c r="AE87" s="127">
        <v>839441</v>
      </c>
      <c r="AF87" s="143"/>
      <c r="AG87" s="149">
        <f>AH87-AI87-AL87</f>
        <v>850858</v>
      </c>
      <c r="AH87" s="127">
        <f>2014185+1495+79010-663779-AK87</f>
        <v>1421645</v>
      </c>
      <c r="AI87" s="127">
        <v>4162</v>
      </c>
      <c r="AJ87" s="127">
        <f>60000+25000+255000</f>
        <v>340000</v>
      </c>
      <c r="AK87" s="127">
        <v>9266</v>
      </c>
      <c r="AL87" s="127">
        <f>117000+93375+62500+293750</f>
        <v>566625</v>
      </c>
      <c r="AM87" s="127">
        <v>4820841</v>
      </c>
      <c r="AN87" s="127">
        <v>1074038</v>
      </c>
      <c r="AO87" s="127"/>
    </row>
    <row r="88" spans="1:41" s="123" customFormat="1" ht="16.2" thickBot="1" x14ac:dyDescent="0.35">
      <c r="A88" s="41">
        <v>12.2</v>
      </c>
      <c r="B88" s="211" t="s">
        <v>56</v>
      </c>
      <c r="C88" s="31" t="str">
        <f>VLOOKUP((CONCATENATE(B88)),ID!$A$2:$D$305,3,0)</f>
        <v>RL012</v>
      </c>
      <c r="D88" s="17">
        <v>1</v>
      </c>
      <c r="E88" s="17" t="s">
        <v>4057</v>
      </c>
      <c r="F88" s="17" t="s">
        <v>1117</v>
      </c>
      <c r="G88" s="17" t="s">
        <v>3776</v>
      </c>
      <c r="H88" s="87">
        <v>4565</v>
      </c>
      <c r="I88" s="22">
        <v>4683</v>
      </c>
      <c r="J88" s="22">
        <v>4678</v>
      </c>
      <c r="K88" s="24">
        <v>1</v>
      </c>
      <c r="L88" s="30">
        <v>4678</v>
      </c>
      <c r="M88" s="22">
        <v>4692</v>
      </c>
      <c r="N88" s="29">
        <v>4692</v>
      </c>
      <c r="O88" s="17" t="s">
        <v>3785</v>
      </c>
      <c r="P88" s="194" t="str">
        <f t="shared" si="30"/>
        <v>1</v>
      </c>
      <c r="Q88" s="104">
        <v>1</v>
      </c>
      <c r="R88" s="39" t="str">
        <f t="shared" si="33"/>
        <v>-</v>
      </c>
      <c r="S88" s="120">
        <f t="shared" si="3"/>
        <v>3719477</v>
      </c>
      <c r="T88" s="127">
        <v>4694964</v>
      </c>
      <c r="U88" s="127">
        <f>T88-V88</f>
        <v>2256488</v>
      </c>
      <c r="V88" s="127">
        <f>779171+1069305+590000</f>
        <v>2438476</v>
      </c>
      <c r="W88" s="122" t="str">
        <f t="shared" si="34"/>
        <v>1</v>
      </c>
      <c r="X88" s="127">
        <f>280367+159456+1068+2000+435632+56668+28250+12046</f>
        <v>975487</v>
      </c>
      <c r="Y88" s="127">
        <v>0</v>
      </c>
      <c r="Z88" s="127">
        <f>X88</f>
        <v>975487</v>
      </c>
      <c r="AA88" s="122" t="str">
        <f t="shared" si="35"/>
        <v>1</v>
      </c>
      <c r="AB88" s="120">
        <f t="shared" si="4"/>
        <v>0</v>
      </c>
      <c r="AC88" s="127">
        <v>0</v>
      </c>
      <c r="AD88" s="127">
        <v>0</v>
      </c>
      <c r="AE88" s="127">
        <v>779171</v>
      </c>
      <c r="AF88" s="143"/>
      <c r="AG88" s="149">
        <f>AH88-117000-93375-38933-336210-6166-15268</f>
        <v>576596</v>
      </c>
      <c r="AH88" s="127">
        <f>1823653-761096-9266+130257</f>
        <v>1183548</v>
      </c>
      <c r="AI88" s="127">
        <v>15268</v>
      </c>
      <c r="AJ88" s="127">
        <v>85000</v>
      </c>
      <c r="AK88" s="127">
        <v>9266</v>
      </c>
      <c r="AL88" s="127">
        <f>117000+93375+38933+336210+6166</f>
        <v>591684</v>
      </c>
      <c r="AM88" s="127">
        <v>4976650</v>
      </c>
      <c r="AN88" s="127">
        <v>1080565</v>
      </c>
      <c r="AO88" s="127"/>
    </row>
    <row r="89" spans="1:41" s="123" customFormat="1" ht="16.2" thickBot="1" x14ac:dyDescent="0.35">
      <c r="A89" s="41"/>
      <c r="B89" s="211" t="s">
        <v>56</v>
      </c>
      <c r="C89" s="31" t="str">
        <f>VLOOKUP((CONCATENATE(B89)),ID!$A$2:$D$305,3,0)</f>
        <v>RL012</v>
      </c>
      <c r="D89" s="17">
        <v>1</v>
      </c>
      <c r="E89" s="17" t="s">
        <v>4057</v>
      </c>
      <c r="F89" s="17" t="s">
        <v>1117</v>
      </c>
      <c r="G89" s="17" t="s">
        <v>3776</v>
      </c>
      <c r="H89" s="87">
        <v>4930</v>
      </c>
      <c r="I89" s="22">
        <v>5049</v>
      </c>
      <c r="J89" s="22">
        <v>5045</v>
      </c>
      <c r="K89" s="24">
        <v>1</v>
      </c>
      <c r="L89" s="30">
        <v>5044</v>
      </c>
      <c r="M89" s="22">
        <v>5057</v>
      </c>
      <c r="N89" s="29">
        <v>5057</v>
      </c>
      <c r="O89" s="17" t="s">
        <v>3785</v>
      </c>
      <c r="P89" s="194" t="str">
        <f t="shared" si="30"/>
        <v>1</v>
      </c>
      <c r="Q89" s="104">
        <v>1</v>
      </c>
      <c r="R89" s="39" t="str">
        <f t="shared" si="33"/>
        <v>-</v>
      </c>
      <c r="S89" s="120">
        <f t="shared" si="3"/>
        <v>3349470</v>
      </c>
      <c r="T89" s="127">
        <v>4227971</v>
      </c>
      <c r="U89" s="127">
        <f>235276+3676+195170+1000</f>
        <v>435122</v>
      </c>
      <c r="V89" s="127">
        <f>T89-U89</f>
        <v>3792849</v>
      </c>
      <c r="W89" s="122" t="str">
        <f t="shared" si="34"/>
        <v>1</v>
      </c>
      <c r="X89" s="127">
        <f>T89-720920-65935-1068-671264-195170-59522-1635591</f>
        <v>878501</v>
      </c>
      <c r="Y89" s="127">
        <v>0</v>
      </c>
      <c r="Z89" s="127">
        <f>X89</f>
        <v>878501</v>
      </c>
      <c r="AA89" s="122" t="str">
        <f t="shared" si="35"/>
        <v>1</v>
      </c>
      <c r="AB89" s="120">
        <f t="shared" si="4"/>
        <v>0</v>
      </c>
      <c r="AC89" s="127">
        <v>0</v>
      </c>
      <c r="AD89" s="127">
        <v>0</v>
      </c>
      <c r="AE89" s="127">
        <v>671794</v>
      </c>
      <c r="AF89" s="143"/>
      <c r="AG89" s="149">
        <f t="shared" ref="AG89:AG96" si="36">AH89-AI89-AL89</f>
        <v>715904</v>
      </c>
      <c r="AH89" s="127">
        <f>2403821-90019-793221-32012-106250-AK89</f>
        <v>1373053</v>
      </c>
      <c r="AI89" s="127">
        <v>10655</v>
      </c>
      <c r="AJ89" s="127">
        <v>85000</v>
      </c>
      <c r="AK89" s="127">
        <v>9266</v>
      </c>
      <c r="AL89" s="127">
        <f>63333+357420+15366+93375+117000</f>
        <v>646494</v>
      </c>
      <c r="AM89" s="127">
        <v>5590613</v>
      </c>
      <c r="AN89" s="127">
        <v>1174577</v>
      </c>
      <c r="AO89" s="127"/>
    </row>
    <row r="90" spans="1:41" s="123" customFormat="1" ht="16.2" thickBot="1" x14ac:dyDescent="0.35">
      <c r="A90" s="41"/>
      <c r="B90" s="211" t="s">
        <v>56</v>
      </c>
      <c r="C90" s="31" t="str">
        <f>VLOOKUP((CONCATENATE(B90)),ID!$A$2:$D$305,3,0)</f>
        <v>RL012</v>
      </c>
      <c r="D90" s="17">
        <v>1</v>
      </c>
      <c r="E90" s="17" t="s">
        <v>4057</v>
      </c>
      <c r="F90" s="17" t="s">
        <v>1117</v>
      </c>
      <c r="G90" s="17" t="s">
        <v>3776</v>
      </c>
      <c r="H90" s="87">
        <v>5295</v>
      </c>
      <c r="I90" s="22">
        <v>5428</v>
      </c>
      <c r="J90" s="22">
        <v>5420</v>
      </c>
      <c r="K90" s="24">
        <v>1</v>
      </c>
      <c r="L90" s="30">
        <v>5423</v>
      </c>
      <c r="M90" s="22">
        <v>5436</v>
      </c>
      <c r="N90" s="29">
        <v>5436</v>
      </c>
      <c r="O90" s="17" t="s">
        <v>3785</v>
      </c>
      <c r="P90" s="194" t="str">
        <f t="shared" si="30"/>
        <v>1</v>
      </c>
      <c r="Q90" s="104">
        <v>1</v>
      </c>
      <c r="R90" s="39" t="str">
        <f t="shared" si="33"/>
        <v>-</v>
      </c>
      <c r="S90" s="120">
        <f t="shared" si="3"/>
        <v>2959086</v>
      </c>
      <c r="T90" s="127">
        <v>3829370</v>
      </c>
      <c r="U90" s="127">
        <f>312392+3643+195170+80</f>
        <v>511285</v>
      </c>
      <c r="V90" s="127">
        <f>T90-U90</f>
        <v>3318085</v>
      </c>
      <c r="W90" s="122" t="str">
        <f t="shared" si="34"/>
        <v>1</v>
      </c>
      <c r="X90" s="127">
        <f>321057+5610+868+28187+173384+336460+4718</f>
        <v>870284</v>
      </c>
      <c r="Y90" s="127">
        <v>0</v>
      </c>
      <c r="Z90" s="127">
        <f>X90</f>
        <v>870284</v>
      </c>
      <c r="AA90" s="122" t="str">
        <f t="shared" si="35"/>
        <v>1</v>
      </c>
      <c r="AB90" s="120">
        <f t="shared" si="4"/>
        <v>0</v>
      </c>
      <c r="AC90" s="127">
        <v>0</v>
      </c>
      <c r="AD90" s="127">
        <v>0</v>
      </c>
      <c r="AE90" s="127">
        <v>193947</v>
      </c>
      <c r="AF90" s="143"/>
      <c r="AG90" s="149">
        <f t="shared" si="36"/>
        <v>267783</v>
      </c>
      <c r="AH90" s="127">
        <f>1824194+110727-801940-28062-106250-AK90</f>
        <v>989403</v>
      </c>
      <c r="AI90" s="127">
        <v>15867</v>
      </c>
      <c r="AJ90" s="127">
        <v>85000</v>
      </c>
      <c r="AK90" s="127">
        <v>9266</v>
      </c>
      <c r="AL90" s="127">
        <f>137958+357420+93375+117000</f>
        <v>705753</v>
      </c>
      <c r="AM90" s="127">
        <v>4881665</v>
      </c>
      <c r="AN90" s="127">
        <v>1133806</v>
      </c>
      <c r="AO90" s="127"/>
    </row>
    <row r="91" spans="1:41" s="123" customFormat="1" ht="16.2" thickBot="1" x14ac:dyDescent="0.35">
      <c r="A91" s="41"/>
      <c r="B91" s="215" t="s">
        <v>57</v>
      </c>
      <c r="C91" s="31" t="str">
        <f>VLOOKUP((CONCATENATE(B91)),ID!$A$2:$D$305,3,0)</f>
        <v>RL013</v>
      </c>
      <c r="D91" s="51">
        <v>1</v>
      </c>
      <c r="E91" s="51" t="s">
        <v>4057</v>
      </c>
      <c r="F91" s="51" t="s">
        <v>1117</v>
      </c>
      <c r="G91" s="51" t="s">
        <v>3776</v>
      </c>
      <c r="H91" s="92">
        <v>3834</v>
      </c>
      <c r="I91" s="22">
        <v>3931</v>
      </c>
      <c r="J91" s="22">
        <v>3927</v>
      </c>
      <c r="K91" s="24">
        <v>1</v>
      </c>
      <c r="L91" s="30">
        <v>3925</v>
      </c>
      <c r="M91" s="22">
        <v>3939</v>
      </c>
      <c r="N91" s="29">
        <v>3945</v>
      </c>
      <c r="O91" s="51" t="s">
        <v>3786</v>
      </c>
      <c r="P91" s="194" t="str">
        <f t="shared" si="30"/>
        <v>1</v>
      </c>
      <c r="Q91" s="104">
        <v>1</v>
      </c>
      <c r="R91" s="39" t="str">
        <f t="shared" si="33"/>
        <v>-</v>
      </c>
      <c r="S91" s="120">
        <f t="shared" si="3"/>
        <v>3505342</v>
      </c>
      <c r="T91" s="127">
        <v>4788620</v>
      </c>
      <c r="U91" s="127">
        <f>596822+359227+51156+77702</f>
        <v>1084907</v>
      </c>
      <c r="V91" s="127">
        <f>T91-U91</f>
        <v>3703713</v>
      </c>
      <c r="W91" s="122" t="str">
        <f t="shared" si="34"/>
        <v>1</v>
      </c>
      <c r="X91" s="127">
        <f>557789+519672+1189+57936+118682+28010</f>
        <v>1283278</v>
      </c>
      <c r="Y91" s="128">
        <f>28010+118682</f>
        <v>146692</v>
      </c>
      <c r="Z91" s="127">
        <f t="shared" ref="Z91:Z98" si="37">X91-Y91</f>
        <v>1136586</v>
      </c>
      <c r="AA91" s="122" t="str">
        <f t="shared" si="35"/>
        <v>1</v>
      </c>
      <c r="AB91" s="120">
        <f t="shared" si="4"/>
        <v>0</v>
      </c>
      <c r="AC91" s="127">
        <v>0</v>
      </c>
      <c r="AD91" s="127">
        <v>0</v>
      </c>
      <c r="AE91" s="127">
        <v>75997</v>
      </c>
      <c r="AF91" s="143"/>
      <c r="AG91" s="149">
        <f t="shared" si="36"/>
        <v>1004479</v>
      </c>
      <c r="AH91" s="127">
        <f>2331839-170171</f>
        <v>2161668</v>
      </c>
      <c r="AI91" s="127">
        <v>45701</v>
      </c>
      <c r="AJ91" s="127">
        <v>450000</v>
      </c>
      <c r="AK91" s="127"/>
      <c r="AL91" s="127">
        <v>1111488</v>
      </c>
      <c r="AM91" s="127">
        <v>4601923</v>
      </c>
      <c r="AN91" s="127">
        <v>1478820</v>
      </c>
      <c r="AO91" s="127"/>
    </row>
    <row r="92" spans="1:41" s="123" customFormat="1" ht="16.2" thickBot="1" x14ac:dyDescent="0.35">
      <c r="A92" s="52">
        <v>13.1</v>
      </c>
      <c r="B92" s="215" t="s">
        <v>57</v>
      </c>
      <c r="C92" s="31" t="str">
        <f>VLOOKUP((CONCATENATE(B92)),ID!$A$2:$D$305,3,0)</f>
        <v>RL013</v>
      </c>
      <c r="D92" s="51">
        <v>1</v>
      </c>
      <c r="E92" s="51" t="s">
        <v>4057</v>
      </c>
      <c r="F92" s="51" t="s">
        <v>1117</v>
      </c>
      <c r="G92" s="51" t="s">
        <v>3776</v>
      </c>
      <c r="H92" s="92">
        <v>4199</v>
      </c>
      <c r="I92" s="50">
        <v>4297</v>
      </c>
      <c r="J92" s="50">
        <v>4295</v>
      </c>
      <c r="K92" s="53">
        <v>1</v>
      </c>
      <c r="L92" s="55">
        <v>4289</v>
      </c>
      <c r="M92" s="50">
        <v>4303</v>
      </c>
      <c r="N92" s="54">
        <v>4309</v>
      </c>
      <c r="O92" s="51" t="s">
        <v>3786</v>
      </c>
      <c r="P92" s="194" t="str">
        <f t="shared" si="30"/>
        <v>1</v>
      </c>
      <c r="Q92" s="104">
        <v>1</v>
      </c>
      <c r="R92" s="39" t="str">
        <f t="shared" si="33"/>
        <v>-</v>
      </c>
      <c r="S92" s="120">
        <f t="shared" si="3"/>
        <v>3312444</v>
      </c>
      <c r="T92" s="127">
        <v>4757202</v>
      </c>
      <c r="U92" s="127">
        <f>638998+169112+394711+78746</f>
        <v>1281567</v>
      </c>
      <c r="V92" s="127">
        <f>T92-U92</f>
        <v>3475635</v>
      </c>
      <c r="W92" s="122" t="str">
        <f t="shared" si="34"/>
        <v>1</v>
      </c>
      <c r="X92" s="127">
        <f>T92-735133-736766-1064479-928701+Y92</f>
        <v>1444758</v>
      </c>
      <c r="Y92" s="127">
        <f>30353+122282</f>
        <v>152635</v>
      </c>
      <c r="Z92" s="127">
        <f t="shared" si="37"/>
        <v>1292123</v>
      </c>
      <c r="AA92" s="122" t="str">
        <f t="shared" si="35"/>
        <v>1</v>
      </c>
      <c r="AB92" s="120">
        <f t="shared" si="4"/>
        <v>0</v>
      </c>
      <c r="AC92" s="127">
        <v>0</v>
      </c>
      <c r="AD92" s="127">
        <v>0</v>
      </c>
      <c r="AE92" s="127">
        <v>186784</v>
      </c>
      <c r="AF92" s="143"/>
      <c r="AG92" s="149">
        <f t="shared" si="36"/>
        <v>1434052</v>
      </c>
      <c r="AH92" s="127">
        <f>2294353+21553+62217+24657</f>
        <v>2402780</v>
      </c>
      <c r="AI92" s="127">
        <v>26192</v>
      </c>
      <c r="AJ92" s="127">
        <v>630000</v>
      </c>
      <c r="AK92" s="127"/>
      <c r="AL92" s="127">
        <f>614888+300000+27648</f>
        <v>942536</v>
      </c>
      <c r="AM92" s="127">
        <f>4988380</f>
        <v>4988380</v>
      </c>
      <c r="AN92" s="127">
        <v>1600936</v>
      </c>
      <c r="AO92" s="127"/>
    </row>
    <row r="93" spans="1:41" s="123" customFormat="1" ht="16.2" thickBot="1" x14ac:dyDescent="0.35">
      <c r="A93" s="52">
        <v>13.2</v>
      </c>
      <c r="B93" s="215" t="s">
        <v>57</v>
      </c>
      <c r="C93" s="31" t="str">
        <f>VLOOKUP((CONCATENATE(B93)),ID!$A$2:$D$305,3,0)</f>
        <v>RL013</v>
      </c>
      <c r="D93" s="51">
        <v>1</v>
      </c>
      <c r="E93" s="51" t="s">
        <v>4057</v>
      </c>
      <c r="F93" s="51" t="s">
        <v>1117</v>
      </c>
      <c r="G93" s="51" t="s">
        <v>3776</v>
      </c>
      <c r="H93" s="92">
        <v>4565</v>
      </c>
      <c r="I93" s="50">
        <v>4668</v>
      </c>
      <c r="J93" s="50">
        <v>4665</v>
      </c>
      <c r="K93" s="53">
        <v>1</v>
      </c>
      <c r="L93" s="55">
        <v>4653</v>
      </c>
      <c r="M93" s="50">
        <v>4666</v>
      </c>
      <c r="N93" s="54">
        <v>4680</v>
      </c>
      <c r="O93" s="51" t="s">
        <v>3786</v>
      </c>
      <c r="P93" s="194" t="str">
        <f t="shared" si="30"/>
        <v>1</v>
      </c>
      <c r="Q93" s="104">
        <v>1</v>
      </c>
      <c r="R93" s="39" t="str">
        <f t="shared" si="33"/>
        <v>-</v>
      </c>
      <c r="S93" s="120">
        <f t="shared" si="3"/>
        <v>4324866</v>
      </c>
      <c r="T93" s="127">
        <v>5660085</v>
      </c>
      <c r="U93" s="127">
        <f t="shared" ref="U93:U99" si="38">T93-V93</f>
        <v>1615121</v>
      </c>
      <c r="V93" s="127">
        <f>1042796+2929350+72818</f>
        <v>4044964</v>
      </c>
      <c r="W93" s="122" t="str">
        <f t="shared" si="34"/>
        <v>1</v>
      </c>
      <c r="X93" s="127">
        <f>536679+81681+10367+Y93+548763</f>
        <v>1335219</v>
      </c>
      <c r="Y93" s="127">
        <f>125000+32729</f>
        <v>157729</v>
      </c>
      <c r="Z93" s="127">
        <f t="shared" si="37"/>
        <v>1177490</v>
      </c>
      <c r="AA93" s="122" t="str">
        <f t="shared" si="35"/>
        <v>1</v>
      </c>
      <c r="AB93" s="120">
        <f t="shared" si="4"/>
        <v>0</v>
      </c>
      <c r="AC93" s="127">
        <v>0</v>
      </c>
      <c r="AD93" s="127">
        <v>0</v>
      </c>
      <c r="AE93" s="127">
        <f>141490+54796</f>
        <v>196286</v>
      </c>
      <c r="AF93" s="143"/>
      <c r="AG93" s="149">
        <f t="shared" si="36"/>
        <v>1419444</v>
      </c>
      <c r="AH93" s="127">
        <f>2387228+542+26552+81893+9877</f>
        <v>2506092</v>
      </c>
      <c r="AI93" s="127">
        <v>24049</v>
      </c>
      <c r="AJ93" s="127">
        <v>630000</v>
      </c>
      <c r="AK93" s="127"/>
      <c r="AL93" s="127">
        <f>662599+400000</f>
        <v>1062599</v>
      </c>
      <c r="AM93" s="127">
        <f>5404095</f>
        <v>5404095</v>
      </c>
      <c r="AN93" s="127">
        <v>1692941</v>
      </c>
      <c r="AO93" s="127"/>
    </row>
    <row r="94" spans="1:41" s="123" customFormat="1" ht="16.2" thickBot="1" x14ac:dyDescent="0.35">
      <c r="A94" s="52"/>
      <c r="B94" s="215" t="s">
        <v>57</v>
      </c>
      <c r="C94" s="31" t="str">
        <f>VLOOKUP((CONCATENATE(B94)),ID!$A$2:$D$305,3,0)</f>
        <v>RL013</v>
      </c>
      <c r="D94" s="51">
        <v>1</v>
      </c>
      <c r="E94" s="51" t="s">
        <v>4057</v>
      </c>
      <c r="F94" s="51" t="s">
        <v>1117</v>
      </c>
      <c r="G94" s="51" t="s">
        <v>3776</v>
      </c>
      <c r="H94" s="92">
        <v>4930</v>
      </c>
      <c r="I94" s="50">
        <v>5029</v>
      </c>
      <c r="J94" s="50">
        <v>5025</v>
      </c>
      <c r="K94" s="53">
        <v>1</v>
      </c>
      <c r="L94" s="55">
        <v>5017</v>
      </c>
      <c r="M94" s="50">
        <v>5031</v>
      </c>
      <c r="N94" s="54">
        <v>5044</v>
      </c>
      <c r="O94" s="51" t="s">
        <v>3786</v>
      </c>
      <c r="P94" s="194" t="str">
        <f t="shared" si="30"/>
        <v>1</v>
      </c>
      <c r="Q94" s="104">
        <v>1</v>
      </c>
      <c r="R94" s="39" t="str">
        <f t="shared" si="33"/>
        <v>-</v>
      </c>
      <c r="S94" s="120">
        <f t="shared" si="3"/>
        <v>3235586</v>
      </c>
      <c r="T94" s="127">
        <v>5523008</v>
      </c>
      <c r="U94" s="127">
        <f t="shared" si="38"/>
        <v>1910276</v>
      </c>
      <c r="V94" s="127">
        <f>3396769+90041+125922</f>
        <v>3612732</v>
      </c>
      <c r="W94" s="122" t="str">
        <f t="shared" si="34"/>
        <v>1</v>
      </c>
      <c r="X94" s="127">
        <f>1025105+512004+588471+Y94</f>
        <v>2287422</v>
      </c>
      <c r="Y94" s="127">
        <f>34632+127210</f>
        <v>161842</v>
      </c>
      <c r="Z94" s="127">
        <f t="shared" si="37"/>
        <v>2125580</v>
      </c>
      <c r="AA94" s="122" t="str">
        <f t="shared" si="35"/>
        <v>1</v>
      </c>
      <c r="AB94" s="120">
        <f t="shared" si="4"/>
        <v>845000</v>
      </c>
      <c r="AC94" s="127">
        <v>845000</v>
      </c>
      <c r="AD94" s="127">
        <v>0</v>
      </c>
      <c r="AE94" s="127">
        <v>25922</v>
      </c>
      <c r="AF94" s="143"/>
      <c r="AG94" s="149">
        <f t="shared" si="36"/>
        <v>1927702</v>
      </c>
      <c r="AH94" s="127">
        <f>3157480-136042</f>
        <v>3021438</v>
      </c>
      <c r="AI94" s="127">
        <v>32779</v>
      </c>
      <c r="AJ94" s="127">
        <v>705000</v>
      </c>
      <c r="AK94" s="127"/>
      <c r="AL94" s="127">
        <f>1093736-32779</f>
        <v>1060957</v>
      </c>
      <c r="AM94" s="127">
        <v>6569344</v>
      </c>
      <c r="AN94" s="127">
        <v>1968758</v>
      </c>
      <c r="AO94" s="127"/>
    </row>
    <row r="95" spans="1:41" s="123" customFormat="1" ht="16.2" thickBot="1" x14ac:dyDescent="0.35">
      <c r="A95" s="52"/>
      <c r="B95" s="215" t="s">
        <v>57</v>
      </c>
      <c r="C95" s="31" t="str">
        <f>VLOOKUP((CONCATENATE(B95)),ID!$A$2:$D$305,3,0)</f>
        <v>RL013</v>
      </c>
      <c r="D95" s="51">
        <v>1</v>
      </c>
      <c r="E95" s="51" t="s">
        <v>4057</v>
      </c>
      <c r="F95" s="51" t="s">
        <v>1117</v>
      </c>
      <c r="G95" s="51" t="s">
        <v>3776</v>
      </c>
      <c r="H95" s="92">
        <v>5295</v>
      </c>
      <c r="I95" s="50">
        <v>5401</v>
      </c>
      <c r="J95" s="50">
        <v>5396</v>
      </c>
      <c r="K95" s="53">
        <v>1</v>
      </c>
      <c r="L95" s="55">
        <v>5388</v>
      </c>
      <c r="M95" s="50">
        <v>5401</v>
      </c>
      <c r="N95" s="54">
        <v>5415</v>
      </c>
      <c r="O95" s="51" t="s">
        <v>3786</v>
      </c>
      <c r="P95" s="194" t="str">
        <f t="shared" si="30"/>
        <v>1</v>
      </c>
      <c r="Q95" s="104">
        <v>1</v>
      </c>
      <c r="R95" s="39" t="str">
        <f t="shared" si="33"/>
        <v>-</v>
      </c>
      <c r="S95" s="120">
        <f t="shared" si="3"/>
        <v>4957035</v>
      </c>
      <c r="T95" s="127">
        <v>6275760</v>
      </c>
      <c r="U95" s="127">
        <f t="shared" si="38"/>
        <v>1699326</v>
      </c>
      <c r="V95" s="127">
        <f>3739749+163440+673245</f>
        <v>4576434</v>
      </c>
      <c r="W95" s="122" t="str">
        <f t="shared" si="34"/>
        <v>1</v>
      </c>
      <c r="X95" s="127">
        <f>456606+577040+122354+Y95</f>
        <v>1318725</v>
      </c>
      <c r="Y95" s="127">
        <f>129211+33514</f>
        <v>162725</v>
      </c>
      <c r="Z95" s="127">
        <f t="shared" si="37"/>
        <v>1156000</v>
      </c>
      <c r="AA95" s="122" t="str">
        <f t="shared" si="35"/>
        <v>1</v>
      </c>
      <c r="AB95" s="120">
        <f t="shared" si="4"/>
        <v>0</v>
      </c>
      <c r="AC95" s="127">
        <v>0</v>
      </c>
      <c r="AD95" s="127">
        <v>0</v>
      </c>
      <c r="AE95" s="127">
        <v>41245</v>
      </c>
      <c r="AF95" s="143"/>
      <c r="AG95" s="149">
        <f t="shared" si="36"/>
        <v>1127301</v>
      </c>
      <c r="AH95" s="127">
        <f>2891156-473577</f>
        <v>2417579</v>
      </c>
      <c r="AI95" s="127">
        <v>32989</v>
      </c>
      <c r="AJ95" s="127">
        <v>705</v>
      </c>
      <c r="AK95" s="127"/>
      <c r="AL95" s="127">
        <f>1428495-32989-138112-105</f>
        <v>1257289</v>
      </c>
      <c r="AM95" s="127">
        <v>5464587</v>
      </c>
      <c r="AN95" s="127">
        <v>1805758</v>
      </c>
      <c r="AO95" s="127"/>
    </row>
    <row r="96" spans="1:41" s="123" customFormat="1" ht="16.2" thickBot="1" x14ac:dyDescent="0.35">
      <c r="A96" s="52">
        <v>14.2</v>
      </c>
      <c r="B96" s="215" t="s">
        <v>58</v>
      </c>
      <c r="C96" s="31" t="str">
        <f>VLOOKUP((CONCATENATE(B96)),ID!$A$2:$D$305,3,0)</f>
        <v>RL014</v>
      </c>
      <c r="D96" s="51">
        <v>1</v>
      </c>
      <c r="E96" s="51" t="s">
        <v>4057</v>
      </c>
      <c r="F96" s="51" t="s">
        <v>1117</v>
      </c>
      <c r="G96" s="51" t="s">
        <v>3776</v>
      </c>
      <c r="H96" s="92">
        <v>4199</v>
      </c>
      <c r="I96" s="50">
        <v>4296</v>
      </c>
      <c r="J96" s="50">
        <v>4324</v>
      </c>
      <c r="K96" s="53">
        <v>1</v>
      </c>
      <c r="L96" s="55">
        <v>4288</v>
      </c>
      <c r="M96" s="50">
        <v>4302</v>
      </c>
      <c r="N96" s="54">
        <v>4308</v>
      </c>
      <c r="O96" s="51" t="s">
        <v>3787</v>
      </c>
      <c r="P96" s="194" t="str">
        <f t="shared" si="30"/>
        <v>1</v>
      </c>
      <c r="Q96" s="104">
        <v>1</v>
      </c>
      <c r="R96" s="39" t="str">
        <f t="shared" si="33"/>
        <v>-</v>
      </c>
      <c r="S96" s="120">
        <f t="shared" si="3"/>
        <v>3559878</v>
      </c>
      <c r="T96" s="127">
        <v>4277363</v>
      </c>
      <c r="U96" s="127">
        <f t="shared" si="38"/>
        <v>1278841</v>
      </c>
      <c r="V96" s="127">
        <f>987142+83388+200000+1727992</f>
        <v>2998522</v>
      </c>
      <c r="W96" s="122" t="str">
        <f t="shared" si="34"/>
        <v>1</v>
      </c>
      <c r="X96" s="127">
        <f>290024+270284+200+4171+262+45311+Y96</f>
        <v>717485</v>
      </c>
      <c r="Y96" s="127">
        <f>79231+28002</f>
        <v>107233</v>
      </c>
      <c r="Z96" s="127">
        <f t="shared" si="37"/>
        <v>610252</v>
      </c>
      <c r="AA96" s="122" t="str">
        <f t="shared" si="35"/>
        <v>1</v>
      </c>
      <c r="AB96" s="120">
        <f t="shared" si="4"/>
        <v>0</v>
      </c>
      <c r="AC96" s="127">
        <v>0</v>
      </c>
      <c r="AD96" s="127">
        <v>0</v>
      </c>
      <c r="AE96" s="127">
        <v>253503</v>
      </c>
      <c r="AF96" s="143"/>
      <c r="AG96" s="149">
        <f t="shared" si="36"/>
        <v>877057</v>
      </c>
      <c r="AH96" s="127">
        <f>1241867+148186+1490+29874-232</f>
        <v>1421185</v>
      </c>
      <c r="AI96" s="127">
        <v>7339</v>
      </c>
      <c r="AJ96" s="127">
        <v>292429</v>
      </c>
      <c r="AK96" s="127"/>
      <c r="AL96" s="127">
        <v>536789</v>
      </c>
      <c r="AM96" s="127">
        <v>2634186</v>
      </c>
      <c r="AN96" s="127">
        <v>653672</v>
      </c>
      <c r="AO96" s="127"/>
    </row>
    <row r="97" spans="1:41" s="123" customFormat="1" ht="16.2" thickBot="1" x14ac:dyDescent="0.35">
      <c r="A97" s="52">
        <v>14.3</v>
      </c>
      <c r="B97" s="215" t="s">
        <v>58</v>
      </c>
      <c r="C97" s="31" t="str">
        <f>VLOOKUP((CONCATENATE(B97)),ID!$A$2:$D$305,3,0)</f>
        <v>RL014</v>
      </c>
      <c r="D97" s="51">
        <v>1</v>
      </c>
      <c r="E97" s="51" t="s">
        <v>4057</v>
      </c>
      <c r="F97" s="51" t="s">
        <v>1117</v>
      </c>
      <c r="G97" s="51" t="s">
        <v>3776</v>
      </c>
      <c r="H97" s="92">
        <v>4565</v>
      </c>
      <c r="I97" s="50">
        <v>4667</v>
      </c>
      <c r="J97" s="50">
        <v>4658</v>
      </c>
      <c r="K97" s="53">
        <v>1</v>
      </c>
      <c r="L97" s="55">
        <v>4654</v>
      </c>
      <c r="M97" s="50">
        <v>4668</v>
      </c>
      <c r="N97" s="54">
        <v>4679</v>
      </c>
      <c r="O97" s="51" t="s">
        <v>3787</v>
      </c>
      <c r="P97" s="194" t="str">
        <f t="shared" si="30"/>
        <v>1</v>
      </c>
      <c r="Q97" s="104">
        <v>1</v>
      </c>
      <c r="R97" s="39" t="str">
        <f t="shared" si="33"/>
        <v>-</v>
      </c>
      <c r="S97" s="120">
        <f t="shared" si="3"/>
        <v>3591604</v>
      </c>
      <c r="T97" s="127">
        <v>4418585</v>
      </c>
      <c r="U97" s="127">
        <f t="shared" si="38"/>
        <v>1783414</v>
      </c>
      <c r="V97" s="127">
        <f>363200+94863+190000+30000+1957108</f>
        <v>2635171</v>
      </c>
      <c r="W97" s="122" t="str">
        <f t="shared" si="34"/>
        <v>1</v>
      </c>
      <c r="X97" s="127">
        <f>132819+285+4091+200+288393+281105+Y97</f>
        <v>826981</v>
      </c>
      <c r="Y97" s="127">
        <f>89169+30919</f>
        <v>120088</v>
      </c>
      <c r="Z97" s="127">
        <f t="shared" si="37"/>
        <v>706893</v>
      </c>
      <c r="AA97" s="122" t="str">
        <f t="shared" si="35"/>
        <v>1</v>
      </c>
      <c r="AB97" s="120">
        <f t="shared" si="4"/>
        <v>0</v>
      </c>
      <c r="AC97" s="127">
        <v>0</v>
      </c>
      <c r="AD97" s="127">
        <v>0</v>
      </c>
      <c r="AE97" s="127">
        <v>363200</v>
      </c>
      <c r="AF97" s="143"/>
      <c r="AG97" s="149">
        <f>AH97-596019-6215</f>
        <v>666707</v>
      </c>
      <c r="AH97" s="127">
        <f>1086165+148186+1492+33258-160</f>
        <v>1268941</v>
      </c>
      <c r="AI97" s="127">
        <v>6215</v>
      </c>
      <c r="AJ97" s="127">
        <v>292429</v>
      </c>
      <c r="AK97" s="127"/>
      <c r="AL97" s="127">
        <v>596019</v>
      </c>
      <c r="AM97" s="127">
        <v>2425682</v>
      </c>
      <c r="AN97" s="127">
        <v>670640</v>
      </c>
      <c r="AO97" s="127"/>
    </row>
    <row r="98" spans="1:41" s="123" customFormat="1" ht="16.2" thickBot="1" x14ac:dyDescent="0.35">
      <c r="A98" s="52"/>
      <c r="B98" s="215" t="s">
        <v>58</v>
      </c>
      <c r="C98" s="31" t="str">
        <f>VLOOKUP((CONCATENATE(B98)),ID!$A$2:$D$305,3,0)</f>
        <v>RL014</v>
      </c>
      <c r="D98" s="51">
        <v>1</v>
      </c>
      <c r="E98" s="51" t="s">
        <v>4057</v>
      </c>
      <c r="F98" s="51" t="s">
        <v>1117</v>
      </c>
      <c r="G98" s="51" t="s">
        <v>3776</v>
      </c>
      <c r="H98" s="92">
        <v>4930</v>
      </c>
      <c r="I98" s="50">
        <v>5029</v>
      </c>
      <c r="J98" s="50">
        <v>5022</v>
      </c>
      <c r="K98" s="53">
        <v>1</v>
      </c>
      <c r="L98" s="55">
        <v>5019</v>
      </c>
      <c r="M98" s="50">
        <v>5033</v>
      </c>
      <c r="N98" s="54">
        <v>5042</v>
      </c>
      <c r="O98" s="51" t="s">
        <v>3787</v>
      </c>
      <c r="P98" s="194" t="str">
        <f t="shared" si="30"/>
        <v>1</v>
      </c>
      <c r="Q98" s="104">
        <v>1</v>
      </c>
      <c r="R98" s="39" t="str">
        <f t="shared" si="33"/>
        <v>-</v>
      </c>
      <c r="S98" s="120">
        <f t="shared" si="3"/>
        <v>4074371</v>
      </c>
      <c r="T98" s="127">
        <v>5126250</v>
      </c>
      <c r="U98" s="127">
        <f t="shared" si="38"/>
        <v>1739575</v>
      </c>
      <c r="V98" s="127">
        <f>2344131+90000+390000+5801+556743</f>
        <v>3386675</v>
      </c>
      <c r="W98" s="122" t="str">
        <f t="shared" si="34"/>
        <v>1</v>
      </c>
      <c r="X98" s="127">
        <f>67217+588+4285+200+305157+554117+Y98</f>
        <v>1051879</v>
      </c>
      <c r="Y98" s="127">
        <f>89119+31196</f>
        <v>120315</v>
      </c>
      <c r="Z98" s="127">
        <f t="shared" si="37"/>
        <v>931564</v>
      </c>
      <c r="AA98" s="122" t="str">
        <f t="shared" si="35"/>
        <v>1</v>
      </c>
      <c r="AB98" s="120">
        <f t="shared" si="4"/>
        <v>0</v>
      </c>
      <c r="AC98" s="127">
        <v>0</v>
      </c>
      <c r="AD98" s="127">
        <v>0</v>
      </c>
      <c r="AE98" s="127">
        <v>556743</v>
      </c>
      <c r="AF98" s="143"/>
      <c r="AG98" s="151">
        <f>AH98-AI98-AL98</f>
        <v>772427</v>
      </c>
      <c r="AH98" s="167">
        <f>1621383-147604-255-47200</f>
        <v>1426324</v>
      </c>
      <c r="AI98" s="167">
        <v>5376</v>
      </c>
      <c r="AJ98" s="167">
        <v>352429</v>
      </c>
      <c r="AK98" s="167"/>
      <c r="AL98" s="167">
        <v>648521</v>
      </c>
      <c r="AM98" s="167">
        <v>2906008</v>
      </c>
      <c r="AN98" s="167">
        <v>744221</v>
      </c>
      <c r="AO98" s="127"/>
    </row>
    <row r="99" spans="1:41" s="123" customFormat="1" ht="16.2" thickBot="1" x14ac:dyDescent="0.35">
      <c r="A99" s="52"/>
      <c r="B99" s="215" t="s">
        <v>58</v>
      </c>
      <c r="C99" s="31" t="str">
        <f>VLOOKUP((CONCATENATE(B99)),ID!$A$2:$D$305,3,0)</f>
        <v>RL014</v>
      </c>
      <c r="D99" s="51">
        <v>1</v>
      </c>
      <c r="E99" s="51" t="s">
        <v>4057</v>
      </c>
      <c r="F99" s="51" t="s">
        <v>1117</v>
      </c>
      <c r="G99" s="51" t="s">
        <v>3776</v>
      </c>
      <c r="H99" s="92">
        <v>5295</v>
      </c>
      <c r="I99" s="50">
        <v>5402</v>
      </c>
      <c r="J99" s="50">
        <v>5399</v>
      </c>
      <c r="K99" s="53">
        <v>1</v>
      </c>
      <c r="L99" s="55">
        <v>5388</v>
      </c>
      <c r="M99" s="50">
        <v>5401</v>
      </c>
      <c r="N99" s="54">
        <v>5414</v>
      </c>
      <c r="O99" s="51" t="s">
        <v>3787</v>
      </c>
      <c r="P99" s="194" t="str">
        <f t="shared" si="30"/>
        <v>1</v>
      </c>
      <c r="Q99" s="104">
        <v>1</v>
      </c>
      <c r="R99" s="39" t="str">
        <f t="shared" si="33"/>
        <v>-</v>
      </c>
      <c r="S99" s="120">
        <f t="shared" si="3"/>
        <v>3647568</v>
      </c>
      <c r="T99" s="127">
        <v>4661168</v>
      </c>
      <c r="U99" s="127">
        <f t="shared" si="38"/>
        <v>1765121</v>
      </c>
      <c r="V99" s="127">
        <f>2166780+60000+240000+54330+374937</f>
        <v>2896047</v>
      </c>
      <c r="W99" s="122" t="str">
        <f t="shared" si="34"/>
        <v>1</v>
      </c>
      <c r="X99" s="127">
        <f>128346+471+3729+200+267789+495508+Y99</f>
        <v>1013600</v>
      </c>
      <c r="Y99" s="127">
        <f>88667+28890</f>
        <v>117557</v>
      </c>
      <c r="Z99" s="127">
        <f>X99</f>
        <v>1013600</v>
      </c>
      <c r="AA99" s="122" t="str">
        <f t="shared" si="35"/>
        <v>0</v>
      </c>
      <c r="AB99" s="120">
        <f t="shared" si="4"/>
        <v>0</v>
      </c>
      <c r="AC99" s="127">
        <v>0</v>
      </c>
      <c r="AD99" s="127">
        <v>0</v>
      </c>
      <c r="AE99" s="127">
        <v>374937</v>
      </c>
      <c r="AF99" s="143"/>
      <c r="AG99" s="151">
        <f>AH99-AI99-AL99</f>
        <v>592728</v>
      </c>
      <c r="AH99" s="167">
        <f>1361061-125104-67832-305-105</f>
        <v>1167715</v>
      </c>
      <c r="AI99" s="167">
        <v>4789</v>
      </c>
      <c r="AJ99" s="167">
        <v>412429</v>
      </c>
      <c r="AK99" s="167"/>
      <c r="AL99" s="167">
        <v>570198</v>
      </c>
      <c r="AM99" s="167">
        <v>2529178</v>
      </c>
      <c r="AN99" s="167">
        <v>694936</v>
      </c>
      <c r="AO99" s="127"/>
    </row>
    <row r="100" spans="1:41" s="123" customFormat="1" ht="16.2" hidden="1" thickBot="1" x14ac:dyDescent="0.35">
      <c r="A100" s="52"/>
      <c r="B100" s="215" t="s">
        <v>59</v>
      </c>
      <c r="C100" s="31" t="str">
        <f>VLOOKUP((CONCATENATE(B100)),ID!$A$2:$D$305,3,0)</f>
        <v>RL015</v>
      </c>
      <c r="D100" s="51">
        <v>1</v>
      </c>
      <c r="E100" s="51" t="s">
        <v>4057</v>
      </c>
      <c r="F100" s="51" t="s">
        <v>1117</v>
      </c>
      <c r="G100" s="51" t="s">
        <v>3777</v>
      </c>
      <c r="H100" s="92">
        <v>3834</v>
      </c>
      <c r="I100" s="50">
        <v>3992</v>
      </c>
      <c r="J100" s="50">
        <v>3959</v>
      </c>
      <c r="K100" s="53">
        <v>1</v>
      </c>
      <c r="L100" s="55">
        <v>4002</v>
      </c>
      <c r="M100" s="50">
        <v>4018</v>
      </c>
      <c r="N100" s="54">
        <v>4002</v>
      </c>
      <c r="O100" s="51" t="s">
        <v>3788</v>
      </c>
      <c r="P100" s="197" t="str">
        <f t="shared" si="30"/>
        <v>?</v>
      </c>
      <c r="Q100" s="104"/>
      <c r="R100" s="39" t="s">
        <v>4075</v>
      </c>
      <c r="S100" s="120"/>
      <c r="T100" s="127"/>
      <c r="U100" s="127"/>
      <c r="V100" s="127"/>
      <c r="W100" s="122"/>
      <c r="X100" s="127"/>
      <c r="Y100" s="127"/>
      <c r="Z100" s="127"/>
      <c r="AA100" s="122"/>
      <c r="AB100" s="120"/>
      <c r="AC100" s="127"/>
      <c r="AD100" s="127"/>
      <c r="AE100" s="127"/>
      <c r="AF100" s="143"/>
      <c r="AG100" s="151"/>
      <c r="AH100" s="167"/>
      <c r="AI100" s="167"/>
      <c r="AJ100" s="167"/>
      <c r="AK100" s="167"/>
      <c r="AL100" s="167"/>
      <c r="AM100" s="167"/>
      <c r="AN100" s="167"/>
      <c r="AO100" s="127"/>
    </row>
    <row r="101" spans="1:41" s="123" customFormat="1" ht="16.2" hidden="1" thickBot="1" x14ac:dyDescent="0.35">
      <c r="A101" s="52">
        <v>15.1</v>
      </c>
      <c r="B101" s="215" t="s">
        <v>59</v>
      </c>
      <c r="C101" s="31" t="str">
        <f>VLOOKUP((CONCATENATE(B101)),ID!$A$2:$D$305,3,0)</f>
        <v>RL015</v>
      </c>
      <c r="D101" s="51">
        <v>1</v>
      </c>
      <c r="E101" s="51" t="s">
        <v>4057</v>
      </c>
      <c r="F101" s="51" t="s">
        <v>1117</v>
      </c>
      <c r="G101" s="51" t="s">
        <v>3777</v>
      </c>
      <c r="H101" s="92">
        <v>4199</v>
      </c>
      <c r="I101" s="50">
        <v>4361</v>
      </c>
      <c r="J101" s="50">
        <v>4337</v>
      </c>
      <c r="K101" s="53">
        <v>1</v>
      </c>
      <c r="L101" s="55">
        <v>4366</v>
      </c>
      <c r="M101" s="50">
        <v>4382</v>
      </c>
      <c r="N101" s="54">
        <v>4371</v>
      </c>
      <c r="O101" s="51" t="s">
        <v>3788</v>
      </c>
      <c r="P101" s="197" t="str">
        <f t="shared" si="30"/>
        <v>?</v>
      </c>
      <c r="Q101" s="103">
        <v>0</v>
      </c>
      <c r="R101" s="39" t="s">
        <v>4075</v>
      </c>
      <c r="S101" s="120">
        <f t="shared" si="3"/>
        <v>48933167</v>
      </c>
      <c r="T101" s="127">
        <v>165133183</v>
      </c>
      <c r="U101" s="127"/>
      <c r="V101" s="127"/>
      <c r="W101" s="122" t="str">
        <f t="shared" si="34"/>
        <v>0</v>
      </c>
      <c r="X101" s="127">
        <f>18787692+97412324</f>
        <v>116200016</v>
      </c>
      <c r="Y101" s="127"/>
      <c r="Z101" s="127"/>
      <c r="AA101" s="122" t="str">
        <f t="shared" si="35"/>
        <v>0</v>
      </c>
      <c r="AB101" s="120">
        <f t="shared" si="4"/>
        <v>0</v>
      </c>
      <c r="AC101" s="127"/>
      <c r="AD101" s="127"/>
      <c r="AE101" s="127">
        <v>3943</v>
      </c>
      <c r="AF101" s="143"/>
      <c r="AG101" s="151">
        <f>AH101-562500-2156250</f>
        <v>4464787</v>
      </c>
      <c r="AH101" s="123">
        <f>AM101-12977544</f>
        <v>7183537</v>
      </c>
      <c r="AM101" s="123">
        <v>20161081</v>
      </c>
      <c r="AO101" s="127"/>
    </row>
    <row r="102" spans="1:41" s="123" customFormat="1" ht="16.2" hidden="1" thickBot="1" x14ac:dyDescent="0.35">
      <c r="A102" s="52">
        <v>15.2</v>
      </c>
      <c r="B102" s="215" t="s">
        <v>59</v>
      </c>
      <c r="C102" s="31" t="str">
        <f>VLOOKUP((CONCATENATE(B102)),ID!$A$2:$D$305,3,0)</f>
        <v>RL015</v>
      </c>
      <c r="D102" s="51">
        <v>1</v>
      </c>
      <c r="E102" s="51" t="s">
        <v>4057</v>
      </c>
      <c r="F102" s="51" t="s">
        <v>1117</v>
      </c>
      <c r="G102" s="51" t="s">
        <v>3777</v>
      </c>
      <c r="H102" s="92">
        <v>4565</v>
      </c>
      <c r="I102" s="50">
        <v>4725</v>
      </c>
      <c r="J102" s="50">
        <v>4689</v>
      </c>
      <c r="K102" s="53">
        <v>1</v>
      </c>
      <c r="L102" s="55">
        <v>4732</v>
      </c>
      <c r="M102" s="50">
        <v>4749</v>
      </c>
      <c r="N102" s="54">
        <v>4735</v>
      </c>
      <c r="O102" s="51" t="s">
        <v>3788</v>
      </c>
      <c r="P102" s="197" t="str">
        <f t="shared" si="30"/>
        <v>?</v>
      </c>
      <c r="Q102" s="103">
        <v>0</v>
      </c>
      <c r="R102" s="39" t="s">
        <v>4075</v>
      </c>
      <c r="S102" s="120">
        <f t="shared" si="3"/>
        <v>48933167</v>
      </c>
      <c r="T102" s="127">
        <v>168163933</v>
      </c>
      <c r="U102" s="127"/>
      <c r="V102" s="127"/>
      <c r="W102" s="122" t="str">
        <f t="shared" si="34"/>
        <v>0</v>
      </c>
      <c r="X102" s="127">
        <f>18787692+97412324+3030750</f>
        <v>119230766</v>
      </c>
      <c r="Y102" s="127"/>
      <c r="Z102" s="127"/>
      <c r="AA102" s="122" t="str">
        <f t="shared" si="35"/>
        <v>0</v>
      </c>
      <c r="AB102" s="120">
        <f t="shared" si="4"/>
        <v>0</v>
      </c>
      <c r="AC102" s="127"/>
      <c r="AD102" s="127"/>
      <c r="AE102" s="127">
        <v>2925</v>
      </c>
      <c r="AF102" s="143"/>
      <c r="AG102" s="149">
        <f>AH102-562500-2156250-41145</f>
        <v>5169342</v>
      </c>
      <c r="AH102" s="127">
        <f>AM102-13450047</f>
        <v>7929237</v>
      </c>
      <c r="AI102" s="127"/>
      <c r="AJ102" s="127"/>
      <c r="AK102" s="127"/>
      <c r="AL102" s="127"/>
      <c r="AM102" s="127">
        <v>21379284</v>
      </c>
      <c r="AN102" s="127"/>
      <c r="AO102" s="127"/>
    </row>
    <row r="103" spans="1:41" s="123" customFormat="1" ht="16.2" hidden="1" thickBot="1" x14ac:dyDescent="0.35">
      <c r="A103" s="52"/>
      <c r="B103" s="215" t="s">
        <v>59</v>
      </c>
      <c r="C103" s="31" t="str">
        <f>VLOOKUP((CONCATENATE(B103)),ID!$A$2:$D$305,3,0)</f>
        <v>RL015</v>
      </c>
      <c r="D103" s="51">
        <v>1</v>
      </c>
      <c r="E103" s="51" t="s">
        <v>4057</v>
      </c>
      <c r="F103" s="51" t="s">
        <v>1117</v>
      </c>
      <c r="G103" s="51" t="s">
        <v>3777</v>
      </c>
      <c r="H103" s="92">
        <v>4930</v>
      </c>
      <c r="I103" s="50">
        <v>5088</v>
      </c>
      <c r="J103" s="50">
        <v>5037</v>
      </c>
      <c r="K103" s="53">
        <v>1</v>
      </c>
      <c r="L103" s="55">
        <v>5098</v>
      </c>
      <c r="M103" s="50">
        <v>5114</v>
      </c>
      <c r="N103" s="54">
        <v>5099</v>
      </c>
      <c r="O103" s="51" t="s">
        <v>3788</v>
      </c>
      <c r="P103" s="197" t="str">
        <f t="shared" si="30"/>
        <v>?</v>
      </c>
      <c r="Q103" s="103"/>
      <c r="R103" s="39" t="s">
        <v>4075</v>
      </c>
      <c r="S103" s="120"/>
      <c r="T103" s="127"/>
      <c r="U103" s="127"/>
      <c r="V103" s="127"/>
      <c r="W103" s="122" t="str">
        <f t="shared" si="34"/>
        <v>1</v>
      </c>
      <c r="X103" s="127"/>
      <c r="Y103" s="127"/>
      <c r="Z103" s="127"/>
      <c r="AA103" s="122" t="str">
        <f t="shared" si="35"/>
        <v>1</v>
      </c>
      <c r="AB103" s="120"/>
      <c r="AC103" s="127"/>
      <c r="AD103" s="127"/>
      <c r="AE103" s="127"/>
      <c r="AF103" s="143"/>
      <c r="AG103" s="149"/>
      <c r="AH103" s="127"/>
      <c r="AI103" s="127"/>
      <c r="AJ103" s="127"/>
      <c r="AK103" s="127"/>
      <c r="AL103" s="127"/>
      <c r="AM103" s="127"/>
      <c r="AN103" s="127"/>
      <c r="AO103" s="127"/>
    </row>
    <row r="104" spans="1:41" s="123" customFormat="1" ht="16.2" hidden="1" thickBot="1" x14ac:dyDescent="0.35">
      <c r="A104" s="52"/>
      <c r="B104" s="215" t="s">
        <v>59</v>
      </c>
      <c r="C104" s="31" t="str">
        <f>VLOOKUP((CONCATENATE(B104)),ID!$A$2:$D$305,3,0)</f>
        <v>RL015</v>
      </c>
      <c r="D104" s="51">
        <v>1</v>
      </c>
      <c r="E104" s="51" t="s">
        <v>4057</v>
      </c>
      <c r="F104" s="51" t="s">
        <v>1117</v>
      </c>
      <c r="G104" s="51" t="s">
        <v>3777</v>
      </c>
      <c r="H104" s="92">
        <v>5295</v>
      </c>
      <c r="I104" s="50">
        <v>5452</v>
      </c>
      <c r="J104" s="50">
        <v>5406</v>
      </c>
      <c r="K104" s="53">
        <v>1</v>
      </c>
      <c r="L104" s="55">
        <v>5462</v>
      </c>
      <c r="M104" s="50">
        <v>5479</v>
      </c>
      <c r="N104" s="54">
        <v>5463</v>
      </c>
      <c r="O104" s="51" t="s">
        <v>3788</v>
      </c>
      <c r="P104" s="197" t="str">
        <f t="shared" si="30"/>
        <v>?</v>
      </c>
      <c r="Q104" s="103"/>
      <c r="R104" s="39" t="s">
        <v>4075</v>
      </c>
      <c r="S104" s="120"/>
      <c r="T104" s="127"/>
      <c r="U104" s="127"/>
      <c r="V104" s="127"/>
      <c r="W104" s="122" t="str">
        <f t="shared" si="34"/>
        <v>1</v>
      </c>
      <c r="X104" s="127"/>
      <c r="Y104" s="127"/>
      <c r="Z104" s="127"/>
      <c r="AA104" s="122" t="str">
        <f t="shared" si="35"/>
        <v>1</v>
      </c>
      <c r="AB104" s="120"/>
      <c r="AC104" s="127"/>
      <c r="AD104" s="127"/>
      <c r="AE104" s="127"/>
      <c r="AF104" s="143"/>
      <c r="AG104" s="149"/>
      <c r="AH104" s="127"/>
      <c r="AI104" s="127"/>
      <c r="AJ104" s="127"/>
      <c r="AK104" s="127"/>
      <c r="AL104" s="127"/>
      <c r="AM104" s="127"/>
      <c r="AN104" s="127"/>
      <c r="AO104" s="127"/>
    </row>
    <row r="105" spans="1:41" s="123" customFormat="1" ht="16.2" thickBot="1" x14ac:dyDescent="0.35">
      <c r="A105" s="52"/>
      <c r="B105" s="211" t="s">
        <v>60</v>
      </c>
      <c r="C105" s="31" t="str">
        <f>VLOOKUP((CONCATENATE(B105)),ID!$A$2:$D$305,3,0)</f>
        <v>RL016</v>
      </c>
      <c r="D105" s="17">
        <v>0</v>
      </c>
      <c r="E105" s="17" t="s">
        <v>4057</v>
      </c>
      <c r="F105" s="17" t="s">
        <v>3789</v>
      </c>
      <c r="G105" s="17" t="s">
        <v>3853</v>
      </c>
      <c r="H105" s="87">
        <v>3684</v>
      </c>
      <c r="I105" s="50">
        <v>3699</v>
      </c>
      <c r="J105" s="50">
        <v>3714</v>
      </c>
      <c r="K105" s="53">
        <v>1</v>
      </c>
      <c r="L105" s="55">
        <v>3708</v>
      </c>
      <c r="M105" s="50">
        <v>3727</v>
      </c>
      <c r="N105" s="54">
        <v>3727</v>
      </c>
      <c r="O105" s="17" t="s">
        <v>3790</v>
      </c>
      <c r="P105" s="194" t="str">
        <f t="shared" si="30"/>
        <v>1</v>
      </c>
      <c r="Q105" s="103">
        <v>1</v>
      </c>
      <c r="R105" s="39" t="str">
        <f t="shared" ref="R105:R121" si="39">IF(Q105=0,"?","-")</f>
        <v>-</v>
      </c>
      <c r="S105" s="120">
        <f t="shared" si="3"/>
        <v>751372</v>
      </c>
      <c r="T105" s="173">
        <v>3149460</v>
      </c>
      <c r="U105" s="173"/>
      <c r="V105" s="173"/>
      <c r="W105" s="122" t="str">
        <f t="shared" si="34"/>
        <v>0</v>
      </c>
      <c r="X105" s="127">
        <f>13347+82610+29186+99185+385000+17685+19537+487150+919178+334423+10787</f>
        <v>2398088</v>
      </c>
      <c r="Y105" s="127">
        <f>17686+919178+334423+10787</f>
        <v>1282074</v>
      </c>
      <c r="Z105" s="127">
        <f>X105-Y105</f>
        <v>1116014</v>
      </c>
      <c r="AA105" s="122" t="str">
        <f t="shared" si="35"/>
        <v>1</v>
      </c>
      <c r="AB105" s="120">
        <f>AC105+AD105</f>
        <v>17686</v>
      </c>
      <c r="AC105" s="127">
        <v>0</v>
      </c>
      <c r="AD105" s="127">
        <v>17686</v>
      </c>
      <c r="AE105" s="127">
        <v>58881</v>
      </c>
      <c r="AF105" s="143"/>
      <c r="AG105" s="149">
        <f t="shared" ref="AG105:AG111" si="40">AH105-AL105</f>
        <v>769852</v>
      </c>
      <c r="AH105" s="127">
        <f>1060893-14232-26628</f>
        <v>1020033</v>
      </c>
      <c r="AI105" s="127"/>
      <c r="AJ105" s="127">
        <v>104490</v>
      </c>
      <c r="AK105" s="127"/>
      <c r="AL105" s="127">
        <v>250181</v>
      </c>
      <c r="AM105" s="127">
        <v>2234007</v>
      </c>
      <c r="AN105" s="127">
        <v>2097406</v>
      </c>
      <c r="AO105" s="127"/>
    </row>
    <row r="106" spans="1:41" s="123" customFormat="1" ht="16.2" thickBot="1" x14ac:dyDescent="0.35">
      <c r="A106" s="52"/>
      <c r="B106" s="211" t="s">
        <v>60</v>
      </c>
      <c r="C106" s="31" t="str">
        <f>VLOOKUP((CONCATENATE(B106)),ID!$A$2:$D$305,3,0)</f>
        <v>RL016</v>
      </c>
      <c r="D106" s="17">
        <v>0</v>
      </c>
      <c r="E106" s="17" t="s">
        <v>4057</v>
      </c>
      <c r="F106" s="17" t="s">
        <v>3789</v>
      </c>
      <c r="G106" s="17" t="s">
        <v>3853</v>
      </c>
      <c r="H106" s="87">
        <v>3865</v>
      </c>
      <c r="I106" s="50">
        <v>3885</v>
      </c>
      <c r="J106" s="50">
        <v>3904</v>
      </c>
      <c r="K106" s="53">
        <v>1</v>
      </c>
      <c r="L106" s="55">
        <v>3896</v>
      </c>
      <c r="M106" s="50">
        <v>3916</v>
      </c>
      <c r="N106" s="50">
        <v>3916</v>
      </c>
      <c r="O106" s="17" t="s">
        <v>3790</v>
      </c>
      <c r="P106" s="194" t="str">
        <f t="shared" si="30"/>
        <v>1</v>
      </c>
      <c r="Q106" s="103">
        <v>1</v>
      </c>
      <c r="R106" s="39" t="str">
        <f t="shared" si="39"/>
        <v>-</v>
      </c>
      <c r="S106" s="120">
        <f t="shared" si="3"/>
        <v>869616</v>
      </c>
      <c r="T106" s="173">
        <v>3120706</v>
      </c>
      <c r="U106" s="173"/>
      <c r="V106" s="173"/>
      <c r="W106" s="122" t="str">
        <f t="shared" si="34"/>
        <v>0</v>
      </c>
      <c r="X106" s="127">
        <f>T106-3500-73168-94185-698763</f>
        <v>2251090</v>
      </c>
      <c r="Y106" s="127">
        <f>AB106+11640+358017+889946</f>
        <v>1288464</v>
      </c>
      <c r="Z106" s="127">
        <f>X106-Y106</f>
        <v>962626</v>
      </c>
      <c r="AA106" s="122" t="str">
        <f t="shared" si="35"/>
        <v>1</v>
      </c>
      <c r="AB106" s="120">
        <f>AC106+AD106</f>
        <v>28861</v>
      </c>
      <c r="AC106" s="127">
        <v>0</v>
      </c>
      <c r="AD106" s="127">
        <v>28861</v>
      </c>
      <c r="AE106" s="127">
        <v>75043</v>
      </c>
      <c r="AF106" s="143"/>
      <c r="AG106" s="149">
        <f t="shared" si="40"/>
        <v>830133</v>
      </c>
      <c r="AH106" s="127">
        <f>1093104-12064</f>
        <v>1081040</v>
      </c>
      <c r="AI106" s="127"/>
      <c r="AJ106" s="127">
        <v>104490</v>
      </c>
      <c r="AK106" s="127"/>
      <c r="AL106" s="127">
        <v>250907</v>
      </c>
      <c r="AM106" s="127">
        <v>2283169</v>
      </c>
      <c r="AN106" s="127">
        <v>2150754</v>
      </c>
      <c r="AO106" s="127"/>
    </row>
    <row r="107" spans="1:41" s="123" customFormat="1" ht="16.2" thickBot="1" x14ac:dyDescent="0.35">
      <c r="A107" s="41">
        <v>16.100000000000001</v>
      </c>
      <c r="B107" s="211" t="s">
        <v>60</v>
      </c>
      <c r="C107" s="31" t="str">
        <f>VLOOKUP((CONCATENATE(B107)),ID!$A$2:$D$305,3,0)</f>
        <v>RL016</v>
      </c>
      <c r="D107" s="17">
        <v>0</v>
      </c>
      <c r="E107" s="17" t="s">
        <v>4057</v>
      </c>
      <c r="F107" s="17" t="s">
        <v>3789</v>
      </c>
      <c r="G107" s="17" t="s">
        <v>3853</v>
      </c>
      <c r="H107" s="87">
        <v>4049</v>
      </c>
      <c r="I107" s="22">
        <v>4067</v>
      </c>
      <c r="J107" s="22">
        <v>4085</v>
      </c>
      <c r="K107" s="24">
        <v>1</v>
      </c>
      <c r="L107" s="30">
        <v>4078</v>
      </c>
      <c r="M107" s="22">
        <v>4098</v>
      </c>
      <c r="N107" s="29">
        <v>4098</v>
      </c>
      <c r="O107" s="17" t="s">
        <v>3790</v>
      </c>
      <c r="P107" s="194" t="str">
        <f t="shared" si="30"/>
        <v>1</v>
      </c>
      <c r="Q107" s="103">
        <v>1</v>
      </c>
      <c r="R107" s="39" t="str">
        <f t="shared" si="39"/>
        <v>-</v>
      </c>
      <c r="S107" s="120">
        <f t="shared" si="3"/>
        <v>897706</v>
      </c>
      <c r="T107" s="127">
        <v>3238801</v>
      </c>
      <c r="U107" s="127">
        <f>1676312+15693+59584+95958</f>
        <v>1847547</v>
      </c>
      <c r="V107" s="127">
        <f t="shared" ref="V107:V124" si="41">T107-U107</f>
        <v>1391254</v>
      </c>
      <c r="W107" s="122" t="str">
        <f t="shared" si="34"/>
        <v>1</v>
      </c>
      <c r="X107" s="127">
        <f>12698+81901+99186+265000+20427+47280+503386+923980+375944+11293</f>
        <v>2341095</v>
      </c>
      <c r="Y107" s="127">
        <f>20427+923980+375944+11293</f>
        <v>1331644</v>
      </c>
      <c r="Z107" s="127">
        <f t="shared" ref="Z107:Z124" si="42">X107-Y107</f>
        <v>1009451</v>
      </c>
      <c r="AA107" s="122" t="str">
        <f t="shared" si="35"/>
        <v>1</v>
      </c>
      <c r="AB107" s="120">
        <f t="shared" si="4"/>
        <v>20427</v>
      </c>
      <c r="AC107" s="127">
        <v>0</v>
      </c>
      <c r="AD107" s="127">
        <v>20427</v>
      </c>
      <c r="AE107" s="127">
        <v>125192</v>
      </c>
      <c r="AF107" s="143"/>
      <c r="AG107" s="149">
        <f t="shared" si="40"/>
        <v>817765</v>
      </c>
      <c r="AH107" s="127">
        <f>1078392+13813-24891</f>
        <v>1067314</v>
      </c>
      <c r="AI107" s="127"/>
      <c r="AJ107" s="127">
        <v>104490</v>
      </c>
      <c r="AK107" s="127"/>
      <c r="AL107" s="127">
        <v>249549</v>
      </c>
      <c r="AM107" s="127">
        <v>2338637</v>
      </c>
      <c r="AN107" s="127">
        <v>2197436</v>
      </c>
      <c r="AO107" s="127"/>
    </row>
    <row r="108" spans="1:41" s="123" customFormat="1" ht="16.2" thickBot="1" x14ac:dyDescent="0.35">
      <c r="A108" s="41">
        <v>16.2</v>
      </c>
      <c r="B108" s="211" t="s">
        <v>60</v>
      </c>
      <c r="C108" s="31" t="str">
        <f>VLOOKUP((CONCATENATE(B108)),ID!$A$2:$D$305,3,0)</f>
        <v>RL016</v>
      </c>
      <c r="D108" s="17">
        <v>0</v>
      </c>
      <c r="E108" s="17" t="s">
        <v>4057</v>
      </c>
      <c r="F108" s="17" t="s">
        <v>3789</v>
      </c>
      <c r="G108" s="17" t="s">
        <v>3853</v>
      </c>
      <c r="H108" s="87">
        <v>4230</v>
      </c>
      <c r="I108" s="22">
        <v>4251</v>
      </c>
      <c r="J108" s="22">
        <v>4267</v>
      </c>
      <c r="K108" s="24">
        <v>1</v>
      </c>
      <c r="L108" s="30">
        <v>4260</v>
      </c>
      <c r="M108" s="22">
        <v>4280</v>
      </c>
      <c r="N108" s="29">
        <v>4280</v>
      </c>
      <c r="O108" s="17" t="s">
        <v>3790</v>
      </c>
      <c r="P108" s="194" t="str">
        <f t="shared" si="30"/>
        <v>1</v>
      </c>
      <c r="Q108" s="103">
        <v>1</v>
      </c>
      <c r="R108" s="39" t="str">
        <f t="shared" si="39"/>
        <v>-</v>
      </c>
      <c r="S108" s="120">
        <f t="shared" si="3"/>
        <v>889638</v>
      </c>
      <c r="T108" s="127">
        <v>3261955</v>
      </c>
      <c r="U108" s="127">
        <f>1721336+16846+49584+85958</f>
        <v>1873724</v>
      </c>
      <c r="V108" s="127">
        <f t="shared" si="41"/>
        <v>1388231</v>
      </c>
      <c r="W108" s="122" t="str">
        <f t="shared" si="34"/>
        <v>1</v>
      </c>
      <c r="X108" s="127">
        <f>13305+92373+99186+345000+28413+61392+421697+915135+383804+12012</f>
        <v>2372317</v>
      </c>
      <c r="Y108" s="127">
        <f>28413+915135+383804+12012</f>
        <v>1339364</v>
      </c>
      <c r="Z108" s="127">
        <f t="shared" si="42"/>
        <v>1032953</v>
      </c>
      <c r="AA108" s="122" t="str">
        <f t="shared" si="35"/>
        <v>1</v>
      </c>
      <c r="AB108" s="120">
        <f t="shared" si="4"/>
        <v>28413</v>
      </c>
      <c r="AC108" s="127">
        <v>0</v>
      </c>
      <c r="AD108" s="127">
        <v>28413</v>
      </c>
      <c r="AE108" s="127">
        <v>207084</v>
      </c>
      <c r="AF108" s="143"/>
      <c r="AG108" s="149">
        <f t="shared" si="40"/>
        <v>811448</v>
      </c>
      <c r="AH108" s="127">
        <f>1069302+17470-25802</f>
        <v>1060970</v>
      </c>
      <c r="AI108" s="127"/>
      <c r="AJ108" s="127">
        <v>104490</v>
      </c>
      <c r="AK108" s="127"/>
      <c r="AL108" s="127">
        <v>249522</v>
      </c>
      <c r="AM108" s="127">
        <v>2325927</v>
      </c>
      <c r="AN108" s="127">
        <v>2195748</v>
      </c>
      <c r="AO108" s="127"/>
    </row>
    <row r="109" spans="1:41" s="123" customFormat="1" ht="16.2" thickBot="1" x14ac:dyDescent="0.35">
      <c r="A109" s="41">
        <v>16.3</v>
      </c>
      <c r="B109" s="211" t="s">
        <v>60</v>
      </c>
      <c r="C109" s="31" t="str">
        <f>VLOOKUP((CONCATENATE(B109)),ID!$A$2:$D$305,3,0)</f>
        <v>RL016</v>
      </c>
      <c r="D109" s="17">
        <v>0</v>
      </c>
      <c r="E109" s="17" t="s">
        <v>4057</v>
      </c>
      <c r="F109" s="17" t="s">
        <v>3789</v>
      </c>
      <c r="G109" s="17" t="s">
        <v>3853</v>
      </c>
      <c r="H109" s="87">
        <v>4414</v>
      </c>
      <c r="I109" s="22">
        <v>4433</v>
      </c>
      <c r="J109" s="22">
        <v>4449</v>
      </c>
      <c r="K109" s="24">
        <v>1</v>
      </c>
      <c r="L109" s="30">
        <v>4442</v>
      </c>
      <c r="M109" s="22">
        <v>4462</v>
      </c>
      <c r="N109" s="29">
        <v>4462</v>
      </c>
      <c r="O109" s="17" t="s">
        <v>3790</v>
      </c>
      <c r="P109" s="194" t="str">
        <f t="shared" si="30"/>
        <v>1</v>
      </c>
      <c r="Q109" s="103">
        <v>1</v>
      </c>
      <c r="R109" s="39" t="str">
        <f t="shared" si="39"/>
        <v>-</v>
      </c>
      <c r="S109" s="120">
        <f t="shared" si="3"/>
        <v>944381</v>
      </c>
      <c r="T109" s="127">
        <v>3308462</v>
      </c>
      <c r="U109" s="127">
        <f>1759133+16968+39584+75958</f>
        <v>1891643</v>
      </c>
      <c r="V109" s="127">
        <f t="shared" si="41"/>
        <v>1416819</v>
      </c>
      <c r="W109" s="122" t="str">
        <f t="shared" si="34"/>
        <v>1</v>
      </c>
      <c r="X109" s="127">
        <f>14122+81667+99186+345000+17592+32195+426047+944937+391567+11768</f>
        <v>2364081</v>
      </c>
      <c r="Y109" s="127">
        <f>944937+391567+11768+17592</f>
        <v>1365864</v>
      </c>
      <c r="Z109" s="127">
        <f t="shared" si="42"/>
        <v>998217</v>
      </c>
      <c r="AA109" s="122" t="str">
        <f t="shared" si="35"/>
        <v>1</v>
      </c>
      <c r="AB109" s="120">
        <f t="shared" si="4"/>
        <v>17592</v>
      </c>
      <c r="AC109" s="127">
        <v>0</v>
      </c>
      <c r="AD109" s="127">
        <v>17592</v>
      </c>
      <c r="AE109" s="127">
        <v>130874</v>
      </c>
      <c r="AF109" s="143"/>
      <c r="AG109" s="149">
        <f t="shared" si="40"/>
        <v>884543</v>
      </c>
      <c r="AH109" s="127">
        <f>1141873+17938-25349</f>
        <v>1134462</v>
      </c>
      <c r="AI109" s="127"/>
      <c r="AJ109" s="127">
        <v>104490</v>
      </c>
      <c r="AK109" s="127"/>
      <c r="AL109" s="127">
        <v>249919</v>
      </c>
      <c r="AM109" s="127">
        <v>2427554</v>
      </c>
      <c r="AN109" s="127">
        <v>2264053</v>
      </c>
      <c r="AO109" s="127"/>
    </row>
    <row r="110" spans="1:41" s="123" customFormat="1" ht="16.2" thickBot="1" x14ac:dyDescent="0.35">
      <c r="A110" s="41">
        <v>16.399999999999999</v>
      </c>
      <c r="B110" s="211" t="s">
        <v>60</v>
      </c>
      <c r="C110" s="31" t="str">
        <f>VLOOKUP((CONCATENATE(B110)),ID!$A$2:$D$305,3,0)</f>
        <v>RL016</v>
      </c>
      <c r="D110" s="17">
        <v>0</v>
      </c>
      <c r="E110" s="17" t="s">
        <v>4057</v>
      </c>
      <c r="F110" s="17" t="s">
        <v>3789</v>
      </c>
      <c r="G110" s="17" t="s">
        <v>3853</v>
      </c>
      <c r="H110" s="87">
        <v>4596</v>
      </c>
      <c r="I110" s="22">
        <v>4615</v>
      </c>
      <c r="J110" s="22">
        <v>4631</v>
      </c>
      <c r="K110" s="24">
        <v>1</v>
      </c>
      <c r="L110" s="30">
        <v>4624</v>
      </c>
      <c r="M110" s="22">
        <v>4644</v>
      </c>
      <c r="N110" s="29">
        <v>4644</v>
      </c>
      <c r="O110" s="17" t="s">
        <v>3790</v>
      </c>
      <c r="P110" s="194" t="str">
        <f t="shared" si="30"/>
        <v>1</v>
      </c>
      <c r="Q110" s="103">
        <v>1</v>
      </c>
      <c r="R110" s="39" t="str">
        <f t="shared" si="39"/>
        <v>-</v>
      </c>
      <c r="S110" s="120">
        <f t="shared" si="3"/>
        <v>886705</v>
      </c>
      <c r="T110" s="127">
        <v>3308563</v>
      </c>
      <c r="U110" s="127">
        <f>1764286+17225+29584+65958</f>
        <v>1877053</v>
      </c>
      <c r="V110" s="127">
        <f t="shared" si="41"/>
        <v>1431510</v>
      </c>
      <c r="W110" s="122" t="str">
        <f t="shared" si="34"/>
        <v>1</v>
      </c>
      <c r="X110" s="127">
        <f>14362+92336+99385+330000+25218+57700+472076+918201+400085+12495</f>
        <v>2421858</v>
      </c>
      <c r="Y110" s="127">
        <f>918201+400085+12495+25218</f>
        <v>1355999</v>
      </c>
      <c r="Z110" s="127">
        <f t="shared" si="42"/>
        <v>1065859</v>
      </c>
      <c r="AA110" s="122" t="str">
        <f t="shared" si="35"/>
        <v>1</v>
      </c>
      <c r="AB110" s="120">
        <f t="shared" si="4"/>
        <v>25218</v>
      </c>
      <c r="AC110" s="127">
        <v>0</v>
      </c>
      <c r="AD110" s="127">
        <v>25218</v>
      </c>
      <c r="AE110" s="127">
        <v>180715</v>
      </c>
      <c r="AF110" s="143"/>
      <c r="AG110" s="149">
        <f t="shared" si="40"/>
        <v>744335</v>
      </c>
      <c r="AH110" s="127">
        <f>1005260+17523-25341</f>
        <v>997442</v>
      </c>
      <c r="AI110" s="127"/>
      <c r="AJ110" s="127">
        <v>104490</v>
      </c>
      <c r="AK110" s="127"/>
      <c r="AL110" s="127">
        <v>253107</v>
      </c>
      <c r="AM110" s="127">
        <v>2260451</v>
      </c>
      <c r="AN110" s="127">
        <v>2122462</v>
      </c>
      <c r="AO110" s="127"/>
    </row>
    <row r="111" spans="1:41" s="123" customFormat="1" ht="16.2" thickBot="1" x14ac:dyDescent="0.35">
      <c r="A111" s="31"/>
      <c r="B111" s="211" t="s">
        <v>60</v>
      </c>
      <c r="C111" s="31" t="str">
        <f>VLOOKUP((CONCATENATE(B111)),ID!$A$2:$D$305,3,0)</f>
        <v>RL016</v>
      </c>
      <c r="D111" s="17">
        <v>0</v>
      </c>
      <c r="E111" s="17" t="s">
        <v>4057</v>
      </c>
      <c r="F111" s="17" t="s">
        <v>3789</v>
      </c>
      <c r="G111" s="17" t="s">
        <v>3853</v>
      </c>
      <c r="H111" s="87">
        <v>4749</v>
      </c>
      <c r="I111" s="22">
        <v>4769</v>
      </c>
      <c r="J111" s="22">
        <v>4786</v>
      </c>
      <c r="K111" s="24">
        <v>1</v>
      </c>
      <c r="L111" s="30">
        <v>4778</v>
      </c>
      <c r="M111" s="22">
        <v>4798</v>
      </c>
      <c r="N111" s="29">
        <v>4798</v>
      </c>
      <c r="O111" s="17" t="s">
        <v>3790</v>
      </c>
      <c r="P111" s="194" t="str">
        <f t="shared" si="30"/>
        <v>1</v>
      </c>
      <c r="Q111" s="103">
        <v>1</v>
      </c>
      <c r="R111" s="39" t="str">
        <f t="shared" si="39"/>
        <v>-</v>
      </c>
      <c r="S111" s="120">
        <f t="shared" si="3"/>
        <v>836566</v>
      </c>
      <c r="T111" s="127">
        <v>3293350</v>
      </c>
      <c r="U111" s="127">
        <f>1792345+17225+21084+57458</f>
        <v>1888112</v>
      </c>
      <c r="V111" s="127">
        <f>T111-U111</f>
        <v>1405238</v>
      </c>
      <c r="W111" s="122" t="str">
        <f t="shared" si="34"/>
        <v>1</v>
      </c>
      <c r="X111" s="127">
        <f>Y111+17236+61558+62902+330000+46816+542956</f>
        <v>2456784</v>
      </c>
      <c r="Y111" s="127">
        <f>AD111+947847+412465+12293</f>
        <v>1395316</v>
      </c>
      <c r="Z111" s="127">
        <f t="shared" si="42"/>
        <v>1061468</v>
      </c>
      <c r="AA111" s="122" t="str">
        <f t="shared" si="35"/>
        <v>1</v>
      </c>
      <c r="AB111" s="120">
        <f t="shared" si="4"/>
        <v>352711</v>
      </c>
      <c r="AC111" s="127">
        <v>330000</v>
      </c>
      <c r="AD111" s="127">
        <f>22711</f>
        <v>22711</v>
      </c>
      <c r="AE111" s="127">
        <v>115596</v>
      </c>
      <c r="AF111" s="143"/>
      <c r="AG111" s="149">
        <f t="shared" si="40"/>
        <v>735912</v>
      </c>
      <c r="AH111" s="127">
        <f>955896-7397</f>
        <v>948499</v>
      </c>
      <c r="AI111" s="127"/>
      <c r="AJ111" s="127">
        <v>87217</v>
      </c>
      <c r="AK111" s="127"/>
      <c r="AL111" s="127">
        <v>212587</v>
      </c>
      <c r="AM111" s="127">
        <v>2139640</v>
      </c>
      <c r="AN111" s="127">
        <v>1994231</v>
      </c>
      <c r="AO111" s="127"/>
    </row>
    <row r="112" spans="1:41" s="123" customFormat="1" ht="16.2" thickBot="1" x14ac:dyDescent="0.35">
      <c r="A112" s="31"/>
      <c r="B112" s="211" t="s">
        <v>60</v>
      </c>
      <c r="C112" s="31" t="str">
        <f>VLOOKUP((CONCATENATE(B112)),ID!$A$2:$D$305,3,0)</f>
        <v>RL016</v>
      </c>
      <c r="D112" s="17">
        <v>1</v>
      </c>
      <c r="E112" s="17" t="s">
        <v>4057</v>
      </c>
      <c r="F112" s="17" t="s">
        <v>3789</v>
      </c>
      <c r="G112" s="17" t="s">
        <v>3853</v>
      </c>
      <c r="H112" s="87">
        <v>5114</v>
      </c>
      <c r="I112" s="22">
        <v>5134</v>
      </c>
      <c r="J112" s="22">
        <v>5157</v>
      </c>
      <c r="K112" s="24">
        <v>1</v>
      </c>
      <c r="L112" s="30">
        <v>5149</v>
      </c>
      <c r="M112" s="22">
        <v>5169</v>
      </c>
      <c r="N112" s="22">
        <v>5169</v>
      </c>
      <c r="O112" s="17" t="s">
        <v>3790</v>
      </c>
      <c r="P112" s="194" t="str">
        <f t="shared" si="30"/>
        <v>1</v>
      </c>
      <c r="Q112" s="103">
        <v>1</v>
      </c>
      <c r="R112" s="39" t="str">
        <f t="shared" si="39"/>
        <v>-</v>
      </c>
      <c r="S112" s="120">
        <f t="shared" si="3"/>
        <v>302395</v>
      </c>
      <c r="T112" s="127">
        <v>3368945</v>
      </c>
      <c r="U112" s="127">
        <f>1954036+72352+117244+121874</f>
        <v>2265506</v>
      </c>
      <c r="V112" s="127">
        <f>T112-U112</f>
        <v>1103439</v>
      </c>
      <c r="W112" s="122" t="str">
        <f t="shared" si="34"/>
        <v>1</v>
      </c>
      <c r="X112" s="127">
        <f>T112-115313-62896-15961-13605-44620-50000</f>
        <v>3066550</v>
      </c>
      <c r="Y112" s="127">
        <f>430105+955996+18140</f>
        <v>1404241</v>
      </c>
      <c r="Z112" s="127">
        <f>X112-Y112</f>
        <v>1662309</v>
      </c>
      <c r="AA112" s="122" t="str">
        <f t="shared" si="35"/>
        <v>1</v>
      </c>
      <c r="AB112" s="120">
        <f t="shared" si="4"/>
        <v>18140</v>
      </c>
      <c r="AC112" s="127">
        <v>0</v>
      </c>
      <c r="AD112" s="127">
        <v>18140</v>
      </c>
      <c r="AE112" s="127">
        <v>38270</v>
      </c>
      <c r="AF112" s="143"/>
      <c r="AG112" s="149">
        <f>AH112-AJ112-AL112</f>
        <v>658009</v>
      </c>
      <c r="AH112" s="127">
        <f>2344426-10385</f>
        <v>2334041</v>
      </c>
      <c r="AI112" s="127"/>
      <c r="AJ112" s="127">
        <v>772882</v>
      </c>
      <c r="AK112" s="127"/>
      <c r="AL112" s="127">
        <v>903150</v>
      </c>
      <c r="AM112" s="127">
        <v>5129155</v>
      </c>
      <c r="AN112" s="127">
        <v>2094439</v>
      </c>
      <c r="AO112" s="127"/>
    </row>
    <row r="113" spans="1:41" s="123" customFormat="1" ht="16.2" thickBot="1" x14ac:dyDescent="0.35">
      <c r="A113" s="31"/>
      <c r="B113" s="211" t="s">
        <v>62</v>
      </c>
      <c r="C113" s="31" t="str">
        <f>VLOOKUP((CONCATENATE(B113)),ID!$A$2:$D$305,3,0)</f>
        <v>RL017</v>
      </c>
      <c r="D113" s="17">
        <v>0</v>
      </c>
      <c r="E113" s="17" t="s">
        <v>4057</v>
      </c>
      <c r="F113" s="17" t="s">
        <v>1117</v>
      </c>
      <c r="G113" s="17" t="s">
        <v>3853</v>
      </c>
      <c r="H113" s="87">
        <v>3653</v>
      </c>
      <c r="I113" s="22">
        <v>3678</v>
      </c>
      <c r="J113" s="22">
        <v>3700</v>
      </c>
      <c r="K113" s="24">
        <v>1</v>
      </c>
      <c r="L113" s="30">
        <v>3696</v>
      </c>
      <c r="M113" s="30">
        <v>3709</v>
      </c>
      <c r="N113" s="30">
        <v>3709</v>
      </c>
      <c r="O113" s="17" t="s">
        <v>3791</v>
      </c>
      <c r="P113" s="194">
        <v>1</v>
      </c>
      <c r="Q113" s="103">
        <v>1</v>
      </c>
      <c r="R113" s="39" t="str">
        <f t="shared" si="39"/>
        <v>-</v>
      </c>
      <c r="S113" s="120">
        <f t="shared" si="3"/>
        <v>13147</v>
      </c>
      <c r="T113" s="127">
        <v>132263</v>
      </c>
      <c r="U113" s="127">
        <v>0</v>
      </c>
      <c r="V113" s="127">
        <f>T113-U113</f>
        <v>132263</v>
      </c>
      <c r="W113" s="122" t="str">
        <f t="shared" si="34"/>
        <v>1</v>
      </c>
      <c r="X113" s="127">
        <f>29647+987+28000+55318+3991+1173</f>
        <v>119116</v>
      </c>
      <c r="Y113" s="127">
        <f>1173+987</f>
        <v>2160</v>
      </c>
      <c r="Z113" s="127">
        <f>X113-Y113</f>
        <v>116956</v>
      </c>
      <c r="AA113" s="122" t="str">
        <f t="shared" si="35"/>
        <v>1</v>
      </c>
      <c r="AB113" s="120">
        <f t="shared" si="4"/>
        <v>987</v>
      </c>
      <c r="AC113" s="123">
        <v>0</v>
      </c>
      <c r="AD113" s="127">
        <v>987</v>
      </c>
      <c r="AE113" s="127">
        <v>12790</v>
      </c>
      <c r="AF113" s="143"/>
      <c r="AG113" s="149">
        <f t="shared" ref="AG113:AG132" si="43">AH113-AL113</f>
        <v>6133</v>
      </c>
      <c r="AH113" s="127">
        <f>72707-907-10000</f>
        <v>61800</v>
      </c>
      <c r="AI113" s="127"/>
      <c r="AJ113" s="127"/>
      <c r="AK113" s="127"/>
      <c r="AL113" s="127">
        <f>56574-907</f>
        <v>55667</v>
      </c>
      <c r="AM113" s="127">
        <v>182423</v>
      </c>
      <c r="AN113" s="127">
        <v>177591</v>
      </c>
      <c r="AO113" s="127"/>
    </row>
    <row r="114" spans="1:41" s="123" customFormat="1" ht="16.2" thickBot="1" x14ac:dyDescent="0.35">
      <c r="A114" s="31"/>
      <c r="B114" s="211" t="s">
        <v>62</v>
      </c>
      <c r="C114" s="31" t="str">
        <f>VLOOKUP((CONCATENATE(B114)),ID!$A$2:$D$305,3,0)</f>
        <v>RL017</v>
      </c>
      <c r="D114" s="17">
        <v>0</v>
      </c>
      <c r="E114" s="17" t="s">
        <v>4057</v>
      </c>
      <c r="F114" s="17" t="s">
        <v>1117</v>
      </c>
      <c r="G114" s="17" t="s">
        <v>3853</v>
      </c>
      <c r="H114" s="87">
        <v>3834</v>
      </c>
      <c r="I114" s="22">
        <v>3846</v>
      </c>
      <c r="J114" s="22">
        <v>3859</v>
      </c>
      <c r="K114" s="24">
        <v>1</v>
      </c>
      <c r="L114" s="30">
        <v>3862</v>
      </c>
      <c r="M114" s="22">
        <v>3875</v>
      </c>
      <c r="N114" s="29">
        <v>3875</v>
      </c>
      <c r="O114" s="17" t="s">
        <v>3791</v>
      </c>
      <c r="P114" s="194">
        <v>1</v>
      </c>
      <c r="Q114" s="103">
        <v>1</v>
      </c>
      <c r="R114" s="39" t="str">
        <f t="shared" si="39"/>
        <v>-</v>
      </c>
      <c r="S114" s="120">
        <f t="shared" si="3"/>
        <v>11529</v>
      </c>
      <c r="T114" s="127">
        <v>144708</v>
      </c>
      <c r="U114" s="127">
        <v>1313</v>
      </c>
      <c r="V114" s="127">
        <f>T114-U114</f>
        <v>143395</v>
      </c>
      <c r="W114" s="122" t="str">
        <f t="shared" si="34"/>
        <v>1</v>
      </c>
      <c r="X114" s="127">
        <f>T114-2398-340-3457-5334</f>
        <v>133179</v>
      </c>
      <c r="Y114" s="127">
        <f>1531+1140</f>
        <v>2671</v>
      </c>
      <c r="Z114" s="127">
        <f>X114-Y114</f>
        <v>130508</v>
      </c>
      <c r="AA114" s="122" t="str">
        <f t="shared" si="35"/>
        <v>1</v>
      </c>
      <c r="AB114" s="120">
        <f t="shared" si="4"/>
        <v>1140</v>
      </c>
      <c r="AC114" s="123">
        <v>0</v>
      </c>
      <c r="AD114" s="127">
        <v>1140</v>
      </c>
      <c r="AE114" s="127">
        <v>1313</v>
      </c>
      <c r="AF114" s="143"/>
      <c r="AG114" s="149">
        <f t="shared" si="43"/>
        <v>-1087</v>
      </c>
      <c r="AH114" s="127">
        <f>53224-902</f>
        <v>52322</v>
      </c>
      <c r="AI114" s="127"/>
      <c r="AJ114" s="127"/>
      <c r="AK114" s="127"/>
      <c r="AL114" s="127">
        <f>54311-902</f>
        <v>53409</v>
      </c>
      <c r="AM114" s="127">
        <v>140731</v>
      </c>
      <c r="AN114" s="127">
        <v>137584</v>
      </c>
      <c r="AO114" s="127"/>
    </row>
    <row r="115" spans="1:41" s="123" customFormat="1" ht="16.2" thickBot="1" x14ac:dyDescent="0.35">
      <c r="A115" s="21">
        <v>17.100000000000001</v>
      </c>
      <c r="B115" s="212" t="s">
        <v>62</v>
      </c>
      <c r="C115" s="31" t="str">
        <f>VLOOKUP((CONCATENATE(B115)),ID!$A$2:$D$305,3,0)</f>
        <v>RL017</v>
      </c>
      <c r="D115" s="21">
        <v>0</v>
      </c>
      <c r="E115" s="21" t="s">
        <v>4057</v>
      </c>
      <c r="F115" s="21" t="s">
        <v>1117</v>
      </c>
      <c r="G115" s="21" t="s">
        <v>3853</v>
      </c>
      <c r="H115" s="88">
        <v>4018</v>
      </c>
      <c r="I115" s="22">
        <v>4042</v>
      </c>
      <c r="J115" s="22">
        <v>4064</v>
      </c>
      <c r="K115" s="24">
        <v>1</v>
      </c>
      <c r="L115" s="30">
        <v>4060</v>
      </c>
      <c r="M115" s="22">
        <v>4073</v>
      </c>
      <c r="N115" s="29">
        <v>4073</v>
      </c>
      <c r="O115" s="17" t="s">
        <v>3791</v>
      </c>
      <c r="P115" s="194">
        <v>1</v>
      </c>
      <c r="Q115" s="103">
        <v>1</v>
      </c>
      <c r="R115" s="39" t="str">
        <f t="shared" si="39"/>
        <v>-</v>
      </c>
      <c r="S115" s="120">
        <f t="shared" si="3"/>
        <v>13109</v>
      </c>
      <c r="T115" s="127">
        <v>143279</v>
      </c>
      <c r="U115" s="127">
        <f>1381</f>
        <v>1381</v>
      </c>
      <c r="V115" s="127">
        <f t="shared" si="41"/>
        <v>141898</v>
      </c>
      <c r="W115" s="122" t="str">
        <f t="shared" si="34"/>
        <v>1</v>
      </c>
      <c r="X115" s="128">
        <f>4003+64990+20000+1171+38322+1684</f>
        <v>130170</v>
      </c>
      <c r="Y115" s="128">
        <f>1684+1171</f>
        <v>2855</v>
      </c>
      <c r="Z115" s="128">
        <f t="shared" si="42"/>
        <v>127315</v>
      </c>
      <c r="AA115" s="122" t="str">
        <f t="shared" si="35"/>
        <v>1</v>
      </c>
      <c r="AB115" s="120">
        <f t="shared" si="4"/>
        <v>1171</v>
      </c>
      <c r="AC115" s="128">
        <v>0</v>
      </c>
      <c r="AD115" s="127">
        <v>1171</v>
      </c>
      <c r="AE115" s="127">
        <v>13302</v>
      </c>
      <c r="AF115" s="143"/>
      <c r="AG115" s="177">
        <f t="shared" si="43"/>
        <v>1541</v>
      </c>
      <c r="AH115" s="127">
        <f>74786-851-7000</f>
        <v>66935</v>
      </c>
      <c r="AI115" s="127"/>
      <c r="AJ115" s="127"/>
      <c r="AK115" s="127"/>
      <c r="AL115" s="127">
        <f>27646+16716+8000+12689+343</f>
        <v>65394</v>
      </c>
      <c r="AM115" s="127">
        <v>187722</v>
      </c>
      <c r="AN115" s="127">
        <v>183126</v>
      </c>
      <c r="AO115" s="127"/>
    </row>
    <row r="116" spans="1:41" s="123" customFormat="1" ht="16.2" thickBot="1" x14ac:dyDescent="0.35">
      <c r="A116" s="41">
        <v>17.2</v>
      </c>
      <c r="B116" s="211" t="s">
        <v>62</v>
      </c>
      <c r="C116" s="31" t="str">
        <f>VLOOKUP((CONCATENATE(B116)),ID!$A$2:$D$305,3,0)</f>
        <v>RL017</v>
      </c>
      <c r="D116" s="17">
        <v>0</v>
      </c>
      <c r="E116" s="17" t="s">
        <v>4057</v>
      </c>
      <c r="F116" s="17" t="s">
        <v>1117</v>
      </c>
      <c r="G116" s="17" t="s">
        <v>3853</v>
      </c>
      <c r="H116" s="87">
        <v>4199</v>
      </c>
      <c r="I116" s="22">
        <v>4210</v>
      </c>
      <c r="J116" s="22">
        <v>4227</v>
      </c>
      <c r="K116" s="24">
        <v>1</v>
      </c>
      <c r="L116" s="30">
        <v>4228</v>
      </c>
      <c r="M116" s="22">
        <v>4241</v>
      </c>
      <c r="N116" s="29">
        <v>4241</v>
      </c>
      <c r="O116" s="17" t="s">
        <v>3791</v>
      </c>
      <c r="P116" s="194">
        <v>1</v>
      </c>
      <c r="Q116" s="103">
        <v>1</v>
      </c>
      <c r="R116" s="39" t="str">
        <f t="shared" si="39"/>
        <v>-</v>
      </c>
      <c r="S116" s="120">
        <f t="shared" si="3"/>
        <v>29825</v>
      </c>
      <c r="T116" s="127">
        <v>143266</v>
      </c>
      <c r="U116" s="127">
        <v>0</v>
      </c>
      <c r="V116" s="127">
        <f t="shared" si="41"/>
        <v>143266</v>
      </c>
      <c r="W116" s="122" t="str">
        <f t="shared" si="34"/>
        <v>1</v>
      </c>
      <c r="X116" s="128">
        <f>3984+53404+25000+925+28355+1773</f>
        <v>113441</v>
      </c>
      <c r="Y116" s="128">
        <f>1773+925</f>
        <v>2698</v>
      </c>
      <c r="Z116" s="128">
        <f t="shared" si="42"/>
        <v>110743</v>
      </c>
      <c r="AA116" s="122" t="str">
        <f t="shared" si="35"/>
        <v>1</v>
      </c>
      <c r="AB116" s="120">
        <f t="shared" si="4"/>
        <v>925</v>
      </c>
      <c r="AC116" s="127">
        <v>0</v>
      </c>
      <c r="AD116" s="127">
        <v>925</v>
      </c>
      <c r="AE116" s="127">
        <v>9449</v>
      </c>
      <c r="AF116" s="143"/>
      <c r="AG116" s="149">
        <f t="shared" si="43"/>
        <v>-687</v>
      </c>
      <c r="AH116" s="127">
        <f>53610-851</f>
        <v>52759</v>
      </c>
      <c r="AI116" s="127"/>
      <c r="AJ116" s="127"/>
      <c r="AK116" s="127"/>
      <c r="AL116" s="127">
        <f>27750+17116+8000+580</f>
        <v>53446</v>
      </c>
      <c r="AM116" s="127">
        <v>142164</v>
      </c>
      <c r="AN116" s="127">
        <v>139150</v>
      </c>
      <c r="AO116" s="127"/>
    </row>
    <row r="117" spans="1:41" s="123" customFormat="1" ht="16.2" thickBot="1" x14ac:dyDescent="0.35">
      <c r="A117" s="41">
        <v>17.3</v>
      </c>
      <c r="B117" s="211" t="s">
        <v>62</v>
      </c>
      <c r="C117" s="31" t="str">
        <f>VLOOKUP((CONCATENATE(B117)),ID!$A$2:$D$305,3,0)</f>
        <v>RL017</v>
      </c>
      <c r="D117" s="17">
        <v>0</v>
      </c>
      <c r="E117" s="17" t="s">
        <v>4057</v>
      </c>
      <c r="F117" s="17" t="s">
        <v>1117</v>
      </c>
      <c r="G117" s="17" t="s">
        <v>3853</v>
      </c>
      <c r="H117" s="87">
        <v>4383</v>
      </c>
      <c r="I117" s="22">
        <v>4413</v>
      </c>
      <c r="J117" s="22">
        <v>4428</v>
      </c>
      <c r="K117" s="24">
        <v>1</v>
      </c>
      <c r="L117" s="30">
        <v>4430</v>
      </c>
      <c r="M117" s="22">
        <v>4443</v>
      </c>
      <c r="N117" s="29">
        <v>4443</v>
      </c>
      <c r="O117" s="17" t="s">
        <v>3791</v>
      </c>
      <c r="P117" s="194">
        <v>1</v>
      </c>
      <c r="Q117" s="103">
        <v>1</v>
      </c>
      <c r="R117" s="39" t="str">
        <f t="shared" si="39"/>
        <v>-</v>
      </c>
      <c r="S117" s="120">
        <f t="shared" si="3"/>
        <v>29147</v>
      </c>
      <c r="T117" s="127">
        <v>141522</v>
      </c>
      <c r="U117" s="127">
        <v>0</v>
      </c>
      <c r="V117" s="127">
        <f t="shared" si="41"/>
        <v>141522</v>
      </c>
      <c r="W117" s="122" t="str">
        <f t="shared" si="34"/>
        <v>1</v>
      </c>
      <c r="X117" s="127">
        <f>4149+65493+1793+39179+1761</f>
        <v>112375</v>
      </c>
      <c r="Y117" s="127">
        <f>1761+1793</f>
        <v>3554</v>
      </c>
      <c r="Z117" s="127">
        <f t="shared" si="42"/>
        <v>108821</v>
      </c>
      <c r="AA117" s="122" t="str">
        <f t="shared" si="35"/>
        <v>1</v>
      </c>
      <c r="AB117" s="120">
        <f t="shared" si="4"/>
        <v>1793</v>
      </c>
      <c r="AC117" s="127">
        <v>0</v>
      </c>
      <c r="AD117" s="127">
        <v>1793</v>
      </c>
      <c r="AE117" s="127">
        <v>14140</v>
      </c>
      <c r="AF117" s="143"/>
      <c r="AG117" s="149">
        <f t="shared" si="43"/>
        <v>866</v>
      </c>
      <c r="AH117" s="127">
        <f>74088+184-851-7000</f>
        <v>66421</v>
      </c>
      <c r="AI117" s="127"/>
      <c r="AJ117" s="127"/>
      <c r="AK117" s="127"/>
      <c r="AL117" s="127">
        <f>27750+17116+8000+12689</f>
        <v>65555</v>
      </c>
      <c r="AM117" s="127">
        <v>189612</v>
      </c>
      <c r="AN117" s="127">
        <f>AM117-4206-143</f>
        <v>185263</v>
      </c>
      <c r="AO117" s="127"/>
    </row>
    <row r="118" spans="1:41" s="123" customFormat="1" ht="16.2" thickBot="1" x14ac:dyDescent="0.35">
      <c r="A118" s="41">
        <v>17.399999999999999</v>
      </c>
      <c r="B118" s="211" t="s">
        <v>62</v>
      </c>
      <c r="C118" s="31" t="str">
        <f>VLOOKUP((CONCATENATE(B118)),ID!$A$2:$D$305,3,0)</f>
        <v>RL017</v>
      </c>
      <c r="D118" s="17">
        <v>0</v>
      </c>
      <c r="E118" s="17" t="s">
        <v>4057</v>
      </c>
      <c r="F118" s="17" t="s">
        <v>1117</v>
      </c>
      <c r="G118" s="17" t="s">
        <v>3853</v>
      </c>
      <c r="H118" s="87">
        <v>4565</v>
      </c>
      <c r="I118" s="22">
        <v>4583</v>
      </c>
      <c r="J118" s="22">
        <v>4595</v>
      </c>
      <c r="K118" s="24">
        <v>1</v>
      </c>
      <c r="L118" s="30">
        <v>4591</v>
      </c>
      <c r="M118" s="22">
        <v>4604</v>
      </c>
      <c r="N118" s="29">
        <v>4604</v>
      </c>
      <c r="O118" s="17" t="s">
        <v>3791</v>
      </c>
      <c r="P118" s="194">
        <v>1</v>
      </c>
      <c r="Q118" s="103">
        <v>1</v>
      </c>
      <c r="R118" s="39" t="str">
        <f t="shared" si="39"/>
        <v>-</v>
      </c>
      <c r="S118" s="120">
        <f t="shared" si="3"/>
        <v>11849</v>
      </c>
      <c r="T118" s="127">
        <v>133698</v>
      </c>
      <c r="U118" s="127">
        <v>0</v>
      </c>
      <c r="V118" s="127">
        <f t="shared" si="41"/>
        <v>133698</v>
      </c>
      <c r="W118" s="122" t="str">
        <f t="shared" si="34"/>
        <v>1</v>
      </c>
      <c r="X118" s="127">
        <f>3976+53404+24000+1490+37064+1915</f>
        <v>121849</v>
      </c>
      <c r="Y118" s="127">
        <f>1490+1915</f>
        <v>3405</v>
      </c>
      <c r="Z118" s="127">
        <f t="shared" si="42"/>
        <v>118444</v>
      </c>
      <c r="AA118" s="122" t="str">
        <f t="shared" si="35"/>
        <v>1</v>
      </c>
      <c r="AB118" s="120">
        <f t="shared" si="4"/>
        <v>1490</v>
      </c>
      <c r="AC118" s="127">
        <v>0</v>
      </c>
      <c r="AD118" s="127">
        <v>1490</v>
      </c>
      <c r="AE118" s="127">
        <v>7540</v>
      </c>
      <c r="AF118" s="143"/>
      <c r="AG118" s="149">
        <f t="shared" si="43"/>
        <v>-5475</v>
      </c>
      <c r="AH118" s="127">
        <f>48768-851</f>
        <v>47917</v>
      </c>
      <c r="AI118" s="127"/>
      <c r="AJ118" s="127"/>
      <c r="AK118" s="127"/>
      <c r="AL118" s="127">
        <f>54243-851</f>
        <v>53392</v>
      </c>
      <c r="AM118" s="127">
        <v>135928</v>
      </c>
      <c r="AN118" s="127">
        <f>AM118-3058-39-465</f>
        <v>132366</v>
      </c>
      <c r="AO118" s="127"/>
    </row>
    <row r="119" spans="1:41" s="123" customFormat="1" ht="16.2" thickBot="1" x14ac:dyDescent="0.35">
      <c r="A119" s="42"/>
      <c r="B119" s="211" t="s">
        <v>62</v>
      </c>
      <c r="C119" s="31" t="str">
        <f>VLOOKUP((CONCATENATE(B119)),ID!$A$2:$D$305,3,0)</f>
        <v>RL017</v>
      </c>
      <c r="D119" s="17">
        <v>0</v>
      </c>
      <c r="E119" s="17" t="s">
        <v>4057</v>
      </c>
      <c r="F119" s="17" t="s">
        <v>1117</v>
      </c>
      <c r="G119" s="17" t="s">
        <v>3853</v>
      </c>
      <c r="H119" s="88">
        <v>4749</v>
      </c>
      <c r="I119" s="44">
        <v>4777</v>
      </c>
      <c r="J119" s="44">
        <v>4794</v>
      </c>
      <c r="K119" s="26">
        <v>1</v>
      </c>
      <c r="L119" s="46">
        <v>4795</v>
      </c>
      <c r="M119" s="44">
        <v>4808</v>
      </c>
      <c r="N119" s="44">
        <v>4808</v>
      </c>
      <c r="O119" s="17" t="s">
        <v>3791</v>
      </c>
      <c r="P119" s="194">
        <v>1</v>
      </c>
      <c r="Q119" s="103">
        <v>1</v>
      </c>
      <c r="R119" s="39" t="str">
        <f t="shared" si="39"/>
        <v>-</v>
      </c>
      <c r="S119" s="120">
        <f t="shared" si="3"/>
        <v>16122</v>
      </c>
      <c r="T119" s="131">
        <v>129292</v>
      </c>
      <c r="U119" s="131">
        <v>0</v>
      </c>
      <c r="V119" s="131">
        <f t="shared" si="41"/>
        <v>129292</v>
      </c>
      <c r="W119" s="122" t="str">
        <f t="shared" si="34"/>
        <v>1</v>
      </c>
      <c r="X119" s="131">
        <f>T119-942-7079-5250-453-2398</f>
        <v>113170</v>
      </c>
      <c r="Y119" s="131">
        <f>1670+2059</f>
        <v>3729</v>
      </c>
      <c r="Z119" s="127">
        <f t="shared" si="42"/>
        <v>109441</v>
      </c>
      <c r="AA119" s="122" t="str">
        <f t="shared" si="35"/>
        <v>1</v>
      </c>
      <c r="AB119" s="120">
        <f t="shared" si="4"/>
        <v>2059</v>
      </c>
      <c r="AC119" s="131">
        <v>0</v>
      </c>
      <c r="AD119" s="127">
        <v>2059</v>
      </c>
      <c r="AE119" s="131">
        <v>6536</v>
      </c>
      <c r="AF119" s="144"/>
      <c r="AG119" s="150">
        <f t="shared" si="43"/>
        <v>5508</v>
      </c>
      <c r="AH119" s="131">
        <f>76194+184-7000-845</f>
        <v>68533</v>
      </c>
      <c r="AI119" s="131"/>
      <c r="AJ119" s="131"/>
      <c r="AK119" s="131"/>
      <c r="AL119" s="131">
        <f>70870-7000-845</f>
        <v>63025</v>
      </c>
      <c r="AM119" s="131">
        <v>193079</v>
      </c>
      <c r="AN119" s="131">
        <v>188992</v>
      </c>
      <c r="AO119" s="167"/>
    </row>
    <row r="120" spans="1:41" s="123" customFormat="1" ht="16.2" thickBot="1" x14ac:dyDescent="0.35">
      <c r="A120" s="42"/>
      <c r="B120" s="211" t="s">
        <v>62</v>
      </c>
      <c r="C120" s="31" t="str">
        <f>VLOOKUP((CONCATENATE(B120)),ID!$A$2:$D$305,3,0)</f>
        <v>RL017</v>
      </c>
      <c r="D120" s="17">
        <v>1</v>
      </c>
      <c r="E120" s="17" t="s">
        <v>4057</v>
      </c>
      <c r="F120" s="17" t="s">
        <v>1117</v>
      </c>
      <c r="G120" s="17" t="s">
        <v>3853</v>
      </c>
      <c r="H120" s="87">
        <v>5114</v>
      </c>
      <c r="I120" s="44">
        <v>5141</v>
      </c>
      <c r="J120" s="44">
        <v>5158</v>
      </c>
      <c r="K120" s="26">
        <v>1</v>
      </c>
      <c r="L120" s="46">
        <v>5161</v>
      </c>
      <c r="M120" s="44">
        <v>5173</v>
      </c>
      <c r="N120" s="44">
        <v>5172</v>
      </c>
      <c r="O120" s="17" t="s">
        <v>3791</v>
      </c>
      <c r="P120" s="194">
        <v>1</v>
      </c>
      <c r="Q120" s="103">
        <v>1</v>
      </c>
      <c r="R120" s="39" t="str">
        <f t="shared" si="39"/>
        <v>-</v>
      </c>
      <c r="S120" s="120">
        <f t="shared" si="3"/>
        <v>31830</v>
      </c>
      <c r="T120" s="131">
        <v>143124</v>
      </c>
      <c r="U120" s="131">
        <v>1982</v>
      </c>
      <c r="V120" s="131">
        <f>T120-U120</f>
        <v>141142</v>
      </c>
      <c r="W120" s="122" t="str">
        <f t="shared" si="34"/>
        <v>1</v>
      </c>
      <c r="X120" s="131">
        <f>T120-8134-2439-4145-4398-12714</f>
        <v>111294</v>
      </c>
      <c r="Y120" s="131">
        <f>3186+1832</f>
        <v>5018</v>
      </c>
      <c r="Z120" s="127">
        <f t="shared" si="42"/>
        <v>106276</v>
      </c>
      <c r="AA120" s="122" t="str">
        <f t="shared" si="35"/>
        <v>1</v>
      </c>
      <c r="AB120" s="120">
        <f t="shared" si="4"/>
        <v>3186</v>
      </c>
      <c r="AC120" s="131">
        <v>0</v>
      </c>
      <c r="AD120" s="127">
        <v>3186</v>
      </c>
      <c r="AE120" s="131">
        <v>5568</v>
      </c>
      <c r="AF120" s="144"/>
      <c r="AG120" s="150">
        <f t="shared" si="43"/>
        <v>6999</v>
      </c>
      <c r="AH120" s="131">
        <f>141631-1062-1170</f>
        <v>139399</v>
      </c>
      <c r="AI120" s="131"/>
      <c r="AJ120" s="131"/>
      <c r="AK120" s="131"/>
      <c r="AL120" s="131">
        <v>132400</v>
      </c>
      <c r="AM120" s="131">
        <v>357817</v>
      </c>
      <c r="AN120" s="131">
        <v>198290</v>
      </c>
      <c r="AO120" s="167"/>
    </row>
    <row r="121" spans="1:41" s="123" customFormat="1" ht="16.2" thickBot="1" x14ac:dyDescent="0.35">
      <c r="A121" s="42"/>
      <c r="B121" s="216" t="s">
        <v>65</v>
      </c>
      <c r="C121" s="31" t="str">
        <f>VLOOKUP((CONCATENATE(B121)),ID!$A$2:$D$305,3,0)</f>
        <v>RL018</v>
      </c>
      <c r="D121" s="25">
        <v>1</v>
      </c>
      <c r="E121" s="25" t="s">
        <v>4057</v>
      </c>
      <c r="F121" s="25" t="s">
        <v>3793</v>
      </c>
      <c r="G121" s="25" t="s">
        <v>3792</v>
      </c>
      <c r="H121" s="94">
        <v>3834</v>
      </c>
      <c r="I121" s="44">
        <v>3873</v>
      </c>
      <c r="J121" s="44">
        <v>3881</v>
      </c>
      <c r="K121" s="26">
        <v>1</v>
      </c>
      <c r="L121" s="46">
        <v>3898</v>
      </c>
      <c r="M121" s="44">
        <v>3932</v>
      </c>
      <c r="N121" s="45">
        <v>3931</v>
      </c>
      <c r="O121" s="25" t="s">
        <v>3733</v>
      </c>
      <c r="P121" s="194" t="str">
        <f t="shared" si="30"/>
        <v>1</v>
      </c>
      <c r="Q121" s="105">
        <v>0</v>
      </c>
      <c r="R121" s="39" t="str">
        <f t="shared" si="39"/>
        <v>?</v>
      </c>
      <c r="S121" s="175"/>
      <c r="T121" s="178"/>
      <c r="U121" s="178"/>
      <c r="V121" s="178"/>
      <c r="W121" s="176" t="str">
        <f t="shared" si="34"/>
        <v>1</v>
      </c>
      <c r="X121" s="178"/>
      <c r="Y121" s="178"/>
      <c r="Z121" s="178"/>
      <c r="AA121" s="122"/>
      <c r="AB121" s="120"/>
      <c r="AC121" s="131"/>
      <c r="AD121" s="131"/>
      <c r="AE121" s="131"/>
      <c r="AF121" s="144"/>
      <c r="AG121" s="150">
        <f t="shared" si="43"/>
        <v>32654119.579999998</v>
      </c>
      <c r="AH121" s="131">
        <f>33839955.87</f>
        <v>33839955.869999997</v>
      </c>
      <c r="AI121" s="131"/>
      <c r="AJ121" s="131">
        <f>50000+86531+1104110</f>
        <v>1240641</v>
      </c>
      <c r="AK121" s="131"/>
      <c r="AL121" s="131">
        <f>2426477.29-AJ121</f>
        <v>1185836.29</v>
      </c>
      <c r="AM121" s="131">
        <v>94989490.329999998</v>
      </c>
      <c r="AN121" s="131"/>
      <c r="AO121" s="167"/>
    </row>
    <row r="122" spans="1:41" s="123" customFormat="1" ht="16.2" thickBot="1" x14ac:dyDescent="0.35">
      <c r="A122" s="42">
        <v>18.100000000000001</v>
      </c>
      <c r="B122" s="216" t="s">
        <v>65</v>
      </c>
      <c r="C122" s="31" t="str">
        <f>VLOOKUP((CONCATENATE(B122)),ID!$A$2:$D$305,3,0)</f>
        <v>RL018</v>
      </c>
      <c r="D122" s="25">
        <v>1</v>
      </c>
      <c r="E122" s="25" t="s">
        <v>4057</v>
      </c>
      <c r="F122" s="25" t="s">
        <v>3793</v>
      </c>
      <c r="G122" s="25" t="s">
        <v>3792</v>
      </c>
      <c r="H122" s="93">
        <v>4199</v>
      </c>
      <c r="I122" s="44">
        <v>4244</v>
      </c>
      <c r="J122" s="44">
        <v>4241</v>
      </c>
      <c r="K122" s="26">
        <v>1</v>
      </c>
      <c r="L122" s="46">
        <v>4262</v>
      </c>
      <c r="M122" s="44">
        <v>4296</v>
      </c>
      <c r="N122" s="45">
        <v>4295</v>
      </c>
      <c r="O122" s="25" t="s">
        <v>3733</v>
      </c>
      <c r="P122" s="194" t="str">
        <f t="shared" si="30"/>
        <v>1</v>
      </c>
      <c r="Q122" s="105">
        <v>0</v>
      </c>
      <c r="R122" s="39" t="s">
        <v>4074</v>
      </c>
      <c r="S122" s="120">
        <f t="shared" si="3"/>
        <v>361781153</v>
      </c>
      <c r="T122" s="131">
        <v>561887215</v>
      </c>
      <c r="U122" s="131">
        <f>343595230+19679673+75979653+6180692+10088734</f>
        <v>455523982</v>
      </c>
      <c r="V122" s="131">
        <f t="shared" si="41"/>
        <v>106363233</v>
      </c>
      <c r="W122" s="122" t="str">
        <f t="shared" si="34"/>
        <v>1</v>
      </c>
      <c r="X122" s="131">
        <f>142861462+38648633+17203651+1392316</f>
        <v>200106062</v>
      </c>
      <c r="Y122" s="131">
        <f>142861462+38648633</f>
        <v>181510095</v>
      </c>
      <c r="Z122" s="131">
        <f t="shared" si="42"/>
        <v>18595967</v>
      </c>
      <c r="AA122" s="122" t="str">
        <f t="shared" si="35"/>
        <v>1</v>
      </c>
      <c r="AB122" s="120">
        <f t="shared" si="4"/>
        <v>142861462</v>
      </c>
      <c r="AC122" s="131">
        <v>0</v>
      </c>
      <c r="AD122" s="131">
        <v>142861462</v>
      </c>
      <c r="AE122" s="131">
        <v>34371550</v>
      </c>
      <c r="AF122" s="144"/>
      <c r="AG122" s="150">
        <f t="shared" si="43"/>
        <v>26688758.560000002</v>
      </c>
      <c r="AH122" s="131">
        <f>36699830-10011071.44+AL122</f>
        <v>58296369.560000002</v>
      </c>
      <c r="AI122" s="131"/>
      <c r="AJ122" s="131">
        <f>10562333.33+4291533.31</f>
        <v>14853866.640000001</v>
      </c>
      <c r="AK122" s="131"/>
      <c r="AL122" s="131">
        <f>30490493+996530+120588</f>
        <v>31607611</v>
      </c>
      <c r="AM122" s="131">
        <v>104167808</v>
      </c>
      <c r="AN122" s="131"/>
    </row>
    <row r="123" spans="1:41" s="123" customFormat="1" ht="16.2" thickBot="1" x14ac:dyDescent="0.35">
      <c r="A123" s="27">
        <v>18.2</v>
      </c>
      <c r="B123" s="217" t="s">
        <v>65</v>
      </c>
      <c r="C123" s="31" t="str">
        <f>VLOOKUP((CONCATENATE(B123)),ID!$A$2:$D$305,3,0)</f>
        <v>RL018</v>
      </c>
      <c r="D123" s="27">
        <v>1</v>
      </c>
      <c r="E123" s="27" t="s">
        <v>4057</v>
      </c>
      <c r="F123" s="27" t="s">
        <v>3793</v>
      </c>
      <c r="G123" s="27" t="s">
        <v>3792</v>
      </c>
      <c r="H123" s="94">
        <v>4565</v>
      </c>
      <c r="I123" s="47">
        <v>4608</v>
      </c>
      <c r="J123" s="47">
        <v>4605</v>
      </c>
      <c r="K123" s="27">
        <v>1</v>
      </c>
      <c r="L123" s="47">
        <v>4627</v>
      </c>
      <c r="M123" s="48">
        <v>4660</v>
      </c>
      <c r="N123" s="47">
        <v>4659</v>
      </c>
      <c r="O123" s="27" t="s">
        <v>3733</v>
      </c>
      <c r="P123" s="194" t="str">
        <f t="shared" si="30"/>
        <v>1</v>
      </c>
      <c r="Q123" s="21">
        <v>0</v>
      </c>
      <c r="R123" s="39" t="s">
        <v>4074</v>
      </c>
      <c r="S123" s="120">
        <f t="shared" si="3"/>
        <v>409670169</v>
      </c>
      <c r="T123" s="123">
        <v>628119545</v>
      </c>
      <c r="U123" s="123">
        <f>382829051+21338974+10088734</f>
        <v>414256759</v>
      </c>
      <c r="V123" s="131">
        <f t="shared" si="41"/>
        <v>213862786</v>
      </c>
      <c r="W123" s="122" t="str">
        <f t="shared" si="34"/>
        <v>1</v>
      </c>
      <c r="X123" s="123">
        <f>153823706+38648633+23545335+1391702+1040000</f>
        <v>218449376</v>
      </c>
      <c r="Y123" s="123">
        <f>153823706+38648633</f>
        <v>192472339</v>
      </c>
      <c r="Z123" s="123">
        <f t="shared" si="42"/>
        <v>25977037</v>
      </c>
      <c r="AA123" s="122" t="str">
        <f t="shared" si="35"/>
        <v>1</v>
      </c>
      <c r="AB123" s="120">
        <f t="shared" si="4"/>
        <v>153823706</v>
      </c>
      <c r="AC123" s="123">
        <v>0</v>
      </c>
      <c r="AD123" s="131">
        <v>153823706</v>
      </c>
      <c r="AE123" s="123">
        <v>33628819</v>
      </c>
      <c r="AG123" s="151">
        <f t="shared" si="43"/>
        <v>32773305.829999998</v>
      </c>
      <c r="AH123" s="123">
        <f>43298242.83</f>
        <v>43298242.829999998</v>
      </c>
      <c r="AJ123" s="123">
        <f>10708333+4483901</f>
        <v>15192234</v>
      </c>
      <c r="AL123" s="123">
        <v>10524937</v>
      </c>
      <c r="AM123" s="123">
        <v>123319541</v>
      </c>
    </row>
    <row r="124" spans="1:41" s="123" customFormat="1" ht="16.2" thickBot="1" x14ac:dyDescent="0.35">
      <c r="A124" s="27"/>
      <c r="B124" s="216" t="s">
        <v>65</v>
      </c>
      <c r="C124" s="31" t="str">
        <f>VLOOKUP((CONCATENATE(B124)),ID!$A$2:$D$305,3,0)</f>
        <v>RL018</v>
      </c>
      <c r="D124" s="25">
        <v>1</v>
      </c>
      <c r="E124" s="25" t="s">
        <v>4057</v>
      </c>
      <c r="F124" s="25" t="s">
        <v>3793</v>
      </c>
      <c r="G124" s="25" t="s">
        <v>3792</v>
      </c>
      <c r="H124" s="93">
        <v>4930</v>
      </c>
      <c r="I124" s="47">
        <v>4972</v>
      </c>
      <c r="J124" s="47">
        <v>4969</v>
      </c>
      <c r="K124" s="27">
        <v>1</v>
      </c>
      <c r="L124" s="47">
        <v>4974</v>
      </c>
      <c r="M124" s="48">
        <v>5024</v>
      </c>
      <c r="N124" s="47">
        <v>5023</v>
      </c>
      <c r="O124" s="25" t="s">
        <v>3733</v>
      </c>
      <c r="P124" s="194" t="str">
        <f t="shared" si="30"/>
        <v>1</v>
      </c>
      <c r="Q124" s="21">
        <v>0</v>
      </c>
      <c r="R124" s="39" t="s">
        <v>4074</v>
      </c>
      <c r="S124" s="120">
        <f t="shared" si="3"/>
        <v>507683888</v>
      </c>
      <c r="T124" s="123">
        <v>720531465</v>
      </c>
      <c r="U124" s="123">
        <f>452320780+23049282+1008734</f>
        <v>476378796</v>
      </c>
      <c r="V124" s="131">
        <f t="shared" si="41"/>
        <v>244152669</v>
      </c>
      <c r="W124" s="122" t="str">
        <f t="shared" si="34"/>
        <v>1</v>
      </c>
      <c r="X124" s="123">
        <f>880000+1391801+30511302+3650000+13157250+163257224</f>
        <v>212847577</v>
      </c>
      <c r="Y124" s="123">
        <f>163257224.32+13157520+3650000</f>
        <v>180064744.31999999</v>
      </c>
      <c r="Z124" s="123">
        <f t="shared" si="42"/>
        <v>32782832.680000007</v>
      </c>
      <c r="AA124" s="122" t="str">
        <f t="shared" si="35"/>
        <v>1</v>
      </c>
      <c r="AB124" s="120">
        <f t="shared" si="4"/>
        <v>163257224</v>
      </c>
      <c r="AC124" s="123">
        <v>0</v>
      </c>
      <c r="AD124" s="123">
        <v>163257224</v>
      </c>
      <c r="AE124" s="123">
        <v>30274848</v>
      </c>
      <c r="AG124" s="151">
        <f t="shared" si="43"/>
        <v>82273473.679999992</v>
      </c>
      <c r="AH124" s="123">
        <f>93149825.83</f>
        <v>93149825.829999998</v>
      </c>
      <c r="AJ124" s="123">
        <f>-4986626.79+12193200.4</f>
        <v>7206573.6100000003</v>
      </c>
      <c r="AL124" s="123">
        <v>10876352.15</v>
      </c>
      <c r="AM124" s="123">
        <v>139395699</v>
      </c>
    </row>
    <row r="125" spans="1:41" s="123" customFormat="1" ht="16.2" thickBot="1" x14ac:dyDescent="0.35">
      <c r="A125" s="27"/>
      <c r="B125" s="218" t="s">
        <v>68</v>
      </c>
      <c r="C125" s="31" t="str">
        <f>VLOOKUP((CONCATENATE(B125)),ID!$A$2:$D$305,3,0)</f>
        <v>RL019</v>
      </c>
      <c r="D125" s="56">
        <v>0</v>
      </c>
      <c r="E125" s="56" t="s">
        <v>4057</v>
      </c>
      <c r="F125" s="56" t="s">
        <v>4062</v>
      </c>
      <c r="G125" s="56" t="s">
        <v>3853</v>
      </c>
      <c r="H125" s="95">
        <v>3653</v>
      </c>
      <c r="I125" s="47">
        <v>3672</v>
      </c>
      <c r="J125" s="47">
        <v>3680</v>
      </c>
      <c r="K125" s="27">
        <v>1</v>
      </c>
      <c r="L125" s="47">
        <v>3681</v>
      </c>
      <c r="M125" s="48">
        <v>3693</v>
      </c>
      <c r="N125" s="48">
        <v>3693</v>
      </c>
      <c r="O125" s="56" t="s">
        <v>3794</v>
      </c>
      <c r="P125" s="194">
        <v>1</v>
      </c>
      <c r="Q125" s="21">
        <v>1</v>
      </c>
      <c r="R125" s="39" t="str">
        <f t="shared" ref="R125:R191" si="44">IF(Q125=0,"?","-")</f>
        <v>-</v>
      </c>
      <c r="S125" s="120">
        <f t="shared" si="3"/>
        <v>138270</v>
      </c>
      <c r="T125" s="123">
        <v>814200</v>
      </c>
      <c r="U125" s="123">
        <v>571336</v>
      </c>
      <c r="V125" s="123">
        <f>T125-U125</f>
        <v>242864</v>
      </c>
      <c r="W125" s="122" t="str">
        <f t="shared" si="34"/>
        <v>1</v>
      </c>
      <c r="X125" s="123">
        <f>T125-50000-88270</f>
        <v>675930</v>
      </c>
      <c r="Y125" s="123">
        <v>0</v>
      </c>
      <c r="Z125" s="123">
        <f>X125-Y125</f>
        <v>675930</v>
      </c>
      <c r="AA125" s="122" t="str">
        <f t="shared" si="35"/>
        <v>1</v>
      </c>
      <c r="AB125" s="120">
        <f t="shared" si="4"/>
        <v>0</v>
      </c>
      <c r="AC125" s="123">
        <v>0</v>
      </c>
      <c r="AD125" s="123">
        <v>0</v>
      </c>
      <c r="AE125" s="123">
        <v>70162</v>
      </c>
      <c r="AG125" s="151">
        <f t="shared" si="43"/>
        <v>61622</v>
      </c>
      <c r="AH125" s="123">
        <f>123749-26649</f>
        <v>97100</v>
      </c>
      <c r="AL125" s="123">
        <v>35478</v>
      </c>
      <c r="AM125" s="123">
        <v>259122</v>
      </c>
      <c r="AN125" s="123">
        <v>26012</v>
      </c>
    </row>
    <row r="126" spans="1:41" s="123" customFormat="1" ht="16.2" thickBot="1" x14ac:dyDescent="0.35">
      <c r="A126" s="27"/>
      <c r="B126" s="218" t="s">
        <v>68</v>
      </c>
      <c r="C126" s="31" t="str">
        <f>VLOOKUP((CONCATENATE(B126)),ID!$A$2:$D$305,3,0)</f>
        <v>RL019</v>
      </c>
      <c r="D126" s="56">
        <v>0</v>
      </c>
      <c r="E126" s="56" t="s">
        <v>4057</v>
      </c>
      <c r="F126" s="56" t="s">
        <v>4062</v>
      </c>
      <c r="G126" s="56" t="s">
        <v>3853</v>
      </c>
      <c r="H126" s="95">
        <v>3834</v>
      </c>
      <c r="I126" s="47">
        <v>3853</v>
      </c>
      <c r="J126" s="47">
        <v>3862</v>
      </c>
      <c r="K126" s="27">
        <v>1</v>
      </c>
      <c r="L126" s="47">
        <v>3862</v>
      </c>
      <c r="M126" s="48">
        <v>3874</v>
      </c>
      <c r="N126" s="47">
        <v>3874</v>
      </c>
      <c r="O126" s="56" t="s">
        <v>3794</v>
      </c>
      <c r="P126" s="194">
        <v>1</v>
      </c>
      <c r="Q126" s="21">
        <v>1</v>
      </c>
      <c r="R126" s="39" t="str">
        <f t="shared" si="44"/>
        <v>-</v>
      </c>
      <c r="S126" s="120">
        <f t="shared" si="3"/>
        <v>117876</v>
      </c>
      <c r="T126" s="123">
        <v>837039</v>
      </c>
      <c r="U126" s="123">
        <v>594460</v>
      </c>
      <c r="V126" s="123">
        <f>T126-U126</f>
        <v>242579</v>
      </c>
      <c r="W126" s="122" t="str">
        <f t="shared" si="34"/>
        <v>1</v>
      </c>
      <c r="X126" s="123">
        <f>T126-40000-77876</f>
        <v>719163</v>
      </c>
      <c r="Y126" s="123">
        <v>0</v>
      </c>
      <c r="Z126" s="123">
        <f t="shared" ref="Z126:Z132" si="45">X126-Y126</f>
        <v>719163</v>
      </c>
      <c r="AA126" s="122" t="str">
        <f t="shared" si="35"/>
        <v>1</v>
      </c>
      <c r="AB126" s="120">
        <f t="shared" si="4"/>
        <v>0</v>
      </c>
      <c r="AC126" s="123">
        <v>0</v>
      </c>
      <c r="AD126" s="123">
        <v>0</v>
      </c>
      <c r="AE126" s="123">
        <v>77722</v>
      </c>
      <c r="AG126" s="151">
        <f t="shared" si="43"/>
        <v>61697</v>
      </c>
      <c r="AH126" s="123">
        <f>114530-16270</f>
        <v>98260</v>
      </c>
      <c r="AL126" s="123">
        <f>30400+6163</f>
        <v>36563</v>
      </c>
      <c r="AM126" s="123">
        <v>245302</v>
      </c>
      <c r="AN126" s="123">
        <v>25896</v>
      </c>
    </row>
    <row r="127" spans="1:41" s="123" customFormat="1" ht="16.2" thickBot="1" x14ac:dyDescent="0.35">
      <c r="A127" s="56">
        <v>19.100000000000001</v>
      </c>
      <c r="B127" s="218" t="s">
        <v>68</v>
      </c>
      <c r="C127" s="31" t="str">
        <f>VLOOKUP((CONCATENATE(B127)),ID!$A$2:$D$305,3,0)</f>
        <v>RL019</v>
      </c>
      <c r="D127" s="56">
        <v>0</v>
      </c>
      <c r="E127" s="56" t="s">
        <v>4057</v>
      </c>
      <c r="F127" s="56" t="s">
        <v>4062</v>
      </c>
      <c r="G127" s="56" t="s">
        <v>3853</v>
      </c>
      <c r="H127" s="95">
        <v>4018</v>
      </c>
      <c r="I127" s="57">
        <v>4037</v>
      </c>
      <c r="J127" s="57">
        <v>4044</v>
      </c>
      <c r="K127" s="56">
        <v>1</v>
      </c>
      <c r="L127" s="57">
        <v>4046</v>
      </c>
      <c r="M127" s="59">
        <v>4058</v>
      </c>
      <c r="N127" s="57">
        <v>4058</v>
      </c>
      <c r="O127" s="56" t="s">
        <v>3794</v>
      </c>
      <c r="P127" s="194">
        <v>1</v>
      </c>
      <c r="Q127" s="21">
        <v>1</v>
      </c>
      <c r="R127" s="39" t="str">
        <f t="shared" si="44"/>
        <v>-</v>
      </c>
      <c r="S127" s="120">
        <f t="shared" si="3"/>
        <v>110791</v>
      </c>
      <c r="T127" s="123">
        <v>844947</v>
      </c>
      <c r="U127" s="123">
        <f>614091</f>
        <v>614091</v>
      </c>
      <c r="V127" s="123">
        <f t="shared" ref="V127:V140" si="46">T127-U127</f>
        <v>230856</v>
      </c>
      <c r="W127" s="122" t="str">
        <f t="shared" si="34"/>
        <v>1</v>
      </c>
      <c r="X127" s="123">
        <f>T127-75791-35000</f>
        <v>734156</v>
      </c>
      <c r="Y127" s="123">
        <v>0</v>
      </c>
      <c r="Z127" s="123">
        <f t="shared" si="45"/>
        <v>734156</v>
      </c>
      <c r="AA127" s="122" t="str">
        <f t="shared" si="35"/>
        <v>1</v>
      </c>
      <c r="AB127" s="120">
        <f t="shared" si="4"/>
        <v>0</v>
      </c>
      <c r="AC127" s="123">
        <v>0</v>
      </c>
      <c r="AD127" s="123">
        <v>0</v>
      </c>
      <c r="AE127" s="123">
        <v>54187</v>
      </c>
      <c r="AG127" s="151">
        <f t="shared" si="43"/>
        <v>69914</v>
      </c>
      <c r="AH127" s="123">
        <f>90988+10076+5000</f>
        <v>106064</v>
      </c>
      <c r="AL127" s="123">
        <v>36150</v>
      </c>
      <c r="AM127" s="123">
        <v>265237</v>
      </c>
      <c r="AN127" s="123">
        <v>26793</v>
      </c>
    </row>
    <row r="128" spans="1:41" s="123" customFormat="1" ht="16.2" thickBot="1" x14ac:dyDescent="0.35">
      <c r="A128" s="56">
        <v>19.2</v>
      </c>
      <c r="B128" s="218" t="s">
        <v>68</v>
      </c>
      <c r="C128" s="31" t="str">
        <f>VLOOKUP((CONCATENATE(B128)),ID!$A$2:$D$305,3,0)</f>
        <v>RL019</v>
      </c>
      <c r="D128" s="56">
        <v>0</v>
      </c>
      <c r="E128" s="56" t="s">
        <v>4057</v>
      </c>
      <c r="F128" s="56" t="s">
        <v>4062</v>
      </c>
      <c r="G128" s="56" t="s">
        <v>3853</v>
      </c>
      <c r="H128" s="95">
        <v>4199</v>
      </c>
      <c r="I128" s="57">
        <v>4216</v>
      </c>
      <c r="J128" s="57">
        <v>4226</v>
      </c>
      <c r="K128" s="56">
        <v>1</v>
      </c>
      <c r="L128" s="57">
        <v>4226</v>
      </c>
      <c r="M128" s="59">
        <v>4238</v>
      </c>
      <c r="N128" s="57">
        <v>4238</v>
      </c>
      <c r="O128" s="56" t="s">
        <v>3794</v>
      </c>
      <c r="P128" s="194">
        <v>1</v>
      </c>
      <c r="Q128" s="21">
        <v>1</v>
      </c>
      <c r="R128" s="39" t="str">
        <f t="shared" si="44"/>
        <v>-</v>
      </c>
      <c r="S128" s="120">
        <f t="shared" si="3"/>
        <v>84142</v>
      </c>
      <c r="T128" s="123">
        <v>876421</v>
      </c>
      <c r="U128" s="123">
        <f>638701</f>
        <v>638701</v>
      </c>
      <c r="V128" s="123">
        <f t="shared" si="46"/>
        <v>237720</v>
      </c>
      <c r="W128" s="122" t="str">
        <f t="shared" si="34"/>
        <v>1</v>
      </c>
      <c r="X128" s="123">
        <f>T128-73142-11000</f>
        <v>792279</v>
      </c>
      <c r="Y128" s="123">
        <v>0</v>
      </c>
      <c r="Z128" s="123">
        <f t="shared" si="45"/>
        <v>792279</v>
      </c>
      <c r="AA128" s="122" t="str">
        <f t="shared" si="35"/>
        <v>1</v>
      </c>
      <c r="AB128" s="120">
        <f t="shared" si="4"/>
        <v>0</v>
      </c>
      <c r="AC128" s="123">
        <v>0</v>
      </c>
      <c r="AD128" s="123">
        <v>0</v>
      </c>
      <c r="AE128" s="123">
        <f>62600+25000</f>
        <v>87600</v>
      </c>
      <c r="AG128" s="151">
        <f t="shared" si="43"/>
        <v>69352</v>
      </c>
      <c r="AH128" s="123">
        <f>109355-3791</f>
        <v>105564</v>
      </c>
      <c r="AL128" s="123">
        <v>36212</v>
      </c>
      <c r="AM128" s="123">
        <v>251165</v>
      </c>
      <c r="AN128" s="123">
        <v>25458</v>
      </c>
    </row>
    <row r="129" spans="1:40" s="123" customFormat="1" ht="16.2" thickBot="1" x14ac:dyDescent="0.35">
      <c r="A129" s="56">
        <v>19.3</v>
      </c>
      <c r="B129" s="218" t="s">
        <v>68</v>
      </c>
      <c r="C129" s="31" t="str">
        <f>VLOOKUP((CONCATENATE(B129)),ID!$A$2:$D$305,3,0)</f>
        <v>RL019</v>
      </c>
      <c r="D129" s="56">
        <v>0</v>
      </c>
      <c r="E129" s="56" t="s">
        <v>4057</v>
      </c>
      <c r="F129" s="56" t="s">
        <v>4062</v>
      </c>
      <c r="G129" s="56" t="s">
        <v>3853</v>
      </c>
      <c r="H129" s="95">
        <v>4383</v>
      </c>
      <c r="I129" s="57">
        <v>4398</v>
      </c>
      <c r="J129" s="57">
        <v>4408</v>
      </c>
      <c r="K129" s="56">
        <v>1</v>
      </c>
      <c r="L129" s="57">
        <v>4409</v>
      </c>
      <c r="M129" s="59">
        <v>4422</v>
      </c>
      <c r="N129" s="57">
        <v>4422</v>
      </c>
      <c r="O129" s="56" t="s">
        <v>3794</v>
      </c>
      <c r="P129" s="194">
        <v>1</v>
      </c>
      <c r="Q129" s="21">
        <v>1</v>
      </c>
      <c r="R129" s="39" t="str">
        <f t="shared" si="44"/>
        <v>-</v>
      </c>
      <c r="S129" s="120">
        <f t="shared" si="3"/>
        <v>53833</v>
      </c>
      <c r="T129" s="123">
        <v>875850</v>
      </c>
      <c r="U129" s="123">
        <f>664736</f>
        <v>664736</v>
      </c>
      <c r="V129" s="123">
        <f t="shared" si="46"/>
        <v>211114</v>
      </c>
      <c r="W129" s="122" t="str">
        <f t="shared" si="34"/>
        <v>1</v>
      </c>
      <c r="X129" s="123">
        <f>T129-7000-46833</f>
        <v>822017</v>
      </c>
      <c r="Y129" s="123">
        <v>0</v>
      </c>
      <c r="Z129" s="123">
        <f t="shared" si="45"/>
        <v>822017</v>
      </c>
      <c r="AA129" s="122" t="str">
        <f t="shared" si="35"/>
        <v>1</v>
      </c>
      <c r="AB129" s="120">
        <f t="shared" si="4"/>
        <v>0</v>
      </c>
      <c r="AC129" s="123">
        <v>0</v>
      </c>
      <c r="AD129" s="123">
        <v>0</v>
      </c>
      <c r="AE129" s="123">
        <f>52719+15000</f>
        <v>67719</v>
      </c>
      <c r="AG129" s="151">
        <f t="shared" si="43"/>
        <v>45691</v>
      </c>
      <c r="AH129" s="123">
        <f>83930-1142</f>
        <v>82788</v>
      </c>
      <c r="AL129" s="123">
        <v>37097</v>
      </c>
      <c r="AM129" s="123">
        <v>262767</v>
      </c>
      <c r="AN129" s="123">
        <v>28460</v>
      </c>
    </row>
    <row r="130" spans="1:40" s="123" customFormat="1" ht="16.2" thickBot="1" x14ac:dyDescent="0.35">
      <c r="A130" s="56">
        <v>19.399999999999999</v>
      </c>
      <c r="B130" s="218" t="s">
        <v>68</v>
      </c>
      <c r="C130" s="31" t="str">
        <f>VLOOKUP((CONCATENATE(B130)),ID!$A$2:$D$305,3,0)</f>
        <v>RL019</v>
      </c>
      <c r="D130" s="56">
        <v>0</v>
      </c>
      <c r="E130" s="56" t="s">
        <v>4057</v>
      </c>
      <c r="F130" s="56" t="s">
        <v>4062</v>
      </c>
      <c r="G130" s="56" t="s">
        <v>3853</v>
      </c>
      <c r="H130" s="95">
        <v>4565</v>
      </c>
      <c r="I130" s="57">
        <v>4581</v>
      </c>
      <c r="J130" s="57">
        <v>4590</v>
      </c>
      <c r="K130" s="114">
        <v>1</v>
      </c>
      <c r="L130" s="57">
        <v>4591</v>
      </c>
      <c r="M130" s="59">
        <v>4604</v>
      </c>
      <c r="N130" s="57">
        <v>4604</v>
      </c>
      <c r="O130" s="56" t="s">
        <v>3794</v>
      </c>
      <c r="P130" s="194">
        <v>1</v>
      </c>
      <c r="Q130" s="21">
        <v>1</v>
      </c>
      <c r="R130" s="39" t="str">
        <f t="shared" si="44"/>
        <v>-</v>
      </c>
      <c r="S130" s="120">
        <f t="shared" si="3"/>
        <v>43871</v>
      </c>
      <c r="T130" s="123">
        <v>875099</v>
      </c>
      <c r="U130" s="123">
        <f>681882</f>
        <v>681882</v>
      </c>
      <c r="V130" s="123">
        <f t="shared" si="46"/>
        <v>193217</v>
      </c>
      <c r="W130" s="122" t="str">
        <f t="shared" si="34"/>
        <v>1</v>
      </c>
      <c r="X130" s="123">
        <f>T130-36871-7000</f>
        <v>831228</v>
      </c>
      <c r="Y130" s="123">
        <v>0</v>
      </c>
      <c r="Z130" s="123">
        <f t="shared" si="45"/>
        <v>831228</v>
      </c>
      <c r="AA130" s="122" t="str">
        <f t="shared" si="35"/>
        <v>1</v>
      </c>
      <c r="AB130" s="120">
        <f t="shared" si="4"/>
        <v>0</v>
      </c>
      <c r="AC130" s="123">
        <v>0</v>
      </c>
      <c r="AD130" s="123">
        <v>0</v>
      </c>
      <c r="AE130" s="123">
        <v>54470</v>
      </c>
      <c r="AG130" s="151">
        <f t="shared" si="43"/>
        <v>36038</v>
      </c>
      <c r="AH130" s="123">
        <f>73047</f>
        <v>73047</v>
      </c>
      <c r="AL130" s="123">
        <v>37009</v>
      </c>
      <c r="AM130" s="123">
        <v>225395</v>
      </c>
      <c r="AN130" s="123">
        <v>26632</v>
      </c>
    </row>
    <row r="131" spans="1:40" s="123" customFormat="1" ht="16.2" thickBot="1" x14ac:dyDescent="0.35">
      <c r="A131" s="56"/>
      <c r="B131" s="218" t="s">
        <v>68</v>
      </c>
      <c r="C131" s="31" t="str">
        <f>VLOOKUP((CONCATENATE(B131)),ID!$A$2:$D$305,3,0)</f>
        <v>RL019</v>
      </c>
      <c r="D131" s="56">
        <v>0</v>
      </c>
      <c r="E131" s="56" t="s">
        <v>4057</v>
      </c>
      <c r="F131" s="56" t="s">
        <v>4062</v>
      </c>
      <c r="G131" s="56" t="s">
        <v>3853</v>
      </c>
      <c r="H131" s="95">
        <v>4749</v>
      </c>
      <c r="I131" s="57">
        <v>4766</v>
      </c>
      <c r="J131" s="57">
        <v>4779</v>
      </c>
      <c r="K131" s="114">
        <v>1</v>
      </c>
      <c r="L131" s="57">
        <v>4778</v>
      </c>
      <c r="M131" s="59">
        <v>4792</v>
      </c>
      <c r="N131" s="57">
        <v>4792</v>
      </c>
      <c r="O131" s="56" t="s">
        <v>3794</v>
      </c>
      <c r="P131" s="194">
        <v>1</v>
      </c>
      <c r="Q131" s="21">
        <v>1</v>
      </c>
      <c r="R131" s="39" t="str">
        <f t="shared" si="44"/>
        <v>-</v>
      </c>
      <c r="S131" s="120">
        <f t="shared" si="3"/>
        <v>67103</v>
      </c>
      <c r="T131" s="123">
        <v>936178</v>
      </c>
      <c r="U131" s="123">
        <f>701452</f>
        <v>701452</v>
      </c>
      <c r="V131" s="123">
        <f t="shared" si="46"/>
        <v>234726</v>
      </c>
      <c r="W131" s="122" t="str">
        <f t="shared" si="34"/>
        <v>1</v>
      </c>
      <c r="X131" s="123">
        <f>T131-67103</f>
        <v>869075</v>
      </c>
      <c r="Y131" s="123">
        <v>0</v>
      </c>
      <c r="Z131" s="123">
        <f t="shared" si="45"/>
        <v>869075</v>
      </c>
      <c r="AA131" s="122" t="str">
        <f t="shared" si="35"/>
        <v>1</v>
      </c>
      <c r="AB131" s="120">
        <f t="shared" si="4"/>
        <v>0</v>
      </c>
      <c r="AC131" s="123">
        <v>0</v>
      </c>
      <c r="AD131" s="123">
        <v>0</v>
      </c>
      <c r="AE131" s="123">
        <f>65476+20000</f>
        <v>85476</v>
      </c>
      <c r="AG131" s="151">
        <f t="shared" si="43"/>
        <v>56232</v>
      </c>
      <c r="AH131" s="123">
        <v>94519</v>
      </c>
      <c r="AL131" s="123">
        <v>38287</v>
      </c>
      <c r="AM131" s="123">
        <v>291068</v>
      </c>
      <c r="AN131" s="123">
        <v>34558</v>
      </c>
    </row>
    <row r="132" spans="1:40" s="123" customFormat="1" ht="16.2" thickBot="1" x14ac:dyDescent="0.35">
      <c r="A132" s="56"/>
      <c r="B132" s="218" t="s">
        <v>68</v>
      </c>
      <c r="C132" s="31" t="str">
        <f>VLOOKUP((CONCATENATE(B132)),ID!$A$2:$D$305,3,0)</f>
        <v>RL019</v>
      </c>
      <c r="D132" s="56">
        <v>1</v>
      </c>
      <c r="E132" s="56" t="s">
        <v>4057</v>
      </c>
      <c r="F132" s="56" t="s">
        <v>4062</v>
      </c>
      <c r="G132" s="56" t="s">
        <v>3853</v>
      </c>
      <c r="H132" s="95">
        <v>5114</v>
      </c>
      <c r="I132" s="57">
        <v>5131</v>
      </c>
      <c r="J132" s="57">
        <v>5143</v>
      </c>
      <c r="K132" s="114">
        <v>1</v>
      </c>
      <c r="L132" s="57">
        <v>5143</v>
      </c>
      <c r="M132" s="59">
        <v>5157</v>
      </c>
      <c r="N132" s="57">
        <v>5157</v>
      </c>
      <c r="O132" s="56" t="s">
        <v>3794</v>
      </c>
      <c r="P132" s="194">
        <v>1</v>
      </c>
      <c r="Q132" s="21">
        <v>1</v>
      </c>
      <c r="R132" s="39" t="str">
        <f t="shared" si="44"/>
        <v>-</v>
      </c>
      <c r="S132" s="120">
        <f t="shared" si="3"/>
        <v>7000</v>
      </c>
      <c r="T132" s="123">
        <v>1001230</v>
      </c>
      <c r="U132" s="123">
        <f>782990+5884</f>
        <v>788874</v>
      </c>
      <c r="V132" s="123">
        <f>T132-U132</f>
        <v>212356</v>
      </c>
      <c r="W132" s="122" t="str">
        <f t="shared" si="34"/>
        <v>1</v>
      </c>
      <c r="X132" s="123">
        <f>T132-7000</f>
        <v>994230</v>
      </c>
      <c r="Y132" s="123">
        <v>445200</v>
      </c>
      <c r="Z132" s="123">
        <f t="shared" si="45"/>
        <v>549030</v>
      </c>
      <c r="AA132" s="122" t="str">
        <f t="shared" si="35"/>
        <v>1</v>
      </c>
      <c r="AB132" s="120">
        <f t="shared" si="4"/>
        <v>445200</v>
      </c>
      <c r="AC132" s="123">
        <v>0</v>
      </c>
      <c r="AD132" s="123">
        <v>445200</v>
      </c>
      <c r="AE132" s="123">
        <v>79827</v>
      </c>
      <c r="AG132" s="151">
        <f t="shared" si="43"/>
        <v>91780</v>
      </c>
      <c r="AH132" s="123">
        <v>210845</v>
      </c>
      <c r="AL132" s="123">
        <v>119065</v>
      </c>
      <c r="AM132" s="123">
        <v>584697</v>
      </c>
    </row>
    <row r="133" spans="1:40" s="123" customFormat="1" ht="16.2" thickBot="1" x14ac:dyDescent="0.35">
      <c r="A133" s="56">
        <v>20.100000000000001</v>
      </c>
      <c r="B133" s="218" t="s">
        <v>71</v>
      </c>
      <c r="C133" s="31" t="str">
        <f>VLOOKUP((CONCATENATE(B133)),ID!$A$2:$D$305,3,0)</f>
        <v>RL020</v>
      </c>
      <c r="D133" s="56">
        <v>1</v>
      </c>
      <c r="E133" s="56" t="s">
        <v>4057</v>
      </c>
      <c r="F133" s="56" t="s">
        <v>1117</v>
      </c>
      <c r="G133" s="56" t="s">
        <v>3776</v>
      </c>
      <c r="H133" s="95">
        <v>3834</v>
      </c>
      <c r="I133" s="57">
        <v>3945</v>
      </c>
      <c r="J133" s="57">
        <v>3943</v>
      </c>
      <c r="K133" s="114">
        <v>0</v>
      </c>
      <c r="L133" s="57"/>
      <c r="M133" s="59"/>
      <c r="N133" s="57">
        <v>3953</v>
      </c>
      <c r="O133" s="56" t="s">
        <v>4091</v>
      </c>
      <c r="P133" s="194" t="str">
        <f t="shared" ref="P133:P193" si="47">IF(AJ133=0,"?","1")</f>
        <v>1</v>
      </c>
      <c r="Q133" s="21">
        <v>1</v>
      </c>
      <c r="R133" s="39" t="str">
        <f t="shared" si="44"/>
        <v>-</v>
      </c>
      <c r="S133" s="120">
        <f t="shared" si="3"/>
        <v>3060999</v>
      </c>
      <c r="T133" s="123">
        <v>4836011</v>
      </c>
      <c r="U133" s="123">
        <f>14753+754483+208874</f>
        <v>978110</v>
      </c>
      <c r="V133" s="123">
        <f>T133-U133</f>
        <v>3857901</v>
      </c>
      <c r="W133" s="122" t="str">
        <f t="shared" si="34"/>
        <v>1</v>
      </c>
      <c r="X133" s="123">
        <f>T133-107955-246735-24689-1004468-515295-1041457-120400</f>
        <v>1775012</v>
      </c>
      <c r="Y133" s="123">
        <v>185884</v>
      </c>
      <c r="Z133" s="123">
        <f>X133-Y133</f>
        <v>1589128</v>
      </c>
      <c r="AA133" s="122" t="str">
        <f t="shared" si="35"/>
        <v>1</v>
      </c>
      <c r="AB133" s="120">
        <f t="shared" si="4"/>
        <v>0</v>
      </c>
      <c r="AC133" s="123">
        <v>0</v>
      </c>
      <c r="AD133" s="123">
        <v>0</v>
      </c>
      <c r="AE133" s="123">
        <v>472096</v>
      </c>
      <c r="AG133" s="151">
        <f t="shared" ref="AG133:AG146" si="48">AH133-AL133</f>
        <v>1608201</v>
      </c>
      <c r="AH133" s="123">
        <f>2195744-131708-592</f>
        <v>2063444</v>
      </c>
      <c r="AJ133" s="123">
        <v>698450</v>
      </c>
      <c r="AL133" s="123">
        <f>338326+90787+26130</f>
        <v>455243</v>
      </c>
      <c r="AM133" s="123">
        <v>4748176</v>
      </c>
      <c r="AN133" s="123">
        <v>1432399</v>
      </c>
    </row>
    <row r="134" spans="1:40" s="123" customFormat="1" ht="16.2" thickBot="1" x14ac:dyDescent="0.35">
      <c r="A134" s="56">
        <v>20.100000000000001</v>
      </c>
      <c r="B134" s="218" t="s">
        <v>71</v>
      </c>
      <c r="C134" s="31" t="str">
        <f>VLOOKUP((CONCATENATE(B134)),ID!$A$2:$D$305,3,0)</f>
        <v>RL020</v>
      </c>
      <c r="D134" s="56">
        <v>1</v>
      </c>
      <c r="E134" s="56" t="s">
        <v>4057</v>
      </c>
      <c r="F134" s="56" t="s">
        <v>1117</v>
      </c>
      <c r="G134" s="56" t="s">
        <v>3776</v>
      </c>
      <c r="H134" s="95">
        <v>4199</v>
      </c>
      <c r="I134" s="57">
        <v>4307</v>
      </c>
      <c r="J134" s="57">
        <v>4305</v>
      </c>
      <c r="K134" s="56">
        <v>0</v>
      </c>
      <c r="L134" s="56"/>
      <c r="M134" s="58"/>
      <c r="N134" s="57">
        <v>4315</v>
      </c>
      <c r="O134" s="56" t="s">
        <v>4091</v>
      </c>
      <c r="P134" s="194" t="str">
        <f t="shared" si="47"/>
        <v>1</v>
      </c>
      <c r="Q134" s="21">
        <v>1</v>
      </c>
      <c r="R134" s="39" t="str">
        <f t="shared" si="44"/>
        <v>-</v>
      </c>
      <c r="S134" s="120">
        <f t="shared" si="3"/>
        <v>3267788</v>
      </c>
      <c r="T134" s="123">
        <v>4818539</v>
      </c>
      <c r="U134" s="123">
        <f>520143+770690+14635</f>
        <v>1305468</v>
      </c>
      <c r="V134" s="123">
        <f t="shared" si="46"/>
        <v>3513071</v>
      </c>
      <c r="W134" s="122" t="str">
        <f t="shared" si="34"/>
        <v>1</v>
      </c>
      <c r="X134" s="123">
        <f>225941+373048+744138+Y134</f>
        <v>1550751</v>
      </c>
      <c r="Y134" s="123">
        <v>207624</v>
      </c>
      <c r="Z134" s="123">
        <f>X134-Y134</f>
        <v>1343127</v>
      </c>
      <c r="AA134" s="122" t="str">
        <f t="shared" si="35"/>
        <v>1</v>
      </c>
      <c r="AB134" s="120">
        <f t="shared" si="4"/>
        <v>0</v>
      </c>
      <c r="AC134" s="123">
        <v>0</v>
      </c>
      <c r="AD134" s="123">
        <v>0</v>
      </c>
      <c r="AE134" s="123">
        <v>353783</v>
      </c>
      <c r="AG134" s="151">
        <f t="shared" si="48"/>
        <v>1876529</v>
      </c>
      <c r="AH134" s="123">
        <f>2490140-79829-465</f>
        <v>2409846</v>
      </c>
      <c r="AJ134" s="123">
        <v>716950</v>
      </c>
      <c r="AL134" s="123">
        <f>412393+90787+30137</f>
        <v>533317</v>
      </c>
      <c r="AM134" s="123">
        <v>5420448</v>
      </c>
      <c r="AN134" s="123">
        <v>1560309</v>
      </c>
    </row>
    <row r="135" spans="1:40" s="123" customFormat="1" ht="16.2" thickBot="1" x14ac:dyDescent="0.35">
      <c r="A135" s="56">
        <v>20.2</v>
      </c>
      <c r="B135" s="218" t="s">
        <v>71</v>
      </c>
      <c r="C135" s="31" t="str">
        <f>VLOOKUP((CONCATENATE(B135)),ID!$A$2:$D$305,3,0)</f>
        <v>RL020</v>
      </c>
      <c r="D135" s="56">
        <v>1</v>
      </c>
      <c r="E135" s="56" t="s">
        <v>4057</v>
      </c>
      <c r="F135" s="56" t="s">
        <v>1117</v>
      </c>
      <c r="G135" s="56" t="s">
        <v>3776</v>
      </c>
      <c r="H135" s="95">
        <v>4565</v>
      </c>
      <c r="I135" s="57">
        <v>4673</v>
      </c>
      <c r="J135" s="57">
        <v>4672</v>
      </c>
      <c r="K135" s="56">
        <v>0</v>
      </c>
      <c r="L135" s="57"/>
      <c r="M135" s="59"/>
      <c r="N135" s="57">
        <v>4681</v>
      </c>
      <c r="O135" s="56" t="s">
        <v>4091</v>
      </c>
      <c r="P135" s="194" t="str">
        <f t="shared" si="47"/>
        <v>1</v>
      </c>
      <c r="Q135" s="21">
        <v>1</v>
      </c>
      <c r="R135" s="39" t="str">
        <f t="shared" si="44"/>
        <v>-</v>
      </c>
      <c r="S135" s="120">
        <f t="shared" si="3"/>
        <v>3303443</v>
      </c>
      <c r="T135" s="123">
        <v>4559696</v>
      </c>
      <c r="U135" s="123">
        <f>834802+14515</f>
        <v>849317</v>
      </c>
      <c r="V135" s="123">
        <f t="shared" si="46"/>
        <v>3710379</v>
      </c>
      <c r="W135" s="122" t="str">
        <f t="shared" si="34"/>
        <v>1</v>
      </c>
      <c r="X135" s="123">
        <f>788505+239311+228437</f>
        <v>1256253</v>
      </c>
      <c r="Y135" s="123">
        <v>228437</v>
      </c>
      <c r="Z135" s="123">
        <f>X135-Y135</f>
        <v>1027816</v>
      </c>
      <c r="AA135" s="122" t="str">
        <f t="shared" si="35"/>
        <v>1</v>
      </c>
      <c r="AB135" s="120">
        <f t="shared" si="4"/>
        <v>0</v>
      </c>
      <c r="AC135" s="123">
        <v>0</v>
      </c>
      <c r="AD135" s="123">
        <v>0</v>
      </c>
      <c r="AE135" s="123">
        <v>342839</v>
      </c>
      <c r="AG135" s="151">
        <f t="shared" si="48"/>
        <v>1893260</v>
      </c>
      <c r="AH135" s="123">
        <f>2591079-169033-245</f>
        <v>2421801</v>
      </c>
      <c r="AJ135" s="123">
        <v>791950</v>
      </c>
      <c r="AL135" s="123">
        <f>426133+90787+11621</f>
        <v>528541</v>
      </c>
      <c r="AM135" s="123">
        <v>5223814</v>
      </c>
      <c r="AN135" s="123">
        <v>1620841</v>
      </c>
    </row>
    <row r="136" spans="1:40" s="123" customFormat="1" ht="16.2" thickBot="1" x14ac:dyDescent="0.35">
      <c r="A136" s="56">
        <v>20.100000000000001</v>
      </c>
      <c r="B136" s="218" t="s">
        <v>71</v>
      </c>
      <c r="C136" s="31" t="str">
        <f>VLOOKUP((CONCATENATE(B136)),ID!$A$2:$D$305,3,0)</f>
        <v>RL020</v>
      </c>
      <c r="D136" s="56">
        <v>1</v>
      </c>
      <c r="E136" s="56" t="s">
        <v>4057</v>
      </c>
      <c r="F136" s="56" t="s">
        <v>1117</v>
      </c>
      <c r="G136" s="56" t="s">
        <v>3776</v>
      </c>
      <c r="H136" s="95">
        <v>4930</v>
      </c>
      <c r="I136" s="57">
        <v>5037</v>
      </c>
      <c r="J136" s="57">
        <v>5035</v>
      </c>
      <c r="K136" s="56">
        <v>0</v>
      </c>
      <c r="L136" s="57"/>
      <c r="M136" s="59"/>
      <c r="N136" s="57">
        <v>5045</v>
      </c>
      <c r="O136" s="56" t="s">
        <v>4091</v>
      </c>
      <c r="P136" s="194" t="str">
        <f t="shared" si="47"/>
        <v>1</v>
      </c>
      <c r="Q136" s="21">
        <v>1</v>
      </c>
      <c r="R136" s="39" t="str">
        <f t="shared" si="44"/>
        <v>-</v>
      </c>
      <c r="S136" s="120">
        <f t="shared" si="3"/>
        <v>4810698</v>
      </c>
      <c r="T136" s="123">
        <v>5895471</v>
      </c>
      <c r="U136" s="123">
        <f>850952+14397</f>
        <v>865349</v>
      </c>
      <c r="V136" s="123">
        <f t="shared" si="46"/>
        <v>5030122</v>
      </c>
      <c r="W136" s="122" t="str">
        <f t="shared" si="34"/>
        <v>1</v>
      </c>
      <c r="X136" s="123">
        <f>840465+244308</f>
        <v>1084773</v>
      </c>
      <c r="Y136" s="123">
        <v>0</v>
      </c>
      <c r="Z136" s="123">
        <f>X136</f>
        <v>1084773</v>
      </c>
      <c r="AA136" s="122" t="str">
        <f t="shared" si="35"/>
        <v>1</v>
      </c>
      <c r="AB136" s="120">
        <f t="shared" si="4"/>
        <v>0</v>
      </c>
      <c r="AC136" s="123">
        <v>0</v>
      </c>
      <c r="AD136" s="123">
        <v>0</v>
      </c>
      <c r="AE136" s="123">
        <v>1075464</v>
      </c>
      <c r="AG136" s="151">
        <f t="shared" si="48"/>
        <v>2399710</v>
      </c>
      <c r="AH136" s="123">
        <f>3133936-189524-892</f>
        <v>2943520</v>
      </c>
      <c r="AJ136" s="123">
        <v>831395</v>
      </c>
      <c r="AL136" s="123">
        <f>544702-892</f>
        <v>543810</v>
      </c>
      <c r="AM136" s="123">
        <v>6489346</v>
      </c>
      <c r="AN136" s="123">
        <v>1817179</v>
      </c>
    </row>
    <row r="137" spans="1:40" s="123" customFormat="1" ht="16.2" thickBot="1" x14ac:dyDescent="0.35">
      <c r="A137" s="56">
        <v>20.100000000000001</v>
      </c>
      <c r="B137" s="218" t="s">
        <v>71</v>
      </c>
      <c r="C137" s="31" t="str">
        <f>VLOOKUP((CONCATENATE(B137)),ID!$A$2:$D$305,3,0)</f>
        <v>RL020</v>
      </c>
      <c r="D137" s="56">
        <v>1</v>
      </c>
      <c r="E137" s="56" t="s">
        <v>4057</v>
      </c>
      <c r="F137" s="56" t="s">
        <v>1117</v>
      </c>
      <c r="G137" s="56" t="s">
        <v>3776</v>
      </c>
      <c r="H137" s="95">
        <v>5295</v>
      </c>
      <c r="I137" s="57">
        <v>5408</v>
      </c>
      <c r="J137" s="57">
        <v>5413</v>
      </c>
      <c r="K137" s="56">
        <v>0</v>
      </c>
      <c r="L137" s="57"/>
      <c r="M137" s="59"/>
      <c r="N137" s="57">
        <v>5416</v>
      </c>
      <c r="O137" s="56" t="s">
        <v>4091</v>
      </c>
      <c r="P137" s="194" t="str">
        <f t="shared" si="47"/>
        <v>1</v>
      </c>
      <c r="Q137" s="21">
        <v>1</v>
      </c>
      <c r="R137" s="39" t="str">
        <f t="shared" si="44"/>
        <v>-</v>
      </c>
      <c r="S137" s="120">
        <f t="shared" si="3"/>
        <v>4531746</v>
      </c>
      <c r="T137" s="123">
        <v>5884363</v>
      </c>
      <c r="U137" s="123">
        <f>1137094+13701</f>
        <v>1150795</v>
      </c>
      <c r="V137" s="123">
        <f t="shared" si="46"/>
        <v>4733568</v>
      </c>
      <c r="W137" s="122" t="str">
        <f t="shared" si="34"/>
        <v>1</v>
      </c>
      <c r="X137" s="123">
        <f>1064554+288063</f>
        <v>1352617</v>
      </c>
      <c r="Y137" s="123">
        <v>0</v>
      </c>
      <c r="Z137" s="123">
        <f>X137</f>
        <v>1352617</v>
      </c>
      <c r="AA137" s="122" t="str">
        <f t="shared" si="35"/>
        <v>1</v>
      </c>
      <c r="AB137" s="120">
        <f t="shared" si="4"/>
        <v>0</v>
      </c>
      <c r="AC137" s="123">
        <v>0</v>
      </c>
      <c r="AD137" s="123">
        <v>0</v>
      </c>
      <c r="AE137" s="123">
        <v>530095</v>
      </c>
      <c r="AG137" s="151">
        <f t="shared" si="48"/>
        <v>2299656</v>
      </c>
      <c r="AH137" s="123">
        <f>2916483-26864-600</f>
        <v>2889019</v>
      </c>
      <c r="AJ137" s="123">
        <v>922827</v>
      </c>
      <c r="AL137" s="123">
        <f>589963-600</f>
        <v>589363</v>
      </c>
      <c r="AM137" s="123">
        <v>6058139</v>
      </c>
      <c r="AN137" s="123">
        <v>1867094</v>
      </c>
    </row>
    <row r="138" spans="1:40" s="123" customFormat="1" ht="16.2" thickBot="1" x14ac:dyDescent="0.35">
      <c r="A138" s="56"/>
      <c r="B138" s="217" t="s">
        <v>72</v>
      </c>
      <c r="C138" s="31" t="str">
        <f>VLOOKUP((CONCATENATE(B138)),ID!$A$2:$D$305,3,0)</f>
        <v>RL021</v>
      </c>
      <c r="D138" s="56">
        <v>0</v>
      </c>
      <c r="E138" s="27" t="s">
        <v>4057</v>
      </c>
      <c r="F138" s="27" t="s">
        <v>1117</v>
      </c>
      <c r="G138" s="27" t="s">
        <v>3853</v>
      </c>
      <c r="H138" s="94">
        <v>3653</v>
      </c>
      <c r="I138" s="57">
        <v>3672</v>
      </c>
      <c r="J138" s="57">
        <v>3677</v>
      </c>
      <c r="K138" s="56">
        <v>1</v>
      </c>
      <c r="L138" s="57">
        <v>3673</v>
      </c>
      <c r="M138" s="59">
        <v>3687</v>
      </c>
      <c r="N138" s="57">
        <v>3687</v>
      </c>
      <c r="O138" s="27" t="s">
        <v>3795</v>
      </c>
      <c r="P138" s="194">
        <v>1</v>
      </c>
      <c r="Q138" s="21">
        <v>1</v>
      </c>
      <c r="R138" s="39" t="str">
        <f t="shared" si="44"/>
        <v>-</v>
      </c>
      <c r="S138" s="120">
        <f t="shared" si="3"/>
        <v>190486</v>
      </c>
      <c r="T138" s="123">
        <v>235661</v>
      </c>
      <c r="U138" s="123">
        <v>111384</v>
      </c>
      <c r="V138" s="123">
        <f t="shared" si="46"/>
        <v>124277</v>
      </c>
      <c r="W138" s="122" t="str">
        <f t="shared" si="34"/>
        <v>1</v>
      </c>
      <c r="X138" s="123">
        <f t="shared" ref="X138:X143" si="49">Z138+Y138</f>
        <v>45175</v>
      </c>
      <c r="Y138" s="123">
        <v>0</v>
      </c>
      <c r="Z138" s="123">
        <f>25381+347+18520+927</f>
        <v>45175</v>
      </c>
      <c r="AA138" s="122" t="str">
        <f t="shared" si="35"/>
        <v>1</v>
      </c>
      <c r="AB138" s="120">
        <f t="shared" si="4"/>
        <v>0</v>
      </c>
      <c r="AC138" s="123">
        <v>0</v>
      </c>
      <c r="AD138" s="123">
        <v>0</v>
      </c>
      <c r="AE138" s="123">
        <v>4105</v>
      </c>
      <c r="AG138" s="151">
        <f t="shared" si="48"/>
        <v>46747</v>
      </c>
      <c r="AH138" s="123">
        <f>108107-39093-874-318-1105</f>
        <v>66717</v>
      </c>
      <c r="AL138" s="123">
        <f>18520+1450</f>
        <v>19970</v>
      </c>
      <c r="AM138" s="123">
        <v>151682</v>
      </c>
      <c r="AN138" s="123">
        <v>140609</v>
      </c>
    </row>
    <row r="139" spans="1:40" s="123" customFormat="1" ht="16.2" thickBot="1" x14ac:dyDescent="0.35">
      <c r="A139" s="56"/>
      <c r="B139" s="217" t="s">
        <v>72</v>
      </c>
      <c r="C139" s="31" t="str">
        <f>VLOOKUP((CONCATENATE(B139)),ID!$A$2:$D$305,3,0)</f>
        <v>RL021</v>
      </c>
      <c r="D139" s="56">
        <v>0</v>
      </c>
      <c r="E139" s="27" t="s">
        <v>4057</v>
      </c>
      <c r="F139" s="27" t="s">
        <v>1117</v>
      </c>
      <c r="G139" s="27" t="s">
        <v>3853</v>
      </c>
      <c r="H139" s="94">
        <v>3834</v>
      </c>
      <c r="I139" s="57">
        <v>3847</v>
      </c>
      <c r="J139" s="57">
        <v>3862</v>
      </c>
      <c r="K139" s="56">
        <v>1</v>
      </c>
      <c r="L139" s="57">
        <v>3855</v>
      </c>
      <c r="M139" s="59">
        <v>3869</v>
      </c>
      <c r="N139" s="57">
        <v>3869</v>
      </c>
      <c r="O139" s="27" t="s">
        <v>3795</v>
      </c>
      <c r="P139" s="194">
        <v>1</v>
      </c>
      <c r="Q139" s="21">
        <v>1</v>
      </c>
      <c r="R139" s="39" t="str">
        <f t="shared" si="44"/>
        <v>-</v>
      </c>
      <c r="S139" s="120">
        <f t="shared" si="3"/>
        <v>191667</v>
      </c>
      <c r="T139" s="123">
        <v>237554</v>
      </c>
      <c r="U139" s="123">
        <v>114633</v>
      </c>
      <c r="V139" s="123">
        <f t="shared" si="46"/>
        <v>122921</v>
      </c>
      <c r="W139" s="122" t="str">
        <f t="shared" si="34"/>
        <v>1</v>
      </c>
      <c r="X139" s="123">
        <f t="shared" si="49"/>
        <v>45887</v>
      </c>
      <c r="Y139" s="123">
        <v>0</v>
      </c>
      <c r="Z139" s="123">
        <f>26229+218+18520+920</f>
        <v>45887</v>
      </c>
      <c r="AA139" s="122" t="str">
        <f t="shared" si="35"/>
        <v>1</v>
      </c>
      <c r="AB139" s="120">
        <f t="shared" si="4"/>
        <v>0</v>
      </c>
      <c r="AC139" s="123">
        <v>0</v>
      </c>
      <c r="AD139" s="123">
        <v>0</v>
      </c>
      <c r="AE139" s="123">
        <v>8798</v>
      </c>
      <c r="AG139" s="151">
        <f t="shared" si="48"/>
        <v>51837</v>
      </c>
      <c r="AH139" s="123">
        <f>85078-33241+AL139</f>
        <v>70357</v>
      </c>
      <c r="AL139" s="123">
        <v>18520</v>
      </c>
      <c r="AM139" s="123">
        <v>158338</v>
      </c>
      <c r="AN139" s="123">
        <v>146586</v>
      </c>
    </row>
    <row r="140" spans="1:40" s="123" customFormat="1" ht="16.2" thickBot="1" x14ac:dyDescent="0.35">
      <c r="A140" s="27">
        <v>21.1</v>
      </c>
      <c r="B140" s="217" t="s">
        <v>72</v>
      </c>
      <c r="C140" s="31" t="str">
        <f>VLOOKUP((CONCATENATE(B140)),ID!$A$2:$D$305,3,0)</f>
        <v>RL021</v>
      </c>
      <c r="D140" s="27">
        <v>0</v>
      </c>
      <c r="E140" s="27" t="s">
        <v>4057</v>
      </c>
      <c r="F140" s="27" t="s">
        <v>1117</v>
      </c>
      <c r="G140" s="27" t="s">
        <v>3853</v>
      </c>
      <c r="H140" s="94">
        <v>4018</v>
      </c>
      <c r="I140" s="47">
        <v>4029</v>
      </c>
      <c r="J140" s="47">
        <v>4041</v>
      </c>
      <c r="K140" s="27">
        <v>1</v>
      </c>
      <c r="L140" s="47">
        <v>4037</v>
      </c>
      <c r="M140" s="48">
        <v>4051</v>
      </c>
      <c r="N140" s="47">
        <v>4051</v>
      </c>
      <c r="O140" s="27" t="s">
        <v>3795</v>
      </c>
      <c r="P140" s="194">
        <v>1</v>
      </c>
      <c r="Q140" s="21">
        <v>1</v>
      </c>
      <c r="R140" s="39" t="str">
        <f t="shared" si="44"/>
        <v>-</v>
      </c>
      <c r="S140" s="120">
        <f t="shared" si="3"/>
        <v>200959</v>
      </c>
      <c r="T140" s="123">
        <v>244560</v>
      </c>
      <c r="U140" s="123">
        <f>125165</f>
        <v>125165</v>
      </c>
      <c r="V140" s="123">
        <f t="shared" si="46"/>
        <v>119395</v>
      </c>
      <c r="W140" s="122" t="str">
        <f t="shared" si="34"/>
        <v>1</v>
      </c>
      <c r="X140" s="123">
        <f t="shared" si="49"/>
        <v>43601</v>
      </c>
      <c r="Y140" s="123">
        <v>0</v>
      </c>
      <c r="Z140" s="123">
        <f>1037+18520+132+23912</f>
        <v>43601</v>
      </c>
      <c r="AA140" s="122" t="str">
        <f t="shared" si="35"/>
        <v>1</v>
      </c>
      <c r="AB140" s="120">
        <f t="shared" si="4"/>
        <v>0</v>
      </c>
      <c r="AC140" s="123">
        <v>0</v>
      </c>
      <c r="AD140" s="123">
        <v>0</v>
      </c>
      <c r="AE140" s="123">
        <v>10442</v>
      </c>
      <c r="AG140" s="151">
        <f t="shared" si="48"/>
        <v>54294</v>
      </c>
      <c r="AH140" s="123">
        <f>113816-40078-360-34-530</f>
        <v>72814</v>
      </c>
      <c r="AL140" s="123">
        <v>18520</v>
      </c>
      <c r="AM140" s="123">
        <v>155589</v>
      </c>
      <c r="AN140" s="123">
        <v>143433</v>
      </c>
    </row>
    <row r="141" spans="1:40" s="123" customFormat="1" ht="16.2" thickBot="1" x14ac:dyDescent="0.35">
      <c r="A141" s="27">
        <v>21.2</v>
      </c>
      <c r="B141" s="217" t="s">
        <v>72</v>
      </c>
      <c r="C141" s="31" t="str">
        <f>VLOOKUP((CONCATENATE(B141)),ID!$A$2:$D$305,3,0)</f>
        <v>RL021</v>
      </c>
      <c r="D141" s="27">
        <v>0</v>
      </c>
      <c r="E141" s="27" t="s">
        <v>4057</v>
      </c>
      <c r="F141" s="27" t="s">
        <v>1117</v>
      </c>
      <c r="G141" s="27" t="s">
        <v>3853</v>
      </c>
      <c r="H141" s="94">
        <v>4199</v>
      </c>
      <c r="I141" s="47">
        <v>4214</v>
      </c>
      <c r="J141" s="47">
        <v>4223</v>
      </c>
      <c r="K141" s="27">
        <v>1</v>
      </c>
      <c r="L141" s="47">
        <v>4219</v>
      </c>
      <c r="M141" s="48">
        <v>4233</v>
      </c>
      <c r="N141" s="47">
        <v>4233</v>
      </c>
      <c r="O141" s="27" t="s">
        <v>3795</v>
      </c>
      <c r="P141" s="194">
        <v>1</v>
      </c>
      <c r="Q141" s="21">
        <v>1</v>
      </c>
      <c r="R141" s="39" t="str">
        <f t="shared" si="44"/>
        <v>-</v>
      </c>
      <c r="S141" s="120">
        <f t="shared" si="3"/>
        <v>320425</v>
      </c>
      <c r="T141" s="123">
        <v>363032</v>
      </c>
      <c r="U141" s="123">
        <v>0</v>
      </c>
      <c r="V141" s="123">
        <f>T141</f>
        <v>363032</v>
      </c>
      <c r="W141" s="122" t="str">
        <f t="shared" si="34"/>
        <v>1</v>
      </c>
      <c r="X141" s="123">
        <f t="shared" si="49"/>
        <v>42607</v>
      </c>
      <c r="Y141" s="123">
        <v>0</v>
      </c>
      <c r="Z141" s="123">
        <v>42607</v>
      </c>
      <c r="AA141" s="122" t="str">
        <f t="shared" si="35"/>
        <v>1</v>
      </c>
      <c r="AB141" s="120">
        <f t="shared" si="4"/>
        <v>0</v>
      </c>
      <c r="AC141" s="123">
        <v>0</v>
      </c>
      <c r="AD141" s="123">
        <v>0</v>
      </c>
      <c r="AE141" s="123">
        <v>8142</v>
      </c>
      <c r="AG141" s="151">
        <f t="shared" si="48"/>
        <v>43472</v>
      </c>
      <c r="AH141" s="123">
        <f>65901+1223-958-3316-790-68</f>
        <v>61992</v>
      </c>
      <c r="AL141" s="123">
        <v>18520</v>
      </c>
      <c r="AM141" s="123">
        <v>150108</v>
      </c>
      <c r="AN141" s="123">
        <v>137845</v>
      </c>
    </row>
    <row r="142" spans="1:40" s="123" customFormat="1" ht="16.2" thickBot="1" x14ac:dyDescent="0.35">
      <c r="A142" s="27">
        <v>21.3</v>
      </c>
      <c r="B142" s="217" t="s">
        <v>72</v>
      </c>
      <c r="C142" s="31" t="str">
        <f>VLOOKUP((CONCATENATE(B142)),ID!$A$2:$D$305,3,0)</f>
        <v>RL021</v>
      </c>
      <c r="D142" s="27">
        <v>0</v>
      </c>
      <c r="E142" s="27" t="s">
        <v>4057</v>
      </c>
      <c r="F142" s="27" t="s">
        <v>1117</v>
      </c>
      <c r="G142" s="27" t="s">
        <v>3853</v>
      </c>
      <c r="H142" s="94">
        <v>4383</v>
      </c>
      <c r="I142" s="47">
        <v>4398</v>
      </c>
      <c r="J142" s="47">
        <v>4413</v>
      </c>
      <c r="K142" s="27">
        <v>1</v>
      </c>
      <c r="L142" s="47">
        <v>4408</v>
      </c>
      <c r="M142" s="48">
        <v>4422</v>
      </c>
      <c r="N142" s="47">
        <v>4422</v>
      </c>
      <c r="O142" s="27" t="s">
        <v>3795</v>
      </c>
      <c r="P142" s="194">
        <v>1</v>
      </c>
      <c r="Q142" s="21">
        <v>1</v>
      </c>
      <c r="R142" s="39" t="str">
        <f t="shared" si="44"/>
        <v>-</v>
      </c>
      <c r="S142" s="120">
        <f t="shared" si="3"/>
        <v>341353</v>
      </c>
      <c r="T142" s="123">
        <v>380665</v>
      </c>
      <c r="U142" s="123">
        <v>0</v>
      </c>
      <c r="V142" s="123">
        <v>380665</v>
      </c>
      <c r="W142" s="122" t="str">
        <f t="shared" si="34"/>
        <v>1</v>
      </c>
      <c r="X142" s="123">
        <f t="shared" si="49"/>
        <v>39312</v>
      </c>
      <c r="Y142" s="123">
        <v>0</v>
      </c>
      <c r="Z142" s="123">
        <f>19572+100+18520+1120</f>
        <v>39312</v>
      </c>
      <c r="AA142" s="122" t="str">
        <f t="shared" si="35"/>
        <v>1</v>
      </c>
      <c r="AB142" s="120">
        <f t="shared" si="4"/>
        <v>0</v>
      </c>
      <c r="AC142" s="123">
        <v>0</v>
      </c>
      <c r="AD142" s="123">
        <v>0</v>
      </c>
      <c r="AE142" s="123">
        <v>9151</v>
      </c>
      <c r="AG142" s="151">
        <f t="shared" si="48"/>
        <v>47883</v>
      </c>
      <c r="AH142" s="123">
        <f>63855+4857-32-1755-522</f>
        <v>66403</v>
      </c>
      <c r="AL142" s="123">
        <v>18520</v>
      </c>
      <c r="AM142" s="123">
        <f>138552</f>
        <v>138552</v>
      </c>
      <c r="AN142" s="123">
        <v>121913</v>
      </c>
    </row>
    <row r="143" spans="1:40" s="123" customFormat="1" ht="16.2" thickBot="1" x14ac:dyDescent="0.35">
      <c r="A143" s="27">
        <v>21.4</v>
      </c>
      <c r="B143" s="217" t="s">
        <v>72</v>
      </c>
      <c r="C143" s="31" t="str">
        <f>VLOOKUP((CONCATENATE(B143)),ID!$A$2:$D$305,3,0)</f>
        <v>RL021</v>
      </c>
      <c r="D143" s="27">
        <v>0</v>
      </c>
      <c r="E143" s="27" t="s">
        <v>4057</v>
      </c>
      <c r="F143" s="27" t="s">
        <v>1117</v>
      </c>
      <c r="G143" s="27" t="s">
        <v>3853</v>
      </c>
      <c r="H143" s="94">
        <v>4565</v>
      </c>
      <c r="I143" s="47">
        <v>4575</v>
      </c>
      <c r="J143" s="47">
        <v>4588</v>
      </c>
      <c r="K143" s="27">
        <v>1</v>
      </c>
      <c r="L143" s="47">
        <v>4583</v>
      </c>
      <c r="M143" s="48">
        <v>4597</v>
      </c>
      <c r="N143" s="47">
        <v>4597</v>
      </c>
      <c r="O143" s="27" t="s">
        <v>3795</v>
      </c>
      <c r="P143" s="194">
        <v>1</v>
      </c>
      <c r="Q143" s="21">
        <v>1</v>
      </c>
      <c r="R143" s="39" t="str">
        <f t="shared" si="44"/>
        <v>-</v>
      </c>
      <c r="S143" s="120">
        <f t="shared" si="3"/>
        <v>355683</v>
      </c>
      <c r="T143" s="123">
        <v>397082</v>
      </c>
      <c r="U143" s="123">
        <v>0</v>
      </c>
      <c r="V143" s="123">
        <f>T143</f>
        <v>397082</v>
      </c>
      <c r="W143" s="122" t="str">
        <f t="shared" si="34"/>
        <v>1</v>
      </c>
      <c r="X143" s="123">
        <f t="shared" si="49"/>
        <v>41399</v>
      </c>
      <c r="Y143" s="123">
        <v>0</v>
      </c>
      <c r="Z143" s="123">
        <f>1155+21426+153+18665</f>
        <v>41399</v>
      </c>
      <c r="AA143" s="122" t="str">
        <f t="shared" si="35"/>
        <v>1</v>
      </c>
      <c r="AB143" s="120">
        <f t="shared" si="4"/>
        <v>0</v>
      </c>
      <c r="AC143" s="123">
        <v>0</v>
      </c>
      <c r="AD143" s="123">
        <v>0</v>
      </c>
      <c r="AE143" s="123">
        <v>105</v>
      </c>
      <c r="AG143" s="151">
        <f t="shared" si="48"/>
        <v>50517</v>
      </c>
      <c r="AH143" s="123">
        <f>62663+7603-1229</f>
        <v>69037</v>
      </c>
      <c r="AL143" s="123">
        <v>18520</v>
      </c>
      <c r="AM143" s="123">
        <v>134633</v>
      </c>
      <c r="AN143" s="123">
        <v>113453</v>
      </c>
    </row>
    <row r="144" spans="1:40" s="123" customFormat="1" ht="16.2" thickBot="1" x14ac:dyDescent="0.35">
      <c r="A144" s="27"/>
      <c r="B144" s="217" t="s">
        <v>72</v>
      </c>
      <c r="C144" s="31" t="str">
        <f>VLOOKUP((CONCATENATE(B144)),ID!$A$2:$D$305,3,0)</f>
        <v>RL021</v>
      </c>
      <c r="D144" s="27">
        <v>0</v>
      </c>
      <c r="E144" s="27" t="s">
        <v>4057</v>
      </c>
      <c r="F144" s="27" t="s">
        <v>1117</v>
      </c>
      <c r="G144" s="27" t="s">
        <v>3853</v>
      </c>
      <c r="H144" s="94">
        <v>4749</v>
      </c>
      <c r="I144" s="47">
        <v>4764</v>
      </c>
      <c r="J144" s="47">
        <v>4768</v>
      </c>
      <c r="K144" s="27">
        <v>1</v>
      </c>
      <c r="L144" s="47">
        <v>4772</v>
      </c>
      <c r="M144" s="48">
        <v>4786</v>
      </c>
      <c r="N144" s="47">
        <v>4786</v>
      </c>
      <c r="O144" s="27" t="s">
        <v>3795</v>
      </c>
      <c r="P144" s="194">
        <v>1</v>
      </c>
      <c r="Q144" s="21">
        <v>1</v>
      </c>
      <c r="R144" s="39" t="str">
        <f t="shared" si="44"/>
        <v>-</v>
      </c>
      <c r="S144" s="120">
        <f t="shared" si="3"/>
        <v>310019</v>
      </c>
      <c r="T144" s="123">
        <v>349106</v>
      </c>
      <c r="U144" s="123">
        <v>0</v>
      </c>
      <c r="V144" s="123">
        <f>T144</f>
        <v>349106</v>
      </c>
      <c r="W144" s="122"/>
      <c r="X144" s="123">
        <f>1186+22580+113+15208</f>
        <v>39087</v>
      </c>
      <c r="Y144" s="123">
        <v>0</v>
      </c>
      <c r="Z144" s="123">
        <f>X144</f>
        <v>39087</v>
      </c>
      <c r="AA144" s="122" t="str">
        <f t="shared" si="35"/>
        <v>1</v>
      </c>
      <c r="AB144" s="120">
        <f t="shared" si="4"/>
        <v>0</v>
      </c>
      <c r="AC144" s="123">
        <v>0</v>
      </c>
      <c r="AD144" s="123">
        <v>0</v>
      </c>
      <c r="AE144" s="123">
        <v>9155</v>
      </c>
      <c r="AG144" s="151">
        <f t="shared" si="48"/>
        <v>61574</v>
      </c>
      <c r="AH144" s="123">
        <f>104825-23776-432-523</f>
        <v>80094</v>
      </c>
      <c r="AL144" s="123">
        <v>18520</v>
      </c>
      <c r="AM144" s="123">
        <v>144455</v>
      </c>
      <c r="AN144" s="123">
        <v>120761</v>
      </c>
    </row>
    <row r="145" spans="1:40" s="123" customFormat="1" ht="16.2" thickBot="1" x14ac:dyDescent="0.35">
      <c r="A145" s="27"/>
      <c r="B145" s="217" t="s">
        <v>72</v>
      </c>
      <c r="C145" s="31" t="str">
        <f>VLOOKUP((CONCATENATE(B145)),ID!$A$2:$D$305,3,0)</f>
        <v>RL021</v>
      </c>
      <c r="D145" s="27">
        <v>1</v>
      </c>
      <c r="E145" s="27" t="s">
        <v>4057</v>
      </c>
      <c r="F145" s="27" t="s">
        <v>1117</v>
      </c>
      <c r="G145" s="27" t="s">
        <v>3853</v>
      </c>
      <c r="H145" s="94">
        <v>5114</v>
      </c>
      <c r="I145" s="47">
        <v>5148</v>
      </c>
      <c r="J145" s="47">
        <v>5154</v>
      </c>
      <c r="K145" s="27">
        <v>1</v>
      </c>
      <c r="L145" s="47">
        <v>5156</v>
      </c>
      <c r="M145" s="47">
        <v>5164</v>
      </c>
      <c r="N145" s="47">
        <v>5164</v>
      </c>
      <c r="O145" s="27" t="s">
        <v>3795</v>
      </c>
      <c r="P145" s="194">
        <v>1</v>
      </c>
      <c r="Q145" s="21">
        <v>1</v>
      </c>
      <c r="R145" s="39" t="str">
        <f t="shared" si="44"/>
        <v>-</v>
      </c>
      <c r="S145" s="120">
        <f t="shared" si="3"/>
        <v>222221</v>
      </c>
      <c r="T145" s="123">
        <v>253387</v>
      </c>
      <c r="U145" s="123">
        <f>53313</f>
        <v>53313</v>
      </c>
      <c r="V145" s="123">
        <f>T145-U145</f>
        <v>200074</v>
      </c>
      <c r="W145" s="122" t="str">
        <f t="shared" si="34"/>
        <v>1</v>
      </c>
      <c r="X145" s="123">
        <f>Y145+Z145</f>
        <v>31166</v>
      </c>
      <c r="Y145" s="123">
        <v>0</v>
      </c>
      <c r="Z145" s="123">
        <v>31166</v>
      </c>
      <c r="AA145" s="122" t="str">
        <f t="shared" si="35"/>
        <v>1</v>
      </c>
      <c r="AB145" s="120">
        <f t="shared" si="4"/>
        <v>0</v>
      </c>
      <c r="AC145" s="123">
        <v>0</v>
      </c>
      <c r="AD145" s="123">
        <v>0</v>
      </c>
      <c r="AE145" s="123">
        <v>5932</v>
      </c>
      <c r="AG145" s="151">
        <f t="shared" si="48"/>
        <v>80566</v>
      </c>
      <c r="AH145" s="123">
        <f>107056-3956-21234-278</f>
        <v>81588</v>
      </c>
      <c r="AL145" s="123">
        <v>1022</v>
      </c>
      <c r="AM145" s="123">
        <v>254837</v>
      </c>
      <c r="AN145" s="123">
        <v>250256</v>
      </c>
    </row>
    <row r="146" spans="1:40" s="123" customFormat="1" ht="16.2" thickBot="1" x14ac:dyDescent="0.35">
      <c r="A146" s="27"/>
      <c r="B146" s="217" t="s">
        <v>73</v>
      </c>
      <c r="C146" s="31" t="str">
        <f>VLOOKUP((CONCATENATE(B146)),ID!$A$2:$D$305,3,0)</f>
        <v>RL022</v>
      </c>
      <c r="D146" s="27">
        <v>1</v>
      </c>
      <c r="E146" s="27" t="s">
        <v>4057</v>
      </c>
      <c r="F146" s="27" t="s">
        <v>1117</v>
      </c>
      <c r="G146" s="27" t="s">
        <v>3797</v>
      </c>
      <c r="H146" s="94">
        <v>3834</v>
      </c>
      <c r="I146" s="47">
        <v>3974</v>
      </c>
      <c r="J146" s="47">
        <v>3939</v>
      </c>
      <c r="K146" s="27">
        <v>0</v>
      </c>
      <c r="L146" s="47"/>
      <c r="M146" s="47"/>
      <c r="N146" s="47">
        <v>3986</v>
      </c>
      <c r="O146" s="27" t="s">
        <v>3796</v>
      </c>
      <c r="P146" s="194">
        <v>0</v>
      </c>
      <c r="Q146" s="21">
        <v>1</v>
      </c>
      <c r="R146" s="39" t="str">
        <f t="shared" si="44"/>
        <v>-</v>
      </c>
      <c r="S146" s="120">
        <f t="shared" si="3"/>
        <v>-98</v>
      </c>
      <c r="T146" s="123">
        <v>362994</v>
      </c>
      <c r="U146" s="123">
        <f>17898+8414</f>
        <v>26312</v>
      </c>
      <c r="V146" s="123">
        <f>T146-U146</f>
        <v>336682</v>
      </c>
      <c r="W146" s="122" t="str">
        <f t="shared" si="34"/>
        <v>1</v>
      </c>
      <c r="X146" s="123">
        <f>Y146+Z146</f>
        <v>363092</v>
      </c>
      <c r="Y146" s="123">
        <v>98</v>
      </c>
      <c r="Z146" s="123">
        <v>362994</v>
      </c>
      <c r="AA146" s="122" t="str">
        <f t="shared" si="35"/>
        <v>1</v>
      </c>
      <c r="AB146" s="120">
        <f t="shared" si="4"/>
        <v>0</v>
      </c>
      <c r="AC146" s="123">
        <v>0</v>
      </c>
      <c r="AD146" s="123">
        <v>0</v>
      </c>
      <c r="AE146" s="123">
        <v>98</v>
      </c>
      <c r="AG146" s="151">
        <f t="shared" si="48"/>
        <v>156585</v>
      </c>
      <c r="AH146" s="123">
        <v>216991</v>
      </c>
      <c r="AL146" s="123">
        <f>50862+8498+1046</f>
        <v>60406</v>
      </c>
      <c r="AM146" s="123">
        <v>78434</v>
      </c>
    </row>
    <row r="147" spans="1:40" s="123" customFormat="1" ht="16.2" thickBot="1" x14ac:dyDescent="0.35">
      <c r="A147" s="27">
        <v>22.1</v>
      </c>
      <c r="B147" s="217" t="s">
        <v>73</v>
      </c>
      <c r="C147" s="31" t="str">
        <f>VLOOKUP((CONCATENATE(B147)),ID!$A$2:$D$305,3,0)</f>
        <v>RL022</v>
      </c>
      <c r="D147" s="27">
        <v>1</v>
      </c>
      <c r="E147" s="27" t="s">
        <v>4057</v>
      </c>
      <c r="F147" s="27" t="s">
        <v>1117</v>
      </c>
      <c r="G147" s="27" t="s">
        <v>3797</v>
      </c>
      <c r="H147" s="94">
        <v>4199</v>
      </c>
      <c r="I147" s="27"/>
      <c r="J147" s="27"/>
      <c r="K147" s="27"/>
      <c r="L147" s="27"/>
      <c r="M147" s="28"/>
      <c r="N147" s="27"/>
      <c r="O147" s="27" t="s">
        <v>3796</v>
      </c>
      <c r="P147" s="194" t="str">
        <f t="shared" si="47"/>
        <v>?</v>
      </c>
      <c r="Q147" s="21">
        <v>1</v>
      </c>
      <c r="R147" s="39" t="str">
        <f t="shared" si="44"/>
        <v>-</v>
      </c>
      <c r="S147" s="120">
        <f t="shared" si="3"/>
        <v>0</v>
      </c>
      <c r="W147" s="122" t="str">
        <f t="shared" si="34"/>
        <v>1</v>
      </c>
      <c r="AA147" s="122" t="str">
        <f t="shared" si="35"/>
        <v>1</v>
      </c>
      <c r="AB147" s="120">
        <f t="shared" si="4"/>
        <v>0</v>
      </c>
      <c r="AG147" s="151"/>
    </row>
    <row r="148" spans="1:40" s="133" customFormat="1" ht="16.2" thickBot="1" x14ac:dyDescent="0.35">
      <c r="A148" s="27">
        <v>22.2</v>
      </c>
      <c r="B148" s="217" t="s">
        <v>73</v>
      </c>
      <c r="C148" s="31" t="str">
        <f>VLOOKUP((CONCATENATE(B148)),ID!$A$2:$D$305,3,0)</f>
        <v>RL022</v>
      </c>
      <c r="D148" s="27">
        <v>1</v>
      </c>
      <c r="E148" s="27" t="s">
        <v>4057</v>
      </c>
      <c r="F148" s="27" t="s">
        <v>1117</v>
      </c>
      <c r="G148" s="27" t="s">
        <v>3797</v>
      </c>
      <c r="H148" s="94">
        <v>4565</v>
      </c>
      <c r="I148" s="47">
        <v>4667</v>
      </c>
      <c r="J148" s="47">
        <v>4659</v>
      </c>
      <c r="K148" s="27">
        <v>1</v>
      </c>
      <c r="L148" s="47">
        <v>4662</v>
      </c>
      <c r="M148" s="48">
        <v>4676</v>
      </c>
      <c r="N148" s="47">
        <v>4678</v>
      </c>
      <c r="O148" s="27" t="s">
        <v>3796</v>
      </c>
      <c r="P148" s="194" t="str">
        <f t="shared" si="47"/>
        <v>1</v>
      </c>
      <c r="Q148" s="21">
        <v>1</v>
      </c>
      <c r="R148" s="39" t="str">
        <f t="shared" si="44"/>
        <v>-</v>
      </c>
      <c r="S148" s="120">
        <f t="shared" ref="S148:S272" si="50">T148-X148</f>
        <v>31986</v>
      </c>
      <c r="T148" s="123">
        <v>163989</v>
      </c>
      <c r="U148" s="123">
        <v>87461</v>
      </c>
      <c r="V148" s="123">
        <f>T148-U148</f>
        <v>76528</v>
      </c>
      <c r="W148" s="122" t="str">
        <f t="shared" si="34"/>
        <v>1</v>
      </c>
      <c r="X148" s="123">
        <f>T148-31986</f>
        <v>132003</v>
      </c>
      <c r="Y148" s="123">
        <v>0</v>
      </c>
      <c r="Z148" s="123">
        <f>X148</f>
        <v>132003</v>
      </c>
      <c r="AA148" s="122" t="str">
        <f t="shared" si="35"/>
        <v>1</v>
      </c>
      <c r="AB148" s="120">
        <f t="shared" ref="AB148:AB272" si="51">SUM(AC148+AD148)</f>
        <v>0</v>
      </c>
      <c r="AC148" s="123">
        <v>0</v>
      </c>
      <c r="AD148" s="123">
        <v>0</v>
      </c>
      <c r="AE148" s="123">
        <v>29003</v>
      </c>
      <c r="AF148" s="123"/>
      <c r="AG148" s="151">
        <f t="shared" ref="AG148:AG157" si="52">AH148-AL148</f>
        <v>85181</v>
      </c>
      <c r="AH148" s="134">
        <f>146866-8019</f>
        <v>138847</v>
      </c>
      <c r="AI148" s="123"/>
      <c r="AJ148" s="123">
        <f>19347+41865</f>
        <v>61212</v>
      </c>
      <c r="AK148" s="123"/>
      <c r="AL148" s="123">
        <f>333+53333</f>
        <v>53666</v>
      </c>
      <c r="AM148" s="123">
        <v>252001</v>
      </c>
      <c r="AN148" s="123"/>
    </row>
    <row r="149" spans="1:40" s="133" customFormat="1" ht="16.2" thickBot="1" x14ac:dyDescent="0.35">
      <c r="A149" s="27"/>
      <c r="B149" s="217" t="s">
        <v>73</v>
      </c>
      <c r="C149" s="31" t="str">
        <f>VLOOKUP((CONCATENATE(B149)),ID!$A$2:$D$305,3,0)</f>
        <v>RL022</v>
      </c>
      <c r="D149" s="27">
        <v>1</v>
      </c>
      <c r="E149" s="27" t="s">
        <v>4057</v>
      </c>
      <c r="F149" s="27" t="s">
        <v>1117</v>
      </c>
      <c r="G149" s="27" t="s">
        <v>3797</v>
      </c>
      <c r="H149" s="94">
        <v>4930</v>
      </c>
      <c r="I149" s="47">
        <v>5032</v>
      </c>
      <c r="J149" s="47">
        <v>5029</v>
      </c>
      <c r="K149" s="27">
        <v>1</v>
      </c>
      <c r="L149" s="47">
        <v>5029</v>
      </c>
      <c r="M149" s="48">
        <v>5043</v>
      </c>
      <c r="N149" s="47">
        <v>5043</v>
      </c>
      <c r="O149" s="27" t="s">
        <v>3796</v>
      </c>
      <c r="P149" s="194" t="str">
        <f t="shared" si="47"/>
        <v>1</v>
      </c>
      <c r="Q149" s="21">
        <v>1</v>
      </c>
      <c r="R149" s="39" t="str">
        <f t="shared" si="44"/>
        <v>-</v>
      </c>
      <c r="S149" s="120">
        <f t="shared" si="50"/>
        <v>2208</v>
      </c>
      <c r="T149" s="123">
        <v>166090</v>
      </c>
      <c r="U149" s="123">
        <v>97823</v>
      </c>
      <c r="V149" s="123">
        <f>T149-U149</f>
        <v>68267</v>
      </c>
      <c r="W149" s="122" t="str">
        <f t="shared" si="34"/>
        <v>1</v>
      </c>
      <c r="X149" s="123">
        <f>T149-2208</f>
        <v>163882</v>
      </c>
      <c r="Y149" s="123">
        <v>0</v>
      </c>
      <c r="Z149" s="123">
        <f>X149</f>
        <v>163882</v>
      </c>
      <c r="AA149" s="122" t="str">
        <f t="shared" si="35"/>
        <v>1</v>
      </c>
      <c r="AB149" s="120">
        <f t="shared" si="51"/>
        <v>0</v>
      </c>
      <c r="AC149" s="123">
        <v>0</v>
      </c>
      <c r="AD149" s="123">
        <v>0</v>
      </c>
      <c r="AE149" s="123">
        <v>27248</v>
      </c>
      <c r="AF149" s="123"/>
      <c r="AG149" s="151">
        <f t="shared" si="52"/>
        <v>79780</v>
      </c>
      <c r="AH149" s="134">
        <f>142165-4654</f>
        <v>137511</v>
      </c>
      <c r="AI149" s="123"/>
      <c r="AJ149" s="123">
        <f>43000+19350</f>
        <v>62350</v>
      </c>
      <c r="AK149" s="123"/>
      <c r="AL149" s="123">
        <f>4378+53353</f>
        <v>57731</v>
      </c>
      <c r="AM149" s="123">
        <v>251711</v>
      </c>
      <c r="AN149" s="123"/>
    </row>
    <row r="150" spans="1:40" s="133" customFormat="1" ht="16.2" thickBot="1" x14ac:dyDescent="0.35">
      <c r="A150" s="27"/>
      <c r="B150" s="212" t="s">
        <v>78</v>
      </c>
      <c r="C150" s="31" t="str">
        <f>VLOOKUP((CONCATENATE(B150)),ID!$A$2:$D$305,3,0)</f>
        <v>RL023</v>
      </c>
      <c r="D150" s="27">
        <v>0</v>
      </c>
      <c r="E150" s="27" t="s">
        <v>4057</v>
      </c>
      <c r="F150" s="27" t="s">
        <v>1117</v>
      </c>
      <c r="G150" s="27" t="s">
        <v>3853</v>
      </c>
      <c r="H150" s="94">
        <v>3653</v>
      </c>
      <c r="I150" s="47">
        <v>3667</v>
      </c>
      <c r="J150" s="47">
        <v>3656</v>
      </c>
      <c r="K150" s="27">
        <v>1</v>
      </c>
      <c r="L150" s="47">
        <v>3677</v>
      </c>
      <c r="M150" s="48">
        <v>3685</v>
      </c>
      <c r="N150" s="38">
        <v>3685</v>
      </c>
      <c r="O150" s="56" t="s">
        <v>3798</v>
      </c>
      <c r="P150" s="194">
        <v>1</v>
      </c>
      <c r="Q150" s="21">
        <v>1</v>
      </c>
      <c r="R150" s="39" t="str">
        <f t="shared" si="44"/>
        <v>-</v>
      </c>
      <c r="S150" s="120">
        <f t="shared" si="50"/>
        <v>39440</v>
      </c>
      <c r="T150" s="123">
        <v>95036</v>
      </c>
      <c r="U150" s="123">
        <v>66219</v>
      </c>
      <c r="V150" s="123">
        <f>T150-U150</f>
        <v>28817</v>
      </c>
      <c r="W150" s="122" t="str">
        <f t="shared" si="34"/>
        <v>1</v>
      </c>
      <c r="X150" s="123">
        <f>Y150+Z150</f>
        <v>55596</v>
      </c>
      <c r="Y150" s="123">
        <v>0</v>
      </c>
      <c r="Z150" s="123">
        <f>T150-5477-33963</f>
        <v>55596</v>
      </c>
      <c r="AA150" s="122" t="str">
        <f t="shared" si="35"/>
        <v>1</v>
      </c>
      <c r="AB150" s="120">
        <f t="shared" si="51"/>
        <v>31500</v>
      </c>
      <c r="AC150" s="123">
        <v>0</v>
      </c>
      <c r="AD150" s="123">
        <v>31500</v>
      </c>
      <c r="AE150" s="123">
        <v>8022</v>
      </c>
      <c r="AF150" s="123"/>
      <c r="AG150" s="151">
        <f t="shared" si="52"/>
        <v>34052</v>
      </c>
      <c r="AH150" s="134">
        <f>48609-275</f>
        <v>48334</v>
      </c>
      <c r="AI150" s="123"/>
      <c r="AJ150" s="123"/>
      <c r="AK150" s="123"/>
      <c r="AL150" s="123">
        <f>646+13636</f>
        <v>14282</v>
      </c>
      <c r="AM150" s="123">
        <v>89884</v>
      </c>
      <c r="AN150" s="123">
        <v>85098</v>
      </c>
    </row>
    <row r="151" spans="1:40" s="133" customFormat="1" ht="16.2" thickBot="1" x14ac:dyDescent="0.35">
      <c r="A151" s="27"/>
      <c r="B151" s="212" t="s">
        <v>78</v>
      </c>
      <c r="C151" s="31" t="str">
        <f>VLOOKUP((CONCATENATE(B151)),ID!$A$2:$D$305,3,0)</f>
        <v>RL023</v>
      </c>
      <c r="D151" s="27">
        <v>0</v>
      </c>
      <c r="E151" s="27" t="s">
        <v>4057</v>
      </c>
      <c r="F151" s="27" t="s">
        <v>1117</v>
      </c>
      <c r="G151" s="27" t="s">
        <v>3853</v>
      </c>
      <c r="H151" s="94">
        <v>3834</v>
      </c>
      <c r="I151" s="47">
        <v>3842</v>
      </c>
      <c r="J151" s="47">
        <v>3847</v>
      </c>
      <c r="K151" s="27">
        <v>1</v>
      </c>
      <c r="L151" s="47">
        <v>3850</v>
      </c>
      <c r="M151" s="48">
        <v>3860</v>
      </c>
      <c r="N151" s="38">
        <v>3860</v>
      </c>
      <c r="O151" s="56" t="s">
        <v>3798</v>
      </c>
      <c r="P151" s="194">
        <v>1</v>
      </c>
      <c r="Q151" s="21">
        <v>1</v>
      </c>
      <c r="R151" s="39" t="str">
        <f t="shared" si="44"/>
        <v>-</v>
      </c>
      <c r="S151" s="120">
        <f t="shared" si="50"/>
        <v>37130</v>
      </c>
      <c r="T151" s="123">
        <v>94635</v>
      </c>
      <c r="U151" s="123">
        <v>71304</v>
      </c>
      <c r="V151" s="123">
        <f>T151-U151</f>
        <v>23331</v>
      </c>
      <c r="W151" s="122" t="str">
        <f t="shared" si="34"/>
        <v>1</v>
      </c>
      <c r="X151" s="123">
        <f>T151-5945-31185</f>
        <v>57505</v>
      </c>
      <c r="Y151" s="123">
        <v>0</v>
      </c>
      <c r="Z151" s="123">
        <f t="shared" ref="Z151:Z157" si="53">X151</f>
        <v>57505</v>
      </c>
      <c r="AA151" s="122" t="str">
        <f t="shared" si="35"/>
        <v>1</v>
      </c>
      <c r="AB151" s="120">
        <f t="shared" si="51"/>
        <v>38000</v>
      </c>
      <c r="AC151" s="123">
        <v>0</v>
      </c>
      <c r="AD151" s="123">
        <v>38000</v>
      </c>
      <c r="AE151" s="123">
        <v>6249</v>
      </c>
      <c r="AF151" s="123"/>
      <c r="AG151" s="151">
        <f t="shared" si="52"/>
        <v>31974</v>
      </c>
      <c r="AH151" s="151">
        <f>46619-287</f>
        <v>46332</v>
      </c>
      <c r="AI151" s="123"/>
      <c r="AJ151" s="123"/>
      <c r="AK151" s="123"/>
      <c r="AL151" s="123">
        <f>13636+722</f>
        <v>14358</v>
      </c>
      <c r="AM151" s="123">
        <v>88832</v>
      </c>
      <c r="AN151" s="123">
        <v>84007</v>
      </c>
    </row>
    <row r="152" spans="1:40" s="123" customFormat="1" ht="16.2" thickBot="1" x14ac:dyDescent="0.35">
      <c r="A152" s="27">
        <v>23.1</v>
      </c>
      <c r="B152" s="217" t="s">
        <v>78</v>
      </c>
      <c r="C152" s="31" t="str">
        <f>VLOOKUP((CONCATENATE(B152)),ID!$A$2:$D$305,3,0)</f>
        <v>RL023</v>
      </c>
      <c r="D152" s="27">
        <v>0</v>
      </c>
      <c r="E152" s="27" t="s">
        <v>4057</v>
      </c>
      <c r="F152" s="27" t="s">
        <v>1117</v>
      </c>
      <c r="G152" s="27" t="s">
        <v>3853</v>
      </c>
      <c r="H152" s="94">
        <v>4018</v>
      </c>
      <c r="I152" s="47">
        <v>4030</v>
      </c>
      <c r="J152" s="47">
        <v>4037</v>
      </c>
      <c r="K152" s="27">
        <v>1</v>
      </c>
      <c r="L152" s="47">
        <v>4039</v>
      </c>
      <c r="M152" s="48">
        <v>4049</v>
      </c>
      <c r="N152" s="47">
        <v>4049</v>
      </c>
      <c r="O152" s="56" t="s">
        <v>3798</v>
      </c>
      <c r="P152" s="194">
        <v>1</v>
      </c>
      <c r="Q152" s="21">
        <v>1</v>
      </c>
      <c r="R152" s="39" t="str">
        <f t="shared" si="44"/>
        <v>-</v>
      </c>
      <c r="S152" s="120">
        <f t="shared" si="50"/>
        <v>41351</v>
      </c>
      <c r="T152" s="123">
        <v>97573</v>
      </c>
      <c r="U152" s="123">
        <v>72415</v>
      </c>
      <c r="V152" s="123">
        <f>T152-U152</f>
        <v>25158</v>
      </c>
      <c r="W152" s="122" t="str">
        <f t="shared" si="34"/>
        <v>1</v>
      </c>
      <c r="X152" s="123">
        <f>164+4545+14613+36900</f>
        <v>56222</v>
      </c>
      <c r="Y152" s="123">
        <v>0</v>
      </c>
      <c r="Z152" s="123">
        <f t="shared" si="53"/>
        <v>56222</v>
      </c>
      <c r="AA152" s="122" t="str">
        <f t="shared" si="35"/>
        <v>1</v>
      </c>
      <c r="AB152" s="120">
        <f t="shared" si="51"/>
        <v>36000</v>
      </c>
      <c r="AC152" s="123">
        <v>0</v>
      </c>
      <c r="AD152" s="123">
        <v>36000</v>
      </c>
      <c r="AE152" s="123">
        <v>7939</v>
      </c>
      <c r="AG152" s="151">
        <f t="shared" si="52"/>
        <v>34905</v>
      </c>
      <c r="AH152" s="123">
        <f>49636-287</f>
        <v>49349</v>
      </c>
      <c r="AL152" s="123">
        <f>807+13637</f>
        <v>14444</v>
      </c>
      <c r="AM152" s="123">
        <v>91548</v>
      </c>
      <c r="AN152" s="123">
        <v>86755</v>
      </c>
    </row>
    <row r="153" spans="1:40" s="123" customFormat="1" ht="16.2" thickBot="1" x14ac:dyDescent="0.35">
      <c r="A153" s="27">
        <v>23.2</v>
      </c>
      <c r="B153" s="217" t="s">
        <v>78</v>
      </c>
      <c r="C153" s="31" t="str">
        <f>VLOOKUP((CONCATENATE(B153)),ID!$A$2:$D$305,3,0)</f>
        <v>RL023</v>
      </c>
      <c r="D153" s="27">
        <v>0</v>
      </c>
      <c r="E153" s="27" t="s">
        <v>4057</v>
      </c>
      <c r="F153" s="27" t="s">
        <v>1117</v>
      </c>
      <c r="G153" s="27" t="s">
        <v>3853</v>
      </c>
      <c r="H153" s="94">
        <v>4199</v>
      </c>
      <c r="I153" s="47">
        <v>4206</v>
      </c>
      <c r="J153" s="47">
        <v>4211</v>
      </c>
      <c r="K153" s="27">
        <v>1</v>
      </c>
      <c r="L153" s="47">
        <v>4214</v>
      </c>
      <c r="M153" s="48">
        <v>4224</v>
      </c>
      <c r="N153" s="47">
        <v>4224</v>
      </c>
      <c r="O153" s="56" t="s">
        <v>3798</v>
      </c>
      <c r="P153" s="194">
        <v>1</v>
      </c>
      <c r="Q153" s="21">
        <v>1</v>
      </c>
      <c r="R153" s="39" t="str">
        <f t="shared" si="44"/>
        <v>-</v>
      </c>
      <c r="S153" s="120">
        <f t="shared" si="50"/>
        <v>44792</v>
      </c>
      <c r="T153" s="123">
        <v>65017</v>
      </c>
      <c r="U153" s="123">
        <f>T153-V153</f>
        <v>35933</v>
      </c>
      <c r="V153" s="123">
        <f>5858+10447+12779</f>
        <v>29084</v>
      </c>
      <c r="W153" s="122" t="str">
        <f t="shared" si="34"/>
        <v>1</v>
      </c>
      <c r="X153" s="123">
        <f>179+4545+15501</f>
        <v>20225</v>
      </c>
      <c r="Y153" s="123">
        <v>0</v>
      </c>
      <c r="Z153" s="123">
        <f t="shared" si="53"/>
        <v>20225</v>
      </c>
      <c r="AA153" s="122" t="str">
        <f t="shared" si="35"/>
        <v>1</v>
      </c>
      <c r="AB153" s="120">
        <f t="shared" si="51"/>
        <v>0</v>
      </c>
      <c r="AC153" s="123">
        <v>0</v>
      </c>
      <c r="AD153" s="123">
        <v>0</v>
      </c>
      <c r="AE153" s="123">
        <v>12779</v>
      </c>
      <c r="AG153" s="151">
        <f t="shared" si="52"/>
        <v>36563</v>
      </c>
      <c r="AH153" s="123">
        <f>51135-287</f>
        <v>50848</v>
      </c>
      <c r="AL153" s="123">
        <f>649+13636</f>
        <v>14285</v>
      </c>
      <c r="AM153" s="123">
        <v>93873</v>
      </c>
      <c r="AN153" s="123">
        <v>88194</v>
      </c>
    </row>
    <row r="154" spans="1:40" s="123" customFormat="1" ht="16.2" thickBot="1" x14ac:dyDescent="0.35">
      <c r="A154" s="56">
        <v>23.3</v>
      </c>
      <c r="B154" s="212" t="s">
        <v>78</v>
      </c>
      <c r="C154" s="31" t="str">
        <f>VLOOKUP((CONCATENATE(B154)),ID!$A$2:$D$305,3,0)</f>
        <v>RL023</v>
      </c>
      <c r="D154" s="21">
        <v>0</v>
      </c>
      <c r="E154" s="21" t="s">
        <v>4057</v>
      </c>
      <c r="F154" s="21" t="s">
        <v>1117</v>
      </c>
      <c r="G154" s="21" t="s">
        <v>3853</v>
      </c>
      <c r="H154" s="94">
        <v>4383</v>
      </c>
      <c r="I154" s="57">
        <v>4395</v>
      </c>
      <c r="J154" s="81">
        <v>4400</v>
      </c>
      <c r="K154" s="56">
        <v>1</v>
      </c>
      <c r="L154" s="57">
        <v>4403</v>
      </c>
      <c r="M154" s="59">
        <v>4413</v>
      </c>
      <c r="N154" s="57">
        <v>4413</v>
      </c>
      <c r="O154" s="56" t="s">
        <v>3798</v>
      </c>
      <c r="P154" s="194">
        <v>1</v>
      </c>
      <c r="Q154" s="21">
        <v>1</v>
      </c>
      <c r="R154" s="39" t="str">
        <f t="shared" si="44"/>
        <v>-</v>
      </c>
      <c r="S154" s="120">
        <f t="shared" si="50"/>
        <v>45155</v>
      </c>
      <c r="T154" s="123">
        <v>65881</v>
      </c>
      <c r="U154" s="123">
        <v>41221</v>
      </c>
      <c r="V154" s="123">
        <f>T154-U154</f>
        <v>24660</v>
      </c>
      <c r="W154" s="122" t="str">
        <f t="shared" si="34"/>
        <v>1</v>
      </c>
      <c r="X154" s="123">
        <f>15916+4545+265</f>
        <v>20726</v>
      </c>
      <c r="Y154" s="123">
        <v>0</v>
      </c>
      <c r="Z154" s="123">
        <f t="shared" si="53"/>
        <v>20726</v>
      </c>
      <c r="AA154" s="122" t="str">
        <f t="shared" si="35"/>
        <v>1</v>
      </c>
      <c r="AB154" s="120">
        <f t="shared" si="51"/>
        <v>0</v>
      </c>
      <c r="AC154" s="123">
        <v>0</v>
      </c>
      <c r="AD154" s="123">
        <v>0</v>
      </c>
      <c r="AE154" s="134">
        <v>7589</v>
      </c>
      <c r="AG154" s="151">
        <f t="shared" si="52"/>
        <v>33867</v>
      </c>
      <c r="AH154" s="123">
        <f>47748-287+42</f>
        <v>47503</v>
      </c>
      <c r="AL154" s="123">
        <v>13636</v>
      </c>
      <c r="AM154" s="123">
        <v>91039</v>
      </c>
      <c r="AN154" s="123">
        <v>85892</v>
      </c>
    </row>
    <row r="155" spans="1:40" s="123" customFormat="1" ht="16.2" thickBot="1" x14ac:dyDescent="0.35">
      <c r="A155" s="51">
        <v>23.4</v>
      </c>
      <c r="B155" s="212" t="s">
        <v>78</v>
      </c>
      <c r="C155" s="31" t="str">
        <f>VLOOKUP((CONCATENATE(B155)),ID!$A$2:$D$305,3,0)</f>
        <v>RL023</v>
      </c>
      <c r="D155" s="27">
        <v>0</v>
      </c>
      <c r="E155" s="27" t="s">
        <v>4057</v>
      </c>
      <c r="F155" s="27" t="s">
        <v>1117</v>
      </c>
      <c r="G155" s="27" t="s">
        <v>3853</v>
      </c>
      <c r="H155" s="94">
        <v>4565</v>
      </c>
      <c r="I155" s="57">
        <v>4577</v>
      </c>
      <c r="J155" s="57">
        <v>4574</v>
      </c>
      <c r="K155" s="56">
        <v>1</v>
      </c>
      <c r="L155" s="57">
        <v>4578</v>
      </c>
      <c r="M155" s="59">
        <v>4588</v>
      </c>
      <c r="N155" s="57">
        <v>4588</v>
      </c>
      <c r="O155" s="56" t="s">
        <v>3798</v>
      </c>
      <c r="P155" s="194">
        <v>1</v>
      </c>
      <c r="Q155" s="21">
        <v>1</v>
      </c>
      <c r="R155" s="39" t="str">
        <f t="shared" si="44"/>
        <v>-</v>
      </c>
      <c r="S155" s="120">
        <f t="shared" si="50"/>
        <v>44173</v>
      </c>
      <c r="T155" s="123">
        <v>64574</v>
      </c>
      <c r="U155" s="123">
        <v>42651</v>
      </c>
      <c r="V155" s="123">
        <f>T155-U155</f>
        <v>21923</v>
      </c>
      <c r="W155" s="122" t="str">
        <f t="shared" si="34"/>
        <v>1</v>
      </c>
      <c r="X155" s="123">
        <f>1000+14466+4545+390</f>
        <v>20401</v>
      </c>
      <c r="Y155" s="123">
        <v>0</v>
      </c>
      <c r="Z155" s="123">
        <f t="shared" si="53"/>
        <v>20401</v>
      </c>
      <c r="AA155" s="122" t="str">
        <f t="shared" si="35"/>
        <v>1</v>
      </c>
      <c r="AB155" s="120">
        <f t="shared" si="51"/>
        <v>1000</v>
      </c>
      <c r="AC155" s="123">
        <v>0</v>
      </c>
      <c r="AD155" s="123">
        <v>1000</v>
      </c>
      <c r="AE155" s="123">
        <v>5158</v>
      </c>
      <c r="AG155" s="151">
        <f t="shared" si="52"/>
        <v>31381</v>
      </c>
      <c r="AH155" s="123">
        <f>45341-287</f>
        <v>45054</v>
      </c>
      <c r="AL155" s="123">
        <f>13636+37</f>
        <v>13673</v>
      </c>
      <c r="AM155" s="123">
        <v>87925</v>
      </c>
      <c r="AN155" s="123">
        <f>76118+5537+547</f>
        <v>82202</v>
      </c>
    </row>
    <row r="156" spans="1:40" s="123" customFormat="1" ht="16.2" thickBot="1" x14ac:dyDescent="0.35">
      <c r="A156" s="168"/>
      <c r="B156" s="212" t="s">
        <v>78</v>
      </c>
      <c r="C156" s="31" t="str">
        <f>VLOOKUP((CONCATENATE(B156)),ID!$A$2:$D$305,3,0)</f>
        <v>RL023</v>
      </c>
      <c r="D156" s="27">
        <v>0</v>
      </c>
      <c r="E156" s="27" t="s">
        <v>4057</v>
      </c>
      <c r="F156" s="27" t="s">
        <v>1117</v>
      </c>
      <c r="G156" s="27" t="s">
        <v>3853</v>
      </c>
      <c r="H156" s="94">
        <v>4749</v>
      </c>
      <c r="I156" s="57">
        <v>4773</v>
      </c>
      <c r="J156" s="57">
        <v>4771</v>
      </c>
      <c r="K156" s="56">
        <v>1</v>
      </c>
      <c r="L156" s="57">
        <v>4787</v>
      </c>
      <c r="M156" s="59">
        <v>4791</v>
      </c>
      <c r="N156" s="57">
        <v>4791</v>
      </c>
      <c r="O156" s="56" t="s">
        <v>3798</v>
      </c>
      <c r="P156" s="194">
        <v>1</v>
      </c>
      <c r="Q156" s="21">
        <v>1</v>
      </c>
      <c r="R156" s="39" t="str">
        <f t="shared" si="44"/>
        <v>-</v>
      </c>
      <c r="S156" s="120">
        <f t="shared" si="50"/>
        <v>39070</v>
      </c>
      <c r="T156" s="123">
        <v>66376</v>
      </c>
      <c r="U156" s="123">
        <v>45251</v>
      </c>
      <c r="V156" s="123">
        <f>T156-U156</f>
        <v>21125</v>
      </c>
      <c r="W156" s="122" t="str">
        <f t="shared" si="34"/>
        <v>1</v>
      </c>
      <c r="X156" s="123">
        <f>T156-27538-11532</f>
        <v>27306</v>
      </c>
      <c r="Y156" s="123">
        <v>0</v>
      </c>
      <c r="Z156" s="123">
        <f t="shared" si="53"/>
        <v>27306</v>
      </c>
      <c r="AA156" s="122" t="str">
        <f t="shared" si="35"/>
        <v>1</v>
      </c>
      <c r="AB156" s="120">
        <f t="shared" si="51"/>
        <v>10000</v>
      </c>
      <c r="AC156" s="123">
        <v>10000</v>
      </c>
      <c r="AD156" s="123">
        <v>0</v>
      </c>
      <c r="AE156" s="123">
        <v>5227</v>
      </c>
      <c r="AG156" s="151">
        <f t="shared" si="52"/>
        <v>28401</v>
      </c>
      <c r="AH156" s="123">
        <f>40936-287</f>
        <v>40649</v>
      </c>
      <c r="AL156" s="123">
        <f>12080+168</f>
        <v>12248</v>
      </c>
      <c r="AM156" s="123">
        <v>82877</v>
      </c>
      <c r="AN156" s="123">
        <v>71395</v>
      </c>
    </row>
    <row r="157" spans="1:40" s="123" customFormat="1" ht="16.2" thickBot="1" x14ac:dyDescent="0.35">
      <c r="A157" s="168"/>
      <c r="B157" s="212" t="s">
        <v>78</v>
      </c>
      <c r="C157" s="31" t="str">
        <f>VLOOKUP((CONCATENATE(B157)),ID!$A$2:$D$305,3,0)</f>
        <v>RL023</v>
      </c>
      <c r="D157" s="27">
        <v>1</v>
      </c>
      <c r="E157" s="27" t="s">
        <v>4057</v>
      </c>
      <c r="F157" s="27" t="s">
        <v>1117</v>
      </c>
      <c r="G157" s="27" t="s">
        <v>3853</v>
      </c>
      <c r="H157" s="94">
        <v>5114</v>
      </c>
      <c r="I157" s="57">
        <v>5147</v>
      </c>
      <c r="J157" s="57">
        <v>5151</v>
      </c>
      <c r="K157" s="56">
        <v>1</v>
      </c>
      <c r="L157" s="57">
        <v>5155</v>
      </c>
      <c r="M157" s="59">
        <v>5163</v>
      </c>
      <c r="N157" s="57">
        <v>5163</v>
      </c>
      <c r="O157" s="56" t="s">
        <v>4092</v>
      </c>
      <c r="P157" s="194" t="str">
        <f t="shared" si="47"/>
        <v>1</v>
      </c>
      <c r="Q157" s="21">
        <v>1</v>
      </c>
      <c r="R157" s="39" t="str">
        <f t="shared" si="44"/>
        <v>-</v>
      </c>
      <c r="S157" s="120">
        <f t="shared" si="50"/>
        <v>23216</v>
      </c>
      <c r="T157" s="123">
        <v>71578</v>
      </c>
      <c r="U157" s="123">
        <v>53009</v>
      </c>
      <c r="V157" s="123">
        <f>T157-U157</f>
        <v>18569</v>
      </c>
      <c r="W157" s="122" t="str">
        <f t="shared" si="34"/>
        <v>1</v>
      </c>
      <c r="X157" s="123">
        <f>T157-14602-8614</f>
        <v>48362</v>
      </c>
      <c r="Y157" s="123">
        <v>0</v>
      </c>
      <c r="Z157" s="123">
        <f t="shared" si="53"/>
        <v>48362</v>
      </c>
      <c r="AA157" s="122" t="str">
        <f t="shared" si="35"/>
        <v>1</v>
      </c>
      <c r="AB157" s="120">
        <f t="shared" si="51"/>
        <v>31000</v>
      </c>
      <c r="AC157" s="123">
        <v>0</v>
      </c>
      <c r="AD157" s="123">
        <v>31000</v>
      </c>
      <c r="AE157" s="123">
        <v>3807</v>
      </c>
      <c r="AG157" s="151">
        <f t="shared" si="52"/>
        <v>35115</v>
      </c>
      <c r="AH157" s="123">
        <f>64065-565</f>
        <v>63500</v>
      </c>
      <c r="AJ157" s="123">
        <v>23100</v>
      </c>
      <c r="AL157" s="123">
        <f>27273+1112</f>
        <v>28385</v>
      </c>
      <c r="AM157" s="123">
        <v>147470</v>
      </c>
    </row>
    <row r="158" spans="1:40" s="123" customFormat="1" ht="16.2" thickBot="1" x14ac:dyDescent="0.35">
      <c r="A158" s="168"/>
      <c r="B158" s="217" t="s">
        <v>90</v>
      </c>
      <c r="C158" s="31" t="str">
        <f>VLOOKUP((CONCATENATE(B158)),ID!$A$2:$D$305,3,0)</f>
        <v>RL024</v>
      </c>
      <c r="D158" s="21">
        <v>1</v>
      </c>
      <c r="E158" s="21" t="s">
        <v>4057</v>
      </c>
      <c r="F158" s="21" t="s">
        <v>1117</v>
      </c>
      <c r="G158" s="21" t="s">
        <v>3776</v>
      </c>
      <c r="H158" s="94">
        <v>3834</v>
      </c>
      <c r="I158" s="57">
        <v>3996</v>
      </c>
      <c r="J158" s="57">
        <v>3994</v>
      </c>
      <c r="K158" s="56">
        <v>1</v>
      </c>
      <c r="L158" s="57">
        <v>3996</v>
      </c>
      <c r="M158" s="59">
        <v>4009</v>
      </c>
      <c r="N158" s="57">
        <v>4007</v>
      </c>
      <c r="O158" s="27" t="s">
        <v>3799</v>
      </c>
      <c r="P158" s="194" t="str">
        <f t="shared" si="47"/>
        <v>1</v>
      </c>
      <c r="Q158" s="21">
        <v>1</v>
      </c>
      <c r="R158" s="39" t="str">
        <f t="shared" si="44"/>
        <v>-</v>
      </c>
      <c r="S158" s="120">
        <f t="shared" si="50"/>
        <v>1846618</v>
      </c>
      <c r="T158" s="123">
        <v>2071088</v>
      </c>
      <c r="U158" s="123">
        <f>T158-244635-151210-118201-166737</f>
        <v>1390305</v>
      </c>
      <c r="V158" s="123">
        <f>T158-U158</f>
        <v>680783</v>
      </c>
      <c r="W158" s="122" t="str">
        <f t="shared" si="34"/>
        <v>1</v>
      </c>
      <c r="X158" s="123">
        <f>1702+664+180187+38561+3356</f>
        <v>224470</v>
      </c>
      <c r="Y158" s="123">
        <v>0</v>
      </c>
      <c r="Z158" s="123">
        <f>X158</f>
        <v>224470</v>
      </c>
      <c r="AA158" s="122" t="str">
        <f t="shared" si="35"/>
        <v>1</v>
      </c>
      <c r="AB158" s="120">
        <f t="shared" si="51"/>
        <v>0</v>
      </c>
      <c r="AC158" s="123">
        <v>0</v>
      </c>
      <c r="AD158" s="123">
        <v>0</v>
      </c>
      <c r="AE158" s="123">
        <v>118201</v>
      </c>
      <c r="AG158" s="151">
        <f>AH158-AL158</f>
        <v>145478</v>
      </c>
      <c r="AH158" s="123">
        <f>179875-1743-176</f>
        <v>177956</v>
      </c>
      <c r="AJ158" s="123">
        <v>21000</v>
      </c>
      <c r="AL158" s="123">
        <f>30000+2478</f>
        <v>32478</v>
      </c>
      <c r="AM158" s="123">
        <v>4491202</v>
      </c>
      <c r="AN158" s="123">
        <v>570962</v>
      </c>
    </row>
    <row r="159" spans="1:40" s="123" customFormat="1" ht="16.2" thickBot="1" x14ac:dyDescent="0.35">
      <c r="A159" s="27">
        <v>24.1</v>
      </c>
      <c r="B159" s="217" t="s">
        <v>90</v>
      </c>
      <c r="C159" s="31" t="str">
        <f>VLOOKUP((CONCATENATE(B159)),ID!$A$2:$D$305,3,0)</f>
        <v>RL024</v>
      </c>
      <c r="D159" s="21">
        <v>1</v>
      </c>
      <c r="E159" s="21" t="s">
        <v>4057</v>
      </c>
      <c r="F159" s="21" t="s">
        <v>1117</v>
      </c>
      <c r="G159" s="21" t="s">
        <v>3776</v>
      </c>
      <c r="H159" s="88">
        <v>4199</v>
      </c>
      <c r="I159" s="47">
        <v>4335</v>
      </c>
      <c r="J159" s="47">
        <v>4330</v>
      </c>
      <c r="K159" s="27">
        <v>1</v>
      </c>
      <c r="L159" s="47">
        <v>4333</v>
      </c>
      <c r="M159" s="48">
        <v>4347</v>
      </c>
      <c r="N159" s="47">
        <v>4344</v>
      </c>
      <c r="O159" s="27" t="s">
        <v>3799</v>
      </c>
      <c r="P159" s="194">
        <v>1</v>
      </c>
      <c r="Q159" s="21">
        <v>1</v>
      </c>
      <c r="R159" s="39" t="str">
        <f t="shared" si="44"/>
        <v>-</v>
      </c>
      <c r="S159" s="120">
        <f t="shared" si="50"/>
        <v>2105999</v>
      </c>
      <c r="T159" s="123">
        <v>2483109</v>
      </c>
      <c r="U159" s="123">
        <f>T159-V159</f>
        <v>1386470</v>
      </c>
      <c r="V159" s="123">
        <f>314573+193382+391014+197670</f>
        <v>1096639</v>
      </c>
      <c r="W159" s="122" t="str">
        <f t="shared" si="34"/>
        <v>1</v>
      </c>
      <c r="X159" s="123">
        <f>320373+7874+1700+684+46479</f>
        <v>377110</v>
      </c>
      <c r="Y159" s="123">
        <v>0</v>
      </c>
      <c r="Z159" s="123">
        <f>X159</f>
        <v>377110</v>
      </c>
      <c r="AA159" s="122" t="str">
        <f t="shared" si="35"/>
        <v>1</v>
      </c>
      <c r="AB159" s="120">
        <f t="shared" si="51"/>
        <v>0</v>
      </c>
      <c r="AC159" s="123">
        <v>0</v>
      </c>
      <c r="AD159" s="123">
        <v>0</v>
      </c>
      <c r="AE159" s="123">
        <v>314573</v>
      </c>
      <c r="AG159" s="151">
        <f>AH159-AL159</f>
        <v>59371</v>
      </c>
      <c r="AH159" s="123">
        <f>194257+10888+226</f>
        <v>205371</v>
      </c>
      <c r="AJ159" s="123">
        <v>21000</v>
      </c>
      <c r="AL159" s="123">
        <f>116000+30000</f>
        <v>146000</v>
      </c>
      <c r="AM159" s="123">
        <v>8092975</v>
      </c>
      <c r="AN159" s="123">
        <v>1874281</v>
      </c>
    </row>
    <row r="160" spans="1:40" s="123" customFormat="1" ht="16.2" thickBot="1" x14ac:dyDescent="0.35">
      <c r="A160" s="27">
        <v>24.2</v>
      </c>
      <c r="B160" s="217" t="s">
        <v>90</v>
      </c>
      <c r="C160" s="31" t="str">
        <f>VLOOKUP((CONCATENATE(B160)),ID!$A$2:$D$305,3,0)</f>
        <v>RL024</v>
      </c>
      <c r="D160" s="27">
        <v>1</v>
      </c>
      <c r="E160" s="27" t="s">
        <v>4057</v>
      </c>
      <c r="F160" s="27" t="s">
        <v>1117</v>
      </c>
      <c r="G160" s="27" t="s">
        <v>3776</v>
      </c>
      <c r="H160" s="94">
        <v>4565</v>
      </c>
      <c r="I160" s="47">
        <v>4746</v>
      </c>
      <c r="J160" s="47">
        <v>4741</v>
      </c>
      <c r="K160" s="27">
        <v>0</v>
      </c>
      <c r="L160" s="27"/>
      <c r="M160" s="28"/>
      <c r="N160" s="47">
        <v>4391</v>
      </c>
      <c r="O160" s="27" t="s">
        <v>3799</v>
      </c>
      <c r="P160" s="194">
        <v>1</v>
      </c>
      <c r="Q160" s="21">
        <v>1</v>
      </c>
      <c r="R160" s="39" t="str">
        <f t="shared" si="44"/>
        <v>-</v>
      </c>
      <c r="S160" s="120">
        <f t="shared" si="50"/>
        <v>1985791</v>
      </c>
      <c r="T160" s="123">
        <v>2493586</v>
      </c>
      <c r="U160" s="123">
        <f>T160-V160</f>
        <v>1460887</v>
      </c>
      <c r="V160" s="123">
        <f>156308+399570+253457+193364+30000</f>
        <v>1032699</v>
      </c>
      <c r="W160" s="122" t="str">
        <f t="shared" si="34"/>
        <v>1</v>
      </c>
      <c r="X160" s="123">
        <f>403278+54625+47516+584+1792</f>
        <v>507795</v>
      </c>
      <c r="Y160" s="123">
        <v>0</v>
      </c>
      <c r="Z160" s="123">
        <f>X160</f>
        <v>507795</v>
      </c>
      <c r="AA160" s="122" t="str">
        <f t="shared" si="35"/>
        <v>1</v>
      </c>
      <c r="AB160" s="120">
        <f t="shared" si="51"/>
        <v>0</v>
      </c>
      <c r="AC160" s="123">
        <v>0</v>
      </c>
      <c r="AD160" s="123">
        <v>0</v>
      </c>
      <c r="AE160" s="123">
        <v>156308</v>
      </c>
      <c r="AG160" s="151">
        <f>AH160-AL160</f>
        <v>4773</v>
      </c>
      <c r="AH160" s="123">
        <f>147667+7234+311-752</f>
        <v>154460</v>
      </c>
      <c r="AJ160" s="123">
        <v>21000</v>
      </c>
      <c r="AL160" s="123">
        <f>33687+116000</f>
        <v>149687</v>
      </c>
      <c r="AM160" s="123">
        <v>752225</v>
      </c>
      <c r="AN160" s="123">
        <v>178746</v>
      </c>
    </row>
    <row r="161" spans="1:41" s="123" customFormat="1" ht="16.2" thickBot="1" x14ac:dyDescent="0.35">
      <c r="A161" s="27"/>
      <c r="B161" s="217" t="s">
        <v>90</v>
      </c>
      <c r="C161" s="31" t="str">
        <f>VLOOKUP((CONCATENATE(B161)),ID!$A$2:$D$305,3,0)</f>
        <v>RL024</v>
      </c>
      <c r="D161" s="21">
        <v>1</v>
      </c>
      <c r="E161" s="21" t="s">
        <v>4057</v>
      </c>
      <c r="F161" s="21" t="s">
        <v>1117</v>
      </c>
      <c r="G161" s="21" t="s">
        <v>3776</v>
      </c>
      <c r="H161" s="94">
        <v>4930</v>
      </c>
      <c r="I161" s="47">
        <v>5078</v>
      </c>
      <c r="J161" s="47">
        <v>5074</v>
      </c>
      <c r="K161" s="27">
        <v>0</v>
      </c>
      <c r="L161" s="27"/>
      <c r="M161" s="28"/>
      <c r="N161" s="47">
        <v>5087</v>
      </c>
      <c r="O161" s="27" t="s">
        <v>3799</v>
      </c>
      <c r="P161" s="194" t="str">
        <f t="shared" si="47"/>
        <v>1</v>
      </c>
      <c r="Q161" s="21">
        <v>1</v>
      </c>
      <c r="R161" s="39" t="str">
        <f t="shared" si="44"/>
        <v>-</v>
      </c>
      <c r="S161" s="120">
        <f t="shared" si="50"/>
        <v>751608</v>
      </c>
      <c r="T161" s="123">
        <v>1430501</v>
      </c>
      <c r="U161" s="123">
        <f>T161-V161</f>
        <v>475737</v>
      </c>
      <c r="V161" s="123">
        <f>190832+448741+315191</f>
        <v>954764</v>
      </c>
      <c r="W161" s="122" t="str">
        <f t="shared" si="34"/>
        <v>1</v>
      </c>
      <c r="X161" s="123">
        <f>385607+62565+140520+60045+30156</f>
        <v>678893</v>
      </c>
      <c r="Y161" s="123">
        <v>0</v>
      </c>
      <c r="Z161" s="123">
        <f>X161</f>
        <v>678893</v>
      </c>
      <c r="AA161" s="122" t="str">
        <f t="shared" si="35"/>
        <v>1</v>
      </c>
      <c r="AB161" s="120">
        <f t="shared" si="51"/>
        <v>0</v>
      </c>
      <c r="AC161" s="123">
        <v>0</v>
      </c>
      <c r="AD161" s="123">
        <v>0</v>
      </c>
      <c r="AE161" s="123">
        <v>190832</v>
      </c>
      <c r="AG161" s="151">
        <f>AH161-AL161</f>
        <v>51478</v>
      </c>
      <c r="AH161" s="123">
        <v>89750</v>
      </c>
      <c r="AJ161" s="123">
        <f>33764-828</f>
        <v>32936</v>
      </c>
      <c r="AL161" s="123">
        <f>828+19754+16600+1090</f>
        <v>38272</v>
      </c>
      <c r="AM161" s="123">
        <v>216803</v>
      </c>
      <c r="AN161" s="123">
        <v>23623</v>
      </c>
    </row>
    <row r="162" spans="1:41" s="123" customFormat="1" ht="16.2" thickBot="1" x14ac:dyDescent="0.35">
      <c r="A162" s="27"/>
      <c r="B162" s="217" t="s">
        <v>90</v>
      </c>
      <c r="C162" s="31" t="str">
        <f>VLOOKUP((CONCATENATE(B162)),ID!$A$2:$D$305,3,0)</f>
        <v>RL024</v>
      </c>
      <c r="D162" s="21">
        <v>1</v>
      </c>
      <c r="E162" s="21" t="s">
        <v>4057</v>
      </c>
      <c r="F162" s="21" t="s">
        <v>1117</v>
      </c>
      <c r="G162" s="21" t="s">
        <v>3776</v>
      </c>
      <c r="H162" s="88">
        <v>5295</v>
      </c>
      <c r="I162" s="47">
        <v>5441</v>
      </c>
      <c r="J162" s="47">
        <v>3975</v>
      </c>
      <c r="K162" s="27">
        <v>0</v>
      </c>
      <c r="L162" s="27"/>
      <c r="M162" s="28"/>
      <c r="N162" s="47">
        <v>5450</v>
      </c>
      <c r="O162" s="27" t="s">
        <v>3799</v>
      </c>
      <c r="P162" s="194">
        <v>0</v>
      </c>
      <c r="Q162" s="21">
        <v>1</v>
      </c>
      <c r="R162" s="39" t="str">
        <f t="shared" si="44"/>
        <v>-</v>
      </c>
      <c r="S162" s="120">
        <f t="shared" si="50"/>
        <v>1167396</v>
      </c>
      <c r="T162" s="123">
        <v>1955445</v>
      </c>
      <c r="U162" s="123">
        <f>449958+20619</f>
        <v>470577</v>
      </c>
      <c r="V162" s="123">
        <f t="shared" ref="V162:V175" si="54">T162-U162</f>
        <v>1484868</v>
      </c>
      <c r="W162" s="122" t="str">
        <f t="shared" si="34"/>
        <v>1</v>
      </c>
      <c r="X162" s="123">
        <f>165203+194019+428827</f>
        <v>788049</v>
      </c>
      <c r="Y162" s="123">
        <v>0</v>
      </c>
      <c r="Z162" s="123">
        <f>X162</f>
        <v>788049</v>
      </c>
      <c r="AA162" s="122" t="str">
        <f t="shared" si="35"/>
        <v>1</v>
      </c>
      <c r="AB162" s="120">
        <f t="shared" si="51"/>
        <v>0</v>
      </c>
      <c r="AC162" s="123">
        <v>0</v>
      </c>
      <c r="AD162" s="123">
        <v>0</v>
      </c>
      <c r="AE162" s="123">
        <v>288074</v>
      </c>
      <c r="AG162" s="151">
        <f>AH162-AL162</f>
        <v>61724</v>
      </c>
      <c r="AH162" s="123">
        <v>621850</v>
      </c>
      <c r="AL162" s="123">
        <f>318210+172375+9497+35999+24045</f>
        <v>560126</v>
      </c>
      <c r="AM162" s="123">
        <v>1969020</v>
      </c>
      <c r="AN162" s="123">
        <v>371103</v>
      </c>
    </row>
    <row r="163" spans="1:41" s="123" customFormat="1" ht="16.2" thickBot="1" x14ac:dyDescent="0.35">
      <c r="A163" s="27"/>
      <c r="B163" s="217" t="s">
        <v>93</v>
      </c>
      <c r="C163" s="31" t="str">
        <f>VLOOKUP((CONCATENATE(B163)),ID!$A$2:$D$305,3,0)</f>
        <v>RL025</v>
      </c>
      <c r="D163" s="27">
        <v>1</v>
      </c>
      <c r="E163" s="27" t="s">
        <v>4057</v>
      </c>
      <c r="F163" s="27" t="s">
        <v>1117</v>
      </c>
      <c r="G163" s="27" t="s">
        <v>3801</v>
      </c>
      <c r="H163" s="94">
        <v>3834</v>
      </c>
      <c r="I163" s="47">
        <v>3945</v>
      </c>
      <c r="J163" s="47">
        <v>3944</v>
      </c>
      <c r="K163" s="27">
        <v>1</v>
      </c>
      <c r="L163" s="47">
        <v>3944</v>
      </c>
      <c r="M163" s="48">
        <v>3955</v>
      </c>
      <c r="N163" s="47">
        <v>3954</v>
      </c>
      <c r="O163" s="27" t="s">
        <v>3800</v>
      </c>
      <c r="P163" s="194" t="str">
        <f t="shared" si="47"/>
        <v>1</v>
      </c>
      <c r="Q163" s="21">
        <v>1</v>
      </c>
      <c r="R163" s="39" t="str">
        <f t="shared" si="44"/>
        <v>-</v>
      </c>
      <c r="S163" s="120">
        <f t="shared" si="50"/>
        <v>188686</v>
      </c>
      <c r="T163" s="123">
        <v>312698</v>
      </c>
      <c r="U163" s="123">
        <v>0</v>
      </c>
      <c r="V163" s="123">
        <f t="shared" si="54"/>
        <v>312698</v>
      </c>
      <c r="W163" s="122" t="str">
        <f t="shared" si="34"/>
        <v>1</v>
      </c>
      <c r="X163" s="123">
        <f>65279+33500+19242+5991</f>
        <v>124012</v>
      </c>
      <c r="Y163" s="123">
        <f>5991+33500</f>
        <v>39491</v>
      </c>
      <c r="Z163" s="123">
        <f t="shared" ref="Z163:Z169" si="55">X163-Y163</f>
        <v>84521</v>
      </c>
      <c r="AA163" s="122" t="str">
        <f t="shared" si="35"/>
        <v>1</v>
      </c>
      <c r="AB163" s="120">
        <f t="shared" si="51"/>
        <v>39491</v>
      </c>
      <c r="AC163" s="123">
        <v>0</v>
      </c>
      <c r="AD163" s="123">
        <f>Y163</f>
        <v>39491</v>
      </c>
      <c r="AE163" s="123">
        <v>75658</v>
      </c>
      <c r="AG163" s="151">
        <f>AH163-AI163-AL163</f>
        <v>110152</v>
      </c>
      <c r="AH163" s="123">
        <f>182848-9116</f>
        <v>173732</v>
      </c>
      <c r="AI163" s="123">
        <v>845</v>
      </c>
      <c r="AJ163" s="123">
        <v>33000</v>
      </c>
      <c r="AL163" s="123">
        <f>44000+12000+6735</f>
        <v>62735</v>
      </c>
      <c r="AM163" s="123">
        <v>465309</v>
      </c>
      <c r="AN163" s="123">
        <v>93877</v>
      </c>
    </row>
    <row r="164" spans="1:41" s="123" customFormat="1" ht="16.2" thickBot="1" x14ac:dyDescent="0.35">
      <c r="A164" s="27">
        <v>25.1</v>
      </c>
      <c r="B164" s="217" t="s">
        <v>93</v>
      </c>
      <c r="C164" s="31" t="str">
        <f>VLOOKUP((CONCATENATE(B164)),ID!$A$2:$D$305,3,0)</f>
        <v>RL025</v>
      </c>
      <c r="D164" s="27">
        <v>1</v>
      </c>
      <c r="E164" s="27" t="s">
        <v>4057</v>
      </c>
      <c r="F164" s="27" t="s">
        <v>1117</v>
      </c>
      <c r="G164" s="27" t="s">
        <v>3801</v>
      </c>
      <c r="H164" s="94">
        <v>4199</v>
      </c>
      <c r="I164" s="47">
        <v>4308</v>
      </c>
      <c r="J164" s="47">
        <v>4308</v>
      </c>
      <c r="K164" s="27">
        <v>1</v>
      </c>
      <c r="L164" s="47">
        <v>4309</v>
      </c>
      <c r="M164" s="48">
        <v>4321</v>
      </c>
      <c r="N164" s="47">
        <v>4318</v>
      </c>
      <c r="O164" s="27" t="s">
        <v>3800</v>
      </c>
      <c r="P164" s="194" t="str">
        <f t="shared" si="47"/>
        <v>1</v>
      </c>
      <c r="Q164" s="21">
        <v>1</v>
      </c>
      <c r="R164" s="39" t="str">
        <f t="shared" si="44"/>
        <v>-</v>
      </c>
      <c r="S164" s="120">
        <f t="shared" si="50"/>
        <v>288034</v>
      </c>
      <c r="T164" s="123">
        <v>425477</v>
      </c>
      <c r="U164" s="123">
        <v>0</v>
      </c>
      <c r="V164" s="123">
        <f t="shared" si="54"/>
        <v>425477</v>
      </c>
      <c r="W164" s="122" t="str">
        <f t="shared" si="34"/>
        <v>1</v>
      </c>
      <c r="X164" s="123">
        <f>6778+82066+28500+20099</f>
        <v>137443</v>
      </c>
      <c r="Y164" s="123">
        <f>28500+6778</f>
        <v>35278</v>
      </c>
      <c r="Z164" s="123">
        <f t="shared" si="55"/>
        <v>102165</v>
      </c>
      <c r="AA164" s="122" t="str">
        <f t="shared" si="35"/>
        <v>1</v>
      </c>
      <c r="AB164" s="120">
        <f t="shared" si="51"/>
        <v>28500</v>
      </c>
      <c r="AC164" s="123">
        <v>0</v>
      </c>
      <c r="AD164" s="123">
        <v>28500</v>
      </c>
      <c r="AE164" s="123">
        <f>228342</f>
        <v>228342</v>
      </c>
      <c r="AG164" s="151">
        <f>AH164-AI164-AL164</f>
        <v>101351</v>
      </c>
      <c r="AH164" s="123">
        <f>178798-9927-1000</f>
        <v>167871</v>
      </c>
      <c r="AI164" s="123">
        <f>939</f>
        <v>939</v>
      </c>
      <c r="AJ164" s="123">
        <v>33000</v>
      </c>
      <c r="AL164" s="123">
        <f>6960+45955+12000+666</f>
        <v>65581</v>
      </c>
      <c r="AM164" s="123">
        <v>460086</v>
      </c>
      <c r="AN164" s="123">
        <v>99269</v>
      </c>
    </row>
    <row r="165" spans="1:41" s="123" customFormat="1" ht="16.2" thickBot="1" x14ac:dyDescent="0.35">
      <c r="A165" s="27">
        <v>25.2</v>
      </c>
      <c r="B165" s="217" t="s">
        <v>93</v>
      </c>
      <c r="C165" s="31" t="str">
        <f>VLOOKUP((CONCATENATE(B165)),ID!$A$2:$D$305,3,0)</f>
        <v>RL025</v>
      </c>
      <c r="D165" s="27">
        <v>1</v>
      </c>
      <c r="E165" s="27" t="s">
        <v>4057</v>
      </c>
      <c r="F165" s="27" t="s">
        <v>1117</v>
      </c>
      <c r="G165" s="27" t="s">
        <v>3801</v>
      </c>
      <c r="H165" s="94">
        <v>4565</v>
      </c>
      <c r="I165" s="47">
        <v>4675</v>
      </c>
      <c r="J165" s="47">
        <v>4672</v>
      </c>
      <c r="K165" s="27">
        <v>1</v>
      </c>
      <c r="L165" s="47">
        <v>4675</v>
      </c>
      <c r="M165" s="48">
        <v>4687</v>
      </c>
      <c r="N165" s="47">
        <v>4686</v>
      </c>
      <c r="O165" s="27" t="s">
        <v>3800</v>
      </c>
      <c r="P165" s="194" t="str">
        <f t="shared" si="47"/>
        <v>1</v>
      </c>
      <c r="Q165" s="21">
        <v>1</v>
      </c>
      <c r="R165" s="39" t="str">
        <f t="shared" si="44"/>
        <v>-</v>
      </c>
      <c r="S165" s="120">
        <f t="shared" si="50"/>
        <v>193194</v>
      </c>
      <c r="T165" s="123">
        <v>388613</v>
      </c>
      <c r="U165" s="123">
        <f>8374+63111</f>
        <v>71485</v>
      </c>
      <c r="V165" s="123">
        <f t="shared" si="54"/>
        <v>317128</v>
      </c>
      <c r="W165" s="122" t="str">
        <f t="shared" si="34"/>
        <v>1</v>
      </c>
      <c r="X165" s="123">
        <f>83761+23500+38000+14824+27145+8189</f>
        <v>195419</v>
      </c>
      <c r="Y165" s="123">
        <f>8189+23500</f>
        <v>31689</v>
      </c>
      <c r="Z165" s="123">
        <f t="shared" si="55"/>
        <v>163730</v>
      </c>
      <c r="AA165" s="122" t="str">
        <f t="shared" si="35"/>
        <v>1</v>
      </c>
      <c r="AB165" s="120">
        <f t="shared" si="51"/>
        <v>61500</v>
      </c>
      <c r="AC165" s="123">
        <v>0</v>
      </c>
      <c r="AD165" s="123">
        <f>38000+23500</f>
        <v>61500</v>
      </c>
      <c r="AE165" s="123">
        <v>55579</v>
      </c>
      <c r="AG165" s="151">
        <f>AH165-AL165</f>
        <v>118888</v>
      </c>
      <c r="AH165" s="123">
        <f>206081-9303+124+1143</f>
        <v>198045</v>
      </c>
      <c r="AI165" s="123">
        <v>1069</v>
      </c>
      <c r="AJ165" s="123">
        <v>33000</v>
      </c>
      <c r="AL165" s="123">
        <f>6660+47740+1742+23015</f>
        <v>79157</v>
      </c>
      <c r="AM165" s="123">
        <v>499981</v>
      </c>
      <c r="AN165" s="123">
        <v>104376</v>
      </c>
    </row>
    <row r="166" spans="1:41" s="123" customFormat="1" ht="16.2" thickBot="1" x14ac:dyDescent="0.35">
      <c r="A166" s="27"/>
      <c r="B166" s="217" t="s">
        <v>93</v>
      </c>
      <c r="C166" s="31" t="str">
        <f>VLOOKUP((CONCATENATE(B166)),ID!$A$2:$D$305,3,0)</f>
        <v>RL025</v>
      </c>
      <c r="D166" s="27">
        <v>1</v>
      </c>
      <c r="E166" s="27" t="s">
        <v>4057</v>
      </c>
      <c r="F166" s="27" t="s">
        <v>1117</v>
      </c>
      <c r="G166" s="27" t="s">
        <v>3801</v>
      </c>
      <c r="H166" s="94">
        <v>4930</v>
      </c>
      <c r="I166" s="47">
        <v>5043</v>
      </c>
      <c r="J166" s="47">
        <v>5043</v>
      </c>
      <c r="K166" s="27">
        <v>1</v>
      </c>
      <c r="L166" s="47">
        <v>5039</v>
      </c>
      <c r="M166" s="48">
        <v>5052</v>
      </c>
      <c r="N166" s="47">
        <v>5052</v>
      </c>
      <c r="O166" s="27" t="s">
        <v>3800</v>
      </c>
      <c r="P166" s="194" t="str">
        <f t="shared" si="47"/>
        <v>1</v>
      </c>
      <c r="Q166" s="21">
        <v>1</v>
      </c>
      <c r="R166" s="39" t="str">
        <f t="shared" si="44"/>
        <v>-</v>
      </c>
      <c r="S166" s="120">
        <f t="shared" si="50"/>
        <v>332014</v>
      </c>
      <c r="T166" s="123">
        <v>500681</v>
      </c>
      <c r="U166" s="123">
        <v>79445</v>
      </c>
      <c r="V166" s="123">
        <f t="shared" si="54"/>
        <v>421236</v>
      </c>
      <c r="W166" s="122" t="str">
        <f t="shared" si="34"/>
        <v>1</v>
      </c>
      <c r="X166" s="123">
        <f>105683+18000+35457+9527</f>
        <v>168667</v>
      </c>
      <c r="Y166" s="123">
        <f>9527+18000</f>
        <v>27527</v>
      </c>
      <c r="Z166" s="123">
        <f t="shared" si="55"/>
        <v>141140</v>
      </c>
      <c r="AA166" s="122" t="str">
        <f t="shared" si="35"/>
        <v>1</v>
      </c>
      <c r="AB166" s="120">
        <f t="shared" si="51"/>
        <v>18000</v>
      </c>
      <c r="AC166" s="123">
        <v>0</v>
      </c>
      <c r="AD166" s="123">
        <v>18000</v>
      </c>
      <c r="AE166" s="123">
        <v>84047</v>
      </c>
      <c r="AG166" s="151">
        <f>AH166-AL166</f>
        <v>113245</v>
      </c>
      <c r="AH166" s="123">
        <f>232541-10508-8639</f>
        <v>213394</v>
      </c>
      <c r="AI166" s="123">
        <v>224</v>
      </c>
      <c r="AJ166" s="123">
        <v>33000</v>
      </c>
      <c r="AL166" s="123">
        <f>6855+48294+45000</f>
        <v>100149</v>
      </c>
      <c r="AM166" s="123">
        <v>617602</v>
      </c>
      <c r="AN166" s="123">
        <v>117950</v>
      </c>
    </row>
    <row r="167" spans="1:41" s="123" customFormat="1" ht="16.2" thickBot="1" x14ac:dyDescent="0.35">
      <c r="A167" s="27"/>
      <c r="B167" s="217" t="s">
        <v>93</v>
      </c>
      <c r="C167" s="31" t="str">
        <f>VLOOKUP((CONCATENATE(B167)),ID!$A$2:$D$305,3,0)</f>
        <v>RL025</v>
      </c>
      <c r="D167" s="27">
        <v>1</v>
      </c>
      <c r="E167" s="27" t="s">
        <v>4057</v>
      </c>
      <c r="F167" s="27" t="s">
        <v>1117</v>
      </c>
      <c r="G167" s="27" t="s">
        <v>3801</v>
      </c>
      <c r="H167" s="94">
        <v>5295</v>
      </c>
      <c r="I167" s="47">
        <v>5422</v>
      </c>
      <c r="J167" s="47">
        <v>5417</v>
      </c>
      <c r="K167" s="27">
        <v>1</v>
      </c>
      <c r="L167" s="47">
        <v>5416</v>
      </c>
      <c r="M167" s="48">
        <v>5429</v>
      </c>
      <c r="N167" s="47">
        <v>5429</v>
      </c>
      <c r="O167" s="27" t="s">
        <v>3800</v>
      </c>
      <c r="P167" s="194" t="str">
        <f t="shared" si="47"/>
        <v>1</v>
      </c>
      <c r="Q167" s="21">
        <v>1</v>
      </c>
      <c r="R167" s="39" t="str">
        <f t="shared" si="44"/>
        <v>-</v>
      </c>
      <c r="S167" s="120">
        <f t="shared" si="50"/>
        <v>364512</v>
      </c>
      <c r="T167" s="123">
        <v>501609</v>
      </c>
      <c r="U167" s="123">
        <v>0</v>
      </c>
      <c r="V167" s="123">
        <f t="shared" si="54"/>
        <v>501609</v>
      </c>
      <c r="W167" s="122" t="str">
        <f t="shared" si="34"/>
        <v>1</v>
      </c>
      <c r="X167" s="123">
        <f>41666+12500+8862+63124+10945</f>
        <v>137097</v>
      </c>
      <c r="Y167" s="123">
        <f>10945+12500</f>
        <v>23445</v>
      </c>
      <c r="Z167" s="123">
        <f t="shared" si="55"/>
        <v>113652</v>
      </c>
      <c r="AA167" s="122" t="str">
        <f t="shared" si="35"/>
        <v>1</v>
      </c>
      <c r="AB167" s="120">
        <f t="shared" si="51"/>
        <v>12500</v>
      </c>
      <c r="AC167" s="123">
        <v>0</v>
      </c>
      <c r="AD167" s="123">
        <v>12500</v>
      </c>
      <c r="AE167" s="123">
        <v>37460</v>
      </c>
      <c r="AG167" s="151">
        <f>AH167-AI167-AL167</f>
        <v>99588</v>
      </c>
      <c r="AH167" s="123">
        <f>217849-7925</f>
        <v>209924</v>
      </c>
      <c r="AI167" s="123">
        <v>3629</v>
      </c>
      <c r="AJ167" s="123">
        <v>33366</v>
      </c>
      <c r="AL167" s="123">
        <f>51233+48837+6525+112</f>
        <v>106707</v>
      </c>
      <c r="AM167" s="123">
        <v>585837</v>
      </c>
      <c r="AN167" s="123">
        <v>117000</v>
      </c>
    </row>
    <row r="168" spans="1:41" s="123" customFormat="1" ht="16.2" thickBot="1" x14ac:dyDescent="0.35">
      <c r="A168" s="27"/>
      <c r="B168" s="217" t="s">
        <v>101</v>
      </c>
      <c r="C168" s="31" t="str">
        <f>VLOOKUP((CONCATENATE(B168)),ID!$A$2:$D$305,3,0)</f>
        <v>RL026</v>
      </c>
      <c r="D168" s="27">
        <v>0</v>
      </c>
      <c r="E168" s="27" t="s">
        <v>4057</v>
      </c>
      <c r="F168" s="27" t="s">
        <v>3802</v>
      </c>
      <c r="G168" s="27" t="s">
        <v>3853</v>
      </c>
      <c r="H168" s="94">
        <v>3653</v>
      </c>
      <c r="I168" s="47">
        <v>3680</v>
      </c>
      <c r="J168" s="47">
        <v>3687</v>
      </c>
      <c r="K168" s="27">
        <v>0</v>
      </c>
      <c r="L168" s="47"/>
      <c r="M168" s="48"/>
      <c r="N168" s="47">
        <v>3701</v>
      </c>
      <c r="O168" s="27" t="s">
        <v>3991</v>
      </c>
      <c r="P168" s="194">
        <v>1</v>
      </c>
      <c r="Q168" s="21">
        <v>1</v>
      </c>
      <c r="R168" s="39" t="str">
        <f t="shared" si="44"/>
        <v>-</v>
      </c>
      <c r="S168" s="120">
        <f t="shared" si="50"/>
        <v>78058</v>
      </c>
      <c r="T168" s="123">
        <v>207417</v>
      </c>
      <c r="U168" s="123">
        <f>61898+7552+74836</f>
        <v>144286</v>
      </c>
      <c r="V168" s="123">
        <f t="shared" si="54"/>
        <v>63131</v>
      </c>
      <c r="W168" s="122" t="str">
        <f t="shared" si="34"/>
        <v>1</v>
      </c>
      <c r="X168" s="123">
        <f>T168-21418-2732-8908-45000</f>
        <v>129359</v>
      </c>
      <c r="Y168" s="123">
        <f>AB168</f>
        <v>63932</v>
      </c>
      <c r="Z168" s="123">
        <f t="shared" si="55"/>
        <v>65427</v>
      </c>
      <c r="AA168" s="122" t="str">
        <f t="shared" si="35"/>
        <v>1</v>
      </c>
      <c r="AB168" s="120">
        <f t="shared" si="51"/>
        <v>63932</v>
      </c>
      <c r="AC168" s="123">
        <f>44300+18192</f>
        <v>62492</v>
      </c>
      <c r="AD168" s="123">
        <f>1440</f>
        <v>1440</v>
      </c>
      <c r="AE168" s="123">
        <v>332</v>
      </c>
      <c r="AG168" s="151">
        <f t="shared" ref="AG168:AG177" si="56">AH168-AL168</f>
        <v>436930</v>
      </c>
      <c r="AH168" s="123">
        <f>AM168+965-15000</f>
        <v>459099</v>
      </c>
      <c r="AL168" s="123">
        <f>20624+996+549</f>
        <v>22169</v>
      </c>
      <c r="AM168" s="123">
        <f>AN168+369389+3792</f>
        <v>473134</v>
      </c>
      <c r="AN168" s="123">
        <v>99953</v>
      </c>
    </row>
    <row r="169" spans="1:41" s="123" customFormat="1" ht="16.2" thickBot="1" x14ac:dyDescent="0.35">
      <c r="A169" s="27"/>
      <c r="B169" s="217" t="s">
        <v>101</v>
      </c>
      <c r="C169" s="31" t="str">
        <f>VLOOKUP((CONCATENATE(B169)),ID!$A$2:$D$305,3,0)</f>
        <v>RL026</v>
      </c>
      <c r="D169" s="27">
        <v>0</v>
      </c>
      <c r="E169" s="27" t="s">
        <v>4057</v>
      </c>
      <c r="F169" s="27" t="s">
        <v>3802</v>
      </c>
      <c r="G169" s="27" t="s">
        <v>3853</v>
      </c>
      <c r="H169" s="94">
        <v>3834</v>
      </c>
      <c r="I169" s="47">
        <v>3860</v>
      </c>
      <c r="J169" s="47">
        <v>3863</v>
      </c>
      <c r="K169" s="27">
        <v>0</v>
      </c>
      <c r="L169" s="47"/>
      <c r="M169" s="48"/>
      <c r="N169" s="47">
        <v>3876</v>
      </c>
      <c r="O169" s="27" t="s">
        <v>3991</v>
      </c>
      <c r="P169" s="194">
        <v>1</v>
      </c>
      <c r="Q169" s="21">
        <v>1</v>
      </c>
      <c r="R169" s="39" t="str">
        <f t="shared" si="44"/>
        <v>-</v>
      </c>
      <c r="S169" s="120">
        <f t="shared" si="50"/>
        <v>76953</v>
      </c>
      <c r="T169" s="123">
        <v>205651</v>
      </c>
      <c r="U169" s="123">
        <f>74836+7252+61913</f>
        <v>144001</v>
      </c>
      <c r="V169" s="123">
        <f t="shared" si="54"/>
        <v>61650</v>
      </c>
      <c r="W169" s="122" t="str">
        <f t="shared" si="34"/>
        <v>1</v>
      </c>
      <c r="X169" s="123">
        <f>1222+14145+AB169+1108+40172+15000</f>
        <v>128698</v>
      </c>
      <c r="Y169" s="123">
        <f>AB169</f>
        <v>57051</v>
      </c>
      <c r="Z169" s="123">
        <f t="shared" si="55"/>
        <v>71647</v>
      </c>
      <c r="AA169" s="122" t="str">
        <f t="shared" si="35"/>
        <v>1</v>
      </c>
      <c r="AB169" s="120">
        <f t="shared" si="51"/>
        <v>57051</v>
      </c>
      <c r="AC169" s="123">
        <f>44300+11592</f>
        <v>55892</v>
      </c>
      <c r="AD169" s="123">
        <f>1159</f>
        <v>1159</v>
      </c>
      <c r="AE169" s="123">
        <v>332</v>
      </c>
      <c r="AG169" s="151">
        <f t="shared" si="56"/>
        <v>12352</v>
      </c>
      <c r="AH169" s="123">
        <f>61656-12147-15000</f>
        <v>34509</v>
      </c>
      <c r="AL169" s="123">
        <f>20624+996+537</f>
        <v>22157</v>
      </c>
      <c r="AM169" s="123">
        <f>48544+79231</f>
        <v>127775</v>
      </c>
      <c r="AN169" s="123">
        <v>124175</v>
      </c>
    </row>
    <row r="170" spans="1:41" s="123" customFormat="1" ht="16.2" thickBot="1" x14ac:dyDescent="0.35">
      <c r="A170" s="27">
        <v>26.1</v>
      </c>
      <c r="B170" s="217" t="s">
        <v>101</v>
      </c>
      <c r="C170" s="31" t="str">
        <f>VLOOKUP((CONCATENATE(B170)),ID!$A$2:$D$305,3,0)</f>
        <v>RL026</v>
      </c>
      <c r="D170" s="27">
        <v>0</v>
      </c>
      <c r="E170" s="27" t="s">
        <v>4057</v>
      </c>
      <c r="F170" s="27" t="s">
        <v>3802</v>
      </c>
      <c r="G170" s="27" t="s">
        <v>3853</v>
      </c>
      <c r="H170" s="94">
        <v>4018</v>
      </c>
      <c r="I170" s="47">
        <v>4042</v>
      </c>
      <c r="J170" s="47">
        <v>4045</v>
      </c>
      <c r="K170" s="27">
        <v>0</v>
      </c>
      <c r="L170" s="27"/>
      <c r="M170" s="28"/>
      <c r="N170" s="47">
        <v>4058</v>
      </c>
      <c r="O170" s="27" t="s">
        <v>3991</v>
      </c>
      <c r="P170" s="194">
        <v>1</v>
      </c>
      <c r="Q170" s="21">
        <v>1</v>
      </c>
      <c r="R170" s="39" t="str">
        <f t="shared" si="44"/>
        <v>-</v>
      </c>
      <c r="S170" s="120">
        <f t="shared" si="50"/>
        <v>84943</v>
      </c>
      <c r="T170" s="123">
        <v>205996</v>
      </c>
      <c r="U170" s="123">
        <f>74836+7254+61913</f>
        <v>144003</v>
      </c>
      <c r="V170" s="123">
        <f t="shared" si="54"/>
        <v>61993</v>
      </c>
      <c r="W170" s="122" t="str">
        <f t="shared" si="34"/>
        <v>1</v>
      </c>
      <c r="X170" s="123">
        <f>1077+14126+44300+1247+1122+35273+15000+8908</f>
        <v>121053</v>
      </c>
      <c r="Y170" s="123">
        <f>1247+44300</f>
        <v>45547</v>
      </c>
      <c r="Z170" s="123">
        <f>35273+15000+1122+14126+1077+8908</f>
        <v>75506</v>
      </c>
      <c r="AA170" s="122" t="str">
        <f t="shared" si="35"/>
        <v>1</v>
      </c>
      <c r="AB170" s="120">
        <f t="shared" si="51"/>
        <v>45547</v>
      </c>
      <c r="AC170" s="123">
        <v>44300</v>
      </c>
      <c r="AD170" s="123">
        <v>1247</v>
      </c>
      <c r="AE170" s="123">
        <v>5695</v>
      </c>
      <c r="AG170" s="151">
        <f t="shared" si="56"/>
        <v>29353</v>
      </c>
      <c r="AH170" s="123">
        <f>64935+73+965-15000</f>
        <v>50973</v>
      </c>
      <c r="AL170" s="123">
        <f>20624+996</f>
        <v>21620</v>
      </c>
      <c r="AM170" s="123">
        <v>144830</v>
      </c>
      <c r="AN170" s="123">
        <v>141092</v>
      </c>
    </row>
    <row r="171" spans="1:41" s="123" customFormat="1" ht="16.2" thickBot="1" x14ac:dyDescent="0.35">
      <c r="A171" s="27">
        <v>26.2</v>
      </c>
      <c r="B171" s="217" t="s">
        <v>101</v>
      </c>
      <c r="C171" s="31" t="str">
        <f>VLOOKUP((CONCATENATE(B171)),ID!$A$2:$D$305,3,0)</f>
        <v>RL026</v>
      </c>
      <c r="D171" s="27">
        <v>0</v>
      </c>
      <c r="E171" s="27" t="s">
        <v>4057</v>
      </c>
      <c r="F171" s="27" t="s">
        <v>3802</v>
      </c>
      <c r="G171" s="27" t="s">
        <v>3853</v>
      </c>
      <c r="H171" s="94">
        <v>4199</v>
      </c>
      <c r="I171" s="47">
        <v>4224</v>
      </c>
      <c r="J171" s="47">
        <v>4227</v>
      </c>
      <c r="K171" s="27">
        <v>0</v>
      </c>
      <c r="L171" s="27"/>
      <c r="M171" s="28"/>
      <c r="N171" s="47">
        <v>4240</v>
      </c>
      <c r="O171" s="27" t="s">
        <v>3991</v>
      </c>
      <c r="P171" s="194">
        <v>1</v>
      </c>
      <c r="Q171" s="21">
        <v>1</v>
      </c>
      <c r="R171" s="39" t="str">
        <f t="shared" si="44"/>
        <v>-</v>
      </c>
      <c r="S171" s="120">
        <f t="shared" si="50"/>
        <v>82516</v>
      </c>
      <c r="T171" s="123">
        <v>205502</v>
      </c>
      <c r="U171" s="123">
        <f>74836+7309+61913</f>
        <v>144058</v>
      </c>
      <c r="V171" s="123">
        <f t="shared" si="54"/>
        <v>61444</v>
      </c>
      <c r="W171" s="122" t="str">
        <f t="shared" si="34"/>
        <v>1</v>
      </c>
      <c r="X171" s="123">
        <f>1010+14147+44300+1387+1700+36534+15000+8908</f>
        <v>122986</v>
      </c>
      <c r="Y171" s="123">
        <f>AB171</f>
        <v>45687</v>
      </c>
      <c r="Z171" s="123">
        <f>8908+15000+36534+1700+14147+1010</f>
        <v>77299</v>
      </c>
      <c r="AA171" s="122" t="str">
        <f t="shared" si="35"/>
        <v>1</v>
      </c>
      <c r="AB171" s="120">
        <f t="shared" si="51"/>
        <v>45687</v>
      </c>
      <c r="AC171" s="123">
        <v>44300</v>
      </c>
      <c r="AD171" s="123">
        <f>1387</f>
        <v>1387</v>
      </c>
      <c r="AE171" s="123">
        <v>2604</v>
      </c>
      <c r="AG171" s="151">
        <f t="shared" si="56"/>
        <v>16261</v>
      </c>
      <c r="AH171" s="123">
        <f>51983+965-15000</f>
        <v>37948</v>
      </c>
      <c r="AL171" s="123">
        <f>20624+996+67</f>
        <v>21687</v>
      </c>
      <c r="AM171" s="123">
        <v>130564</v>
      </c>
      <c r="AN171" s="123">
        <v>126984</v>
      </c>
    </row>
    <row r="172" spans="1:41" s="123" customFormat="1" ht="16.2" thickBot="1" x14ac:dyDescent="0.35">
      <c r="A172" s="27">
        <v>26.3</v>
      </c>
      <c r="B172" s="217" t="s">
        <v>101</v>
      </c>
      <c r="C172" s="31" t="str">
        <f>VLOOKUP((CONCATENATE(B172)),ID!$A$2:$D$305,3,0)</f>
        <v>RL026</v>
      </c>
      <c r="D172" s="27">
        <v>0</v>
      </c>
      <c r="E172" s="27" t="s">
        <v>4057</v>
      </c>
      <c r="F172" s="27" t="s">
        <v>3802</v>
      </c>
      <c r="G172" s="27" t="s">
        <v>3853</v>
      </c>
      <c r="H172" s="94">
        <v>4383</v>
      </c>
      <c r="I172" s="47">
        <v>4408</v>
      </c>
      <c r="J172" s="47">
        <v>4416</v>
      </c>
      <c r="K172" s="27">
        <v>0</v>
      </c>
      <c r="L172" s="27"/>
      <c r="M172" s="28"/>
      <c r="N172" s="47">
        <v>4428</v>
      </c>
      <c r="O172" s="27" t="s">
        <v>3803</v>
      </c>
      <c r="P172" s="194">
        <v>1</v>
      </c>
      <c r="Q172" s="21">
        <v>1</v>
      </c>
      <c r="R172" s="39" t="str">
        <f t="shared" si="44"/>
        <v>-</v>
      </c>
      <c r="S172" s="120">
        <f t="shared" si="50"/>
        <v>89345</v>
      </c>
      <c r="T172" s="123">
        <v>210104</v>
      </c>
      <c r="U172" s="123">
        <f>75093+7309+61913</f>
        <v>144315</v>
      </c>
      <c r="V172" s="123">
        <f t="shared" si="54"/>
        <v>65789</v>
      </c>
      <c r="W172" s="122" t="str">
        <f t="shared" si="34"/>
        <v>1</v>
      </c>
      <c r="X172" s="123">
        <f>1079+14260+44300+1451+1287+34474+15000+8908</f>
        <v>120759</v>
      </c>
      <c r="Y172" s="123">
        <f>AB172</f>
        <v>45751</v>
      </c>
      <c r="Z172" s="123">
        <f>1079+14260+1287+34474+15000+8908</f>
        <v>75008</v>
      </c>
      <c r="AA172" s="122" t="str">
        <f t="shared" si="35"/>
        <v>1</v>
      </c>
      <c r="AB172" s="120">
        <f t="shared" si="51"/>
        <v>45751</v>
      </c>
      <c r="AC172" s="123">
        <v>44300</v>
      </c>
      <c r="AD172" s="123">
        <v>1451</v>
      </c>
      <c r="AE172" s="123">
        <v>6695</v>
      </c>
      <c r="AG172" s="151">
        <f t="shared" si="56"/>
        <v>26715</v>
      </c>
      <c r="AH172" s="123">
        <f>62146+224+965-15000</f>
        <v>48335</v>
      </c>
      <c r="AL172" s="123">
        <f>20624+996</f>
        <v>21620</v>
      </c>
      <c r="AM172" s="123">
        <f>81766+62146</f>
        <v>143912</v>
      </c>
      <c r="AN172" s="123">
        <v>140259</v>
      </c>
    </row>
    <row r="173" spans="1:41" s="123" customFormat="1" ht="16.2" thickBot="1" x14ac:dyDescent="0.35">
      <c r="A173" s="27">
        <v>26.4</v>
      </c>
      <c r="B173" s="217" t="s">
        <v>101</v>
      </c>
      <c r="C173" s="31" t="str">
        <f>VLOOKUP((CONCATENATE(B173)),ID!$A$2:$D$305,3,0)</f>
        <v>RL026</v>
      </c>
      <c r="D173" s="27">
        <v>0</v>
      </c>
      <c r="E173" s="27" t="s">
        <v>4057</v>
      </c>
      <c r="F173" s="27" t="s">
        <v>3802</v>
      </c>
      <c r="G173" s="27" t="s">
        <v>3853</v>
      </c>
      <c r="H173" s="94">
        <v>4565</v>
      </c>
      <c r="I173" s="47">
        <v>4588</v>
      </c>
      <c r="J173" s="47">
        <v>4591</v>
      </c>
      <c r="K173" s="27">
        <v>0</v>
      </c>
      <c r="L173" s="27"/>
      <c r="M173" s="28"/>
      <c r="N173" s="47">
        <v>4604</v>
      </c>
      <c r="O173" s="27" t="s">
        <v>3804</v>
      </c>
      <c r="P173" s="194">
        <v>1</v>
      </c>
      <c r="Q173" s="21">
        <v>1</v>
      </c>
      <c r="R173" s="39" t="str">
        <f t="shared" si="44"/>
        <v>-</v>
      </c>
      <c r="S173" s="120">
        <f t="shared" si="50"/>
        <v>82817</v>
      </c>
      <c r="T173" s="123">
        <v>211677</v>
      </c>
      <c r="U173" s="123">
        <f>76633+7309+61913</f>
        <v>145855</v>
      </c>
      <c r="V173" s="123">
        <f t="shared" si="54"/>
        <v>65822</v>
      </c>
      <c r="W173" s="122" t="str">
        <f t="shared" si="34"/>
        <v>1</v>
      </c>
      <c r="X173" s="123">
        <f>1101+14252+44300+3160+1476+1217+39446+15000+8908</f>
        <v>128860</v>
      </c>
      <c r="Y173" s="123">
        <f>AB173-8908</f>
        <v>48936</v>
      </c>
      <c r="Z173" s="123">
        <f t="shared" ref="Z173:Z178" si="57">X173-Y173</f>
        <v>79924</v>
      </c>
      <c r="AA173" s="122" t="str">
        <f t="shared" si="35"/>
        <v>1</v>
      </c>
      <c r="AB173" s="120">
        <f t="shared" si="51"/>
        <v>57844</v>
      </c>
      <c r="AC173" s="123">
        <v>44300</v>
      </c>
      <c r="AD173" s="123">
        <f>1476+3160+8908</f>
        <v>13544</v>
      </c>
      <c r="AE173" s="123">
        <v>332</v>
      </c>
      <c r="AG173" s="151">
        <f t="shared" si="56"/>
        <v>12579</v>
      </c>
      <c r="AH173" s="123">
        <f>48520+965-15000</f>
        <v>34485</v>
      </c>
      <c r="AL173" s="123">
        <f>20624+996+286</f>
        <v>21906</v>
      </c>
      <c r="AM173" s="123">
        <f>48520+78837</f>
        <v>127357</v>
      </c>
      <c r="AN173" s="123">
        <v>123841</v>
      </c>
    </row>
    <row r="174" spans="1:41" s="123" customFormat="1" ht="16.2" thickBot="1" x14ac:dyDescent="0.35">
      <c r="A174" s="27"/>
      <c r="B174" s="217" t="s">
        <v>101</v>
      </c>
      <c r="C174" s="31" t="str">
        <f>VLOOKUP((CONCATENATE(B174)),ID!$A$2:$D$305,3,0)</f>
        <v>RL026</v>
      </c>
      <c r="D174" s="27">
        <v>0</v>
      </c>
      <c r="E174" s="27" t="s">
        <v>4057</v>
      </c>
      <c r="F174" s="27" t="s">
        <v>3802</v>
      </c>
      <c r="G174" s="27" t="s">
        <v>3853</v>
      </c>
      <c r="H174" s="94">
        <v>4749</v>
      </c>
      <c r="I174" s="47">
        <v>4777</v>
      </c>
      <c r="J174" s="47">
        <v>4780</v>
      </c>
      <c r="K174" s="27">
        <v>0</v>
      </c>
      <c r="L174" s="27"/>
      <c r="M174" s="28"/>
      <c r="N174" s="47">
        <v>4793</v>
      </c>
      <c r="O174" s="27" t="s">
        <v>3804</v>
      </c>
      <c r="P174" s="194">
        <v>1</v>
      </c>
      <c r="Q174" s="21">
        <v>1</v>
      </c>
      <c r="R174" s="39" t="str">
        <f t="shared" si="44"/>
        <v>-</v>
      </c>
      <c r="S174" s="120">
        <f t="shared" si="50"/>
        <v>91153</v>
      </c>
      <c r="T174" s="123">
        <v>212846</v>
      </c>
      <c r="U174" s="123">
        <f>76633+7309+61713</f>
        <v>145655</v>
      </c>
      <c r="V174" s="123">
        <f t="shared" si="54"/>
        <v>67191</v>
      </c>
      <c r="W174" s="122" t="str">
        <f t="shared" si="34"/>
        <v>1</v>
      </c>
      <c r="X174" s="123">
        <f>T174-3000-65000-23153</f>
        <v>121693</v>
      </c>
      <c r="Y174" s="123">
        <f>AB174-8908</f>
        <v>46231</v>
      </c>
      <c r="Z174" s="123">
        <f t="shared" si="57"/>
        <v>75462</v>
      </c>
      <c r="AA174" s="122" t="str">
        <f t="shared" si="35"/>
        <v>1</v>
      </c>
      <c r="AB174" s="120">
        <f t="shared" si="51"/>
        <v>55139</v>
      </c>
      <c r="AC174" s="123">
        <v>44300</v>
      </c>
      <c r="AD174" s="123">
        <f>8908+1931</f>
        <v>10839</v>
      </c>
      <c r="AE174" s="123">
        <v>3310</v>
      </c>
      <c r="AG174" s="151">
        <f t="shared" si="56"/>
        <v>41447</v>
      </c>
      <c r="AH174" s="123">
        <f>66774-3707</f>
        <v>63067</v>
      </c>
      <c r="AL174" s="123">
        <f>996+20624</f>
        <v>21620</v>
      </c>
      <c r="AM174" s="123">
        <v>143160</v>
      </c>
      <c r="AN174" s="123">
        <v>139571</v>
      </c>
    </row>
    <row r="175" spans="1:41" s="123" customFormat="1" ht="16.2" thickBot="1" x14ac:dyDescent="0.35">
      <c r="A175" s="27"/>
      <c r="B175" s="217" t="s">
        <v>101</v>
      </c>
      <c r="C175" s="31" t="str">
        <f>VLOOKUP((CONCATENATE(B175)),ID!$A$2:$D$305,3,0)</f>
        <v>RL026</v>
      </c>
      <c r="D175" s="27">
        <v>1</v>
      </c>
      <c r="E175" s="27" t="s">
        <v>4057</v>
      </c>
      <c r="F175" s="27" t="s">
        <v>3802</v>
      </c>
      <c r="G175" s="27" t="s">
        <v>3853</v>
      </c>
      <c r="H175" s="94">
        <v>5114</v>
      </c>
      <c r="I175" s="47">
        <v>5155</v>
      </c>
      <c r="J175" s="47">
        <v>5161</v>
      </c>
      <c r="K175" s="27">
        <v>0</v>
      </c>
      <c r="L175" s="27"/>
      <c r="M175" s="28"/>
      <c r="N175" s="47">
        <v>5171</v>
      </c>
      <c r="O175" s="27" t="s">
        <v>3804</v>
      </c>
      <c r="P175" s="194">
        <v>1</v>
      </c>
      <c r="Q175" s="21">
        <v>1</v>
      </c>
      <c r="R175" s="39" t="str">
        <f t="shared" si="44"/>
        <v>-</v>
      </c>
      <c r="S175" s="120">
        <f t="shared" si="50"/>
        <v>115738</v>
      </c>
      <c r="T175" s="123">
        <v>271323</v>
      </c>
      <c r="U175" s="123">
        <f>108924</f>
        <v>108924</v>
      </c>
      <c r="V175" s="123">
        <f t="shared" si="54"/>
        <v>162399</v>
      </c>
      <c r="W175" s="122" t="str">
        <f t="shared" si="34"/>
        <v>1</v>
      </c>
      <c r="X175" s="123">
        <f>T175-7000-69000-400-15000-24338</f>
        <v>155585</v>
      </c>
      <c r="Y175" s="123">
        <f>AC175</f>
        <v>73800</v>
      </c>
      <c r="Z175" s="123">
        <f t="shared" si="57"/>
        <v>81785</v>
      </c>
      <c r="AA175" s="122" t="str">
        <f t="shared" si="35"/>
        <v>1</v>
      </c>
      <c r="AB175" s="120">
        <f t="shared" si="51"/>
        <v>101800</v>
      </c>
      <c r="AC175" s="123">
        <v>73800</v>
      </c>
      <c r="AD175" s="123">
        <v>28000</v>
      </c>
      <c r="AE175" s="123">
        <v>30973</v>
      </c>
      <c r="AG175" s="151">
        <f t="shared" si="56"/>
        <v>43765</v>
      </c>
      <c r="AH175" s="123">
        <f>126944</f>
        <v>126944</v>
      </c>
      <c r="AL175" s="123">
        <f>89547-985-5383</f>
        <v>83179</v>
      </c>
      <c r="AM175" s="123">
        <v>286860</v>
      </c>
      <c r="AN175" s="123">
        <v>191302</v>
      </c>
    </row>
    <row r="176" spans="1:41" s="123" customFormat="1" ht="16.2" thickBot="1" x14ac:dyDescent="0.35">
      <c r="A176" s="27"/>
      <c r="B176" s="217" t="s">
        <v>110</v>
      </c>
      <c r="C176" s="31" t="str">
        <f>VLOOKUP((CONCATENATE(B176)),ID!$A$2:$D$305,3,0)</f>
        <v>RL027</v>
      </c>
      <c r="D176" s="27">
        <v>1</v>
      </c>
      <c r="E176" s="27" t="s">
        <v>4057</v>
      </c>
      <c r="F176" s="27" t="s">
        <v>1117</v>
      </c>
      <c r="G176" s="27" t="s">
        <v>3806</v>
      </c>
      <c r="H176" s="94">
        <v>3743</v>
      </c>
      <c r="I176" s="47">
        <v>3828</v>
      </c>
      <c r="J176" s="47">
        <v>3824</v>
      </c>
      <c r="K176" s="27">
        <v>0</v>
      </c>
      <c r="L176" s="27"/>
      <c r="M176" s="28"/>
      <c r="N176" s="47">
        <v>3847</v>
      </c>
      <c r="O176" s="27" t="s">
        <v>3805</v>
      </c>
      <c r="P176" s="194" t="str">
        <f t="shared" si="47"/>
        <v>1</v>
      </c>
      <c r="Q176" s="21">
        <v>1</v>
      </c>
      <c r="R176" s="39" t="str">
        <f t="shared" si="44"/>
        <v>-</v>
      </c>
      <c r="S176" s="120">
        <f t="shared" si="50"/>
        <v>1410245</v>
      </c>
      <c r="T176" s="123">
        <v>2322730</v>
      </c>
      <c r="U176" s="123">
        <f>T176-V176</f>
        <v>2179795</v>
      </c>
      <c r="V176" s="123">
        <f>35164+13158+47722+46891</f>
        <v>142935</v>
      </c>
      <c r="W176" s="122" t="str">
        <f t="shared" si="34"/>
        <v>1</v>
      </c>
      <c r="X176" s="123">
        <f>805019+51157+7692+10500+148+25000+12463+228+278</f>
        <v>912485</v>
      </c>
      <c r="Y176" s="123">
        <f>805019+25000</f>
        <v>830019</v>
      </c>
      <c r="Z176" s="123">
        <f t="shared" si="57"/>
        <v>82466</v>
      </c>
      <c r="AA176" s="122" t="str">
        <f t="shared" si="35"/>
        <v>1</v>
      </c>
      <c r="AB176" s="120">
        <f t="shared" si="51"/>
        <v>830019</v>
      </c>
      <c r="AC176" s="123">
        <v>25000</v>
      </c>
      <c r="AD176" s="123">
        <v>805019</v>
      </c>
      <c r="AE176" s="123">
        <f>12769+22395</f>
        <v>35164</v>
      </c>
      <c r="AG176" s="151">
        <f t="shared" si="56"/>
        <v>58539</v>
      </c>
      <c r="AH176" s="123">
        <f>91815+1131</f>
        <v>92946</v>
      </c>
      <c r="AJ176" s="123">
        <v>20815</v>
      </c>
      <c r="AL176" s="123">
        <f>22200+8384+3823</f>
        <v>34407</v>
      </c>
      <c r="AM176" s="123">
        <v>246130</v>
      </c>
      <c r="AN176" s="123">
        <v>162560</v>
      </c>
      <c r="AO176" s="123">
        <f>(1040599/10)+0.1+11000</f>
        <v>115060</v>
      </c>
    </row>
    <row r="177" spans="1:41" s="123" customFormat="1" ht="16.2" thickBot="1" x14ac:dyDescent="0.35">
      <c r="A177" s="27">
        <v>27.1</v>
      </c>
      <c r="B177" s="217" t="s">
        <v>110</v>
      </c>
      <c r="C177" s="31" t="str">
        <f>VLOOKUP((CONCATENATE(B177)),ID!$A$2:$D$305,3,0)</f>
        <v>RL027</v>
      </c>
      <c r="D177" s="27">
        <v>1</v>
      </c>
      <c r="E177" s="27" t="s">
        <v>4057</v>
      </c>
      <c r="F177" s="27" t="s">
        <v>1117</v>
      </c>
      <c r="G177" s="27" t="s">
        <v>3806</v>
      </c>
      <c r="H177" s="94">
        <v>4108</v>
      </c>
      <c r="I177" s="47">
        <v>4185</v>
      </c>
      <c r="J177" s="47">
        <v>4183</v>
      </c>
      <c r="K177" s="27">
        <v>0</v>
      </c>
      <c r="L177" s="27"/>
      <c r="M177" s="28"/>
      <c r="N177" s="47">
        <v>4205</v>
      </c>
      <c r="O177" s="27" t="s">
        <v>3805</v>
      </c>
      <c r="P177" s="194" t="str">
        <f t="shared" si="47"/>
        <v>1</v>
      </c>
      <c r="Q177" s="21">
        <v>1</v>
      </c>
      <c r="R177" s="39" t="str">
        <f t="shared" si="44"/>
        <v>-</v>
      </c>
      <c r="S177" s="120">
        <f t="shared" si="50"/>
        <v>1475053</v>
      </c>
      <c r="T177" s="123">
        <v>2338924</v>
      </c>
      <c r="U177" s="123">
        <f>T177-V177</f>
        <v>2227041</v>
      </c>
      <c r="V177" s="123">
        <f>16514+31289+694+16163+47223</f>
        <v>111883</v>
      </c>
      <c r="W177" s="122" t="str">
        <f t="shared" si="34"/>
        <v>1</v>
      </c>
      <c r="X177" s="123">
        <f>795798+31597+9538+11780+148+142+12312+2556</f>
        <v>863871</v>
      </c>
      <c r="Y177" s="123">
        <v>795798</v>
      </c>
      <c r="Z177" s="123">
        <f t="shared" si="57"/>
        <v>68073</v>
      </c>
      <c r="AA177" s="122" t="str">
        <f t="shared" si="35"/>
        <v>1</v>
      </c>
      <c r="AB177" s="120">
        <f t="shared" si="51"/>
        <v>795798</v>
      </c>
      <c r="AC177" s="123">
        <v>0</v>
      </c>
      <c r="AD177" s="123">
        <f>Y177</f>
        <v>795798</v>
      </c>
      <c r="AE177" s="123">
        <f>16514+31289</f>
        <v>47803</v>
      </c>
      <c r="AG177" s="151">
        <f t="shared" si="56"/>
        <v>66798</v>
      </c>
      <c r="AH177" s="123">
        <f>102860+1377-798-1692-325</f>
        <v>101422</v>
      </c>
      <c r="AI177" s="123">
        <v>5000</v>
      </c>
      <c r="AJ177" s="123">
        <v>36427</v>
      </c>
      <c r="AL177" s="123">
        <f>22532+8341+3751</f>
        <v>34624</v>
      </c>
      <c r="AM177" s="123">
        <v>266017</v>
      </c>
      <c r="AN177" s="123">
        <v>170211</v>
      </c>
      <c r="AO177" s="123">
        <f>(1040599/10)+0.1+11000</f>
        <v>115060</v>
      </c>
    </row>
    <row r="178" spans="1:41" s="123" customFormat="1" ht="16.2" thickBot="1" x14ac:dyDescent="0.35">
      <c r="A178" s="27">
        <v>27.2</v>
      </c>
      <c r="B178" s="217" t="s">
        <v>110</v>
      </c>
      <c r="C178" s="31" t="str">
        <f>VLOOKUP((CONCATENATE(B178)),ID!$A$2:$D$305,3,0)</f>
        <v>RL027</v>
      </c>
      <c r="D178" s="27">
        <v>1</v>
      </c>
      <c r="E178" s="27" t="s">
        <v>4057</v>
      </c>
      <c r="F178" s="27" t="s">
        <v>1117</v>
      </c>
      <c r="G178" s="27" t="s">
        <v>3806</v>
      </c>
      <c r="H178" s="94">
        <v>4474</v>
      </c>
      <c r="I178" s="47">
        <v>4561</v>
      </c>
      <c r="J178" s="47">
        <v>4560</v>
      </c>
      <c r="K178" s="27">
        <v>0</v>
      </c>
      <c r="L178" s="27"/>
      <c r="M178" s="28"/>
      <c r="N178" s="47">
        <v>4581</v>
      </c>
      <c r="O178" s="27" t="s">
        <v>3805</v>
      </c>
      <c r="P178" s="194" t="str">
        <f t="shared" si="47"/>
        <v>1</v>
      </c>
      <c r="Q178" s="21">
        <v>1</v>
      </c>
      <c r="R178" s="39" t="str">
        <f t="shared" si="44"/>
        <v>-</v>
      </c>
      <c r="S178" s="120">
        <f t="shared" si="50"/>
        <v>1518038</v>
      </c>
      <c r="T178" s="123">
        <v>2372551</v>
      </c>
      <c r="U178" s="123">
        <f>T178-V178</f>
        <v>2192703</v>
      </c>
      <c r="V178" s="123">
        <f>66737+19113+46775+47223</f>
        <v>179848</v>
      </c>
      <c r="W178" s="122" t="str">
        <f t="shared" si="34"/>
        <v>1</v>
      </c>
      <c r="X178" s="123">
        <f>782347+32803+148+12076+2675+11384+13080</f>
        <v>854513</v>
      </c>
      <c r="Y178" s="123">
        <f>782347</f>
        <v>782347</v>
      </c>
      <c r="Z178" s="123">
        <f t="shared" si="57"/>
        <v>72166</v>
      </c>
      <c r="AA178" s="122" t="str">
        <f t="shared" si="35"/>
        <v>1</v>
      </c>
      <c r="AB178" s="120">
        <f t="shared" si="51"/>
        <v>782347</v>
      </c>
      <c r="AC178" s="123">
        <v>0</v>
      </c>
      <c r="AD178" s="123">
        <f>Y178</f>
        <v>782347</v>
      </c>
      <c r="AE178" s="123">
        <v>66737</v>
      </c>
      <c r="AG178" s="151">
        <f>AH178-AI178-AL178</f>
        <v>73247</v>
      </c>
      <c r="AH178" s="123">
        <f>110338+2037-791-1692-340</f>
        <v>109552</v>
      </c>
      <c r="AI178" s="123">
        <v>1800</v>
      </c>
      <c r="AJ178" s="123">
        <v>49437</v>
      </c>
      <c r="AL178" s="123">
        <f>22532+8296+3677</f>
        <v>34505</v>
      </c>
      <c r="AM178" s="123">
        <v>282866</v>
      </c>
      <c r="AN178" s="123">
        <v>182624</v>
      </c>
      <c r="AO178" s="123">
        <f>(1040599/10)+0.1+11000</f>
        <v>115060</v>
      </c>
    </row>
    <row r="179" spans="1:41" s="123" customFormat="1" ht="16.2" thickBot="1" x14ac:dyDescent="0.35">
      <c r="A179" s="27"/>
      <c r="B179" s="217" t="s">
        <v>110</v>
      </c>
      <c r="C179" s="31" t="str">
        <f>VLOOKUP((CONCATENATE(B179)),ID!$A$2:$D$305,3,0)</f>
        <v>RL027</v>
      </c>
      <c r="D179" s="27">
        <v>1</v>
      </c>
      <c r="E179" s="27" t="s">
        <v>4057</v>
      </c>
      <c r="F179" s="27" t="s">
        <v>1117</v>
      </c>
      <c r="G179" s="27" t="s">
        <v>3806</v>
      </c>
      <c r="H179" s="94">
        <v>4839</v>
      </c>
      <c r="I179" s="47">
        <v>4923</v>
      </c>
      <c r="J179" s="47">
        <v>4924</v>
      </c>
      <c r="K179" s="27">
        <v>0</v>
      </c>
      <c r="L179" s="27"/>
      <c r="M179" s="28"/>
      <c r="N179" s="47">
        <v>4940</v>
      </c>
      <c r="O179" s="27" t="s">
        <v>3805</v>
      </c>
      <c r="P179" s="194" t="str">
        <f t="shared" si="47"/>
        <v>1</v>
      </c>
      <c r="Q179" s="21">
        <v>1</v>
      </c>
      <c r="R179" s="39" t="str">
        <f t="shared" si="44"/>
        <v>-</v>
      </c>
      <c r="S179" s="120">
        <f t="shared" si="50"/>
        <v>1585143</v>
      </c>
      <c r="T179" s="123">
        <v>2402148</v>
      </c>
      <c r="U179" s="123">
        <f>T179-V179</f>
        <v>2249547</v>
      </c>
      <c r="V179" s="123">
        <f>46283+15644+43451+47223</f>
        <v>152601</v>
      </c>
      <c r="W179" s="122" t="str">
        <f t="shared" si="34"/>
        <v>1</v>
      </c>
      <c r="X179" s="123">
        <f>Y179+Z179</f>
        <v>817005</v>
      </c>
      <c r="Y179" s="123">
        <f>773941</f>
        <v>773941</v>
      </c>
      <c r="Z179" s="123">
        <f>13230+14440+148+42+11942+3262</f>
        <v>43064</v>
      </c>
      <c r="AA179" s="122" t="str">
        <f t="shared" si="35"/>
        <v>1</v>
      </c>
      <c r="AB179" s="120">
        <f t="shared" si="51"/>
        <v>773941</v>
      </c>
      <c r="AC179" s="123">
        <v>0</v>
      </c>
      <c r="AD179" s="123">
        <f>Y179</f>
        <v>773941</v>
      </c>
      <c r="AE179" s="123">
        <v>46283</v>
      </c>
      <c r="AG179" s="151">
        <f>AH179-AI179-AL179</f>
        <v>76568</v>
      </c>
      <c r="AH179" s="123">
        <f>134630-20540-350-1786</f>
        <v>111954</v>
      </c>
      <c r="AI179" s="123">
        <v>1000</v>
      </c>
      <c r="AJ179" s="123">
        <v>52039</v>
      </c>
      <c r="AL179" s="123">
        <f>22532+8250+3604</f>
        <v>34386</v>
      </c>
      <c r="AM179" s="123">
        <v>294824</v>
      </c>
      <c r="AN179" s="123">
        <v>186766</v>
      </c>
      <c r="AO179" s="123">
        <f>(1040599/10)+0.1+11000</f>
        <v>115060</v>
      </c>
    </row>
    <row r="180" spans="1:41" s="123" customFormat="1" ht="16.2" thickBot="1" x14ac:dyDescent="0.35">
      <c r="A180" s="27"/>
      <c r="B180" s="217" t="s">
        <v>110</v>
      </c>
      <c r="C180" s="31" t="str">
        <f>VLOOKUP((CONCATENATE(B180)),ID!$A$2:$D$305,3,0)</f>
        <v>RL027</v>
      </c>
      <c r="D180" s="27">
        <v>1</v>
      </c>
      <c r="E180" s="27" t="s">
        <v>4057</v>
      </c>
      <c r="F180" s="27" t="s">
        <v>1117</v>
      </c>
      <c r="G180" s="27" t="s">
        <v>3806</v>
      </c>
      <c r="H180" s="94">
        <v>5204</v>
      </c>
      <c r="I180" s="47">
        <v>5291</v>
      </c>
      <c r="J180" s="47">
        <v>5291</v>
      </c>
      <c r="K180" s="27">
        <v>0</v>
      </c>
      <c r="L180" s="27"/>
      <c r="M180" s="28"/>
      <c r="N180" s="47">
        <v>5308</v>
      </c>
      <c r="O180" s="27" t="s">
        <v>3805</v>
      </c>
      <c r="P180" s="194">
        <v>1</v>
      </c>
      <c r="Q180" s="21">
        <v>1</v>
      </c>
      <c r="R180" s="39" t="str">
        <f t="shared" si="44"/>
        <v>-</v>
      </c>
      <c r="S180" s="120">
        <f t="shared" si="50"/>
        <v>1466292</v>
      </c>
      <c r="T180" s="123">
        <v>2246897</v>
      </c>
      <c r="U180" s="123">
        <f>T180-V180</f>
        <v>2004617</v>
      </c>
      <c r="V180" s="123">
        <f>80282+14595+55096+92307</f>
        <v>242280</v>
      </c>
      <c r="W180" s="122" t="str">
        <f t="shared" si="34"/>
        <v>1</v>
      </c>
      <c r="X180" s="123">
        <f>Y180+Z180</f>
        <v>780605</v>
      </c>
      <c r="Y180" s="123">
        <f>AB180</f>
        <v>722900</v>
      </c>
      <c r="Z180" s="123">
        <f>30832+11033+15840</f>
        <v>57705</v>
      </c>
      <c r="AA180" s="122" t="str">
        <f t="shared" si="35"/>
        <v>1</v>
      </c>
      <c r="AB180" s="120">
        <f t="shared" si="51"/>
        <v>722900</v>
      </c>
      <c r="AC180" s="123">
        <v>40000</v>
      </c>
      <c r="AD180" s="123">
        <v>682900</v>
      </c>
      <c r="AE180" s="123">
        <v>80282</v>
      </c>
      <c r="AG180" s="151">
        <f t="shared" ref="AG180:AG192" si="58">AH180-AL180</f>
        <v>68106</v>
      </c>
      <c r="AH180" s="123">
        <f>113261-18609-360</f>
        <v>94292</v>
      </c>
      <c r="AI180" s="123">
        <v>1200</v>
      </c>
      <c r="AL180" s="123">
        <f>17984+8202</f>
        <v>26186</v>
      </c>
      <c r="AM180" s="123">
        <v>255927</v>
      </c>
      <c r="AN180" s="123">
        <v>156244</v>
      </c>
      <c r="AO180" s="123">
        <f>(1040599/10)+0.1+11000</f>
        <v>115060</v>
      </c>
    </row>
    <row r="181" spans="1:41" s="123" customFormat="1" ht="16.2" thickBot="1" x14ac:dyDescent="0.35">
      <c r="A181" s="27"/>
      <c r="B181" s="217" t="s">
        <v>115</v>
      </c>
      <c r="C181" s="31" t="str">
        <f>VLOOKUP((CONCATENATE(B181)),ID!$A$2:$D$305,3,0)</f>
        <v>RL028</v>
      </c>
      <c r="D181" s="27">
        <v>1</v>
      </c>
      <c r="E181" s="27" t="s">
        <v>4057</v>
      </c>
      <c r="F181" s="27" t="s">
        <v>1117</v>
      </c>
      <c r="G181" s="27" t="s">
        <v>3776</v>
      </c>
      <c r="H181" s="94">
        <v>3834</v>
      </c>
      <c r="I181" s="47">
        <v>3938</v>
      </c>
      <c r="J181" s="47">
        <v>3922</v>
      </c>
      <c r="K181" s="27">
        <v>1</v>
      </c>
      <c r="L181" s="47">
        <v>3939</v>
      </c>
      <c r="M181" s="48">
        <v>3952</v>
      </c>
      <c r="N181" s="47">
        <v>3952</v>
      </c>
      <c r="O181" s="27" t="s">
        <v>3800</v>
      </c>
      <c r="P181" s="194">
        <v>1</v>
      </c>
      <c r="Q181" s="21">
        <v>1</v>
      </c>
      <c r="R181" s="39" t="str">
        <f t="shared" si="44"/>
        <v>-</v>
      </c>
      <c r="S181" s="120">
        <f t="shared" si="50"/>
        <v>179258</v>
      </c>
      <c r="T181" s="123">
        <v>338809</v>
      </c>
      <c r="U181" s="123">
        <f>81902</f>
        <v>81902</v>
      </c>
      <c r="V181" s="123">
        <f>T181-U181</f>
        <v>256907</v>
      </c>
      <c r="W181" s="122" t="str">
        <f t="shared" si="34"/>
        <v>1</v>
      </c>
      <c r="X181" s="123">
        <f>T181-125654-30861-3307-19436</f>
        <v>159551</v>
      </c>
      <c r="Y181" s="123">
        <v>0</v>
      </c>
      <c r="Z181" s="123">
        <f>X181</f>
        <v>159551</v>
      </c>
      <c r="AA181" s="122" t="str">
        <f t="shared" si="35"/>
        <v>1</v>
      </c>
      <c r="AB181" s="120">
        <f t="shared" si="51"/>
        <v>0</v>
      </c>
      <c r="AC181" s="123">
        <v>0</v>
      </c>
      <c r="AD181" s="123">
        <v>0</v>
      </c>
      <c r="AE181" s="123">
        <v>77292</v>
      </c>
      <c r="AG181" s="151">
        <f t="shared" si="58"/>
        <v>114545</v>
      </c>
      <c r="AH181" s="123">
        <f>193470-11109-25</f>
        <v>182336</v>
      </c>
      <c r="AJ181" s="123">
        <v>0</v>
      </c>
      <c r="AL181" s="123">
        <f>48000+19791</f>
        <v>67791</v>
      </c>
      <c r="AM181" s="123">
        <v>405761</v>
      </c>
      <c r="AN181" s="123">
        <v>95806</v>
      </c>
    </row>
    <row r="182" spans="1:41" s="123" customFormat="1" ht="16.2" thickBot="1" x14ac:dyDescent="0.35">
      <c r="A182" s="27">
        <v>28.1</v>
      </c>
      <c r="B182" s="217" t="s">
        <v>115</v>
      </c>
      <c r="C182" s="31" t="str">
        <f>VLOOKUP((CONCATENATE(B182)),ID!$A$2:$D$305,3,0)</f>
        <v>RL028</v>
      </c>
      <c r="D182" s="27">
        <v>1</v>
      </c>
      <c r="E182" s="27" t="s">
        <v>4057</v>
      </c>
      <c r="F182" s="27" t="s">
        <v>1117</v>
      </c>
      <c r="G182" s="27" t="s">
        <v>3776</v>
      </c>
      <c r="H182" s="94">
        <v>4199</v>
      </c>
      <c r="I182" s="47">
        <v>4302</v>
      </c>
      <c r="J182" s="47">
        <v>4301</v>
      </c>
      <c r="K182" s="27">
        <v>1</v>
      </c>
      <c r="L182" s="47">
        <v>4303</v>
      </c>
      <c r="M182" s="48">
        <v>4316</v>
      </c>
      <c r="N182" s="47">
        <v>4316</v>
      </c>
      <c r="O182" s="27" t="s">
        <v>3800</v>
      </c>
      <c r="P182" s="194" t="str">
        <f t="shared" si="47"/>
        <v>1</v>
      </c>
      <c r="Q182" s="21">
        <v>1</v>
      </c>
      <c r="R182" s="39" t="str">
        <f t="shared" si="44"/>
        <v>-</v>
      </c>
      <c r="S182" s="120">
        <f t="shared" si="50"/>
        <v>201451</v>
      </c>
      <c r="T182" s="123">
        <v>327521</v>
      </c>
      <c r="U182" s="123">
        <f>4713+77181+900+14455</f>
        <v>97249</v>
      </c>
      <c r="V182" s="123">
        <f>T182-U182</f>
        <v>230272</v>
      </c>
      <c r="W182" s="122" t="str">
        <f t="shared" si="34"/>
        <v>1</v>
      </c>
      <c r="X182" s="123">
        <f>104055+1872+15966+4177</f>
        <v>126070</v>
      </c>
      <c r="Y182" s="123">
        <v>0</v>
      </c>
      <c r="Z182" s="123">
        <f>X182</f>
        <v>126070</v>
      </c>
      <c r="AA182" s="122" t="str">
        <f t="shared" si="35"/>
        <v>1</v>
      </c>
      <c r="AB182" s="120">
        <f t="shared" si="51"/>
        <v>0</v>
      </c>
      <c r="AC182" s="123">
        <v>0</v>
      </c>
      <c r="AD182" s="123">
        <v>0</v>
      </c>
      <c r="AE182" s="123">
        <f>36005+6362</f>
        <v>42367</v>
      </c>
      <c r="AG182" s="151">
        <f t="shared" si="58"/>
        <v>162107</v>
      </c>
      <c r="AH182" s="123">
        <f>271671-10836-12536-15-3987</f>
        <v>244297</v>
      </c>
      <c r="AJ182" s="123">
        <f>42331</f>
        <v>42331</v>
      </c>
      <c r="AL182" s="123">
        <f>30833+51357</f>
        <v>82190</v>
      </c>
      <c r="AM182" s="123">
        <v>478729</v>
      </c>
      <c r="AN182" s="123">
        <v>111549</v>
      </c>
    </row>
    <row r="183" spans="1:41" s="123" customFormat="1" ht="16.2" thickBot="1" x14ac:dyDescent="0.35">
      <c r="A183" s="27">
        <v>28.2</v>
      </c>
      <c r="B183" s="217" t="s">
        <v>115</v>
      </c>
      <c r="C183" s="31" t="str">
        <f>VLOOKUP((CONCATENATE(B183)),ID!$A$2:$D$305,3,0)</f>
        <v>RL028</v>
      </c>
      <c r="D183" s="27">
        <v>1</v>
      </c>
      <c r="E183" s="27" t="s">
        <v>4057</v>
      </c>
      <c r="F183" s="27" t="s">
        <v>1117</v>
      </c>
      <c r="G183" s="27" t="s">
        <v>3776</v>
      </c>
      <c r="H183" s="94">
        <v>4565</v>
      </c>
      <c r="I183" s="47">
        <v>4685</v>
      </c>
      <c r="J183" s="47">
        <v>4666</v>
      </c>
      <c r="K183" s="27">
        <v>1</v>
      </c>
      <c r="L183" s="47">
        <v>4686</v>
      </c>
      <c r="M183" s="48">
        <v>4699</v>
      </c>
      <c r="N183" s="47">
        <v>4695</v>
      </c>
      <c r="O183" s="27" t="s">
        <v>3800</v>
      </c>
      <c r="P183" s="194" t="str">
        <f t="shared" si="47"/>
        <v>1</v>
      </c>
      <c r="Q183" s="21">
        <v>1</v>
      </c>
      <c r="R183" s="39" t="str">
        <f t="shared" si="44"/>
        <v>-</v>
      </c>
      <c r="S183" s="120">
        <f t="shared" si="50"/>
        <v>348300</v>
      </c>
      <c r="T183" s="123">
        <v>693850</v>
      </c>
      <c r="U183" s="123">
        <f>405815</f>
        <v>405815</v>
      </c>
      <c r="V183" s="123">
        <f t="shared" ref="V183:V203" si="59">T183-U183</f>
        <v>288035</v>
      </c>
      <c r="W183" s="122" t="str">
        <f t="shared" si="34"/>
        <v>1</v>
      </c>
      <c r="X183" s="123">
        <f>15966+1934+192000+50000+81902+3748</f>
        <v>345550</v>
      </c>
      <c r="Y183" s="123">
        <v>0</v>
      </c>
      <c r="Z183" s="123">
        <f>X183-Y183</f>
        <v>345550</v>
      </c>
      <c r="AA183" s="122" t="str">
        <f t="shared" si="35"/>
        <v>1</v>
      </c>
      <c r="AB183" s="120">
        <f t="shared" si="51"/>
        <v>192000</v>
      </c>
      <c r="AC183" s="123">
        <v>192000</v>
      </c>
      <c r="AD183" s="123">
        <v>0</v>
      </c>
      <c r="AE183" s="123">
        <v>28236</v>
      </c>
      <c r="AG183" s="151">
        <f t="shared" si="58"/>
        <v>106356</v>
      </c>
      <c r="AH183" s="123">
        <f>214807-19170-40-2041</f>
        <v>193556</v>
      </c>
      <c r="AJ183" s="123">
        <v>57012</v>
      </c>
      <c r="AL183" s="123">
        <f>52200+35000</f>
        <v>87200</v>
      </c>
      <c r="AM183" s="123">
        <v>472101</v>
      </c>
      <c r="AN183" s="123">
        <v>101073</v>
      </c>
    </row>
    <row r="184" spans="1:41" s="123" customFormat="1" ht="16.2" thickBot="1" x14ac:dyDescent="0.35">
      <c r="A184" s="27"/>
      <c r="B184" s="217" t="s">
        <v>115</v>
      </c>
      <c r="C184" s="31" t="str">
        <f>VLOOKUP((CONCATENATE(B184)),ID!$A$2:$D$305,3,0)</f>
        <v>RL028</v>
      </c>
      <c r="D184" s="27">
        <v>1</v>
      </c>
      <c r="E184" s="27" t="s">
        <v>4057</v>
      </c>
      <c r="F184" s="27" t="s">
        <v>1117</v>
      </c>
      <c r="G184" s="27" t="s">
        <v>3776</v>
      </c>
      <c r="H184" s="94">
        <v>4930</v>
      </c>
      <c r="I184" s="47">
        <v>5052</v>
      </c>
      <c r="J184" s="123">
        <v>5052</v>
      </c>
      <c r="K184" s="27">
        <v>0</v>
      </c>
      <c r="L184" s="47">
        <v>5050</v>
      </c>
      <c r="M184" s="48">
        <v>5063</v>
      </c>
      <c r="N184" s="47">
        <v>4700</v>
      </c>
      <c r="O184" s="27" t="s">
        <v>3800</v>
      </c>
      <c r="P184" s="194" t="str">
        <f t="shared" si="47"/>
        <v>1</v>
      </c>
      <c r="Q184" s="21">
        <v>1</v>
      </c>
      <c r="R184" s="39" t="str">
        <f t="shared" si="44"/>
        <v>-</v>
      </c>
      <c r="S184" s="120">
        <f t="shared" si="50"/>
        <v>638487</v>
      </c>
      <c r="T184" s="123">
        <v>923547</v>
      </c>
      <c r="U184" s="123">
        <f>463822</f>
        <v>463822</v>
      </c>
      <c r="V184" s="123">
        <f t="shared" si="59"/>
        <v>459725</v>
      </c>
      <c r="W184" s="122" t="str">
        <f t="shared" si="34"/>
        <v>1</v>
      </c>
      <c r="X184" s="123">
        <f>Z184+Y184</f>
        <v>285060</v>
      </c>
      <c r="Y184" s="123">
        <v>0</v>
      </c>
      <c r="Z184" s="123">
        <f>T184-64680-8197-565610</f>
        <v>285060</v>
      </c>
      <c r="AA184" s="122" t="str">
        <f t="shared" si="35"/>
        <v>1</v>
      </c>
      <c r="AB184" s="120">
        <f t="shared" si="51"/>
        <v>0</v>
      </c>
      <c r="AC184" s="123">
        <v>0</v>
      </c>
      <c r="AD184" s="123">
        <v>0</v>
      </c>
      <c r="AE184" s="123">
        <v>80458</v>
      </c>
      <c r="AG184" s="151">
        <f t="shared" si="58"/>
        <v>152039</v>
      </c>
      <c r="AH184" s="123">
        <f>336690-8-90008</f>
        <v>246674</v>
      </c>
      <c r="AJ184" s="123">
        <v>64680</v>
      </c>
      <c r="AL184" s="123">
        <f>35000+59635</f>
        <v>94635</v>
      </c>
      <c r="AM184" s="123">
        <v>611145</v>
      </c>
      <c r="AN184" s="123">
        <v>121369</v>
      </c>
    </row>
    <row r="185" spans="1:41" s="123" customFormat="1" ht="16.2" thickBot="1" x14ac:dyDescent="0.35">
      <c r="A185" s="27"/>
      <c r="B185" s="217" t="s">
        <v>115</v>
      </c>
      <c r="C185" s="31" t="str">
        <f>VLOOKUP((CONCATENATE(B185)),ID!$A$2:$D$305,3,0)</f>
        <v>RL028</v>
      </c>
      <c r="D185" s="27">
        <v>1</v>
      </c>
      <c r="E185" s="27" t="s">
        <v>4057</v>
      </c>
      <c r="F185" s="27" t="s">
        <v>1117</v>
      </c>
      <c r="G185" s="27" t="s">
        <v>3776</v>
      </c>
      <c r="H185" s="94">
        <v>5295</v>
      </c>
      <c r="I185" s="47">
        <v>5436</v>
      </c>
      <c r="J185" s="47">
        <v>5435</v>
      </c>
      <c r="K185" s="27">
        <v>0</v>
      </c>
      <c r="L185" s="47"/>
      <c r="M185" s="48"/>
      <c r="N185" s="47">
        <v>5445</v>
      </c>
      <c r="O185" s="27" t="s">
        <v>3800</v>
      </c>
      <c r="P185" s="194" t="str">
        <f t="shared" si="47"/>
        <v>1</v>
      </c>
      <c r="Q185" s="21">
        <v>1</v>
      </c>
      <c r="R185" s="39" t="str">
        <f t="shared" si="44"/>
        <v>-</v>
      </c>
      <c r="S185" s="120">
        <f t="shared" si="50"/>
        <v>659428</v>
      </c>
      <c r="T185" s="123">
        <v>894031</v>
      </c>
      <c r="U185" s="123">
        <v>473365</v>
      </c>
      <c r="V185" s="123">
        <f t="shared" si="59"/>
        <v>420666</v>
      </c>
      <c r="W185" s="122" t="str">
        <f t="shared" si="34"/>
        <v>1</v>
      </c>
      <c r="X185" s="123">
        <f>Z185+Y185</f>
        <v>234603</v>
      </c>
      <c r="Y185" s="123">
        <v>0</v>
      </c>
      <c r="Z185" s="123">
        <f>T185-11743-8724-638961</f>
        <v>234603</v>
      </c>
      <c r="AA185" s="122" t="str">
        <f t="shared" si="35"/>
        <v>1</v>
      </c>
      <c r="AB185" s="120">
        <f t="shared" si="51"/>
        <v>0</v>
      </c>
      <c r="AC185" s="123">
        <v>0</v>
      </c>
      <c r="AD185" s="123">
        <v>0</v>
      </c>
      <c r="AE185" s="123">
        <v>6871</v>
      </c>
      <c r="AG185" s="151">
        <f t="shared" si="58"/>
        <v>78982</v>
      </c>
      <c r="AH185" s="123">
        <f>283924-3500-15-38159-18425</f>
        <v>223825</v>
      </c>
      <c r="AJ185" s="123">
        <v>64680</v>
      </c>
      <c r="AL185" s="123">
        <f>60200+35000+49643</f>
        <v>144843</v>
      </c>
      <c r="AM185" s="123">
        <v>609850</v>
      </c>
      <c r="AN185" s="123">
        <v>147932</v>
      </c>
    </row>
    <row r="186" spans="1:41" s="123" customFormat="1" ht="16.2" thickBot="1" x14ac:dyDescent="0.35">
      <c r="A186" s="27"/>
      <c r="B186" s="218" t="s">
        <v>123</v>
      </c>
      <c r="C186" s="31" t="str">
        <f>VLOOKUP((CONCATENATE(B186)),ID!$A$2:$D$305,3,0)</f>
        <v>RL029</v>
      </c>
      <c r="D186" s="56">
        <v>0</v>
      </c>
      <c r="E186" s="56" t="s">
        <v>4057</v>
      </c>
      <c r="F186" s="56" t="s">
        <v>4062</v>
      </c>
      <c r="G186" s="56" t="s">
        <v>3853</v>
      </c>
      <c r="H186" s="95">
        <v>3653</v>
      </c>
      <c r="I186" s="47">
        <v>3685</v>
      </c>
      <c r="J186" s="47">
        <v>3691</v>
      </c>
      <c r="K186" s="27">
        <v>1</v>
      </c>
      <c r="L186" s="43">
        <v>3694</v>
      </c>
      <c r="M186" s="47">
        <v>3707</v>
      </c>
      <c r="N186" s="47">
        <v>3707</v>
      </c>
      <c r="O186" s="56" t="s">
        <v>3807</v>
      </c>
      <c r="P186" s="194" t="str">
        <f t="shared" si="47"/>
        <v>1</v>
      </c>
      <c r="Q186" s="21">
        <v>1</v>
      </c>
      <c r="R186" s="39" t="str">
        <f t="shared" si="44"/>
        <v>-</v>
      </c>
      <c r="S186" s="120">
        <f t="shared" si="50"/>
        <v>106365</v>
      </c>
      <c r="T186" s="123">
        <f>208339</f>
        <v>208339</v>
      </c>
      <c r="U186" s="123">
        <v>65761</v>
      </c>
      <c r="V186" s="123">
        <f t="shared" si="59"/>
        <v>142578</v>
      </c>
      <c r="W186" s="122" t="str">
        <f t="shared" si="34"/>
        <v>1</v>
      </c>
      <c r="X186" s="123">
        <f>Z186+Y186</f>
        <v>101974</v>
      </c>
      <c r="Y186" s="123">
        <f>4991+4580+1277</f>
        <v>10848</v>
      </c>
      <c r="Z186" s="123">
        <f>15258+43883+31985</f>
        <v>91126</v>
      </c>
      <c r="AA186" s="122" t="str">
        <f t="shared" si="35"/>
        <v>1</v>
      </c>
      <c r="AB186" s="120">
        <f t="shared" si="51"/>
        <v>31985</v>
      </c>
      <c r="AC186" s="123">
        <v>31985</v>
      </c>
      <c r="AD186" s="123">
        <v>0</v>
      </c>
      <c r="AE186" s="123">
        <v>0</v>
      </c>
      <c r="AG186" s="151">
        <f t="shared" si="58"/>
        <v>96848</v>
      </c>
      <c r="AH186" s="123">
        <f>132611-AK186</f>
        <v>132611</v>
      </c>
      <c r="AJ186" s="123">
        <v>11487</v>
      </c>
      <c r="AL186" s="123">
        <f>34441+1322</f>
        <v>35763</v>
      </c>
      <c r="AM186" s="123">
        <v>277308</v>
      </c>
      <c r="AN186" s="123">
        <v>73486</v>
      </c>
    </row>
    <row r="187" spans="1:41" s="123" customFormat="1" ht="16.2" thickBot="1" x14ac:dyDescent="0.35">
      <c r="A187" s="27"/>
      <c r="B187" s="218" t="s">
        <v>123</v>
      </c>
      <c r="C187" s="31" t="str">
        <f>VLOOKUP((CONCATENATE(B187)),ID!$A$2:$D$305,3,0)</f>
        <v>RL029</v>
      </c>
      <c r="D187" s="56">
        <v>0</v>
      </c>
      <c r="E187" s="56" t="s">
        <v>4057</v>
      </c>
      <c r="F187" s="56" t="s">
        <v>4062</v>
      </c>
      <c r="G187" s="56" t="s">
        <v>3853</v>
      </c>
      <c r="H187" s="95">
        <v>3834</v>
      </c>
      <c r="I187" s="47">
        <v>3856</v>
      </c>
      <c r="J187" s="47">
        <v>3864</v>
      </c>
      <c r="K187" s="27">
        <v>1</v>
      </c>
      <c r="L187" s="47">
        <v>3867</v>
      </c>
      <c r="M187" s="48">
        <v>3876</v>
      </c>
      <c r="N187" s="47">
        <v>3876</v>
      </c>
      <c r="O187" s="56" t="s">
        <v>3807</v>
      </c>
      <c r="P187" s="194" t="str">
        <f t="shared" si="47"/>
        <v>1</v>
      </c>
      <c r="Q187" s="21">
        <v>1</v>
      </c>
      <c r="R187" s="39" t="str">
        <f t="shared" si="44"/>
        <v>-</v>
      </c>
      <c r="S187" s="120">
        <f t="shared" si="50"/>
        <v>107513</v>
      </c>
      <c r="T187" s="123">
        <v>237223</v>
      </c>
      <c r="U187" s="123">
        <v>94643</v>
      </c>
      <c r="V187" s="123">
        <f>T187-U187</f>
        <v>142580</v>
      </c>
      <c r="W187" s="122" t="str">
        <f t="shared" si="34"/>
        <v>1</v>
      </c>
      <c r="X187" s="123">
        <f>53787+14629+50639+Y187</f>
        <v>129710</v>
      </c>
      <c r="Y187" s="123">
        <f>4991+4303+1361</f>
        <v>10655</v>
      </c>
      <c r="Z187" s="123">
        <f>X187-Y187</f>
        <v>119055</v>
      </c>
      <c r="AA187" s="122" t="str">
        <f t="shared" si="35"/>
        <v>1</v>
      </c>
      <c r="AB187" s="120">
        <f t="shared" si="51"/>
        <v>53787</v>
      </c>
      <c r="AC187" s="123">
        <v>53787</v>
      </c>
      <c r="AD187" s="123">
        <v>0</v>
      </c>
      <c r="AE187" s="123">
        <v>0</v>
      </c>
      <c r="AG187" s="151">
        <f t="shared" si="58"/>
        <v>93628</v>
      </c>
      <c r="AH187" s="123">
        <f>129593-AK187</f>
        <v>129593</v>
      </c>
      <c r="AJ187" s="123">
        <v>11487</v>
      </c>
      <c r="AL187" s="123">
        <f>34441+1524</f>
        <v>35965</v>
      </c>
      <c r="AM187" s="123">
        <v>272336</v>
      </c>
      <c r="AN187" s="123">
        <v>59628</v>
      </c>
    </row>
    <row r="188" spans="1:41" s="123" customFormat="1" ht="16.2" thickBot="1" x14ac:dyDescent="0.35">
      <c r="A188" s="56">
        <v>29.1</v>
      </c>
      <c r="B188" s="218" t="s">
        <v>123</v>
      </c>
      <c r="C188" s="31" t="str">
        <f>VLOOKUP((CONCATENATE(B188)),ID!$A$2:$D$305,3,0)</f>
        <v>RL029</v>
      </c>
      <c r="D188" s="56">
        <v>0</v>
      </c>
      <c r="E188" s="56" t="s">
        <v>4057</v>
      </c>
      <c r="F188" s="56" t="s">
        <v>4062</v>
      </c>
      <c r="G188" s="56" t="s">
        <v>3853</v>
      </c>
      <c r="H188" s="95">
        <v>4018</v>
      </c>
      <c r="I188" s="57">
        <v>4051</v>
      </c>
      <c r="J188" s="57">
        <v>4056</v>
      </c>
      <c r="K188" s="56">
        <v>1</v>
      </c>
      <c r="L188" s="57">
        <v>4060</v>
      </c>
      <c r="M188" s="59">
        <v>4073</v>
      </c>
      <c r="N188" s="57">
        <v>4073</v>
      </c>
      <c r="O188" s="56" t="s">
        <v>3807</v>
      </c>
      <c r="P188" s="194" t="str">
        <f t="shared" si="47"/>
        <v>1</v>
      </c>
      <c r="Q188" s="21">
        <v>1</v>
      </c>
      <c r="R188" s="39" t="str">
        <f t="shared" si="44"/>
        <v>-</v>
      </c>
      <c r="S188" s="120">
        <f t="shared" si="50"/>
        <v>125127</v>
      </c>
      <c r="T188" s="123">
        <v>265009</v>
      </c>
      <c r="U188" s="123">
        <f>100372</f>
        <v>100372</v>
      </c>
      <c r="V188" s="123">
        <f t="shared" si="59"/>
        <v>164637</v>
      </c>
      <c r="W188" s="122" t="str">
        <f t="shared" si="34"/>
        <v>1</v>
      </c>
      <c r="X188" s="123">
        <f>11411+120209+Y188</f>
        <v>139882</v>
      </c>
      <c r="Y188" s="123">
        <f>2500+1423+4339</f>
        <v>8262</v>
      </c>
      <c r="Z188" s="123">
        <f>11411+120209</f>
        <v>131620</v>
      </c>
      <c r="AA188" s="122" t="str">
        <f t="shared" si="35"/>
        <v>1</v>
      </c>
      <c r="AB188" s="120">
        <f t="shared" si="51"/>
        <v>0</v>
      </c>
      <c r="AC188" s="123">
        <v>0</v>
      </c>
      <c r="AD188" s="123">
        <v>0</v>
      </c>
      <c r="AE188" s="123">
        <v>14704</v>
      </c>
      <c r="AG188" s="151">
        <f t="shared" si="58"/>
        <v>107758</v>
      </c>
      <c r="AH188" s="123">
        <f>143898-AK188</f>
        <v>143898</v>
      </c>
      <c r="AJ188" s="123">
        <v>11487</v>
      </c>
      <c r="AL188" s="123">
        <f>34441+1699</f>
        <v>36140</v>
      </c>
      <c r="AM188" s="123">
        <v>298022</v>
      </c>
      <c r="AN188" s="123">
        <v>77158</v>
      </c>
    </row>
    <row r="189" spans="1:41" s="123" customFormat="1" ht="16.2" thickBot="1" x14ac:dyDescent="0.35">
      <c r="A189" s="56">
        <v>29.2</v>
      </c>
      <c r="B189" s="218" t="s">
        <v>123</v>
      </c>
      <c r="C189" s="31" t="str">
        <f>VLOOKUP((CONCATENATE(B189)),ID!$A$2:$D$305,3,0)</f>
        <v>RL029</v>
      </c>
      <c r="D189" s="56">
        <v>0</v>
      </c>
      <c r="E189" s="56" t="s">
        <v>4057</v>
      </c>
      <c r="F189" s="56" t="s">
        <v>4062</v>
      </c>
      <c r="G189" s="56" t="s">
        <v>3853</v>
      </c>
      <c r="H189" s="95">
        <v>4199</v>
      </c>
      <c r="I189" s="57">
        <v>4230</v>
      </c>
      <c r="J189" s="57">
        <v>4234</v>
      </c>
      <c r="K189" s="56">
        <v>1</v>
      </c>
      <c r="L189" s="57">
        <v>4240</v>
      </c>
      <c r="M189" s="59">
        <v>4253</v>
      </c>
      <c r="N189" s="57">
        <v>4253</v>
      </c>
      <c r="O189" s="56" t="s">
        <v>3807</v>
      </c>
      <c r="P189" s="194" t="str">
        <f t="shared" si="47"/>
        <v>1</v>
      </c>
      <c r="Q189" s="21">
        <v>1</v>
      </c>
      <c r="R189" s="39" t="str">
        <f t="shared" si="44"/>
        <v>-</v>
      </c>
      <c r="S189" s="120">
        <f t="shared" si="50"/>
        <v>100615</v>
      </c>
      <c r="T189" s="123">
        <v>279736</v>
      </c>
      <c r="U189" s="123">
        <f>101509</f>
        <v>101509</v>
      </c>
      <c r="V189" s="123">
        <f t="shared" si="59"/>
        <v>178227</v>
      </c>
      <c r="W189" s="122" t="str">
        <f t="shared" si="34"/>
        <v>1</v>
      </c>
      <c r="X189" s="123">
        <f>40000+10896+119823+Y189</f>
        <v>179121</v>
      </c>
      <c r="Y189" s="123">
        <f>2750+1227+4425</f>
        <v>8402</v>
      </c>
      <c r="Z189" s="123">
        <f>X189-Y189</f>
        <v>170719</v>
      </c>
      <c r="AA189" s="122" t="str">
        <f t="shared" si="35"/>
        <v>1</v>
      </c>
      <c r="AB189" s="120">
        <f t="shared" si="51"/>
        <v>40000</v>
      </c>
      <c r="AC189" s="123">
        <v>0</v>
      </c>
      <c r="AD189" s="123">
        <v>40000</v>
      </c>
      <c r="AE189" s="123">
        <v>39408</v>
      </c>
      <c r="AG189" s="151">
        <f t="shared" si="58"/>
        <v>78860</v>
      </c>
      <c r="AH189" s="123">
        <f>115412-AK189</f>
        <v>115412</v>
      </c>
      <c r="AJ189" s="123">
        <v>11487</v>
      </c>
      <c r="AL189" s="123">
        <f>34441+2111</f>
        <v>36552</v>
      </c>
      <c r="AM189" s="123">
        <v>265999</v>
      </c>
      <c r="AN189" s="123">
        <v>61792</v>
      </c>
    </row>
    <row r="190" spans="1:41" s="123" customFormat="1" ht="16.2" thickBot="1" x14ac:dyDescent="0.35">
      <c r="A190" s="56">
        <v>29.3</v>
      </c>
      <c r="B190" s="218" t="s">
        <v>123</v>
      </c>
      <c r="C190" s="31" t="str">
        <f>VLOOKUP((CONCATENATE(B190)),ID!$A$2:$D$305,3,0)</f>
        <v>RL029</v>
      </c>
      <c r="D190" s="56">
        <v>0</v>
      </c>
      <c r="E190" s="56" t="s">
        <v>4057</v>
      </c>
      <c r="F190" s="56" t="s">
        <v>4062</v>
      </c>
      <c r="G190" s="56" t="s">
        <v>3853</v>
      </c>
      <c r="H190" s="95">
        <v>4383</v>
      </c>
      <c r="I190" s="57">
        <v>4419</v>
      </c>
      <c r="J190" s="81">
        <v>4420</v>
      </c>
      <c r="K190" s="56">
        <v>1</v>
      </c>
      <c r="L190" s="57">
        <v>4429</v>
      </c>
      <c r="M190" s="59">
        <v>4442</v>
      </c>
      <c r="N190" s="57">
        <v>4442</v>
      </c>
      <c r="O190" s="56" t="s">
        <v>3807</v>
      </c>
      <c r="P190" s="194" t="str">
        <f t="shared" si="47"/>
        <v>1</v>
      </c>
      <c r="Q190" s="21">
        <v>1</v>
      </c>
      <c r="R190" s="39" t="str">
        <f t="shared" si="44"/>
        <v>-</v>
      </c>
      <c r="S190" s="120">
        <f t="shared" si="50"/>
        <v>123694</v>
      </c>
      <c r="T190" s="123">
        <v>302568</v>
      </c>
      <c r="U190" s="123">
        <f>118921</f>
        <v>118921</v>
      </c>
      <c r="V190" s="123">
        <f t="shared" si="59"/>
        <v>183647</v>
      </c>
      <c r="W190" s="122" t="str">
        <f t="shared" si="34"/>
        <v>1</v>
      </c>
      <c r="X190" s="123">
        <f>35000+17230+117623+Y190</f>
        <v>178874</v>
      </c>
      <c r="Y190" s="123">
        <f>4706+1315+3000</f>
        <v>9021</v>
      </c>
      <c r="Z190" s="123">
        <f>X190-Y190</f>
        <v>169853</v>
      </c>
      <c r="AA190" s="122" t="str">
        <f t="shared" si="35"/>
        <v>1</v>
      </c>
      <c r="AB190" s="120">
        <f t="shared" si="51"/>
        <v>35000</v>
      </c>
      <c r="AC190" s="123">
        <v>0</v>
      </c>
      <c r="AD190" s="123">
        <v>35000</v>
      </c>
      <c r="AE190" s="123">
        <v>45320</v>
      </c>
      <c r="AG190" s="151">
        <f t="shared" si="58"/>
        <v>102074</v>
      </c>
      <c r="AH190" s="123">
        <f>138370-AK190</f>
        <v>138370</v>
      </c>
      <c r="AJ190" s="123">
        <v>11487</v>
      </c>
      <c r="AL190" s="123">
        <f>34441+1855</f>
        <v>36296</v>
      </c>
      <c r="AM190" s="123">
        <v>296988</v>
      </c>
      <c r="AN190" s="123">
        <v>80617</v>
      </c>
    </row>
    <row r="191" spans="1:41" s="123" customFormat="1" ht="16.2" thickBot="1" x14ac:dyDescent="0.35">
      <c r="A191" s="56">
        <v>29.4</v>
      </c>
      <c r="B191" s="218" t="s">
        <v>123</v>
      </c>
      <c r="C191" s="31" t="str">
        <f>VLOOKUP((CONCATENATE(B191)),ID!$A$2:$D$305,3,0)</f>
        <v>RL029</v>
      </c>
      <c r="D191" s="56">
        <v>0</v>
      </c>
      <c r="E191" s="56" t="s">
        <v>4057</v>
      </c>
      <c r="F191" s="56" t="s">
        <v>4062</v>
      </c>
      <c r="G191" s="56" t="s">
        <v>3853</v>
      </c>
      <c r="H191" s="95">
        <v>4565</v>
      </c>
      <c r="I191" s="57">
        <v>4596</v>
      </c>
      <c r="J191" s="57">
        <v>4601</v>
      </c>
      <c r="K191" s="56">
        <v>1</v>
      </c>
      <c r="L191" s="57">
        <v>4604</v>
      </c>
      <c r="M191" s="59">
        <v>4617</v>
      </c>
      <c r="N191" s="57">
        <v>4617</v>
      </c>
      <c r="O191" s="56" t="s">
        <v>3807</v>
      </c>
      <c r="P191" s="194" t="str">
        <f t="shared" si="47"/>
        <v>1</v>
      </c>
      <c r="Q191" s="21">
        <v>1</v>
      </c>
      <c r="R191" s="39" t="str">
        <f t="shared" si="44"/>
        <v>-</v>
      </c>
      <c r="S191" s="120">
        <f t="shared" si="50"/>
        <v>96280</v>
      </c>
      <c r="T191" s="123">
        <v>279751</v>
      </c>
      <c r="U191" s="123">
        <f>104435</f>
        <v>104435</v>
      </c>
      <c r="V191" s="123">
        <f t="shared" si="59"/>
        <v>175316</v>
      </c>
      <c r="W191" s="122" t="str">
        <f t="shared" si="34"/>
        <v>1</v>
      </c>
      <c r="X191" s="123">
        <f>50000+16053+107819+Y191</f>
        <v>183471</v>
      </c>
      <c r="Y191" s="123">
        <f>3250+1405+4944</f>
        <v>9599</v>
      </c>
      <c r="Z191" s="123">
        <f>X191-Y191</f>
        <v>173872</v>
      </c>
      <c r="AA191" s="122" t="str">
        <f t="shared" si="35"/>
        <v>1</v>
      </c>
      <c r="AB191" s="120">
        <f t="shared" si="51"/>
        <v>50000</v>
      </c>
      <c r="AC191" s="123">
        <v>0</v>
      </c>
      <c r="AD191" s="123">
        <v>50000</v>
      </c>
      <c r="AE191" s="123">
        <v>23519</v>
      </c>
      <c r="AG191" s="151">
        <f t="shared" si="58"/>
        <v>68605</v>
      </c>
      <c r="AH191" s="123">
        <f>105925-AK191</f>
        <v>105925</v>
      </c>
      <c r="AJ191" s="123">
        <v>11487</v>
      </c>
      <c r="AL191" s="123">
        <f>35191+2129</f>
        <v>37320</v>
      </c>
      <c r="AM191" s="123">
        <v>253693</v>
      </c>
      <c r="AN191" s="123">
        <v>61971</v>
      </c>
    </row>
    <row r="192" spans="1:41" s="123" customFormat="1" ht="16.2" thickBot="1" x14ac:dyDescent="0.35">
      <c r="A192" s="56"/>
      <c r="B192" s="218" t="s">
        <v>123</v>
      </c>
      <c r="C192" s="31" t="str">
        <f>VLOOKUP((CONCATENATE(B192)),ID!$A$2:$D$305,3,0)</f>
        <v>RL029</v>
      </c>
      <c r="D192" s="56">
        <v>0</v>
      </c>
      <c r="E192" s="56" t="s">
        <v>4057</v>
      </c>
      <c r="F192" s="56" t="s">
        <v>4062</v>
      </c>
      <c r="G192" s="56" t="s">
        <v>3853</v>
      </c>
      <c r="H192" s="95">
        <v>4749</v>
      </c>
      <c r="I192" s="57">
        <v>4773</v>
      </c>
      <c r="J192" s="57">
        <v>4783</v>
      </c>
      <c r="K192" s="56">
        <v>1</v>
      </c>
      <c r="L192" s="57">
        <v>4783</v>
      </c>
      <c r="M192" s="59">
        <v>4794</v>
      </c>
      <c r="N192" s="57">
        <v>4794</v>
      </c>
      <c r="O192" s="56" t="s">
        <v>3807</v>
      </c>
      <c r="P192" s="194" t="str">
        <f t="shared" si="47"/>
        <v>1</v>
      </c>
      <c r="Q192" s="21">
        <v>1</v>
      </c>
      <c r="R192" s="39" t="str">
        <f t="shared" ref="R192:R254" si="60">IF(Q192=0,"?","-")</f>
        <v>-</v>
      </c>
      <c r="S192" s="120">
        <f t="shared" si="50"/>
        <v>140940</v>
      </c>
      <c r="T192" s="123">
        <v>282373</v>
      </c>
      <c r="U192" s="123">
        <v>111313</v>
      </c>
      <c r="V192" s="123">
        <f t="shared" si="59"/>
        <v>171060</v>
      </c>
      <c r="W192" s="122" t="str">
        <f t="shared" si="34"/>
        <v>1</v>
      </c>
      <c r="X192" s="123">
        <f>118769+12716+Y192</f>
        <v>141433</v>
      </c>
      <c r="Y192" s="123">
        <f>3500+1474+4974</f>
        <v>9948</v>
      </c>
      <c r="Z192" s="123">
        <f>X192-Y192</f>
        <v>131485</v>
      </c>
      <c r="AA192" s="122" t="str">
        <f t="shared" si="35"/>
        <v>1</v>
      </c>
      <c r="AB192" s="120">
        <f t="shared" si="51"/>
        <v>0</v>
      </c>
      <c r="AC192" s="123">
        <v>0</v>
      </c>
      <c r="AD192" s="123">
        <v>0</v>
      </c>
      <c r="AE192" s="123">
        <v>24008</v>
      </c>
      <c r="AG192" s="151">
        <f t="shared" si="58"/>
        <v>113746</v>
      </c>
      <c r="AH192" s="123">
        <f>150677</f>
        <v>150677</v>
      </c>
      <c r="AJ192" s="123">
        <v>11487</v>
      </c>
      <c r="AL192" s="123">
        <f>35191+1740</f>
        <v>36931</v>
      </c>
      <c r="AM192" s="123">
        <v>328448</v>
      </c>
      <c r="AN192" s="123">
        <v>84350</v>
      </c>
    </row>
    <row r="193" spans="1:40" s="123" customFormat="1" ht="16.2" thickBot="1" x14ac:dyDescent="0.35">
      <c r="A193" s="56"/>
      <c r="B193" s="218" t="s">
        <v>123</v>
      </c>
      <c r="C193" s="31" t="str">
        <f>VLOOKUP((CONCATENATE(B193)),ID!$A$2:$D$305,3,0)</f>
        <v>RL029</v>
      </c>
      <c r="D193" s="56">
        <v>1</v>
      </c>
      <c r="E193" s="56" t="s">
        <v>4057</v>
      </c>
      <c r="F193" s="56" t="s">
        <v>4062</v>
      </c>
      <c r="G193" s="56" t="s">
        <v>3853</v>
      </c>
      <c r="H193" s="95">
        <v>5114</v>
      </c>
      <c r="I193" s="57">
        <v>5144</v>
      </c>
      <c r="J193" s="57">
        <v>5154</v>
      </c>
      <c r="K193" s="56">
        <v>1</v>
      </c>
      <c r="L193" s="57">
        <v>5156</v>
      </c>
      <c r="M193" s="59">
        <v>5164</v>
      </c>
      <c r="N193" s="57">
        <v>5164</v>
      </c>
      <c r="O193" s="56" t="s">
        <v>3807</v>
      </c>
      <c r="P193" s="194" t="str">
        <f t="shared" si="47"/>
        <v>1</v>
      </c>
      <c r="Q193" s="21">
        <v>1</v>
      </c>
      <c r="R193" s="39" t="str">
        <f t="shared" si="60"/>
        <v>-</v>
      </c>
      <c r="S193" s="120">
        <f t="shared" si="50"/>
        <v>141708</v>
      </c>
      <c r="T193" s="123">
        <v>321341</v>
      </c>
      <c r="U193" s="123">
        <v>118491</v>
      </c>
      <c r="V193" s="123">
        <f t="shared" si="59"/>
        <v>202850</v>
      </c>
      <c r="W193" s="122" t="str">
        <f t="shared" si="34"/>
        <v>1</v>
      </c>
      <c r="X193" s="123">
        <f>17295+2832+106632+9052+11924+774+20000+Y193</f>
        <v>179633</v>
      </c>
      <c r="Y193" s="123">
        <f>1416+4309+5399</f>
        <v>11124</v>
      </c>
      <c r="Z193" s="123">
        <f>X193-Y193</f>
        <v>168509</v>
      </c>
      <c r="AA193" s="122" t="str">
        <f t="shared" si="35"/>
        <v>1</v>
      </c>
      <c r="AB193" s="120">
        <f t="shared" si="51"/>
        <v>20000</v>
      </c>
      <c r="AC193" s="123">
        <v>0</v>
      </c>
      <c r="AD193" s="123">
        <v>20000</v>
      </c>
      <c r="AE193" s="123">
        <v>26045</v>
      </c>
      <c r="AG193" s="151">
        <f t="shared" ref="AG193:AG201" si="61">AH193-AL193</f>
        <v>203764</v>
      </c>
      <c r="AH193" s="123">
        <v>279433</v>
      </c>
      <c r="AJ193" s="123">
        <f>22975</f>
        <v>22975</v>
      </c>
      <c r="AL193" s="123">
        <f>98644-22975</f>
        <v>75669</v>
      </c>
      <c r="AM193" s="123">
        <v>661867</v>
      </c>
    </row>
    <row r="194" spans="1:40" s="123" customFormat="1" ht="16.2" thickBot="1" x14ac:dyDescent="0.35">
      <c r="A194" s="56"/>
      <c r="B194" s="215" t="s">
        <v>128</v>
      </c>
      <c r="C194" s="31" t="str">
        <f>VLOOKUP((CONCATENATE(B194)),ID!$A$2:$D$305,3,0)</f>
        <v>RL030</v>
      </c>
      <c r="D194" s="23">
        <v>0</v>
      </c>
      <c r="E194" s="23" t="s">
        <v>4057</v>
      </c>
      <c r="F194" s="23" t="s">
        <v>3789</v>
      </c>
      <c r="G194" s="202" t="s">
        <v>3853</v>
      </c>
      <c r="H194" s="203">
        <v>3684</v>
      </c>
      <c r="I194" s="204">
        <v>3694</v>
      </c>
      <c r="J194" s="204">
        <v>3713</v>
      </c>
      <c r="K194" s="191">
        <v>1</v>
      </c>
      <c r="L194" s="204">
        <v>3707</v>
      </c>
      <c r="M194" s="205">
        <v>3727</v>
      </c>
      <c r="N194" s="204">
        <v>3727</v>
      </c>
      <c r="O194" s="56" t="s">
        <v>3809</v>
      </c>
      <c r="P194" s="194">
        <v>1</v>
      </c>
      <c r="Q194" s="21">
        <v>1</v>
      </c>
      <c r="R194" s="39" t="str">
        <f t="shared" si="60"/>
        <v>-</v>
      </c>
      <c r="S194" s="120">
        <f t="shared" si="50"/>
        <v>472259</v>
      </c>
      <c r="T194" s="123">
        <v>1217072</v>
      </c>
      <c r="U194" s="123">
        <f>764327</f>
        <v>764327</v>
      </c>
      <c r="V194" s="123">
        <f t="shared" si="59"/>
        <v>452745</v>
      </c>
      <c r="W194" s="122" t="str">
        <f t="shared" si="34"/>
        <v>1</v>
      </c>
      <c r="X194" s="123">
        <f>Y194+Z194</f>
        <v>744813</v>
      </c>
      <c r="Y194" s="123">
        <f>59178+272073+12091</f>
        <v>343342</v>
      </c>
      <c r="Z194" s="123">
        <f>256724+23362+117422+3963</f>
        <v>401471</v>
      </c>
      <c r="AA194" s="122" t="str">
        <f t="shared" si="35"/>
        <v>1</v>
      </c>
      <c r="AB194" s="120">
        <f t="shared" si="51"/>
        <v>12091</v>
      </c>
      <c r="AC194" s="123">
        <v>0</v>
      </c>
      <c r="AD194" s="123">
        <v>12091</v>
      </c>
      <c r="AE194" s="123">
        <v>90248</v>
      </c>
      <c r="AG194" s="151">
        <f t="shared" si="61"/>
        <v>244015</v>
      </c>
      <c r="AH194" s="123">
        <f>384327-9158-5164-26500-2859-1225</f>
        <v>339421</v>
      </c>
      <c r="AL194" s="123">
        <f>89347+181+5878</f>
        <v>95406</v>
      </c>
      <c r="AM194" s="123">
        <v>882921</v>
      </c>
      <c r="AN194" s="123">
        <v>323855</v>
      </c>
    </row>
    <row r="195" spans="1:40" s="123" customFormat="1" ht="16.2" thickBot="1" x14ac:dyDescent="0.35">
      <c r="A195" s="201"/>
      <c r="B195" s="218" t="s">
        <v>128</v>
      </c>
      <c r="C195" s="31" t="str">
        <f>VLOOKUP((CONCATENATE(B195)),ID!$A$2:$D$305,3,0)</f>
        <v>RL030</v>
      </c>
      <c r="D195" s="191">
        <v>0</v>
      </c>
      <c r="E195" s="191" t="s">
        <v>4057</v>
      </c>
      <c r="F195" s="191" t="s">
        <v>3789</v>
      </c>
      <c r="G195" s="191" t="s">
        <v>3853</v>
      </c>
      <c r="H195" s="203">
        <v>3865</v>
      </c>
      <c r="I195" s="204"/>
      <c r="J195" s="204">
        <v>3902</v>
      </c>
      <c r="K195" s="191"/>
      <c r="L195" s="204"/>
      <c r="M195" s="205"/>
      <c r="N195" s="204">
        <v>3916</v>
      </c>
      <c r="O195" s="56" t="s">
        <v>3809</v>
      </c>
      <c r="P195" s="194">
        <v>1</v>
      </c>
      <c r="Q195" s="21">
        <v>1</v>
      </c>
      <c r="R195" s="39" t="str">
        <f t="shared" si="60"/>
        <v>-</v>
      </c>
      <c r="S195" s="120">
        <f t="shared" si="50"/>
        <v>502227</v>
      </c>
      <c r="T195" s="123">
        <v>1270407</v>
      </c>
      <c r="U195" s="123">
        <v>748972</v>
      </c>
      <c r="V195" s="123">
        <f t="shared" si="59"/>
        <v>521435</v>
      </c>
      <c r="W195" s="122" t="str">
        <f t="shared" si="34"/>
        <v>1</v>
      </c>
      <c r="X195" s="123">
        <f>Y195+Z195</f>
        <v>768180</v>
      </c>
      <c r="Y195" s="123">
        <f>61752+270732+12198</f>
        <v>344682</v>
      </c>
      <c r="Z195" s="123">
        <f>3770+123102+34115+262511</f>
        <v>423498</v>
      </c>
      <c r="AA195" s="122" t="str">
        <f t="shared" si="35"/>
        <v>1</v>
      </c>
      <c r="AB195" s="120">
        <f t="shared" si="51"/>
        <v>12198</v>
      </c>
      <c r="AC195" s="123">
        <v>0</v>
      </c>
      <c r="AD195" s="123">
        <v>12198</v>
      </c>
      <c r="AE195" s="123">
        <v>166476</v>
      </c>
      <c r="AG195" s="151">
        <f t="shared" si="61"/>
        <v>271090</v>
      </c>
      <c r="AH195" s="123">
        <f>395870+1050-26500+2859-1225-3963</f>
        <v>368091</v>
      </c>
      <c r="AL195" s="123">
        <f>89347+565+7089</f>
        <v>97001</v>
      </c>
      <c r="AM195" s="123">
        <v>910456</v>
      </c>
      <c r="AN195" s="123">
        <v>339884</v>
      </c>
    </row>
    <row r="196" spans="1:40" s="123" customFormat="1" ht="16.2" thickBot="1" x14ac:dyDescent="0.35">
      <c r="A196" s="56">
        <v>30.1</v>
      </c>
      <c r="B196" s="218" t="s">
        <v>128</v>
      </c>
      <c r="C196" s="31" t="str">
        <f>VLOOKUP((CONCATENATE(B196)),ID!$A$2:$D$305,3,0)</f>
        <v>RL030</v>
      </c>
      <c r="D196" s="56">
        <v>0</v>
      </c>
      <c r="E196" s="56" t="s">
        <v>4057</v>
      </c>
      <c r="F196" s="56" t="s">
        <v>3789</v>
      </c>
      <c r="G196" s="56" t="s">
        <v>3853</v>
      </c>
      <c r="H196" s="95">
        <v>4049</v>
      </c>
      <c r="I196" s="57">
        <v>4065</v>
      </c>
      <c r="J196" s="57">
        <v>4084</v>
      </c>
      <c r="K196" s="56">
        <v>1</v>
      </c>
      <c r="L196" s="57">
        <v>4078</v>
      </c>
      <c r="M196" s="59">
        <v>4098</v>
      </c>
      <c r="N196" s="57">
        <v>4098</v>
      </c>
      <c r="O196" s="56" t="s">
        <v>3809</v>
      </c>
      <c r="P196" s="194">
        <v>1</v>
      </c>
      <c r="Q196" s="21">
        <v>1</v>
      </c>
      <c r="R196" s="39" t="str">
        <f t="shared" si="60"/>
        <v>-</v>
      </c>
      <c r="S196" s="120">
        <f t="shared" si="50"/>
        <v>533483</v>
      </c>
      <c r="T196" s="123">
        <v>1301185</v>
      </c>
      <c r="U196" s="123">
        <f>745495</f>
        <v>745495</v>
      </c>
      <c r="V196" s="123">
        <f t="shared" si="59"/>
        <v>555690</v>
      </c>
      <c r="W196" s="122" t="str">
        <f t="shared" si="34"/>
        <v>1</v>
      </c>
      <c r="X196" s="123">
        <f>4021+118518+27021+260227+Y196</f>
        <v>767702</v>
      </c>
      <c r="Y196" s="123">
        <f>12040+280809+65066</f>
        <v>357915</v>
      </c>
      <c r="Z196" s="123">
        <f>X196-Y196</f>
        <v>409787</v>
      </c>
      <c r="AA196" s="122" t="str">
        <f t="shared" si="35"/>
        <v>1</v>
      </c>
      <c r="AB196" s="120">
        <f t="shared" si="51"/>
        <v>12040</v>
      </c>
      <c r="AC196" s="123">
        <v>0</v>
      </c>
      <c r="AD196" s="123">
        <v>12040</v>
      </c>
      <c r="AE196" s="123">
        <v>194133</v>
      </c>
      <c r="AG196" s="151">
        <f t="shared" si="61"/>
        <v>282004</v>
      </c>
      <c r="AH196" s="123">
        <f>411910+1083-26500-2859-1225-5431</f>
        <v>376978</v>
      </c>
      <c r="AL196" s="123">
        <f>89347+5627</f>
        <v>94974</v>
      </c>
      <c r="AM196" s="123">
        <v>920038</v>
      </c>
      <c r="AN196" s="123">
        <v>332939</v>
      </c>
    </row>
    <row r="197" spans="1:40" s="123" customFormat="1" ht="16.2" thickBot="1" x14ac:dyDescent="0.35">
      <c r="A197" s="56">
        <v>30.2</v>
      </c>
      <c r="B197" s="218" t="s">
        <v>128</v>
      </c>
      <c r="C197" s="31" t="str">
        <f>VLOOKUP((CONCATENATE(B197)),ID!$A$2:$D$305,3,0)</f>
        <v>RL030</v>
      </c>
      <c r="D197" s="56">
        <v>0</v>
      </c>
      <c r="E197" s="56" t="s">
        <v>4057</v>
      </c>
      <c r="F197" s="56" t="s">
        <v>3789</v>
      </c>
      <c r="G197" s="56" t="s">
        <v>3853</v>
      </c>
      <c r="H197" s="95">
        <v>4230</v>
      </c>
      <c r="I197" s="57">
        <v>4247</v>
      </c>
      <c r="J197" s="57">
        <v>4266</v>
      </c>
      <c r="K197" s="56">
        <v>1</v>
      </c>
      <c r="L197" s="57">
        <v>4260</v>
      </c>
      <c r="M197" s="59">
        <v>4280</v>
      </c>
      <c r="N197" s="57">
        <v>4280</v>
      </c>
      <c r="O197" s="56" t="s">
        <v>3809</v>
      </c>
      <c r="P197" s="194">
        <v>1</v>
      </c>
      <c r="Q197" s="21">
        <v>1</v>
      </c>
      <c r="R197" s="39" t="str">
        <f t="shared" si="60"/>
        <v>-</v>
      </c>
      <c r="S197" s="120">
        <f t="shared" si="50"/>
        <v>549240</v>
      </c>
      <c r="T197" s="123">
        <v>1335822</v>
      </c>
      <c r="U197" s="123">
        <f>753729</f>
        <v>753729</v>
      </c>
      <c r="V197" s="123">
        <f t="shared" si="59"/>
        <v>582093</v>
      </c>
      <c r="W197" s="122" t="str">
        <f t="shared" si="34"/>
        <v>1</v>
      </c>
      <c r="X197" s="123">
        <f>3774+124972+Y197+39584+260051</f>
        <v>786582</v>
      </c>
      <c r="Y197" s="123">
        <f>12014+277831+68356</f>
        <v>358201</v>
      </c>
      <c r="Z197" s="123">
        <f>X197-Y197</f>
        <v>428381</v>
      </c>
      <c r="AA197" s="122" t="str">
        <f t="shared" si="35"/>
        <v>1</v>
      </c>
      <c r="AB197" s="120">
        <f t="shared" si="51"/>
        <v>12014</v>
      </c>
      <c r="AC197" s="123">
        <v>0</v>
      </c>
      <c r="AD197" s="123">
        <v>12014</v>
      </c>
      <c r="AE197" s="123">
        <v>217685</v>
      </c>
      <c r="AG197" s="151">
        <f t="shared" si="61"/>
        <v>282303</v>
      </c>
      <c r="AH197" s="123">
        <f>412329+894-26500-2859-1225-4072</f>
        <v>378567</v>
      </c>
      <c r="AL197" s="123">
        <f>89347+273+6644</f>
        <v>96264</v>
      </c>
      <c r="AM197" s="123">
        <v>943691</v>
      </c>
      <c r="AN197" s="123">
        <v>355795</v>
      </c>
    </row>
    <row r="198" spans="1:40" s="123" customFormat="1" ht="16.2" thickBot="1" x14ac:dyDescent="0.35">
      <c r="A198" s="51">
        <v>30.3</v>
      </c>
      <c r="B198" s="215" t="s">
        <v>128</v>
      </c>
      <c r="C198" s="31" t="str">
        <f>VLOOKUP((CONCATENATE(B198)),ID!$A$2:$D$305,3,0)</f>
        <v>RL030</v>
      </c>
      <c r="D198" s="51">
        <v>0</v>
      </c>
      <c r="E198" s="51" t="s">
        <v>4057</v>
      </c>
      <c r="F198" s="51" t="s">
        <v>3789</v>
      </c>
      <c r="G198" s="50" t="s">
        <v>3853</v>
      </c>
      <c r="H198" s="95">
        <v>4414</v>
      </c>
      <c r="I198" s="57">
        <v>4429</v>
      </c>
      <c r="J198" s="57">
        <v>4448</v>
      </c>
      <c r="K198" s="56">
        <v>1</v>
      </c>
      <c r="L198" s="57">
        <v>4434</v>
      </c>
      <c r="M198" s="59">
        <v>4462</v>
      </c>
      <c r="N198" s="57">
        <v>4462</v>
      </c>
      <c r="O198" s="56" t="s">
        <v>3809</v>
      </c>
      <c r="P198" s="194">
        <v>1</v>
      </c>
      <c r="Q198" s="21">
        <v>1</v>
      </c>
      <c r="R198" s="39" t="str">
        <f t="shared" si="60"/>
        <v>-</v>
      </c>
      <c r="S198" s="120">
        <f t="shared" si="50"/>
        <v>598249</v>
      </c>
      <c r="T198" s="123">
        <v>1394444</v>
      </c>
      <c r="U198" s="123">
        <f>755492</f>
        <v>755492</v>
      </c>
      <c r="V198" s="123">
        <f t="shared" si="59"/>
        <v>638952</v>
      </c>
      <c r="W198" s="122" t="str">
        <f t="shared" si="34"/>
        <v>1</v>
      </c>
      <c r="X198" s="123">
        <f>4056+119524+Y198+24660+274457</f>
        <v>796195</v>
      </c>
      <c r="Y198" s="123">
        <f>289890+71311+12297</f>
        <v>373498</v>
      </c>
      <c r="Z198" s="123">
        <f>X198-Y198</f>
        <v>422697</v>
      </c>
      <c r="AA198" s="122" t="str">
        <f t="shared" si="35"/>
        <v>1</v>
      </c>
      <c r="AB198" s="120">
        <f t="shared" si="51"/>
        <v>12297</v>
      </c>
      <c r="AC198" s="123">
        <v>0</v>
      </c>
      <c r="AD198" s="123">
        <v>12297</v>
      </c>
      <c r="AE198" s="123">
        <v>258967</v>
      </c>
      <c r="AG198" s="151">
        <f t="shared" si="61"/>
        <v>313861</v>
      </c>
      <c r="AH198" s="123">
        <f>442779-26500+1502-2859-1225-5316</f>
        <v>408381</v>
      </c>
      <c r="AL198" s="123">
        <f>89347+5173</f>
        <v>94520</v>
      </c>
      <c r="AM198" s="123">
        <v>979058</v>
      </c>
      <c r="AN198" s="123">
        <v>344083</v>
      </c>
    </row>
    <row r="199" spans="1:40" s="123" customFormat="1" ht="16.2" thickBot="1" x14ac:dyDescent="0.35">
      <c r="A199" s="56">
        <v>30.4</v>
      </c>
      <c r="B199" s="218" t="s">
        <v>128</v>
      </c>
      <c r="C199" s="31" t="str">
        <f>VLOOKUP((CONCATENATE(B199)),ID!$A$2:$D$305,3,0)</f>
        <v>RL030</v>
      </c>
      <c r="D199" s="56">
        <v>0</v>
      </c>
      <c r="E199" s="56" t="s">
        <v>4057</v>
      </c>
      <c r="F199" s="56" t="s">
        <v>3789</v>
      </c>
      <c r="G199" s="56" t="s">
        <v>3853</v>
      </c>
      <c r="H199" s="95">
        <v>4596</v>
      </c>
      <c r="I199" s="57">
        <v>4611</v>
      </c>
      <c r="J199" s="57">
        <v>4630</v>
      </c>
      <c r="K199" s="56">
        <v>1</v>
      </c>
      <c r="L199" s="57">
        <v>4624</v>
      </c>
      <c r="M199" s="59">
        <v>4644</v>
      </c>
      <c r="N199" s="57">
        <v>4644</v>
      </c>
      <c r="O199" s="56" t="s">
        <v>3809</v>
      </c>
      <c r="P199" s="194">
        <v>1</v>
      </c>
      <c r="Q199" s="21">
        <v>1</v>
      </c>
      <c r="R199" s="39" t="str">
        <f t="shared" si="60"/>
        <v>-</v>
      </c>
      <c r="S199" s="120">
        <f t="shared" si="50"/>
        <v>598850</v>
      </c>
      <c r="T199" s="123">
        <v>1436730</v>
      </c>
      <c r="U199" s="123">
        <f>769231</f>
        <v>769231</v>
      </c>
      <c r="V199" s="123">
        <f t="shared" si="59"/>
        <v>667499</v>
      </c>
      <c r="W199" s="122" t="str">
        <f t="shared" si="34"/>
        <v>1</v>
      </c>
      <c r="X199" s="123">
        <f>4246+125059+Y199+41959+290504</f>
        <v>837880</v>
      </c>
      <c r="Y199" s="123">
        <f>13006+73712+289394</f>
        <v>376112</v>
      </c>
      <c r="Z199" s="123">
        <f>X199-Y199</f>
        <v>461768</v>
      </c>
      <c r="AA199" s="122" t="str">
        <f t="shared" si="35"/>
        <v>1</v>
      </c>
      <c r="AB199" s="120">
        <f t="shared" si="51"/>
        <v>13006</v>
      </c>
      <c r="AC199" s="123">
        <v>0</v>
      </c>
      <c r="AD199" s="123">
        <v>13006</v>
      </c>
      <c r="AE199" s="123">
        <v>283738</v>
      </c>
      <c r="AG199" s="151">
        <f t="shared" si="61"/>
        <v>274193</v>
      </c>
      <c r="AH199" s="123">
        <f>402473+1113-26500-2859-3942</f>
        <v>370285</v>
      </c>
      <c r="AL199" s="123">
        <f>90567+5525</f>
        <v>96092</v>
      </c>
      <c r="AM199" s="123">
        <v>933778</v>
      </c>
      <c r="AN199" s="123">
        <v>346855</v>
      </c>
    </row>
    <row r="200" spans="1:40" s="123" customFormat="1" ht="16.2" thickBot="1" x14ac:dyDescent="0.35">
      <c r="A200" s="56"/>
      <c r="B200" s="215" t="s">
        <v>128</v>
      </c>
      <c r="C200" s="31" t="str">
        <f>VLOOKUP((CONCATENATE(B200)),ID!$A$2:$D$305,3,0)</f>
        <v>RL030</v>
      </c>
      <c r="D200" s="51">
        <v>0</v>
      </c>
      <c r="E200" s="51" t="s">
        <v>4057</v>
      </c>
      <c r="F200" s="51" t="s">
        <v>3789</v>
      </c>
      <c r="G200" s="50" t="s">
        <v>3853</v>
      </c>
      <c r="H200" s="95">
        <v>4749</v>
      </c>
      <c r="I200" s="57">
        <v>4765</v>
      </c>
      <c r="J200" s="57">
        <v>4784</v>
      </c>
      <c r="K200" s="56">
        <v>1</v>
      </c>
      <c r="L200" s="57">
        <v>4778</v>
      </c>
      <c r="M200" s="59">
        <v>4798</v>
      </c>
      <c r="N200" s="57">
        <v>4798</v>
      </c>
      <c r="O200" s="56" t="s">
        <v>3809</v>
      </c>
      <c r="P200" s="194">
        <v>1</v>
      </c>
      <c r="Q200" s="21">
        <v>1</v>
      </c>
      <c r="R200" s="39" t="str">
        <f t="shared" si="60"/>
        <v>-</v>
      </c>
      <c r="S200" s="120">
        <f t="shared" si="50"/>
        <v>556266</v>
      </c>
      <c r="T200" s="123">
        <v>1424838</v>
      </c>
      <c r="U200" s="123">
        <f>813125</f>
        <v>813125</v>
      </c>
      <c r="V200" s="123">
        <f t="shared" si="59"/>
        <v>611713</v>
      </c>
      <c r="W200" s="122" t="str">
        <f t="shared" si="34"/>
        <v>1</v>
      </c>
      <c r="X200" s="123">
        <f>350712+15902+Y200+104194+4266</f>
        <v>868572</v>
      </c>
      <c r="Y200" s="123">
        <f>AD200+298218+76436</f>
        <v>393498</v>
      </c>
      <c r="Z200" s="123">
        <f>X200-Y200</f>
        <v>475074</v>
      </c>
      <c r="AA200" s="122" t="str">
        <f t="shared" si="35"/>
        <v>1</v>
      </c>
      <c r="AB200" s="120">
        <f t="shared" si="51"/>
        <v>18844</v>
      </c>
      <c r="AC200" s="123">
        <v>0</v>
      </c>
      <c r="AD200" s="123">
        <v>18844</v>
      </c>
      <c r="AE200" s="123">
        <v>223769</v>
      </c>
      <c r="AG200" s="151">
        <f t="shared" si="61"/>
        <v>253348</v>
      </c>
      <c r="AH200" s="123">
        <f>373189-11038-5246-22083-2382</f>
        <v>332440</v>
      </c>
      <c r="AL200" s="123">
        <f>75462+3630</f>
        <v>79092</v>
      </c>
      <c r="AM200" s="123">
        <v>860751</v>
      </c>
      <c r="AN200" s="123">
        <v>374920</v>
      </c>
    </row>
    <row r="201" spans="1:40" s="123" customFormat="1" ht="16.2" thickBot="1" x14ac:dyDescent="0.35">
      <c r="A201" s="56"/>
      <c r="B201" s="218" t="s">
        <v>128</v>
      </c>
      <c r="C201" s="31" t="str">
        <f>VLOOKUP((CONCATENATE(B201)),ID!$A$2:$D$305,3,0)</f>
        <v>RL030</v>
      </c>
      <c r="D201" s="56">
        <v>1</v>
      </c>
      <c r="E201" s="56" t="s">
        <v>4057</v>
      </c>
      <c r="F201" s="56" t="s">
        <v>3789</v>
      </c>
      <c r="G201" s="56" t="s">
        <v>3853</v>
      </c>
      <c r="H201" s="95">
        <v>5114</v>
      </c>
      <c r="I201" s="57">
        <v>5136</v>
      </c>
      <c r="J201" s="57">
        <v>5155</v>
      </c>
      <c r="K201" s="56">
        <v>1</v>
      </c>
      <c r="L201" s="57">
        <v>5149</v>
      </c>
      <c r="M201" s="59">
        <v>5169</v>
      </c>
      <c r="N201" s="57">
        <v>5169</v>
      </c>
      <c r="O201" s="56" t="s">
        <v>3809</v>
      </c>
      <c r="P201" s="194">
        <v>1</v>
      </c>
      <c r="Q201" s="21">
        <v>1</v>
      </c>
      <c r="R201" s="39" t="str">
        <f t="shared" si="60"/>
        <v>-</v>
      </c>
      <c r="S201" s="120">
        <f t="shared" si="50"/>
        <v>775509</v>
      </c>
      <c r="T201" s="123">
        <v>1512169</v>
      </c>
      <c r="U201" s="123">
        <f>993742+20000</f>
        <v>1013742</v>
      </c>
      <c r="V201" s="123">
        <f t="shared" si="59"/>
        <v>498427</v>
      </c>
      <c r="W201" s="122" t="str">
        <f t="shared" si="34"/>
        <v>1</v>
      </c>
      <c r="X201" s="123">
        <f>Y201+Z201</f>
        <v>736660</v>
      </c>
      <c r="Y201" s="123">
        <f>311222+82951</f>
        <v>394173</v>
      </c>
      <c r="Z201" s="123">
        <f>4754+82219+15970+25435+64955+103017+6137+40000</f>
        <v>342487</v>
      </c>
      <c r="AA201" s="122" t="str">
        <f t="shared" si="35"/>
        <v>1</v>
      </c>
      <c r="AB201" s="120">
        <f t="shared" si="51"/>
        <v>40000</v>
      </c>
      <c r="AC201" s="123">
        <v>0</v>
      </c>
      <c r="AD201" s="123">
        <v>40000</v>
      </c>
      <c r="AE201" s="123">
        <v>99331</v>
      </c>
      <c r="AG201" s="151">
        <f t="shared" si="61"/>
        <v>606728</v>
      </c>
      <c r="AH201" s="123">
        <f>825568-9147</f>
        <v>816421</v>
      </c>
      <c r="AL201" s="123">
        <f>3133+9147+181109+5718+10586</f>
        <v>209693</v>
      </c>
      <c r="AM201" s="123">
        <v>2171984</v>
      </c>
    </row>
    <row r="202" spans="1:40" s="123" customFormat="1" ht="16.2" thickBot="1" x14ac:dyDescent="0.35">
      <c r="A202" s="56"/>
      <c r="B202" s="218" t="s">
        <v>4058</v>
      </c>
      <c r="C202" s="31" t="str">
        <f>VLOOKUP((CONCATENATE(B202)),ID!$A$2:$D$305,3,0)</f>
        <v>RL031</v>
      </c>
      <c r="D202" s="56">
        <v>0</v>
      </c>
      <c r="E202" s="56" t="s">
        <v>4057</v>
      </c>
      <c r="F202" s="56" t="s">
        <v>3789</v>
      </c>
      <c r="G202" s="56" t="s">
        <v>3853</v>
      </c>
      <c r="H202" s="95">
        <v>3684</v>
      </c>
      <c r="I202" s="57">
        <v>3712</v>
      </c>
      <c r="J202" s="57">
        <v>3722</v>
      </c>
      <c r="K202" s="56">
        <v>1</v>
      </c>
      <c r="L202" s="57">
        <v>3723</v>
      </c>
      <c r="M202" s="59">
        <v>3735</v>
      </c>
      <c r="N202" s="57">
        <v>3735</v>
      </c>
      <c r="O202" s="56" t="s">
        <v>3808</v>
      </c>
      <c r="P202" s="194">
        <v>1</v>
      </c>
      <c r="Q202" s="21">
        <v>1</v>
      </c>
      <c r="R202" s="39" t="str">
        <f t="shared" si="60"/>
        <v>-</v>
      </c>
      <c r="S202" s="120">
        <f t="shared" si="50"/>
        <v>21167</v>
      </c>
      <c r="T202" s="123">
        <v>173485</v>
      </c>
      <c r="U202" s="123">
        <v>166455</v>
      </c>
      <c r="V202" s="123">
        <f t="shared" si="59"/>
        <v>7030</v>
      </c>
      <c r="W202" s="122" t="str">
        <f t="shared" si="34"/>
        <v>1</v>
      </c>
      <c r="X202" s="123">
        <f>T202-5514-5982-9671</f>
        <v>152318</v>
      </c>
      <c r="Y202" s="123">
        <v>0</v>
      </c>
      <c r="Z202" s="123">
        <f t="shared" ref="Z202:Z207" si="62">X202</f>
        <v>152318</v>
      </c>
      <c r="AA202" s="122" t="str">
        <f t="shared" si="35"/>
        <v>1</v>
      </c>
      <c r="AB202" s="120">
        <f t="shared" si="51"/>
        <v>145000</v>
      </c>
      <c r="AC202" s="123">
        <v>0</v>
      </c>
      <c r="AD202" s="123">
        <v>145000</v>
      </c>
      <c r="AE202" s="123">
        <v>1471</v>
      </c>
      <c r="AG202" s="151">
        <f t="shared" ref="AG202:AG209" si="63">AH202-AL202</f>
        <v>11256</v>
      </c>
      <c r="AH202" s="123">
        <f>13559</f>
        <v>13559</v>
      </c>
      <c r="AL202" s="123">
        <f>2303</f>
        <v>2303</v>
      </c>
      <c r="AM202" s="123">
        <v>32959</v>
      </c>
      <c r="AN202" s="123">
        <v>30604</v>
      </c>
    </row>
    <row r="203" spans="1:40" s="123" customFormat="1" ht="16.2" thickBot="1" x14ac:dyDescent="0.35">
      <c r="A203" s="56"/>
      <c r="B203" s="218" t="s">
        <v>4058</v>
      </c>
      <c r="C203" s="31" t="str">
        <f>VLOOKUP((CONCATENATE(B203)),ID!$A$2:$D$305,3,0)</f>
        <v>RL031</v>
      </c>
      <c r="D203" s="56">
        <v>0</v>
      </c>
      <c r="E203" s="56" t="s">
        <v>4057</v>
      </c>
      <c r="F203" s="56" t="s">
        <v>3789</v>
      </c>
      <c r="G203" s="56" t="s">
        <v>3853</v>
      </c>
      <c r="H203" s="95">
        <v>3865</v>
      </c>
      <c r="I203" s="57">
        <v>3892</v>
      </c>
      <c r="J203" s="57">
        <v>3904</v>
      </c>
      <c r="K203" s="56">
        <v>1</v>
      </c>
      <c r="L203" s="57">
        <v>3905</v>
      </c>
      <c r="M203" s="59">
        <v>3917</v>
      </c>
      <c r="N203" s="57">
        <v>3917</v>
      </c>
      <c r="O203" s="56" t="s">
        <v>3808</v>
      </c>
      <c r="P203" s="194">
        <v>1</v>
      </c>
      <c r="Q203" s="21">
        <v>1</v>
      </c>
      <c r="R203" s="39" t="str">
        <f t="shared" si="60"/>
        <v>-</v>
      </c>
      <c r="S203" s="120">
        <f t="shared" si="50"/>
        <v>24201</v>
      </c>
      <c r="T203" s="123">
        <v>171934</v>
      </c>
      <c r="U203" s="123">
        <v>166955</v>
      </c>
      <c r="V203" s="123">
        <f t="shared" si="59"/>
        <v>4979</v>
      </c>
      <c r="W203" s="122" t="str">
        <f t="shared" si="34"/>
        <v>1</v>
      </c>
      <c r="X203" s="123">
        <f>5+968+141000+5760</f>
        <v>147733</v>
      </c>
      <c r="Y203" s="123">
        <v>0</v>
      </c>
      <c r="Z203" s="123">
        <f t="shared" si="62"/>
        <v>147733</v>
      </c>
      <c r="AA203" s="122" t="str">
        <f t="shared" si="35"/>
        <v>1</v>
      </c>
      <c r="AB203" s="120">
        <f t="shared" si="51"/>
        <v>141000</v>
      </c>
      <c r="AC203" s="123">
        <v>0</v>
      </c>
      <c r="AD203" s="123">
        <v>141000</v>
      </c>
      <c r="AE203" s="123">
        <v>580</v>
      </c>
      <c r="AG203" s="151">
        <f t="shared" si="63"/>
        <v>13426</v>
      </c>
      <c r="AH203" s="123">
        <v>15726</v>
      </c>
      <c r="AL203" s="123">
        <v>2300</v>
      </c>
      <c r="AM203" s="123">
        <v>33998</v>
      </c>
      <c r="AN203" s="123">
        <v>29669</v>
      </c>
    </row>
    <row r="204" spans="1:40" s="123" customFormat="1" ht="16.2" thickBot="1" x14ac:dyDescent="0.35">
      <c r="A204" s="56">
        <v>31.1</v>
      </c>
      <c r="B204" s="218" t="s">
        <v>4058</v>
      </c>
      <c r="C204" s="31" t="str">
        <f>VLOOKUP((CONCATENATE(B204)),ID!$A$2:$D$305,3,0)</f>
        <v>RL031</v>
      </c>
      <c r="D204" s="56">
        <v>0</v>
      </c>
      <c r="E204" s="56" t="s">
        <v>4057</v>
      </c>
      <c r="F204" s="56" t="s">
        <v>3789</v>
      </c>
      <c r="G204" s="56" t="s">
        <v>3853</v>
      </c>
      <c r="H204" s="95">
        <v>4049</v>
      </c>
      <c r="I204" s="57">
        <v>4074</v>
      </c>
      <c r="J204" s="57">
        <v>4086</v>
      </c>
      <c r="K204" s="56">
        <v>1</v>
      </c>
      <c r="L204" s="57">
        <v>4087</v>
      </c>
      <c r="M204" s="59">
        <v>4099</v>
      </c>
      <c r="N204" s="57">
        <v>4099</v>
      </c>
      <c r="O204" s="56" t="s">
        <v>3808</v>
      </c>
      <c r="P204" s="194">
        <v>1</v>
      </c>
      <c r="Q204" s="21">
        <v>1</v>
      </c>
      <c r="R204" s="39" t="str">
        <f t="shared" si="60"/>
        <v>-</v>
      </c>
      <c r="S204" s="120">
        <f t="shared" si="50"/>
        <v>24106</v>
      </c>
      <c r="T204" s="123">
        <v>176501</v>
      </c>
      <c r="U204" s="123">
        <v>166933</v>
      </c>
      <c r="V204" s="123">
        <f t="shared" ref="V204:V218" si="64">T204-U204</f>
        <v>9568</v>
      </c>
      <c r="W204" s="122" t="str">
        <f t="shared" si="34"/>
        <v>1</v>
      </c>
      <c r="X204" s="123">
        <f>19+968+144000+7408</f>
        <v>152395</v>
      </c>
      <c r="Y204" s="123">
        <v>0</v>
      </c>
      <c r="Z204" s="123">
        <f t="shared" si="62"/>
        <v>152395</v>
      </c>
      <c r="AA204" s="122" t="str">
        <f t="shared" si="35"/>
        <v>1</v>
      </c>
      <c r="AB204" s="120">
        <f t="shared" si="51"/>
        <v>144000</v>
      </c>
      <c r="AC204" s="123">
        <v>0</v>
      </c>
      <c r="AD204" s="123">
        <v>144000</v>
      </c>
      <c r="AE204" s="123">
        <v>2566</v>
      </c>
      <c r="AG204" s="151">
        <f t="shared" si="63"/>
        <v>11473</v>
      </c>
      <c r="AH204" s="123">
        <v>13768</v>
      </c>
      <c r="AL204" s="123">
        <v>2295</v>
      </c>
      <c r="AM204" s="123">
        <v>32373</v>
      </c>
      <c r="AN204" s="123">
        <v>29876</v>
      </c>
    </row>
    <row r="205" spans="1:40" s="123" customFormat="1" ht="16.2" thickBot="1" x14ac:dyDescent="0.35">
      <c r="A205" s="56">
        <v>31.2</v>
      </c>
      <c r="B205" s="218" t="s">
        <v>4058</v>
      </c>
      <c r="C205" s="31" t="str">
        <f>VLOOKUP((CONCATENATE(B205)),ID!$A$2:$D$305,3,0)</f>
        <v>RL031</v>
      </c>
      <c r="D205" s="56">
        <v>0</v>
      </c>
      <c r="E205" s="56" t="s">
        <v>4057</v>
      </c>
      <c r="F205" s="56" t="s">
        <v>3789</v>
      </c>
      <c r="G205" s="56" t="s">
        <v>3853</v>
      </c>
      <c r="H205" s="95">
        <v>4230</v>
      </c>
      <c r="I205" s="57">
        <v>4256</v>
      </c>
      <c r="J205" s="57">
        <v>4267</v>
      </c>
      <c r="K205" s="56">
        <v>1</v>
      </c>
      <c r="L205" s="57">
        <v>4269</v>
      </c>
      <c r="M205" s="59">
        <v>4281</v>
      </c>
      <c r="N205" s="57">
        <v>4281</v>
      </c>
      <c r="O205" s="56" t="s">
        <v>3808</v>
      </c>
      <c r="P205" s="194">
        <v>1</v>
      </c>
      <c r="Q205" s="21">
        <v>1</v>
      </c>
      <c r="R205" s="39" t="str">
        <f t="shared" si="60"/>
        <v>-</v>
      </c>
      <c r="S205" s="120">
        <f t="shared" si="50"/>
        <v>24066</v>
      </c>
      <c r="T205" s="123">
        <v>174273</v>
      </c>
      <c r="U205" s="123">
        <v>166933</v>
      </c>
      <c r="V205" s="123">
        <f t="shared" si="64"/>
        <v>7340</v>
      </c>
      <c r="W205" s="122" t="str">
        <f t="shared" si="34"/>
        <v>1</v>
      </c>
      <c r="X205" s="123">
        <f>968+142000+7239</f>
        <v>150207</v>
      </c>
      <c r="Y205" s="123">
        <v>0</v>
      </c>
      <c r="Z205" s="123">
        <f t="shared" si="62"/>
        <v>150207</v>
      </c>
      <c r="AA205" s="122" t="str">
        <f t="shared" si="35"/>
        <v>1</v>
      </c>
      <c r="AB205" s="120">
        <f t="shared" si="51"/>
        <v>142000</v>
      </c>
      <c r="AC205" s="123">
        <v>0</v>
      </c>
      <c r="AD205" s="123">
        <v>142000</v>
      </c>
      <c r="AE205" s="123">
        <f>174273-160-6327-166933</f>
        <v>853</v>
      </c>
      <c r="AG205" s="151">
        <f t="shared" si="63"/>
        <v>12831</v>
      </c>
      <c r="AH205" s="123">
        <v>15126</v>
      </c>
      <c r="AL205" s="123">
        <v>2295</v>
      </c>
      <c r="AM205" s="123">
        <v>33512</v>
      </c>
      <c r="AN205" s="123">
        <v>29252</v>
      </c>
    </row>
    <row r="206" spans="1:40" s="123" customFormat="1" ht="16.2" thickBot="1" x14ac:dyDescent="0.35">
      <c r="A206" s="56">
        <v>31.3</v>
      </c>
      <c r="B206" s="218" t="s">
        <v>4058</v>
      </c>
      <c r="C206" s="31" t="str">
        <f>VLOOKUP((CONCATENATE(B206)),ID!$A$2:$D$305,3,0)</f>
        <v>RL031</v>
      </c>
      <c r="D206" s="56">
        <v>0</v>
      </c>
      <c r="E206" s="56" t="s">
        <v>4057</v>
      </c>
      <c r="F206" s="56" t="s">
        <v>3789</v>
      </c>
      <c r="G206" s="56" t="s">
        <v>3853</v>
      </c>
      <c r="H206" s="95">
        <v>4414</v>
      </c>
      <c r="I206" s="57">
        <v>4438</v>
      </c>
      <c r="J206" s="57">
        <v>4449</v>
      </c>
      <c r="K206" s="56">
        <v>1</v>
      </c>
      <c r="L206" s="57">
        <v>4451</v>
      </c>
      <c r="M206" s="59">
        <v>4463</v>
      </c>
      <c r="N206" s="57">
        <v>4463</v>
      </c>
      <c r="O206" s="56" t="s">
        <v>3808</v>
      </c>
      <c r="P206" s="194">
        <v>1</v>
      </c>
      <c r="Q206" s="21">
        <v>1</v>
      </c>
      <c r="R206" s="39" t="str">
        <f t="shared" si="60"/>
        <v>-</v>
      </c>
      <c r="S206" s="120">
        <f t="shared" si="50"/>
        <v>26095</v>
      </c>
      <c r="T206" s="123">
        <v>174351</v>
      </c>
      <c r="U206" s="123">
        <v>166933</v>
      </c>
      <c r="V206" s="123">
        <f t="shared" si="64"/>
        <v>7418</v>
      </c>
      <c r="W206" s="122" t="str">
        <f t="shared" si="34"/>
        <v>1</v>
      </c>
      <c r="X206" s="123">
        <f>7+968+141000+6281</f>
        <v>148256</v>
      </c>
      <c r="Y206" s="123">
        <v>0</v>
      </c>
      <c r="Z206" s="123">
        <f t="shared" si="62"/>
        <v>148256</v>
      </c>
      <c r="AA206" s="122" t="str">
        <f t="shared" si="35"/>
        <v>1</v>
      </c>
      <c r="AB206" s="120">
        <f t="shared" si="51"/>
        <v>141000</v>
      </c>
      <c r="AC206" s="123">
        <v>0</v>
      </c>
      <c r="AD206" s="123">
        <v>141000</v>
      </c>
      <c r="AE206" s="123">
        <v>1120</v>
      </c>
      <c r="AG206" s="151">
        <f t="shared" si="63"/>
        <v>13556</v>
      </c>
      <c r="AH206" s="123">
        <v>15851</v>
      </c>
      <c r="AL206" s="123">
        <v>2295</v>
      </c>
      <c r="AM206" s="123">
        <v>34294</v>
      </c>
      <c r="AN206" s="123">
        <v>31591</v>
      </c>
    </row>
    <row r="207" spans="1:40" s="123" customFormat="1" ht="16.2" thickBot="1" x14ac:dyDescent="0.35">
      <c r="A207" s="56">
        <v>31.4</v>
      </c>
      <c r="B207" s="218" t="s">
        <v>4058</v>
      </c>
      <c r="C207" s="31" t="str">
        <f>VLOOKUP((CONCATENATE(B207)),ID!$A$2:$D$305,3,0)</f>
        <v>RL031</v>
      </c>
      <c r="D207" s="56">
        <v>0</v>
      </c>
      <c r="E207" s="56" t="s">
        <v>4057</v>
      </c>
      <c r="F207" s="56" t="s">
        <v>3789</v>
      </c>
      <c r="G207" s="56" t="s">
        <v>3853</v>
      </c>
      <c r="H207" s="95">
        <v>4596</v>
      </c>
      <c r="I207" s="57">
        <v>4620</v>
      </c>
      <c r="J207" s="57">
        <v>4631</v>
      </c>
      <c r="K207" s="56">
        <v>1</v>
      </c>
      <c r="L207" s="57">
        <v>4633</v>
      </c>
      <c r="M207" s="59">
        <v>4645</v>
      </c>
      <c r="N207" s="57">
        <v>4645</v>
      </c>
      <c r="O207" s="56" t="s">
        <v>3808</v>
      </c>
      <c r="P207" s="194">
        <v>1</v>
      </c>
      <c r="Q207" s="21">
        <v>1</v>
      </c>
      <c r="R207" s="39" t="str">
        <f t="shared" si="60"/>
        <v>-</v>
      </c>
      <c r="S207" s="120">
        <f t="shared" si="50"/>
        <v>22443</v>
      </c>
      <c r="T207" s="123">
        <v>173216</v>
      </c>
      <c r="U207" s="123">
        <v>166933</v>
      </c>
      <c r="V207" s="123">
        <f t="shared" si="64"/>
        <v>6283</v>
      </c>
      <c r="W207" s="122" t="str">
        <f t="shared" si="34"/>
        <v>1</v>
      </c>
      <c r="X207" s="123">
        <f>16+968+143000+6789</f>
        <v>150773</v>
      </c>
      <c r="Y207" s="123">
        <v>0</v>
      </c>
      <c r="Z207" s="123">
        <f t="shared" si="62"/>
        <v>150773</v>
      </c>
      <c r="AA207" s="122" t="str">
        <f t="shared" si="35"/>
        <v>1</v>
      </c>
      <c r="AB207" s="120">
        <f t="shared" si="51"/>
        <v>143000</v>
      </c>
      <c r="AC207" s="123">
        <v>0</v>
      </c>
      <c r="AD207" s="123">
        <v>143000</v>
      </c>
      <c r="AE207" s="123">
        <v>1551</v>
      </c>
      <c r="AG207" s="151">
        <f t="shared" si="63"/>
        <v>9338</v>
      </c>
      <c r="AH207" s="123">
        <v>11633</v>
      </c>
      <c r="AL207" s="123">
        <v>2295</v>
      </c>
      <c r="AM207" s="123">
        <v>30989</v>
      </c>
      <c r="AN207" s="123">
        <v>26560</v>
      </c>
    </row>
    <row r="208" spans="1:40" s="123" customFormat="1" ht="16.2" thickBot="1" x14ac:dyDescent="0.35">
      <c r="A208" s="56"/>
      <c r="B208" s="218" t="s">
        <v>4058</v>
      </c>
      <c r="C208" s="31" t="str">
        <f>VLOOKUP((CONCATENATE(B208)),ID!$A$2:$D$305,3,0)</f>
        <v>RL031</v>
      </c>
      <c r="D208" s="56">
        <v>0</v>
      </c>
      <c r="E208" s="56" t="s">
        <v>4057</v>
      </c>
      <c r="F208" s="56" t="s">
        <v>3789</v>
      </c>
      <c r="G208" s="56" t="s">
        <v>3853</v>
      </c>
      <c r="H208" s="95">
        <v>4749</v>
      </c>
      <c r="I208" s="57">
        <v>4774</v>
      </c>
      <c r="J208" s="57">
        <v>4785</v>
      </c>
      <c r="K208" s="56">
        <v>1</v>
      </c>
      <c r="L208" s="57">
        <v>4787</v>
      </c>
      <c r="M208" s="59">
        <v>4799</v>
      </c>
      <c r="N208" s="57">
        <v>4799</v>
      </c>
      <c r="O208" s="56" t="s">
        <v>3808</v>
      </c>
      <c r="P208" s="194">
        <v>1</v>
      </c>
      <c r="Q208" s="21">
        <v>1</v>
      </c>
      <c r="R208" s="39" t="str">
        <f t="shared" si="60"/>
        <v>-</v>
      </c>
      <c r="S208" s="120">
        <f t="shared" si="50"/>
        <v>22400</v>
      </c>
      <c r="T208" s="123">
        <v>174613</v>
      </c>
      <c r="U208" s="123">
        <v>166933</v>
      </c>
      <c r="V208" s="123">
        <f t="shared" si="64"/>
        <v>7680</v>
      </c>
      <c r="W208" s="122" t="str">
        <f t="shared" si="34"/>
        <v>1</v>
      </c>
      <c r="X208" s="123">
        <f>20+585+144000+7608</f>
        <v>152213</v>
      </c>
      <c r="Y208" s="123">
        <v>0</v>
      </c>
      <c r="Z208" s="123">
        <f>X208</f>
        <v>152213</v>
      </c>
      <c r="AA208" s="122" t="str">
        <f t="shared" si="35"/>
        <v>1</v>
      </c>
      <c r="AB208" s="120">
        <f t="shared" si="51"/>
        <v>144000</v>
      </c>
      <c r="AC208" s="123">
        <v>0</v>
      </c>
      <c r="AD208" s="123">
        <v>144000</v>
      </c>
      <c r="AE208" s="123">
        <v>524</v>
      </c>
      <c r="AG208" s="151">
        <f t="shared" si="63"/>
        <v>8371</v>
      </c>
      <c r="AH208" s="123">
        <v>10283</v>
      </c>
      <c r="AL208" s="123">
        <v>1912</v>
      </c>
      <c r="AM208" s="123">
        <v>26050</v>
      </c>
      <c r="AN208" s="123">
        <v>23368</v>
      </c>
    </row>
    <row r="209" spans="1:40" s="123" customFormat="1" ht="16.2" thickBot="1" x14ac:dyDescent="0.35">
      <c r="A209" s="56"/>
      <c r="B209" s="218" t="s">
        <v>4058</v>
      </c>
      <c r="C209" s="31" t="str">
        <f>VLOOKUP((CONCATENATE(B209)),ID!$A$2:$D$305,3,0)</f>
        <v>RL031</v>
      </c>
      <c r="D209" s="56">
        <v>1</v>
      </c>
      <c r="E209" s="56" t="s">
        <v>4057</v>
      </c>
      <c r="F209" s="56" t="s">
        <v>3789</v>
      </c>
      <c r="G209" s="56" t="s">
        <v>3853</v>
      </c>
      <c r="H209" s="95">
        <v>5114</v>
      </c>
      <c r="I209" s="57">
        <v>5135</v>
      </c>
      <c r="J209" s="57">
        <v>5149</v>
      </c>
      <c r="K209" s="56">
        <v>1</v>
      </c>
      <c r="L209" s="57">
        <v>5153</v>
      </c>
      <c r="M209" s="59">
        <v>5163</v>
      </c>
      <c r="N209" s="57">
        <v>5163</v>
      </c>
      <c r="O209" s="56" t="s">
        <v>3808</v>
      </c>
      <c r="P209" s="194">
        <v>1</v>
      </c>
      <c r="Q209" s="21">
        <v>1</v>
      </c>
      <c r="R209" s="39" t="str">
        <f t="shared" si="60"/>
        <v>-</v>
      </c>
      <c r="S209" s="120">
        <f t="shared" si="50"/>
        <v>27581</v>
      </c>
      <c r="T209" s="123">
        <v>175099</v>
      </c>
      <c r="U209" s="123">
        <v>166933</v>
      </c>
      <c r="V209" s="123">
        <f t="shared" si="64"/>
        <v>8166</v>
      </c>
      <c r="W209" s="122" t="str">
        <f t="shared" si="34"/>
        <v>1</v>
      </c>
      <c r="X209" s="123">
        <f>T209-4961-9030-1391-6689-5510</f>
        <v>147518</v>
      </c>
      <c r="Y209" s="123">
        <v>0</v>
      </c>
      <c r="Z209" s="123">
        <f>X209</f>
        <v>147518</v>
      </c>
      <c r="AA209" s="122" t="str">
        <f t="shared" si="35"/>
        <v>1</v>
      </c>
      <c r="AB209" s="120">
        <f t="shared" si="51"/>
        <v>138000</v>
      </c>
      <c r="AC209" s="123">
        <v>0</v>
      </c>
      <c r="AD209" s="123">
        <v>138000</v>
      </c>
      <c r="AE209" s="123">
        <v>1387</v>
      </c>
      <c r="AG209" s="151">
        <f t="shared" si="63"/>
        <v>19791</v>
      </c>
      <c r="AH209" s="123">
        <v>24841</v>
      </c>
      <c r="AL209" s="123">
        <v>5050</v>
      </c>
      <c r="AM209" s="123">
        <v>56292</v>
      </c>
    </row>
    <row r="210" spans="1:40" s="123" customFormat="1" ht="16.2" thickBot="1" x14ac:dyDescent="0.35">
      <c r="A210" s="56"/>
      <c r="B210" s="217" t="s">
        <v>133</v>
      </c>
      <c r="C210" s="31" t="str">
        <f>VLOOKUP((CONCATENATE(B210)),ID!$A$2:$D$305,3,0)</f>
        <v>RL032</v>
      </c>
      <c r="D210" s="27">
        <v>0</v>
      </c>
      <c r="E210" s="27" t="s">
        <v>4057</v>
      </c>
      <c r="F210" s="27" t="s">
        <v>1117</v>
      </c>
      <c r="G210" s="27" t="s">
        <v>3792</v>
      </c>
      <c r="H210" s="94">
        <v>3653</v>
      </c>
      <c r="I210" s="57">
        <v>3716</v>
      </c>
      <c r="J210" s="57"/>
      <c r="K210" s="56">
        <v>1</v>
      </c>
      <c r="L210" s="57">
        <v>3726</v>
      </c>
      <c r="M210" s="59">
        <v>3757</v>
      </c>
      <c r="N210" s="57">
        <v>3757</v>
      </c>
      <c r="O210" s="27" t="s">
        <v>3810</v>
      </c>
      <c r="P210" s="194">
        <v>1</v>
      </c>
      <c r="Q210" s="21">
        <v>1</v>
      </c>
      <c r="R210" s="39" t="str">
        <f t="shared" si="60"/>
        <v>-</v>
      </c>
      <c r="S210" s="120">
        <f t="shared" si="50"/>
        <v>4250661</v>
      </c>
      <c r="T210" s="123">
        <v>6251803</v>
      </c>
      <c r="U210" s="123">
        <f>148381+45514+89688+913621+246575</f>
        <v>1443779</v>
      </c>
      <c r="V210" s="123">
        <f t="shared" si="64"/>
        <v>4808024</v>
      </c>
      <c r="W210" s="122" t="str">
        <f t="shared" si="34"/>
        <v>1</v>
      </c>
      <c r="X210" s="123">
        <f>T210-48262-146929-420480-3634990</f>
        <v>2001142</v>
      </c>
      <c r="Y210" s="123">
        <f>453640+79434</f>
        <v>533074</v>
      </c>
      <c r="Z210" s="123">
        <f>X210-Y210</f>
        <v>1468068</v>
      </c>
      <c r="AA210" s="122" t="str">
        <f t="shared" si="35"/>
        <v>1</v>
      </c>
      <c r="AB210" s="120">
        <f t="shared" si="51"/>
        <v>533074</v>
      </c>
      <c r="AC210" s="123">
        <v>0</v>
      </c>
      <c r="AD210" s="123">
        <v>533074</v>
      </c>
      <c r="AE210" s="123">
        <v>494004</v>
      </c>
      <c r="AG210" s="151">
        <f t="shared" ref="AG210:AG216" si="65">AH210-AL210-AI210</f>
        <v>343913</v>
      </c>
      <c r="AH210" s="123">
        <f>1038607-77063</f>
        <v>961544</v>
      </c>
      <c r="AI210" s="123">
        <v>77480</v>
      </c>
      <c r="AL210" s="123">
        <f>31580+508571</f>
        <v>540151</v>
      </c>
      <c r="AM210" s="123">
        <v>3632902</v>
      </c>
      <c r="AN210" s="123">
        <f>2250105+1091428</f>
        <v>3341533</v>
      </c>
    </row>
    <row r="211" spans="1:40" s="123" customFormat="1" ht="16.2" thickBot="1" x14ac:dyDescent="0.35">
      <c r="A211" s="56"/>
      <c r="B211" s="217" t="s">
        <v>133</v>
      </c>
      <c r="C211" s="31" t="str">
        <f>VLOOKUP((CONCATENATE(B211)),ID!$A$2:$D$305,3,0)</f>
        <v>RL032</v>
      </c>
      <c r="D211" s="27">
        <v>0</v>
      </c>
      <c r="E211" s="27" t="s">
        <v>4057</v>
      </c>
      <c r="F211" s="27" t="s">
        <v>1117</v>
      </c>
      <c r="G211" s="27" t="s">
        <v>3792</v>
      </c>
      <c r="H211" s="94">
        <v>3834</v>
      </c>
      <c r="I211" s="57">
        <v>3910</v>
      </c>
      <c r="J211" s="57"/>
      <c r="K211" s="56">
        <v>1</v>
      </c>
      <c r="L211" s="57">
        <v>3919</v>
      </c>
      <c r="M211" s="59">
        <v>3950</v>
      </c>
      <c r="N211" s="57">
        <v>3950</v>
      </c>
      <c r="O211" s="27" t="s">
        <v>3810</v>
      </c>
      <c r="P211" s="194">
        <v>1</v>
      </c>
      <c r="Q211" s="21">
        <v>1</v>
      </c>
      <c r="R211" s="39" t="str">
        <f t="shared" si="60"/>
        <v>-</v>
      </c>
      <c r="S211" s="120">
        <f t="shared" si="50"/>
        <v>4860256</v>
      </c>
      <c r="T211" s="123">
        <v>7928569</v>
      </c>
      <c r="U211" s="123">
        <f>246575+931109+151611+46393</f>
        <v>1375688</v>
      </c>
      <c r="V211" s="123">
        <f t="shared" si="64"/>
        <v>6552881</v>
      </c>
      <c r="W211" s="122" t="str">
        <f t="shared" si="34"/>
        <v>1</v>
      </c>
      <c r="X211" s="123">
        <f>T211-30516-155500-359000-4315240</f>
        <v>3068313</v>
      </c>
      <c r="Y211" s="123">
        <f>488188+79434+46393</f>
        <v>614015</v>
      </c>
      <c r="Z211" s="123">
        <f>X211-Y211</f>
        <v>2454298</v>
      </c>
      <c r="AA211" s="122" t="str">
        <f t="shared" si="35"/>
        <v>1</v>
      </c>
      <c r="AB211" s="120">
        <f t="shared" si="51"/>
        <v>567622</v>
      </c>
      <c r="AC211" s="123">
        <v>0</v>
      </c>
      <c r="AD211" s="123">
        <v>567622</v>
      </c>
      <c r="AE211" s="123">
        <v>931109</v>
      </c>
      <c r="AG211" s="151">
        <f t="shared" si="65"/>
        <v>370275</v>
      </c>
      <c r="AH211" s="123">
        <f>1046966-77630</f>
        <v>969336</v>
      </c>
      <c r="AI211" s="123">
        <v>46374</v>
      </c>
      <c r="AL211" s="123">
        <f>520240+32447</f>
        <v>552687</v>
      </c>
      <c r="AM211" s="123">
        <v>3321636</v>
      </c>
      <c r="AN211" s="123">
        <f>2186027+884273</f>
        <v>3070300</v>
      </c>
    </row>
    <row r="212" spans="1:40" s="123" customFormat="1" ht="16.2" thickBot="1" x14ac:dyDescent="0.35">
      <c r="A212" s="27">
        <v>32.1</v>
      </c>
      <c r="B212" s="217" t="s">
        <v>133</v>
      </c>
      <c r="C212" s="31" t="str">
        <f>VLOOKUP((CONCATENATE(B212)),ID!$A$2:$D$305,3,0)</f>
        <v>RL032</v>
      </c>
      <c r="D212" s="27">
        <v>0</v>
      </c>
      <c r="E212" s="27" t="s">
        <v>4057</v>
      </c>
      <c r="F212" s="27" t="s">
        <v>1117</v>
      </c>
      <c r="G212" s="27" t="s">
        <v>3792</v>
      </c>
      <c r="H212" s="94">
        <v>4018</v>
      </c>
      <c r="I212" s="47">
        <v>4115</v>
      </c>
      <c r="J212" s="47">
        <v>4111</v>
      </c>
      <c r="K212" s="27">
        <v>1</v>
      </c>
      <c r="L212" s="47">
        <v>4095</v>
      </c>
      <c r="M212" s="48">
        <v>4129</v>
      </c>
      <c r="N212" s="47">
        <v>4129</v>
      </c>
      <c r="O212" s="27" t="s">
        <v>3810</v>
      </c>
      <c r="P212" s="194">
        <v>1</v>
      </c>
      <c r="Q212" s="21">
        <v>1</v>
      </c>
      <c r="R212" s="39" t="str">
        <f t="shared" si="60"/>
        <v>-</v>
      </c>
      <c r="S212" s="120">
        <f t="shared" si="50"/>
        <v>5216973</v>
      </c>
      <c r="T212" s="123">
        <v>8216785</v>
      </c>
      <c r="U212" s="132">
        <f>246575+964670+47297+158813+47297</f>
        <v>1464652</v>
      </c>
      <c r="V212" s="123">
        <f t="shared" si="64"/>
        <v>6752133</v>
      </c>
      <c r="W212" s="122" t="str">
        <f t="shared" si="34"/>
        <v>1</v>
      </c>
      <c r="X212" s="123">
        <f>329170+1001044+518542+540000+484325+79434+47297</f>
        <v>2999812</v>
      </c>
      <c r="Y212" s="134">
        <f>484325+79434+47297</f>
        <v>611056</v>
      </c>
      <c r="Z212" s="123">
        <f t="shared" ref="Z212:Z234" si="66">X212-Y212</f>
        <v>2388756</v>
      </c>
      <c r="AA212" s="122" t="str">
        <f t="shared" si="35"/>
        <v>1</v>
      </c>
      <c r="AB212" s="120">
        <f t="shared" si="51"/>
        <v>563759</v>
      </c>
      <c r="AC212" s="123">
        <v>0</v>
      </c>
      <c r="AD212" s="123">
        <v>563759</v>
      </c>
      <c r="AE212" s="123">
        <v>579099</v>
      </c>
      <c r="AG212" s="151">
        <f t="shared" si="65"/>
        <v>358982</v>
      </c>
      <c r="AH212" s="134">
        <f>1081259-77603</f>
        <v>1003656</v>
      </c>
      <c r="AI212" s="123">
        <v>86594</v>
      </c>
      <c r="AL212" s="123">
        <f>32331+525749</f>
        <v>558080</v>
      </c>
      <c r="AM212" s="123">
        <v>3699898</v>
      </c>
      <c r="AN212" s="123">
        <f>AM212-41725-78233-197413</f>
        <v>3382527</v>
      </c>
    </row>
    <row r="213" spans="1:40" s="123" customFormat="1" ht="16.2" thickBot="1" x14ac:dyDescent="0.35">
      <c r="A213" s="27">
        <v>32.200000000000003</v>
      </c>
      <c r="B213" s="217" t="s">
        <v>133</v>
      </c>
      <c r="C213" s="31" t="str">
        <f>VLOOKUP((CONCATENATE(B213)),ID!$A$2:$D$305,3,0)</f>
        <v>RL032</v>
      </c>
      <c r="D213" s="27">
        <v>0</v>
      </c>
      <c r="E213" s="27" t="s">
        <v>4057</v>
      </c>
      <c r="F213" s="27" t="s">
        <v>1117</v>
      </c>
      <c r="G213" s="27" t="s">
        <v>3792</v>
      </c>
      <c r="H213" s="94">
        <v>4199</v>
      </c>
      <c r="I213" s="47">
        <v>4276</v>
      </c>
      <c r="J213" s="47">
        <v>4294</v>
      </c>
      <c r="K213" s="27">
        <v>1</v>
      </c>
      <c r="L213" s="47">
        <v>4284</v>
      </c>
      <c r="M213" s="48">
        <v>4317</v>
      </c>
      <c r="N213" s="47">
        <v>4317</v>
      </c>
      <c r="O213" s="27" t="s">
        <v>3810</v>
      </c>
      <c r="P213" s="194">
        <v>1</v>
      </c>
      <c r="Q213" s="21">
        <v>1</v>
      </c>
      <c r="R213" s="39" t="str">
        <f t="shared" si="60"/>
        <v>-</v>
      </c>
      <c r="S213" s="120">
        <f t="shared" si="50"/>
        <v>6057267</v>
      </c>
      <c r="T213" s="123">
        <v>8650406</v>
      </c>
      <c r="U213" s="123">
        <f>246575+1030082+162215+48193</f>
        <v>1487065</v>
      </c>
      <c r="V213" s="123">
        <f t="shared" si="64"/>
        <v>7163341</v>
      </c>
      <c r="W213" s="122" t="str">
        <f t="shared" si="34"/>
        <v>1</v>
      </c>
      <c r="X213" s="123">
        <f>270000+519412+796374+355715+524011+79434+48193</f>
        <v>2593139</v>
      </c>
      <c r="Y213" s="123">
        <f>270000+524011+79434+48193</f>
        <v>921638</v>
      </c>
      <c r="Z213" s="123">
        <f t="shared" si="66"/>
        <v>1671501</v>
      </c>
      <c r="AA213" s="122" t="str">
        <f t="shared" si="35"/>
        <v>1</v>
      </c>
      <c r="AB213" s="120">
        <f t="shared" si="51"/>
        <v>873445</v>
      </c>
      <c r="AC213" s="123">
        <v>0</v>
      </c>
      <c r="AD213" s="123">
        <v>873445</v>
      </c>
      <c r="AE213" s="123">
        <v>253407</v>
      </c>
      <c r="AG213" s="151">
        <f t="shared" si="65"/>
        <v>396827</v>
      </c>
      <c r="AH213" s="134">
        <f>1092374-77653</f>
        <v>1014721</v>
      </c>
      <c r="AI213" s="123">
        <v>47563</v>
      </c>
      <c r="AL213" s="123">
        <f>539850+30481</f>
        <v>570331</v>
      </c>
      <c r="AM213" s="123">
        <v>3561181</v>
      </c>
      <c r="AN213" s="123">
        <f>944569+2347953</f>
        <v>3292522</v>
      </c>
    </row>
    <row r="214" spans="1:40" s="123" customFormat="1" ht="16.2" thickBot="1" x14ac:dyDescent="0.35">
      <c r="A214" s="27">
        <v>32.299999999999997</v>
      </c>
      <c r="B214" s="217" t="s">
        <v>133</v>
      </c>
      <c r="C214" s="31" t="str">
        <f>VLOOKUP((CONCATENATE(B214)),ID!$A$2:$D$305,3,0)</f>
        <v>RL032</v>
      </c>
      <c r="D214" s="27">
        <v>0</v>
      </c>
      <c r="E214" s="27" t="s">
        <v>4057</v>
      </c>
      <c r="F214" s="27" t="s">
        <v>1117</v>
      </c>
      <c r="G214" s="27" t="s">
        <v>3792</v>
      </c>
      <c r="H214" s="94">
        <v>4383</v>
      </c>
      <c r="I214" s="47">
        <v>4476</v>
      </c>
      <c r="J214" s="47">
        <v>4468</v>
      </c>
      <c r="K214" s="27">
        <v>1</v>
      </c>
      <c r="L214" s="47">
        <v>4459</v>
      </c>
      <c r="M214" s="48">
        <v>4492</v>
      </c>
      <c r="N214" s="47">
        <v>4492</v>
      </c>
      <c r="O214" s="27" t="s">
        <v>3810</v>
      </c>
      <c r="P214" s="194">
        <v>1</v>
      </c>
      <c r="Q214" s="21">
        <v>1</v>
      </c>
      <c r="R214" s="39" t="str">
        <f t="shared" si="60"/>
        <v>-</v>
      </c>
      <c r="S214" s="120">
        <f t="shared" si="50"/>
        <v>7510561</v>
      </c>
      <c r="T214" s="123">
        <v>9820189</v>
      </c>
      <c r="U214" s="123">
        <f>49083+166732+1035980+246575</f>
        <v>1498370</v>
      </c>
      <c r="V214" s="123">
        <f t="shared" si="64"/>
        <v>8321819</v>
      </c>
      <c r="W214" s="122" t="str">
        <f t="shared" si="34"/>
        <v>1</v>
      </c>
      <c r="X214" s="123">
        <f>270000+547927+1086568+356050+49083</f>
        <v>2309628</v>
      </c>
      <c r="Y214" s="123">
        <f>530653+79434+270000+49083</f>
        <v>929170</v>
      </c>
      <c r="Z214" s="123">
        <f t="shared" si="66"/>
        <v>1380458</v>
      </c>
      <c r="AA214" s="122" t="str">
        <f t="shared" si="35"/>
        <v>1</v>
      </c>
      <c r="AB214" s="120">
        <f t="shared" si="51"/>
        <v>880087</v>
      </c>
      <c r="AC214" s="123">
        <v>0</v>
      </c>
      <c r="AD214" s="123">
        <v>880087</v>
      </c>
      <c r="AE214" s="123">
        <v>1049179</v>
      </c>
      <c r="AG214" s="151">
        <f t="shared" si="65"/>
        <v>424765</v>
      </c>
      <c r="AH214" s="134">
        <f>1185055-77802</f>
        <v>1107253</v>
      </c>
      <c r="AI214" s="123">
        <f>89755</f>
        <v>89755</v>
      </c>
      <c r="AL214" s="123">
        <f>32419+560314</f>
        <v>592733</v>
      </c>
      <c r="AM214" s="123">
        <v>4135775</v>
      </c>
      <c r="AN214" s="123">
        <f>1239375+2541350</f>
        <v>3780725</v>
      </c>
    </row>
    <row r="215" spans="1:40" s="123" customFormat="1" ht="16.2" thickBot="1" x14ac:dyDescent="0.35">
      <c r="A215" s="27">
        <v>32.4</v>
      </c>
      <c r="B215" s="217" t="s">
        <v>133</v>
      </c>
      <c r="C215" s="31" t="str">
        <f>VLOOKUP((CONCATENATE(B215)),ID!$A$2:$D$305,3,0)</f>
        <v>RL032</v>
      </c>
      <c r="D215" s="27">
        <v>0</v>
      </c>
      <c r="E215" s="27" t="s">
        <v>4057</v>
      </c>
      <c r="F215" s="27" t="s">
        <v>1117</v>
      </c>
      <c r="G215" s="27" t="s">
        <v>3792</v>
      </c>
      <c r="H215" s="94">
        <v>4565</v>
      </c>
      <c r="I215" s="47">
        <v>4640</v>
      </c>
      <c r="J215" s="47">
        <v>4638</v>
      </c>
      <c r="K215" s="27">
        <v>1</v>
      </c>
      <c r="L215" s="47">
        <v>4648</v>
      </c>
      <c r="M215" s="48">
        <v>4681</v>
      </c>
      <c r="N215" s="47">
        <v>4681</v>
      </c>
      <c r="O215" s="27" t="s">
        <v>3810</v>
      </c>
      <c r="P215" s="194">
        <v>1</v>
      </c>
      <c r="Q215" s="21">
        <v>1</v>
      </c>
      <c r="R215" s="39" t="str">
        <f t="shared" si="60"/>
        <v>-</v>
      </c>
      <c r="S215" s="120">
        <f t="shared" si="50"/>
        <v>6705006</v>
      </c>
      <c r="T215" s="123">
        <v>10401224</v>
      </c>
      <c r="U215" s="123">
        <f>246575+1037138+170256+49960</f>
        <v>1503929</v>
      </c>
      <c r="V215" s="123">
        <f t="shared" si="64"/>
        <v>8897295</v>
      </c>
      <c r="W215" s="122" t="str">
        <f t="shared" si="34"/>
        <v>1</v>
      </c>
      <c r="X215" s="123">
        <f>300000+534246+521448+1246574+384123+581333+79434+49060</f>
        <v>3696218</v>
      </c>
      <c r="Y215" s="123">
        <f>300000+581333+79434+49060</f>
        <v>1009827</v>
      </c>
      <c r="Z215" s="123">
        <f t="shared" si="66"/>
        <v>2686391</v>
      </c>
      <c r="AA215" s="122" t="str">
        <f t="shared" si="35"/>
        <v>1</v>
      </c>
      <c r="AB215" s="120">
        <f t="shared" si="51"/>
        <v>960767</v>
      </c>
      <c r="AC215" s="123">
        <v>0</v>
      </c>
      <c r="AD215" s="123">
        <v>960767</v>
      </c>
      <c r="AE215" s="123">
        <v>653717</v>
      </c>
      <c r="AG215" s="151">
        <f t="shared" si="65"/>
        <v>448880</v>
      </c>
      <c r="AH215" s="134">
        <f>1152065-77603</f>
        <v>1074462</v>
      </c>
      <c r="AI215" s="123">
        <v>44711</v>
      </c>
      <c r="AL215" s="123">
        <f>571641+9230</f>
        <v>580871</v>
      </c>
      <c r="AM215" s="123">
        <v>3834328</v>
      </c>
      <c r="AN215" s="123">
        <f>1035755+2496200</f>
        <v>3531955</v>
      </c>
    </row>
    <row r="216" spans="1:40" s="123" customFormat="1" ht="16.2" thickBot="1" x14ac:dyDescent="0.35">
      <c r="A216" s="27"/>
      <c r="B216" s="217" t="s">
        <v>133</v>
      </c>
      <c r="C216" s="31" t="str">
        <f>VLOOKUP((CONCATENATE(B216)),ID!$A$2:$D$305,3,0)</f>
        <v>RL032</v>
      </c>
      <c r="D216" s="27">
        <v>1</v>
      </c>
      <c r="E216" s="27" t="s">
        <v>4057</v>
      </c>
      <c r="F216" s="27" t="s">
        <v>1117</v>
      </c>
      <c r="G216" s="27" t="s">
        <v>3792</v>
      </c>
      <c r="H216" s="94">
        <v>4930</v>
      </c>
      <c r="I216" s="47">
        <v>5004</v>
      </c>
      <c r="J216" s="47">
        <v>5024</v>
      </c>
      <c r="K216" s="27">
        <v>1</v>
      </c>
      <c r="L216" s="47">
        <v>5012</v>
      </c>
      <c r="M216" s="48">
        <v>5045</v>
      </c>
      <c r="N216" s="47">
        <v>5045</v>
      </c>
      <c r="O216" s="27" t="s">
        <v>3810</v>
      </c>
      <c r="P216" s="194">
        <v>1</v>
      </c>
      <c r="Q216" s="21">
        <v>1</v>
      </c>
      <c r="R216" s="39" t="str">
        <f t="shared" si="60"/>
        <v>-</v>
      </c>
      <c r="S216" s="120">
        <f t="shared" si="50"/>
        <v>6172428</v>
      </c>
      <c r="T216" s="123">
        <v>12083902</v>
      </c>
      <c r="U216" s="123">
        <f>246575+1064571+178364+51704</f>
        <v>1541214</v>
      </c>
      <c r="V216" s="123">
        <f t="shared" si="64"/>
        <v>10542688</v>
      </c>
      <c r="W216" s="122" t="str">
        <f t="shared" si="34"/>
        <v>1</v>
      </c>
      <c r="X216" s="123">
        <f>T216-5547171-411910-187536-25811</f>
        <v>5911474</v>
      </c>
      <c r="Y216" s="123">
        <f>694760+79434+51704</f>
        <v>825898</v>
      </c>
      <c r="Z216" s="123">
        <f t="shared" si="66"/>
        <v>5085576</v>
      </c>
      <c r="AA216" s="122" t="str">
        <f t="shared" si="35"/>
        <v>1</v>
      </c>
      <c r="AB216" s="120">
        <f t="shared" si="51"/>
        <v>774194</v>
      </c>
      <c r="AC216" s="123">
        <v>0</v>
      </c>
      <c r="AD216" s="123">
        <v>774194</v>
      </c>
      <c r="AE216" s="123">
        <v>266921</v>
      </c>
      <c r="AG216" s="151">
        <f t="shared" si="65"/>
        <v>491894</v>
      </c>
      <c r="AH216" s="134">
        <f>1268022-77603</f>
        <v>1190419</v>
      </c>
      <c r="AI216" s="123">
        <v>57849</v>
      </c>
      <c r="AL216" s="123">
        <f>630973+9703</f>
        <v>640676</v>
      </c>
      <c r="AM216" s="123">
        <v>4365636</v>
      </c>
      <c r="AN216" s="123">
        <f>2868344+1165827</f>
        <v>4034171</v>
      </c>
    </row>
    <row r="217" spans="1:40" s="123" customFormat="1" ht="16.2" thickBot="1" x14ac:dyDescent="0.35">
      <c r="A217" s="27"/>
      <c r="B217" s="217" t="s">
        <v>134</v>
      </c>
      <c r="C217" s="31" t="str">
        <f>VLOOKUP((CONCATENATE(B217)),ID!$A$2:$D$305,3,0)</f>
        <v>RL033</v>
      </c>
      <c r="D217" s="27">
        <v>0</v>
      </c>
      <c r="E217" s="27" t="s">
        <v>4057</v>
      </c>
      <c r="F217" s="27" t="s">
        <v>3812</v>
      </c>
      <c r="G217" s="27" t="s">
        <v>3853</v>
      </c>
      <c r="H217" s="94">
        <v>3653</v>
      </c>
      <c r="I217" s="47">
        <v>3665</v>
      </c>
      <c r="J217" s="47">
        <v>3687</v>
      </c>
      <c r="K217" s="27">
        <v>1</v>
      </c>
      <c r="L217" s="47">
        <v>3675</v>
      </c>
      <c r="M217" s="48">
        <v>3695</v>
      </c>
      <c r="N217" s="47">
        <v>3695</v>
      </c>
      <c r="O217" s="27" t="s">
        <v>4087</v>
      </c>
      <c r="P217" s="194">
        <v>1</v>
      </c>
      <c r="Q217" s="21">
        <v>1</v>
      </c>
      <c r="R217" s="39" t="str">
        <f t="shared" si="60"/>
        <v>-</v>
      </c>
      <c r="S217" s="120">
        <f t="shared" si="50"/>
        <v>864820</v>
      </c>
      <c r="T217" s="123">
        <v>4510272</v>
      </c>
      <c r="U217" s="123">
        <f>2718090+134907+191104</f>
        <v>3044101</v>
      </c>
      <c r="V217" s="123">
        <f t="shared" si="64"/>
        <v>1466171</v>
      </c>
      <c r="W217" s="122" t="str">
        <f t="shared" si="34"/>
        <v>1</v>
      </c>
      <c r="X217" s="123">
        <f>T217-399514-296150-97069-72087</f>
        <v>3645452</v>
      </c>
      <c r="Y217" s="123">
        <f>126732+931500+244658</f>
        <v>1302890</v>
      </c>
      <c r="Z217" s="123">
        <f t="shared" si="66"/>
        <v>2342562</v>
      </c>
      <c r="AA217" s="122" t="str">
        <f t="shared" si="35"/>
        <v>1</v>
      </c>
      <c r="AB217" s="120">
        <f t="shared" si="51"/>
        <v>1238232</v>
      </c>
      <c r="AC217" s="123">
        <v>931500</v>
      </c>
      <c r="AD217" s="123">
        <f>180000+126732</f>
        <v>306732</v>
      </c>
      <c r="AE217" s="123">
        <v>512026</v>
      </c>
      <c r="AG217" s="152">
        <f>AH217-AL217</f>
        <v>395037</v>
      </c>
      <c r="AH217" s="134">
        <f>932103-4478-17500-10000-21875</f>
        <v>878250</v>
      </c>
      <c r="AL217" s="123">
        <f>4906+8776+18630+889+428164+21848</f>
        <v>483213</v>
      </c>
      <c r="AM217" s="123">
        <v>2285430</v>
      </c>
      <c r="AN217" s="123">
        <v>646257</v>
      </c>
    </row>
    <row r="218" spans="1:40" s="123" customFormat="1" ht="16.2" thickBot="1" x14ac:dyDescent="0.35">
      <c r="A218" s="27"/>
      <c r="B218" s="217" t="s">
        <v>134</v>
      </c>
      <c r="C218" s="31" t="str">
        <f>VLOOKUP((CONCATENATE(B218)),ID!$A$2:$D$305,3,0)</f>
        <v>RL033</v>
      </c>
      <c r="D218" s="27">
        <v>0</v>
      </c>
      <c r="E218" s="27" t="s">
        <v>4057</v>
      </c>
      <c r="F218" s="27" t="s">
        <v>3812</v>
      </c>
      <c r="G218" s="27" t="s">
        <v>3853</v>
      </c>
      <c r="H218" s="94">
        <v>3834</v>
      </c>
      <c r="I218" s="47">
        <v>3840</v>
      </c>
      <c r="J218" s="47">
        <v>3859</v>
      </c>
      <c r="K218" s="27">
        <v>1</v>
      </c>
      <c r="L218" s="47">
        <v>3850</v>
      </c>
      <c r="M218" s="48">
        <v>3870</v>
      </c>
      <c r="N218" s="47">
        <v>3870</v>
      </c>
      <c r="O218" s="27" t="s">
        <v>4087</v>
      </c>
      <c r="P218" s="194">
        <v>1</v>
      </c>
      <c r="Q218" s="21">
        <v>1</v>
      </c>
      <c r="R218" s="39" t="str">
        <f t="shared" si="60"/>
        <v>-</v>
      </c>
      <c r="S218" s="120">
        <f t="shared" si="50"/>
        <v>1496492</v>
      </c>
      <c r="T218" s="123">
        <v>4546973</v>
      </c>
      <c r="U218" s="123">
        <f>2866980+172762+202939</f>
        <v>3242681</v>
      </c>
      <c r="V218" s="123">
        <f t="shared" si="64"/>
        <v>1304292</v>
      </c>
      <c r="W218" s="122" t="str">
        <f t="shared" si="34"/>
        <v>1</v>
      </c>
      <c r="X218" s="123">
        <f>T218-344051-296639-98889-35000-721913</f>
        <v>3050481</v>
      </c>
      <c r="Y218" s="123">
        <f>896500+197937+257993</f>
        <v>1352430</v>
      </c>
      <c r="Z218" s="123">
        <f t="shared" si="66"/>
        <v>1698051</v>
      </c>
      <c r="AA218" s="122" t="str">
        <f t="shared" si="35"/>
        <v>1</v>
      </c>
      <c r="AB218" s="120">
        <f t="shared" si="51"/>
        <v>1274437</v>
      </c>
      <c r="AC218" s="123">
        <v>896500</v>
      </c>
      <c r="AD218" s="123">
        <f>180000+197937</f>
        <v>377937</v>
      </c>
      <c r="AE218" s="123">
        <v>503631</v>
      </c>
      <c r="AG218" s="152">
        <f>AH218-AL218</f>
        <v>385851</v>
      </c>
      <c r="AH218" s="134">
        <f>877670-7576</f>
        <v>870094</v>
      </c>
      <c r="AL218" s="123">
        <f>533618-17500-10000-21875</f>
        <v>484243</v>
      </c>
      <c r="AM218" s="123">
        <v>2154501</v>
      </c>
      <c r="AN218" s="123">
        <v>546625</v>
      </c>
    </row>
    <row r="219" spans="1:40" s="123" customFormat="1" ht="16.2" thickBot="1" x14ac:dyDescent="0.35">
      <c r="A219" s="27">
        <v>33.1</v>
      </c>
      <c r="B219" s="217" t="s">
        <v>134</v>
      </c>
      <c r="C219" s="31" t="str">
        <f>VLOOKUP((CONCATENATE(B219)),ID!$A$2:$D$305,3,0)</f>
        <v>RL033</v>
      </c>
      <c r="D219" s="27">
        <v>0</v>
      </c>
      <c r="E219" s="27" t="s">
        <v>4057</v>
      </c>
      <c r="F219" s="27" t="s">
        <v>3812</v>
      </c>
      <c r="G219" s="27" t="s">
        <v>3853</v>
      </c>
      <c r="H219" s="94">
        <v>4018</v>
      </c>
      <c r="I219" s="47">
        <v>4041</v>
      </c>
      <c r="J219" s="47">
        <v>4051</v>
      </c>
      <c r="K219" s="27">
        <v>1</v>
      </c>
      <c r="L219" s="47">
        <v>4039</v>
      </c>
      <c r="M219" s="48">
        <v>4059</v>
      </c>
      <c r="N219" s="47">
        <v>4059</v>
      </c>
      <c r="O219" s="27" t="s">
        <v>4087</v>
      </c>
      <c r="P219" s="194">
        <v>1</v>
      </c>
      <c r="Q219" s="21">
        <v>1</v>
      </c>
      <c r="R219" s="39" t="str">
        <f t="shared" si="60"/>
        <v>-</v>
      </c>
      <c r="S219" s="120">
        <f t="shared" si="50"/>
        <v>1584226</v>
      </c>
      <c r="T219" s="123">
        <v>4611638</v>
      </c>
      <c r="U219" s="123">
        <f>2922840+113443+234640</f>
        <v>3270923</v>
      </c>
      <c r="V219" s="123">
        <f t="shared" ref="V219:V228" si="67">T219-U219</f>
        <v>1340715</v>
      </c>
      <c r="W219" s="122" t="str">
        <f t="shared" si="34"/>
        <v>1</v>
      </c>
      <c r="X219" s="123">
        <f>25222+433011+180000+896500+280359+183969+756091+272260</f>
        <v>3027412</v>
      </c>
      <c r="Y219" s="123">
        <f>183969+896500+272260</f>
        <v>1352729</v>
      </c>
      <c r="Z219" s="123">
        <f t="shared" si="66"/>
        <v>1674683</v>
      </c>
      <c r="AA219" s="122" t="str">
        <f t="shared" si="35"/>
        <v>1</v>
      </c>
      <c r="AB219" s="120">
        <f t="shared" si="51"/>
        <v>1080469</v>
      </c>
      <c r="AC219" s="123">
        <v>896500</v>
      </c>
      <c r="AD219" s="123">
        <v>183969</v>
      </c>
      <c r="AE219" s="123">
        <v>485459</v>
      </c>
      <c r="AG219" s="152">
        <f t="shared" ref="AG219:AG238" si="68">AH219-AL219</f>
        <v>433964</v>
      </c>
      <c r="AH219" s="134">
        <f>987430-16613-21875-10000-17500</f>
        <v>921442</v>
      </c>
      <c r="AL219" s="123">
        <f>432122+889+17930+8776+4906+22855</f>
        <v>487478</v>
      </c>
      <c r="AM219" s="123">
        <v>2374493</v>
      </c>
      <c r="AN219" s="123">
        <v>666621</v>
      </c>
    </row>
    <row r="220" spans="1:40" s="123" customFormat="1" ht="16.2" thickBot="1" x14ac:dyDescent="0.35">
      <c r="A220" s="27">
        <v>33.200000000000003</v>
      </c>
      <c r="B220" s="217" t="s">
        <v>134</v>
      </c>
      <c r="C220" s="31" t="str">
        <f>VLOOKUP((CONCATENATE(B220)),ID!$A$2:$D$305,3,0)</f>
        <v>RL033</v>
      </c>
      <c r="D220" s="27">
        <v>0</v>
      </c>
      <c r="E220" s="27" t="s">
        <v>4057</v>
      </c>
      <c r="F220" s="27" t="s">
        <v>3812</v>
      </c>
      <c r="G220" s="27" t="s">
        <v>3853</v>
      </c>
      <c r="H220" s="94">
        <v>4199</v>
      </c>
      <c r="I220" s="47">
        <v>4206</v>
      </c>
      <c r="J220" s="47">
        <v>4226</v>
      </c>
      <c r="K220" s="27">
        <v>1</v>
      </c>
      <c r="L220" s="43">
        <v>4214</v>
      </c>
      <c r="M220" s="43">
        <v>4234</v>
      </c>
      <c r="N220" s="48">
        <v>4234</v>
      </c>
      <c r="O220" s="27" t="s">
        <v>3992</v>
      </c>
      <c r="P220" s="194">
        <v>1</v>
      </c>
      <c r="Q220" s="21">
        <v>1</v>
      </c>
      <c r="R220" s="39" t="str">
        <f t="shared" si="60"/>
        <v>-</v>
      </c>
      <c r="S220" s="120">
        <f t="shared" si="50"/>
        <v>1560696</v>
      </c>
      <c r="T220" s="123">
        <v>4612401</v>
      </c>
      <c r="U220" s="123">
        <f>163769+2912373+274611</f>
        <v>3350753</v>
      </c>
      <c r="V220" s="123">
        <f t="shared" si="67"/>
        <v>1261648</v>
      </c>
      <c r="W220" s="122" t="str">
        <f t="shared" ref="W220:W345" si="69">IF(V220+U220=T220,"1","0")</f>
        <v>1</v>
      </c>
      <c r="X220" s="123">
        <f>710178+236772+280359+896500+180000+434936+25424+287536</f>
        <v>3051705</v>
      </c>
      <c r="Y220" s="123">
        <f>896500+236772+287536</f>
        <v>1420808</v>
      </c>
      <c r="Z220" s="123">
        <f t="shared" si="66"/>
        <v>1630897</v>
      </c>
      <c r="AA220" s="122" t="str">
        <f t="shared" ref="AA220:AA345" si="70">IF(Z220+Y220=X220,"1","0")</f>
        <v>1</v>
      </c>
      <c r="AB220" s="120">
        <f t="shared" si="51"/>
        <v>1313272</v>
      </c>
      <c r="AC220" s="123">
        <v>896500</v>
      </c>
      <c r="AD220" s="123">
        <f>180000+236772</f>
        <v>416772</v>
      </c>
      <c r="AE220" s="123">
        <v>473044</v>
      </c>
      <c r="AG220" s="152">
        <f t="shared" si="68"/>
        <v>384105</v>
      </c>
      <c r="AH220" s="134">
        <f>931265-8537-21875-27500</f>
        <v>873353</v>
      </c>
      <c r="AL220" s="123">
        <f>538623-21875-27500</f>
        <v>489248</v>
      </c>
      <c r="AM220" s="123">
        <v>2256129</v>
      </c>
      <c r="AN220" s="123">
        <v>564405</v>
      </c>
    </row>
    <row r="221" spans="1:40" s="123" customFormat="1" ht="16.2" thickBot="1" x14ac:dyDescent="0.35">
      <c r="A221" s="27">
        <v>33.299999999999997</v>
      </c>
      <c r="B221" s="217" t="s">
        <v>134</v>
      </c>
      <c r="C221" s="31" t="str">
        <f>VLOOKUP((CONCATENATE(B221)),ID!$A$2:$D$305,3,0)</f>
        <v>RL033</v>
      </c>
      <c r="D221" s="27">
        <v>0</v>
      </c>
      <c r="E221" s="27" t="s">
        <v>4057</v>
      </c>
      <c r="F221" s="27" t="s">
        <v>3812</v>
      </c>
      <c r="G221" s="27" t="s">
        <v>3853</v>
      </c>
      <c r="H221" s="94">
        <v>4383</v>
      </c>
      <c r="I221" s="47">
        <v>4392</v>
      </c>
      <c r="J221" s="47">
        <v>4415</v>
      </c>
      <c r="K221" s="27">
        <v>1</v>
      </c>
      <c r="L221" s="47">
        <v>4403</v>
      </c>
      <c r="M221" s="48">
        <v>4423</v>
      </c>
      <c r="N221" s="47">
        <v>4423</v>
      </c>
      <c r="O221" s="27" t="s">
        <v>3811</v>
      </c>
      <c r="P221" s="194">
        <v>1</v>
      </c>
      <c r="Q221" s="21">
        <v>1</v>
      </c>
      <c r="R221" s="39" t="str">
        <f t="shared" si="60"/>
        <v>-</v>
      </c>
      <c r="S221" s="120">
        <f t="shared" si="50"/>
        <v>1642570</v>
      </c>
      <c r="T221" s="123">
        <v>4729891</v>
      </c>
      <c r="U221" s="123">
        <f>2956737+18103+279178</f>
        <v>3254018</v>
      </c>
      <c r="V221" s="123">
        <f t="shared" si="67"/>
        <v>1475873</v>
      </c>
      <c r="W221" s="122" t="str">
        <f t="shared" si="69"/>
        <v>1</v>
      </c>
      <c r="X221" s="123">
        <f>709023+250296+280359+896500+180000+438261+24764+308118</f>
        <v>3087321</v>
      </c>
      <c r="Y221" s="123">
        <f>896500+250296+308118</f>
        <v>1454914</v>
      </c>
      <c r="Z221" s="123">
        <f t="shared" si="66"/>
        <v>1632407</v>
      </c>
      <c r="AA221" s="122" t="str">
        <f t="shared" si="70"/>
        <v>1</v>
      </c>
      <c r="AB221" s="120">
        <f t="shared" si="51"/>
        <v>1326796</v>
      </c>
      <c r="AC221" s="123">
        <v>896500</v>
      </c>
      <c r="AD221" s="123">
        <f>180000+250296</f>
        <v>430296</v>
      </c>
      <c r="AE221" s="123">
        <v>412517</v>
      </c>
      <c r="AG221" s="152">
        <f t="shared" si="68"/>
        <v>446984</v>
      </c>
      <c r="AH221" s="134">
        <f>1042545-35204-27500-21875</f>
        <v>957966</v>
      </c>
      <c r="AL221" s="123">
        <f>570357-10000-27500-21875</f>
        <v>510982</v>
      </c>
      <c r="AM221" s="123">
        <v>2483860</v>
      </c>
      <c r="AN221" s="123">
        <v>673959</v>
      </c>
    </row>
    <row r="222" spans="1:40" s="123" customFormat="1" ht="16.2" thickBot="1" x14ac:dyDescent="0.35">
      <c r="A222" s="27">
        <v>33.4</v>
      </c>
      <c r="B222" s="217" t="s">
        <v>134</v>
      </c>
      <c r="C222" s="31" t="str">
        <f>VLOOKUP((CONCATENATE(B222)),ID!$A$2:$D$305,3,0)</f>
        <v>RL033</v>
      </c>
      <c r="D222" s="27">
        <v>0</v>
      </c>
      <c r="E222" s="27" t="s">
        <v>4057</v>
      </c>
      <c r="F222" s="27" t="s">
        <v>3812</v>
      </c>
      <c r="G222" s="27" t="s">
        <v>3853</v>
      </c>
      <c r="H222" s="94">
        <v>4565</v>
      </c>
      <c r="I222" s="47">
        <v>4575</v>
      </c>
      <c r="J222" s="47">
        <v>4597</v>
      </c>
      <c r="K222" s="27">
        <v>1</v>
      </c>
      <c r="L222" s="47">
        <v>4585</v>
      </c>
      <c r="M222" s="48">
        <v>4605</v>
      </c>
      <c r="N222" s="47">
        <v>4605</v>
      </c>
      <c r="O222" s="27" t="s">
        <v>3811</v>
      </c>
      <c r="P222" s="194">
        <v>1</v>
      </c>
      <c r="Q222" s="21">
        <v>1</v>
      </c>
      <c r="R222" s="39" t="str">
        <f t="shared" si="60"/>
        <v>-</v>
      </c>
      <c r="S222" s="120">
        <f t="shared" si="50"/>
        <v>1412688</v>
      </c>
      <c r="T222" s="123">
        <v>4433269</v>
      </c>
      <c r="U222" s="123">
        <f>2638303+159776+282938</f>
        <v>3081017</v>
      </c>
      <c r="V222" s="123">
        <f t="shared" si="67"/>
        <v>1352252</v>
      </c>
      <c r="W222" s="122" t="str">
        <f t="shared" si="69"/>
        <v>1</v>
      </c>
      <c r="X222" s="123">
        <f>25345+444386+180000+888500+280359+262375+615987+323629</f>
        <v>3020581</v>
      </c>
      <c r="Y222" s="123">
        <f>888500+262375+323629</f>
        <v>1474504</v>
      </c>
      <c r="Z222" s="123">
        <f t="shared" si="66"/>
        <v>1546077</v>
      </c>
      <c r="AA222" s="122" t="str">
        <f t="shared" si="70"/>
        <v>1</v>
      </c>
      <c r="AB222" s="120">
        <f t="shared" si="51"/>
        <v>1330875</v>
      </c>
      <c r="AC222" s="123">
        <f>888500</f>
        <v>888500</v>
      </c>
      <c r="AD222" s="123">
        <f>180000+262375</f>
        <v>442375</v>
      </c>
      <c r="AE222" s="123">
        <v>461965</v>
      </c>
      <c r="AG222" s="152">
        <f t="shared" si="68"/>
        <v>226644</v>
      </c>
      <c r="AH222" s="134">
        <f>812630-10048-27500-21875</f>
        <v>753207</v>
      </c>
      <c r="AL222" s="123">
        <f>575938-27500-21875</f>
        <v>526563</v>
      </c>
      <c r="AM222" s="123">
        <v>2110228</v>
      </c>
      <c r="AN222" s="123">
        <v>532726</v>
      </c>
    </row>
    <row r="223" spans="1:40" s="123" customFormat="1" ht="16.2" thickBot="1" x14ac:dyDescent="0.35">
      <c r="A223" s="27"/>
      <c r="B223" s="217" t="s">
        <v>134</v>
      </c>
      <c r="C223" s="31" t="str">
        <f>VLOOKUP((CONCATENATE(B223)),ID!$A$2:$D$305,3,0)</f>
        <v>RL033</v>
      </c>
      <c r="D223" s="27">
        <v>0</v>
      </c>
      <c r="E223" s="27" t="s">
        <v>4057</v>
      </c>
      <c r="F223" s="27" t="s">
        <v>3812</v>
      </c>
      <c r="G223" s="27" t="s">
        <v>3853</v>
      </c>
      <c r="H223" s="94">
        <v>4749</v>
      </c>
      <c r="I223" s="47">
        <v>4757</v>
      </c>
      <c r="J223" s="47">
        <v>4779</v>
      </c>
      <c r="K223" s="27">
        <v>1</v>
      </c>
      <c r="L223" s="47">
        <v>4767</v>
      </c>
      <c r="M223" s="48">
        <v>4787</v>
      </c>
      <c r="N223" s="47">
        <v>4787</v>
      </c>
      <c r="O223" s="27" t="s">
        <v>3811</v>
      </c>
      <c r="P223" s="194">
        <v>1</v>
      </c>
      <c r="Q223" s="21">
        <v>1</v>
      </c>
      <c r="R223" s="39" t="str">
        <f t="shared" si="60"/>
        <v>-</v>
      </c>
      <c r="S223" s="120">
        <f t="shared" si="50"/>
        <v>1748083</v>
      </c>
      <c r="T223" s="123">
        <v>4896645</v>
      </c>
      <c r="U223" s="123">
        <f>2220759+162359+292065</f>
        <v>2675183</v>
      </c>
      <c r="V223" s="123">
        <f t="shared" si="67"/>
        <v>2221462</v>
      </c>
      <c r="W223" s="122" t="str">
        <f t="shared" si="69"/>
        <v>1</v>
      </c>
      <c r="X223" s="123">
        <f>T223-748263-35000-107693-329798-527329</f>
        <v>3148562</v>
      </c>
      <c r="Y223" s="123">
        <f>886500+253071+339956</f>
        <v>1479527</v>
      </c>
      <c r="Z223" s="123">
        <f t="shared" si="66"/>
        <v>1669035</v>
      </c>
      <c r="AA223" s="122" t="str">
        <f t="shared" si="70"/>
        <v>1</v>
      </c>
      <c r="AB223" s="120">
        <f t="shared" si="51"/>
        <v>1299571</v>
      </c>
      <c r="AC223" s="123">
        <v>886500</v>
      </c>
      <c r="AD223" s="123">
        <f>253071+160000</f>
        <v>413071</v>
      </c>
      <c r="AE223" s="123">
        <v>417099</v>
      </c>
      <c r="AG223" s="152">
        <f>AH223-AL223</f>
        <v>531075</v>
      </c>
      <c r="AH223" s="134">
        <f>1143883-6254-21875-27500</f>
        <v>1088254</v>
      </c>
      <c r="AL223" s="123">
        <f>616554-10000-17500-10000-21875</f>
        <v>557179</v>
      </c>
      <c r="AM223" s="123">
        <v>2729538</v>
      </c>
      <c r="AN223" s="123">
        <v>706378</v>
      </c>
    </row>
    <row r="224" spans="1:40" s="123" customFormat="1" ht="16.2" thickBot="1" x14ac:dyDescent="0.35">
      <c r="A224" s="27"/>
      <c r="B224" s="217" t="s">
        <v>134</v>
      </c>
      <c r="C224" s="31" t="str">
        <f>VLOOKUP((CONCATENATE(B224)),ID!$A$2:$D$305,3,0)</f>
        <v>RL033</v>
      </c>
      <c r="D224" s="27">
        <v>1</v>
      </c>
      <c r="E224" s="27" t="s">
        <v>4057</v>
      </c>
      <c r="F224" s="27" t="s">
        <v>3812</v>
      </c>
      <c r="G224" s="27" t="s">
        <v>3853</v>
      </c>
      <c r="H224" s="94">
        <v>5114</v>
      </c>
      <c r="I224" s="47">
        <v>5134</v>
      </c>
      <c r="J224" s="47">
        <v>5156</v>
      </c>
      <c r="K224" s="27">
        <v>1</v>
      </c>
      <c r="L224" s="47">
        <v>5145</v>
      </c>
      <c r="M224" s="48">
        <v>5165</v>
      </c>
      <c r="N224" s="47">
        <v>5165</v>
      </c>
      <c r="O224" s="27" t="s">
        <v>3811</v>
      </c>
      <c r="P224" s="194" t="str">
        <f>IF(AJ224=0,"?","1")</f>
        <v>1</v>
      </c>
      <c r="Q224" s="21">
        <v>1</v>
      </c>
      <c r="R224" s="39" t="str">
        <f t="shared" si="60"/>
        <v>-</v>
      </c>
      <c r="S224" s="120">
        <f t="shared" si="50"/>
        <v>1350788</v>
      </c>
      <c r="T224" s="123">
        <v>5135056</v>
      </c>
      <c r="U224" s="123">
        <f>2855310+43825+226606</f>
        <v>3125741</v>
      </c>
      <c r="V224" s="123">
        <f t="shared" si="67"/>
        <v>2009315</v>
      </c>
      <c r="W224" s="122" t="str">
        <f t="shared" si="69"/>
        <v>1</v>
      </c>
      <c r="X224" s="123">
        <f>T224-517338-692236-30000-111214</f>
        <v>3784268</v>
      </c>
      <c r="Y224" s="123">
        <f>827500+381514+375266+764826</f>
        <v>2349106</v>
      </c>
      <c r="Z224" s="123">
        <f t="shared" si="66"/>
        <v>1435162</v>
      </c>
      <c r="AA224" s="122" t="str">
        <f t="shared" si="70"/>
        <v>1</v>
      </c>
      <c r="AB224" s="120">
        <f t="shared" si="51"/>
        <v>1369014</v>
      </c>
      <c r="AC224" s="123">
        <v>827500</v>
      </c>
      <c r="AD224" s="123">
        <f>160000+381514</f>
        <v>541514</v>
      </c>
      <c r="AE224" s="123">
        <v>489103</v>
      </c>
      <c r="AG224" s="152">
        <f>AH224-AL224</f>
        <v>1977267</v>
      </c>
      <c r="AH224" s="123">
        <f>2081609-74840-22664</f>
        <v>1984105</v>
      </c>
      <c r="AJ224" s="123">
        <v>357433</v>
      </c>
      <c r="AL224" s="123">
        <v>6838</v>
      </c>
      <c r="AM224" s="123">
        <v>6549053</v>
      </c>
    </row>
    <row r="225" spans="1:40" s="123" customFormat="1" ht="16.2" thickBot="1" x14ac:dyDescent="0.35">
      <c r="A225" s="27"/>
      <c r="B225" s="217" t="s">
        <v>135</v>
      </c>
      <c r="C225" s="31" t="str">
        <f>VLOOKUP((CONCATENATE(B225)),ID!$A$2:$D$305,3,0)</f>
        <v>RL034</v>
      </c>
      <c r="D225" s="27">
        <v>0</v>
      </c>
      <c r="E225" s="27" t="s">
        <v>4057</v>
      </c>
      <c r="F225" s="27" t="s">
        <v>1117</v>
      </c>
      <c r="G225" s="27" t="s">
        <v>3853</v>
      </c>
      <c r="H225" s="94">
        <v>3653</v>
      </c>
      <c r="I225" s="47">
        <v>3664</v>
      </c>
      <c r="J225" s="47">
        <v>3672</v>
      </c>
      <c r="K225" s="27">
        <v>1</v>
      </c>
      <c r="L225" s="47">
        <v>3673</v>
      </c>
      <c r="M225" s="48">
        <v>3683</v>
      </c>
      <c r="N225" s="47">
        <v>3681</v>
      </c>
      <c r="O225" s="27" t="s">
        <v>3813</v>
      </c>
      <c r="P225" s="194">
        <v>1</v>
      </c>
      <c r="Q225" s="21">
        <v>1</v>
      </c>
      <c r="R225" s="39" t="str">
        <f t="shared" si="60"/>
        <v>-</v>
      </c>
      <c r="S225" s="120">
        <f t="shared" si="50"/>
        <v>1469844</v>
      </c>
      <c r="T225" s="123">
        <v>4252984</v>
      </c>
      <c r="U225" s="123">
        <f>T225-V225</f>
        <v>2694381</v>
      </c>
      <c r="V225" s="123">
        <f>547809+489386+118237+309903+15664+10474+8204+58926</f>
        <v>1558603</v>
      </c>
      <c r="W225" s="122" t="str">
        <f t="shared" si="69"/>
        <v>1</v>
      </c>
      <c r="X225" s="123">
        <f>3855+389320+76616+768179+Y225</f>
        <v>2783140</v>
      </c>
      <c r="Y225" s="123">
        <f>324718+576189+178043+283893+95973+86354</f>
        <v>1545170</v>
      </c>
      <c r="Z225" s="123">
        <f t="shared" si="66"/>
        <v>1237970</v>
      </c>
      <c r="AA225" s="122" t="str">
        <f t="shared" si="70"/>
        <v>1</v>
      </c>
      <c r="AB225" s="120">
        <f t="shared" si="51"/>
        <v>0</v>
      </c>
      <c r="AC225" s="123">
        <v>0</v>
      </c>
      <c r="AD225" s="123">
        <v>0</v>
      </c>
      <c r="AE225" s="123">
        <v>547809</v>
      </c>
      <c r="AG225" s="152">
        <f>AH225-AL225</f>
        <v>796789</v>
      </c>
      <c r="AH225" s="123">
        <f>1294362-19284-84455</f>
        <v>1190623</v>
      </c>
      <c r="AL225" s="123">
        <f>5766+362258+9560+16250</f>
        <v>393834</v>
      </c>
      <c r="AM225" s="123">
        <v>3205013</v>
      </c>
    </row>
    <row r="226" spans="1:40" s="123" customFormat="1" ht="16.2" thickBot="1" x14ac:dyDescent="0.35">
      <c r="A226" s="27"/>
      <c r="B226" s="217" t="s">
        <v>135</v>
      </c>
      <c r="C226" s="31" t="str">
        <f>VLOOKUP((CONCATENATE(B226)),ID!$A$2:$D$305,3,0)</f>
        <v>RL034</v>
      </c>
      <c r="D226" s="27">
        <v>0</v>
      </c>
      <c r="E226" s="27" t="s">
        <v>4057</v>
      </c>
      <c r="F226" s="27" t="s">
        <v>1117</v>
      </c>
      <c r="G226" s="27" t="s">
        <v>3853</v>
      </c>
      <c r="H226" s="94">
        <v>3834</v>
      </c>
      <c r="I226" s="47">
        <v>3840</v>
      </c>
      <c r="J226" s="47">
        <v>3855</v>
      </c>
      <c r="K226" s="27">
        <v>1</v>
      </c>
      <c r="L226" s="47">
        <v>3859</v>
      </c>
      <c r="M226" s="48">
        <v>3837</v>
      </c>
      <c r="N226" s="47">
        <v>3863</v>
      </c>
      <c r="O226" s="27" t="s">
        <v>3813</v>
      </c>
      <c r="P226" s="194">
        <v>1</v>
      </c>
      <c r="Q226" s="21">
        <v>1</v>
      </c>
      <c r="R226" s="39" t="str">
        <f t="shared" si="60"/>
        <v>-</v>
      </c>
      <c r="S226" s="120">
        <f t="shared" si="50"/>
        <v>1360603</v>
      </c>
      <c r="T226" s="123">
        <v>4183632</v>
      </c>
      <c r="U226" s="123">
        <f>77515+285232+176719+273825+324616+154207+1423706</f>
        <v>2715820</v>
      </c>
      <c r="V226" s="123">
        <f t="shared" si="67"/>
        <v>1467812</v>
      </c>
      <c r="W226" s="122" t="str">
        <f t="shared" si="69"/>
        <v>1</v>
      </c>
      <c r="X226" s="123">
        <f>4350+407189+79134+835931+Y226</f>
        <v>2823029</v>
      </c>
      <c r="Y226" s="123">
        <f>7980+99422+292504+182851+584176+329492</f>
        <v>1496425</v>
      </c>
      <c r="Z226" s="123">
        <f t="shared" si="66"/>
        <v>1326604</v>
      </c>
      <c r="AA226" s="122" t="str">
        <f t="shared" si="70"/>
        <v>1</v>
      </c>
      <c r="AB226" s="120">
        <f t="shared" si="51"/>
        <v>0</v>
      </c>
      <c r="AC226" s="123">
        <v>0</v>
      </c>
      <c r="AD226" s="123">
        <v>0</v>
      </c>
      <c r="AE226" s="123">
        <v>346036</v>
      </c>
      <c r="AG226" s="152">
        <f>AH226-AL226</f>
        <v>497449</v>
      </c>
      <c r="AH226" s="123">
        <f>1074700-98720-84343</f>
        <v>891637</v>
      </c>
      <c r="AL226" s="123">
        <f>362612+5766+16250+9560</f>
        <v>394188</v>
      </c>
      <c r="AM226" s="123">
        <v>2777930</v>
      </c>
    </row>
    <row r="227" spans="1:40" s="123" customFormat="1" ht="16.2" thickBot="1" x14ac:dyDescent="0.35">
      <c r="A227" s="27">
        <v>34.1</v>
      </c>
      <c r="B227" s="217" t="s">
        <v>135</v>
      </c>
      <c r="C227" s="31" t="str">
        <f>VLOOKUP((CONCATENATE(B227)),ID!$A$2:$D$305,3,0)</f>
        <v>RL034</v>
      </c>
      <c r="D227" s="27">
        <v>0</v>
      </c>
      <c r="E227" s="27" t="s">
        <v>4057</v>
      </c>
      <c r="F227" s="27" t="s">
        <v>1117</v>
      </c>
      <c r="G227" s="27" t="s">
        <v>3853</v>
      </c>
      <c r="H227" s="94">
        <v>4018</v>
      </c>
      <c r="I227" s="47">
        <v>4025</v>
      </c>
      <c r="J227" s="47">
        <v>4039</v>
      </c>
      <c r="K227" s="27">
        <v>1</v>
      </c>
      <c r="L227" s="47">
        <v>4042</v>
      </c>
      <c r="M227" s="48">
        <v>4050</v>
      </c>
      <c r="N227" s="47">
        <v>4049</v>
      </c>
      <c r="O227" s="27" t="s">
        <v>3813</v>
      </c>
      <c r="P227" s="194">
        <v>1</v>
      </c>
      <c r="Q227" s="21">
        <v>1</v>
      </c>
      <c r="R227" s="39" t="str">
        <f t="shared" si="60"/>
        <v>-</v>
      </c>
      <c r="S227" s="120">
        <f t="shared" si="50"/>
        <v>1511224</v>
      </c>
      <c r="T227" s="123">
        <v>4616944</v>
      </c>
      <c r="U227" s="123">
        <f>1431847+154297+329492+273825+182941+292504+77515</f>
        <v>2742421</v>
      </c>
      <c r="V227" s="123">
        <f t="shared" si="67"/>
        <v>1874523</v>
      </c>
      <c r="W227" s="122" t="str">
        <f t="shared" si="69"/>
        <v>1</v>
      </c>
      <c r="X227" s="123">
        <f>4500+405841+78676+992982+Y227</f>
        <v>3105720</v>
      </c>
      <c r="Y227" s="123">
        <f>99825+102941+299937+189529+596520+334969</f>
        <v>1623721</v>
      </c>
      <c r="Z227" s="123">
        <f t="shared" si="66"/>
        <v>1481999</v>
      </c>
      <c r="AA227" s="122" t="str">
        <f t="shared" si="70"/>
        <v>1</v>
      </c>
      <c r="AB227" s="120">
        <f t="shared" si="51"/>
        <v>0</v>
      </c>
      <c r="AC227" s="123">
        <v>0</v>
      </c>
      <c r="AD227" s="123">
        <v>0</v>
      </c>
      <c r="AE227" s="123">
        <v>696302</v>
      </c>
      <c r="AG227" s="151">
        <f t="shared" si="68"/>
        <v>845431</v>
      </c>
      <c r="AH227" s="123">
        <f>1317845-84308+6422</f>
        <v>1239959</v>
      </c>
      <c r="AL227" s="123">
        <f>16250+9560+362952+5766</f>
        <v>394528</v>
      </c>
      <c r="AM227" s="123">
        <v>3309407</v>
      </c>
      <c r="AN227" s="123">
        <v>1722740</v>
      </c>
    </row>
    <row r="228" spans="1:40" s="123" customFormat="1" ht="16.2" thickBot="1" x14ac:dyDescent="0.35">
      <c r="A228" s="27">
        <v>34.200000000000003</v>
      </c>
      <c r="B228" s="217" t="s">
        <v>135</v>
      </c>
      <c r="C228" s="31" t="str">
        <f>VLOOKUP((CONCATENATE(B228)),ID!$A$2:$D$305,3,0)</f>
        <v>RL034</v>
      </c>
      <c r="D228" s="27">
        <v>0</v>
      </c>
      <c r="E228" s="27" t="s">
        <v>4057</v>
      </c>
      <c r="F228" s="27" t="s">
        <v>1117</v>
      </c>
      <c r="G228" s="27" t="s">
        <v>3853</v>
      </c>
      <c r="H228" s="94">
        <v>4199</v>
      </c>
      <c r="I228" s="47">
        <v>4206</v>
      </c>
      <c r="J228" s="47">
        <v>4219</v>
      </c>
      <c r="K228" s="27">
        <v>1</v>
      </c>
      <c r="L228" s="47">
        <v>4223</v>
      </c>
      <c r="M228" s="48">
        <v>4228</v>
      </c>
      <c r="N228" s="47">
        <v>4227</v>
      </c>
      <c r="O228" s="27" t="s">
        <v>3813</v>
      </c>
      <c r="P228" s="194">
        <v>1</v>
      </c>
      <c r="Q228" s="21">
        <v>1</v>
      </c>
      <c r="R228" s="39" t="str">
        <f t="shared" si="60"/>
        <v>-</v>
      </c>
      <c r="S228" s="120">
        <f t="shared" si="50"/>
        <v>1293105</v>
      </c>
      <c r="T228" s="123">
        <v>4464123</v>
      </c>
      <c r="U228" s="123">
        <f>1439136+154297+334971+273825+188249+301210+77515</f>
        <v>2769203</v>
      </c>
      <c r="V228" s="123">
        <f t="shared" si="67"/>
        <v>1694920</v>
      </c>
      <c r="W228" s="122" t="str">
        <f t="shared" si="69"/>
        <v>1</v>
      </c>
      <c r="X228" s="123">
        <f>4023+414386+78419+1007542+Y228</f>
        <v>3171018</v>
      </c>
      <c r="Y228" s="123">
        <f>101705+104915+308247+194191+617548+340042</f>
        <v>1666648</v>
      </c>
      <c r="Z228" s="123">
        <f t="shared" si="66"/>
        <v>1504370</v>
      </c>
      <c r="AA228" s="122" t="str">
        <f t="shared" si="70"/>
        <v>1</v>
      </c>
      <c r="AB228" s="120">
        <f t="shared" si="51"/>
        <v>0</v>
      </c>
      <c r="AC228" s="123">
        <v>0</v>
      </c>
      <c r="AD228" s="123">
        <v>0</v>
      </c>
      <c r="AE228" s="123">
        <v>535797</v>
      </c>
      <c r="AG228" s="151">
        <f t="shared" si="68"/>
        <v>508679</v>
      </c>
      <c r="AH228" s="123">
        <f>1090746-100680-84227</f>
        <v>905839</v>
      </c>
      <c r="AL228" s="123">
        <f>9560+16250+8032+363318</f>
        <v>397160</v>
      </c>
      <c r="AM228" s="123">
        <v>2875816</v>
      </c>
      <c r="AN228" s="123">
        <v>1381366</v>
      </c>
    </row>
    <row r="229" spans="1:40" s="123" customFormat="1" ht="16.2" thickBot="1" x14ac:dyDescent="0.35">
      <c r="A229" s="27">
        <v>34.299999999999997</v>
      </c>
      <c r="B229" s="217" t="s">
        <v>135</v>
      </c>
      <c r="C229" s="31" t="str">
        <f>VLOOKUP((CONCATENATE(B229)),ID!$A$2:$D$305,3,0)</f>
        <v>RL034</v>
      </c>
      <c r="D229" s="27">
        <v>0</v>
      </c>
      <c r="E229" s="27" t="s">
        <v>4057</v>
      </c>
      <c r="F229" s="27" t="s">
        <v>1117</v>
      </c>
      <c r="G229" s="27" t="s">
        <v>3853</v>
      </c>
      <c r="H229" s="94">
        <v>4383</v>
      </c>
      <c r="I229" s="47">
        <v>4392</v>
      </c>
      <c r="J229" s="47">
        <v>4402</v>
      </c>
      <c r="K229" s="27">
        <v>1</v>
      </c>
      <c r="L229" s="47">
        <v>4407</v>
      </c>
      <c r="M229" s="48">
        <v>4414</v>
      </c>
      <c r="N229" s="47">
        <v>4413</v>
      </c>
      <c r="O229" s="27" t="s">
        <v>3813</v>
      </c>
      <c r="P229" s="194">
        <v>1</v>
      </c>
      <c r="Q229" s="21">
        <v>1</v>
      </c>
      <c r="R229" s="39" t="str">
        <f t="shared" si="60"/>
        <v>-</v>
      </c>
      <c r="S229" s="120">
        <f t="shared" si="50"/>
        <v>1605357</v>
      </c>
      <c r="T229" s="123">
        <v>4794160</v>
      </c>
      <c r="U229" s="123">
        <f>1440150+154292+340042+273825+194253+308208+77515</f>
        <v>2788285</v>
      </c>
      <c r="V229" s="123">
        <f t="shared" ref="V229:V242" si="71">T229-U229</f>
        <v>2005875</v>
      </c>
      <c r="W229" s="122" t="str">
        <f t="shared" si="69"/>
        <v>1</v>
      </c>
      <c r="X229" s="123">
        <f>4240+375654+86519+1018799+Y229</f>
        <v>3188803</v>
      </c>
      <c r="Y229" s="123">
        <f>103621+107030+316266+200656+630254+345764</f>
        <v>1703591</v>
      </c>
      <c r="Z229" s="123">
        <f t="shared" si="66"/>
        <v>1485212</v>
      </c>
      <c r="AA229" s="122" t="str">
        <f t="shared" si="70"/>
        <v>1</v>
      </c>
      <c r="AB229" s="120">
        <f t="shared" si="51"/>
        <v>0</v>
      </c>
      <c r="AC229" s="123">
        <v>0</v>
      </c>
      <c r="AD229" s="123">
        <v>0</v>
      </c>
      <c r="AE229" s="123">
        <v>772323</v>
      </c>
      <c r="AG229" s="151">
        <f t="shared" si="68"/>
        <v>863762</v>
      </c>
      <c r="AH229" s="123">
        <f>1336689+6654-84349</f>
        <v>1258994</v>
      </c>
      <c r="AL229" s="123">
        <f>5766+363656+9560+16250</f>
        <v>395232</v>
      </c>
      <c r="AM229" s="123">
        <v>3406177</v>
      </c>
      <c r="AN229" s="123">
        <v>1766423</v>
      </c>
    </row>
    <row r="230" spans="1:40" s="123" customFormat="1" ht="16.2" thickBot="1" x14ac:dyDescent="0.35">
      <c r="A230" s="27">
        <v>34.4</v>
      </c>
      <c r="B230" s="217" t="s">
        <v>135</v>
      </c>
      <c r="C230" s="31" t="str">
        <f>VLOOKUP((CONCATENATE(B230)),ID!$A$2:$D$305,3,0)</f>
        <v>RL034</v>
      </c>
      <c r="D230" s="27">
        <v>0</v>
      </c>
      <c r="E230" s="27" t="s">
        <v>4057</v>
      </c>
      <c r="F230" s="27" t="s">
        <v>1117</v>
      </c>
      <c r="G230" s="27" t="s">
        <v>3853</v>
      </c>
      <c r="H230" s="94">
        <v>4565</v>
      </c>
      <c r="I230" s="47">
        <v>4570</v>
      </c>
      <c r="J230" s="47">
        <v>4584</v>
      </c>
      <c r="K230" s="27">
        <v>1</v>
      </c>
      <c r="L230" s="47">
        <v>4588</v>
      </c>
      <c r="M230" s="48">
        <v>4596</v>
      </c>
      <c r="N230" s="47">
        <v>4595</v>
      </c>
      <c r="O230" s="27" t="s">
        <v>3813</v>
      </c>
      <c r="P230" s="194">
        <v>1</v>
      </c>
      <c r="Q230" s="21">
        <v>1</v>
      </c>
      <c r="R230" s="39" t="str">
        <f t="shared" si="60"/>
        <v>-</v>
      </c>
      <c r="S230" s="120">
        <f t="shared" si="50"/>
        <v>1300369</v>
      </c>
      <c r="T230" s="123">
        <v>4700631</v>
      </c>
      <c r="U230" s="123">
        <f>1447818+154292+345757+273825+199176+317211+77515</f>
        <v>2815594</v>
      </c>
      <c r="V230" s="123">
        <f t="shared" si="71"/>
        <v>1885037</v>
      </c>
      <c r="W230" s="122" t="str">
        <f t="shared" si="69"/>
        <v>1</v>
      </c>
      <c r="X230" s="123">
        <f>1151272+92146+416639+4388+Y230</f>
        <v>3400262</v>
      </c>
      <c r="Y230" s="123">
        <f>351147+641266+205541+324931+107360+105572</f>
        <v>1735817</v>
      </c>
      <c r="Z230" s="123">
        <f t="shared" si="66"/>
        <v>1664445</v>
      </c>
      <c r="AA230" s="122" t="str">
        <f t="shared" si="70"/>
        <v>1</v>
      </c>
      <c r="AB230" s="120">
        <f t="shared" si="51"/>
        <v>0</v>
      </c>
      <c r="AC230" s="123">
        <v>0</v>
      </c>
      <c r="AD230" s="123">
        <v>0</v>
      </c>
      <c r="AE230" s="123">
        <v>680892</v>
      </c>
      <c r="AG230" s="151">
        <f t="shared" si="68"/>
        <v>428509</v>
      </c>
      <c r="AH230" s="123">
        <f>901285+6946-84116</f>
        <v>824115</v>
      </c>
      <c r="AL230" s="123">
        <f>5766+364030+9560+16250</f>
        <v>395606</v>
      </c>
      <c r="AM230" s="123">
        <v>2868762</v>
      </c>
      <c r="AN230" s="123">
        <v>1392993</v>
      </c>
    </row>
    <row r="231" spans="1:40" s="123" customFormat="1" ht="16.2" thickBot="1" x14ac:dyDescent="0.35">
      <c r="A231" s="27"/>
      <c r="B231" s="217" t="s">
        <v>135</v>
      </c>
      <c r="C231" s="31" t="str">
        <f>VLOOKUP((CONCATENATE(B231)),ID!$A$2:$D$305,3,0)</f>
        <v>RL034</v>
      </c>
      <c r="D231" s="27">
        <v>0</v>
      </c>
      <c r="E231" s="27" t="s">
        <v>4057</v>
      </c>
      <c r="F231" s="27" t="s">
        <v>1117</v>
      </c>
      <c r="G231" s="27" t="s">
        <v>3853</v>
      </c>
      <c r="H231" s="94">
        <v>4749</v>
      </c>
      <c r="I231" s="47">
        <v>4756</v>
      </c>
      <c r="J231" s="47">
        <v>4766</v>
      </c>
      <c r="K231" s="27">
        <v>1</v>
      </c>
      <c r="L231" s="47">
        <v>4772</v>
      </c>
      <c r="M231" s="48">
        <v>4778</v>
      </c>
      <c r="N231" s="47">
        <v>4777</v>
      </c>
      <c r="O231" s="27" t="s">
        <v>3813</v>
      </c>
      <c r="P231" s="194">
        <v>1</v>
      </c>
      <c r="Q231" s="21">
        <v>1</v>
      </c>
      <c r="R231" s="39" t="str">
        <f t="shared" si="60"/>
        <v>-</v>
      </c>
      <c r="S231" s="120">
        <f t="shared" si="50"/>
        <v>1635936</v>
      </c>
      <c r="T231" s="123">
        <v>5039834</v>
      </c>
      <c r="U231" s="123">
        <f>1523295+154292+351124+273825+205287+324688+77515</f>
        <v>2910026</v>
      </c>
      <c r="V231" s="123">
        <f t="shared" si="71"/>
        <v>2129808</v>
      </c>
      <c r="W231" s="122" t="str">
        <f t="shared" si="69"/>
        <v>1</v>
      </c>
      <c r="X231" s="123">
        <f>4085+375407+101657+1173691+Y231</f>
        <v>3403898</v>
      </c>
      <c r="Y231" s="123">
        <f>80561+108515+331978+211290+659774+356940</f>
        <v>1749058</v>
      </c>
      <c r="Z231" s="123">
        <f t="shared" si="66"/>
        <v>1654840</v>
      </c>
      <c r="AA231" s="122" t="str">
        <f t="shared" si="70"/>
        <v>1</v>
      </c>
      <c r="AB231" s="120">
        <f t="shared" si="51"/>
        <v>0</v>
      </c>
      <c r="AC231" s="123">
        <v>0</v>
      </c>
      <c r="AD231" s="123">
        <v>0</v>
      </c>
      <c r="AE231" s="123">
        <v>828212</v>
      </c>
      <c r="AG231" s="151">
        <f>AH231-AL231</f>
        <v>886444</v>
      </c>
      <c r="AH231" s="123">
        <f>1299381-16960</f>
        <v>1282421</v>
      </c>
      <c r="AL231" s="123">
        <f>9560+16250+5766+364401</f>
        <v>395977</v>
      </c>
      <c r="AM231" s="123">
        <v>3498169</v>
      </c>
      <c r="AN231" s="123">
        <v>1804596</v>
      </c>
    </row>
    <row r="232" spans="1:40" s="123" customFormat="1" ht="16.2" thickBot="1" x14ac:dyDescent="0.35">
      <c r="A232" s="27"/>
      <c r="B232" s="217" t="s">
        <v>135</v>
      </c>
      <c r="C232" s="31" t="str">
        <f>VLOOKUP((CONCATENATE(B232)),ID!$A$2:$D$305,3,0)</f>
        <v>RL034</v>
      </c>
      <c r="D232" s="27">
        <v>1</v>
      </c>
      <c r="E232" s="27" t="s">
        <v>4057</v>
      </c>
      <c r="F232" s="27" t="s">
        <v>1117</v>
      </c>
      <c r="G232" s="27" t="s">
        <v>3853</v>
      </c>
      <c r="H232" s="94">
        <v>5114</v>
      </c>
      <c r="I232" s="47">
        <v>5135</v>
      </c>
      <c r="J232" s="47">
        <v>5145</v>
      </c>
      <c r="K232" s="27">
        <v>1</v>
      </c>
      <c r="L232" s="48">
        <v>5149</v>
      </c>
      <c r="M232" s="48">
        <v>5158</v>
      </c>
      <c r="N232" s="47">
        <v>5158</v>
      </c>
      <c r="O232" s="27" t="s">
        <v>3813</v>
      </c>
      <c r="P232" s="194" t="str">
        <f>IF(AJ232=0,"?","1")</f>
        <v>1</v>
      </c>
      <c r="Q232" s="21">
        <v>1</v>
      </c>
      <c r="R232" s="39" t="str">
        <f t="shared" si="60"/>
        <v>-</v>
      </c>
      <c r="S232" s="120">
        <f t="shared" si="50"/>
        <v>1819712</v>
      </c>
      <c r="T232" s="123">
        <v>4418055</v>
      </c>
      <c r="U232" s="123">
        <f>1520128+3826+273825</f>
        <v>1797779</v>
      </c>
      <c r="V232" s="123">
        <f t="shared" si="71"/>
        <v>2620276</v>
      </c>
      <c r="W232" s="122" t="str">
        <f t="shared" si="69"/>
        <v>1</v>
      </c>
      <c r="X232" s="123">
        <f>3863+372418+236322+19174+359712+239712+410731+Y232</f>
        <v>2598343</v>
      </c>
      <c r="Y232" s="123">
        <f>157488+110032+688891</f>
        <v>956411</v>
      </c>
      <c r="Z232" s="123">
        <f t="shared" si="66"/>
        <v>1641932</v>
      </c>
      <c r="AA232" s="122" t="str">
        <f t="shared" si="70"/>
        <v>1</v>
      </c>
      <c r="AB232" s="120">
        <f t="shared" si="51"/>
        <v>0</v>
      </c>
      <c r="AC232" s="123">
        <v>0</v>
      </c>
      <c r="AD232" s="123">
        <v>0</v>
      </c>
      <c r="AE232" s="123">
        <v>913299</v>
      </c>
      <c r="AG232" s="151">
        <f>AH232-AL232</f>
        <v>1153399</v>
      </c>
      <c r="AH232" s="123">
        <f>2175380-279-595-157570-4822</f>
        <v>2012114</v>
      </c>
      <c r="AJ232" s="123">
        <v>834410</v>
      </c>
      <c r="AL232" s="123">
        <f>11550+757100+32560+19121+38219+165</f>
        <v>858715</v>
      </c>
      <c r="AM232" s="123">
        <v>6015141</v>
      </c>
      <c r="AN232" s="123">
        <v>2805502</v>
      </c>
    </row>
    <row r="233" spans="1:40" s="123" customFormat="1" ht="16.2" thickBot="1" x14ac:dyDescent="0.35">
      <c r="A233" s="27"/>
      <c r="B233" s="217" t="s">
        <v>136</v>
      </c>
      <c r="C233" s="31" t="str">
        <f>VLOOKUP((CONCATENATE(B233)),ID!$A$2:$D$305,3,0)</f>
        <v>RL035</v>
      </c>
      <c r="D233" s="27">
        <v>0</v>
      </c>
      <c r="E233" s="27" t="s">
        <v>4057</v>
      </c>
      <c r="F233" s="27" t="s">
        <v>3814</v>
      </c>
      <c r="G233" s="27" t="s">
        <v>3853</v>
      </c>
      <c r="H233" s="94">
        <v>3684</v>
      </c>
      <c r="I233" s="47">
        <v>3698</v>
      </c>
      <c r="J233" s="47">
        <v>3709</v>
      </c>
      <c r="K233" s="169">
        <v>1</v>
      </c>
      <c r="L233" s="47">
        <v>3707</v>
      </c>
      <c r="M233" s="48">
        <v>3727</v>
      </c>
      <c r="N233" s="47">
        <v>3727</v>
      </c>
      <c r="O233" s="27" t="s">
        <v>3815</v>
      </c>
      <c r="P233" s="194">
        <v>1</v>
      </c>
      <c r="Q233" s="21">
        <v>1</v>
      </c>
      <c r="R233" s="39" t="str">
        <f t="shared" si="60"/>
        <v>-</v>
      </c>
      <c r="S233" s="120">
        <f t="shared" si="50"/>
        <v>147711</v>
      </c>
      <c r="T233" s="123">
        <v>421019</v>
      </c>
      <c r="U233" s="123">
        <v>309950</v>
      </c>
      <c r="V233" s="123">
        <f t="shared" si="71"/>
        <v>111069</v>
      </c>
      <c r="W233" s="122" t="str">
        <f t="shared" si="69"/>
        <v>1</v>
      </c>
      <c r="X233" s="123">
        <f>T233-87259-14896-15556-30000</f>
        <v>273308</v>
      </c>
      <c r="Y233" s="123">
        <f>75229+3202</f>
        <v>78431</v>
      </c>
      <c r="Z233" s="123">
        <f t="shared" si="66"/>
        <v>194877</v>
      </c>
      <c r="AA233" s="122" t="str">
        <f t="shared" si="70"/>
        <v>1</v>
      </c>
      <c r="AB233" s="120">
        <f t="shared" si="51"/>
        <v>131202</v>
      </c>
      <c r="AC233" s="123">
        <v>0</v>
      </c>
      <c r="AD233" s="123">
        <f>3202+128000</f>
        <v>131202</v>
      </c>
      <c r="AE233" s="123">
        <v>4824</v>
      </c>
      <c r="AG233" s="151">
        <f>AH233-AL233</f>
        <v>84722</v>
      </c>
      <c r="AH233" s="123">
        <f>123964-2500-3742</f>
        <v>117722</v>
      </c>
      <c r="AL233" s="123">
        <f>777+30144+2079</f>
        <v>33000</v>
      </c>
      <c r="AM233" s="123">
        <v>247029</v>
      </c>
      <c r="AN233" s="123">
        <v>129473</v>
      </c>
    </row>
    <row r="234" spans="1:40" s="123" customFormat="1" ht="16.2" thickBot="1" x14ac:dyDescent="0.35">
      <c r="A234" s="27"/>
      <c r="B234" s="217" t="s">
        <v>136</v>
      </c>
      <c r="C234" s="31" t="str">
        <f>VLOOKUP((CONCATENATE(B234)),ID!$A$2:$D$305,3,0)</f>
        <v>RL035</v>
      </c>
      <c r="D234" s="27">
        <v>0</v>
      </c>
      <c r="E234" s="27" t="s">
        <v>4057</v>
      </c>
      <c r="F234" s="27" t="s">
        <v>3814</v>
      </c>
      <c r="G234" s="27" t="s">
        <v>3853</v>
      </c>
      <c r="H234" s="94">
        <v>3865</v>
      </c>
      <c r="I234" s="47">
        <v>3867</v>
      </c>
      <c r="J234" s="47">
        <v>3890</v>
      </c>
      <c r="K234" s="169">
        <v>1</v>
      </c>
      <c r="L234" s="47">
        <v>3889</v>
      </c>
      <c r="M234" s="48">
        <v>3909</v>
      </c>
      <c r="N234" s="47">
        <v>3909</v>
      </c>
      <c r="O234" s="27" t="s">
        <v>3815</v>
      </c>
      <c r="P234" s="194">
        <v>1</v>
      </c>
      <c r="Q234" s="21">
        <v>1</v>
      </c>
      <c r="R234" s="39" t="str">
        <f t="shared" si="60"/>
        <v>-</v>
      </c>
      <c r="S234" s="120">
        <f t="shared" si="50"/>
        <v>153259</v>
      </c>
      <c r="T234" s="123">
        <v>466455</v>
      </c>
      <c r="U234" s="123">
        <v>351670</v>
      </c>
      <c r="V234" s="123">
        <f t="shared" si="71"/>
        <v>114785</v>
      </c>
      <c r="W234" s="122" t="str">
        <f t="shared" si="69"/>
        <v>1</v>
      </c>
      <c r="X234" s="123">
        <f>T234-15940-30000-14636-92683</f>
        <v>313196</v>
      </c>
      <c r="Y234" s="123">
        <f>75862+2302</f>
        <v>78164</v>
      </c>
      <c r="Z234" s="123">
        <f t="shared" si="66"/>
        <v>235032</v>
      </c>
      <c r="AA234" s="122" t="str">
        <f t="shared" si="70"/>
        <v>1</v>
      </c>
      <c r="AB234" s="120">
        <f t="shared" si="51"/>
        <v>188302</v>
      </c>
      <c r="AC234" s="123">
        <v>0</v>
      </c>
      <c r="AD234" s="123">
        <f>2302+186000</f>
        <v>188302</v>
      </c>
      <c r="AE234" s="123">
        <v>8992</v>
      </c>
      <c r="AG234" s="151">
        <f>AH234-AL234</f>
        <v>89753</v>
      </c>
      <c r="AH234" s="123">
        <f>127387-3228</f>
        <v>124159</v>
      </c>
      <c r="AL234" s="123">
        <f>472+30177+3757</f>
        <v>34406</v>
      </c>
      <c r="AM234" s="123">
        <v>254329</v>
      </c>
      <c r="AN234" s="123">
        <v>129467</v>
      </c>
    </row>
    <row r="235" spans="1:40" s="123" customFormat="1" ht="16.2" thickBot="1" x14ac:dyDescent="0.35">
      <c r="A235" s="27">
        <v>35.1</v>
      </c>
      <c r="B235" s="217" t="s">
        <v>136</v>
      </c>
      <c r="C235" s="31" t="str">
        <f>VLOOKUP((CONCATENATE(B235)),ID!$A$2:$D$305,3,0)</f>
        <v>RL035</v>
      </c>
      <c r="D235" s="27">
        <v>0</v>
      </c>
      <c r="E235" s="27" t="s">
        <v>4057</v>
      </c>
      <c r="F235" s="27" t="s">
        <v>3814</v>
      </c>
      <c r="G235" s="27" t="s">
        <v>3853</v>
      </c>
      <c r="H235" s="94">
        <v>4049</v>
      </c>
      <c r="I235" s="47">
        <v>4057</v>
      </c>
      <c r="J235" s="47">
        <v>4073</v>
      </c>
      <c r="K235" s="169">
        <v>1</v>
      </c>
      <c r="L235" s="47">
        <v>4071</v>
      </c>
      <c r="M235" s="48">
        <v>4091</v>
      </c>
      <c r="N235" s="47">
        <v>4091</v>
      </c>
      <c r="O235" s="27" t="s">
        <v>3815</v>
      </c>
      <c r="P235" s="194">
        <v>1</v>
      </c>
      <c r="Q235" s="21">
        <v>1</v>
      </c>
      <c r="R235" s="39" t="str">
        <f t="shared" si="60"/>
        <v>-</v>
      </c>
      <c r="S235" s="120">
        <f t="shared" si="50"/>
        <v>143763</v>
      </c>
      <c r="T235" s="123">
        <v>456904</v>
      </c>
      <c r="U235" s="123">
        <f>335622</f>
        <v>335622</v>
      </c>
      <c r="V235" s="123">
        <f t="shared" si="71"/>
        <v>121282</v>
      </c>
      <c r="W235" s="122" t="str">
        <f t="shared" si="69"/>
        <v>1</v>
      </c>
      <c r="X235" s="123">
        <f>155000+45923+4192+18051+14314+75661</f>
        <v>313141</v>
      </c>
      <c r="Y235" s="123">
        <f>75661+4192</f>
        <v>79853</v>
      </c>
      <c r="Z235" s="123">
        <f>X235-Y235</f>
        <v>233288</v>
      </c>
      <c r="AA235" s="122" t="str">
        <f t="shared" si="70"/>
        <v>1</v>
      </c>
      <c r="AB235" s="120">
        <f t="shared" si="51"/>
        <v>159192</v>
      </c>
      <c r="AC235" s="123">
        <v>0</v>
      </c>
      <c r="AD235" s="123">
        <f>4192+155000</f>
        <v>159192</v>
      </c>
      <c r="AE235" s="123">
        <v>7773</v>
      </c>
      <c r="AG235" s="151">
        <f t="shared" si="68"/>
        <v>92093</v>
      </c>
      <c r="AH235" s="123">
        <f>135371-5503-3714</f>
        <v>126154</v>
      </c>
      <c r="AL235" s="123">
        <v>34061</v>
      </c>
      <c r="AM235" s="123">
        <v>258341</v>
      </c>
      <c r="AN235" s="123">
        <v>133358</v>
      </c>
    </row>
    <row r="236" spans="1:40" s="123" customFormat="1" ht="16.2" thickBot="1" x14ac:dyDescent="0.35">
      <c r="A236" s="27">
        <v>35.200000000000003</v>
      </c>
      <c r="B236" s="217" t="s">
        <v>136</v>
      </c>
      <c r="C236" s="31" t="str">
        <f>VLOOKUP((CONCATENATE(B236)),ID!$A$2:$D$305,3,0)</f>
        <v>RL035</v>
      </c>
      <c r="D236" s="27">
        <v>0</v>
      </c>
      <c r="E236" s="27" t="s">
        <v>4057</v>
      </c>
      <c r="F236" s="27" t="s">
        <v>3814</v>
      </c>
      <c r="G236" s="27" t="s">
        <v>3853</v>
      </c>
      <c r="H236" s="94">
        <v>4230</v>
      </c>
      <c r="I236" s="47">
        <v>4231</v>
      </c>
      <c r="J236" s="47">
        <v>4255</v>
      </c>
      <c r="K236" s="169">
        <v>1</v>
      </c>
      <c r="L236" s="47">
        <v>4253</v>
      </c>
      <c r="M236" s="48">
        <v>4273</v>
      </c>
      <c r="N236" s="47">
        <v>4273</v>
      </c>
      <c r="O236" s="27" t="s">
        <v>3815</v>
      </c>
      <c r="P236" s="194">
        <v>1</v>
      </c>
      <c r="Q236" s="21">
        <v>1</v>
      </c>
      <c r="R236" s="39" t="str">
        <f t="shared" si="60"/>
        <v>-</v>
      </c>
      <c r="S236" s="120">
        <f t="shared" si="50"/>
        <v>181685</v>
      </c>
      <c r="T236" s="123">
        <v>435410</v>
      </c>
      <c r="U236" s="123">
        <v>317142</v>
      </c>
      <c r="V236" s="123">
        <f t="shared" si="71"/>
        <v>118268</v>
      </c>
      <c r="W236" s="122" t="str">
        <f t="shared" si="69"/>
        <v>1</v>
      </c>
      <c r="X236" s="123">
        <f>144000+5491+14023+14188+76023</f>
        <v>253725</v>
      </c>
      <c r="Y236" s="123">
        <f>76023+14023</f>
        <v>90046</v>
      </c>
      <c r="Z236" s="123">
        <f>X236-Y236</f>
        <v>163679</v>
      </c>
      <c r="AA236" s="122" t="str">
        <f t="shared" si="70"/>
        <v>1</v>
      </c>
      <c r="AB236" s="120">
        <f t="shared" si="51"/>
        <v>158023</v>
      </c>
      <c r="AC236" s="123">
        <v>0</v>
      </c>
      <c r="AD236" s="123">
        <f>144000+14023</f>
        <v>158023</v>
      </c>
      <c r="AE236" s="123">
        <v>8277</v>
      </c>
      <c r="AG236" s="151">
        <f t="shared" si="68"/>
        <v>89913</v>
      </c>
      <c r="AH236" s="123">
        <f>132827-5500-3139</f>
        <v>124188</v>
      </c>
      <c r="AL236" s="123">
        <v>34275</v>
      </c>
      <c r="AM236" s="123">
        <v>253904</v>
      </c>
      <c r="AN236" s="123">
        <v>129133</v>
      </c>
    </row>
    <row r="237" spans="1:40" s="123" customFormat="1" ht="16.2" thickBot="1" x14ac:dyDescent="0.35">
      <c r="A237" s="27">
        <v>35.299999999999997</v>
      </c>
      <c r="B237" s="217" t="s">
        <v>136</v>
      </c>
      <c r="C237" s="31" t="str">
        <f>VLOOKUP((CONCATENATE(B237)),ID!$A$2:$D$305,3,0)</f>
        <v>RL035</v>
      </c>
      <c r="D237" s="27">
        <v>0</v>
      </c>
      <c r="E237" s="27" t="s">
        <v>4057</v>
      </c>
      <c r="F237" s="27" t="s">
        <v>3814</v>
      </c>
      <c r="G237" s="27" t="s">
        <v>3853</v>
      </c>
      <c r="H237" s="94">
        <v>4414</v>
      </c>
      <c r="I237" s="47">
        <v>4422</v>
      </c>
      <c r="J237" s="47">
        <v>4443</v>
      </c>
      <c r="K237" s="169">
        <v>1</v>
      </c>
      <c r="L237" s="47">
        <v>4442</v>
      </c>
      <c r="M237" s="48">
        <v>4462</v>
      </c>
      <c r="N237" s="47">
        <v>4462</v>
      </c>
      <c r="O237" s="27" t="s">
        <v>3815</v>
      </c>
      <c r="P237" s="194">
        <v>1</v>
      </c>
      <c r="Q237" s="21">
        <v>1</v>
      </c>
      <c r="R237" s="39" t="str">
        <f t="shared" si="60"/>
        <v>-</v>
      </c>
      <c r="S237" s="120">
        <f t="shared" si="50"/>
        <v>155444</v>
      </c>
      <c r="T237" s="123">
        <v>428206</v>
      </c>
      <c r="U237" s="123">
        <v>303145</v>
      </c>
      <c r="V237" s="123">
        <f t="shared" si="71"/>
        <v>125061</v>
      </c>
      <c r="W237" s="122" t="str">
        <f t="shared" si="69"/>
        <v>1</v>
      </c>
      <c r="X237" s="123">
        <f>14624+20911+6281+55058+100000+75888</f>
        <v>272762</v>
      </c>
      <c r="Y237" s="123">
        <f>75888+6281</f>
        <v>82169</v>
      </c>
      <c r="Z237" s="123">
        <f>X237-Y237</f>
        <v>190593</v>
      </c>
      <c r="AA237" s="122" t="str">
        <f t="shared" si="70"/>
        <v>1</v>
      </c>
      <c r="AB237" s="120">
        <f t="shared" si="51"/>
        <v>106281</v>
      </c>
      <c r="AC237" s="123">
        <v>0</v>
      </c>
      <c r="AD237" s="123">
        <f>6281+100000</f>
        <v>106281</v>
      </c>
      <c r="AE237" s="123">
        <v>8243</v>
      </c>
      <c r="AG237" s="151">
        <f t="shared" si="68"/>
        <v>98258</v>
      </c>
      <c r="AH237" s="123">
        <f>142030-6233-3707</f>
        <v>132090</v>
      </c>
      <c r="AL237" s="123">
        <v>33832</v>
      </c>
      <c r="AM237" s="123">
        <v>264224</v>
      </c>
      <c r="AN237" s="123">
        <v>134345</v>
      </c>
    </row>
    <row r="238" spans="1:40" s="123" customFormat="1" ht="16.2" thickBot="1" x14ac:dyDescent="0.35">
      <c r="A238" s="27">
        <v>35.4</v>
      </c>
      <c r="B238" s="217" t="s">
        <v>136</v>
      </c>
      <c r="C238" s="31" t="str">
        <f>VLOOKUP((CONCATENATE(B238)),ID!$A$2:$D$305,3,0)</f>
        <v>RL035</v>
      </c>
      <c r="D238" s="27">
        <v>0</v>
      </c>
      <c r="E238" s="27" t="s">
        <v>4057</v>
      </c>
      <c r="F238" s="27" t="s">
        <v>3814</v>
      </c>
      <c r="G238" s="27" t="s">
        <v>3853</v>
      </c>
      <c r="H238" s="94">
        <v>4596</v>
      </c>
      <c r="I238" s="47">
        <v>4604</v>
      </c>
      <c r="J238" s="47">
        <v>4626</v>
      </c>
      <c r="K238" s="169">
        <v>1</v>
      </c>
      <c r="L238" s="47">
        <v>4623</v>
      </c>
      <c r="M238" s="48">
        <v>4644</v>
      </c>
      <c r="N238" s="47">
        <v>4644</v>
      </c>
      <c r="O238" s="27" t="s">
        <v>3815</v>
      </c>
      <c r="P238" s="194">
        <v>1</v>
      </c>
      <c r="Q238" s="21">
        <v>1</v>
      </c>
      <c r="R238" s="39" t="str">
        <f t="shared" si="60"/>
        <v>-</v>
      </c>
      <c r="S238" s="120">
        <f t="shared" si="50"/>
        <v>150298</v>
      </c>
      <c r="T238" s="123">
        <v>418106</v>
      </c>
      <c r="U238" s="123">
        <v>300621</v>
      </c>
      <c r="V238" s="123">
        <f t="shared" si="71"/>
        <v>117485</v>
      </c>
      <c r="W238" s="122" t="str">
        <f t="shared" si="69"/>
        <v>1</v>
      </c>
      <c r="X238" s="123">
        <f>111745+38725+6489+17765+14652+78432</f>
        <v>267808</v>
      </c>
      <c r="Y238" s="123">
        <f>78432+6489</f>
        <v>84921</v>
      </c>
      <c r="Z238" s="123">
        <f>X238-Y238</f>
        <v>182887</v>
      </c>
      <c r="AA238" s="122" t="str">
        <f t="shared" si="70"/>
        <v>1</v>
      </c>
      <c r="AB238" s="120">
        <f t="shared" si="51"/>
        <v>118234</v>
      </c>
      <c r="AC238" s="123">
        <v>0</v>
      </c>
      <c r="AD238" s="123">
        <f>111745+6489</f>
        <v>118234</v>
      </c>
      <c r="AE238" s="123">
        <v>3961</v>
      </c>
      <c r="AG238" s="151">
        <f t="shared" si="68"/>
        <v>88335</v>
      </c>
      <c r="AH238" s="123">
        <f>131342-5621-3119</f>
        <v>122602</v>
      </c>
      <c r="AL238" s="123">
        <f>1303+30177+2787</f>
        <v>34267</v>
      </c>
      <c r="AM238" s="123">
        <v>252434</v>
      </c>
      <c r="AN238" s="123">
        <v>125820</v>
      </c>
    </row>
    <row r="239" spans="1:40" s="123" customFormat="1" ht="16.2" thickBot="1" x14ac:dyDescent="0.35">
      <c r="A239" s="27"/>
      <c r="B239" s="217" t="s">
        <v>136</v>
      </c>
      <c r="C239" s="31" t="str">
        <f>VLOOKUP((CONCATENATE(B239)),ID!$A$2:$D$305,3,0)</f>
        <v>RL035</v>
      </c>
      <c r="D239" s="27">
        <v>0</v>
      </c>
      <c r="E239" s="27" t="s">
        <v>4057</v>
      </c>
      <c r="F239" s="27" t="s">
        <v>3814</v>
      </c>
      <c r="G239" s="27" t="s">
        <v>3853</v>
      </c>
      <c r="H239" s="94">
        <v>4749</v>
      </c>
      <c r="I239" s="47">
        <v>4763</v>
      </c>
      <c r="J239" s="47">
        <v>4780</v>
      </c>
      <c r="K239" s="169">
        <v>1</v>
      </c>
      <c r="L239" s="47">
        <v>4777</v>
      </c>
      <c r="M239" s="48">
        <v>4798</v>
      </c>
      <c r="N239" s="47">
        <v>4798</v>
      </c>
      <c r="O239" s="27" t="s">
        <v>3815</v>
      </c>
      <c r="P239" s="194">
        <v>1</v>
      </c>
      <c r="Q239" s="21">
        <v>1</v>
      </c>
      <c r="R239" s="39" t="str">
        <f t="shared" si="60"/>
        <v>-</v>
      </c>
      <c r="S239" s="120">
        <f t="shared" si="50"/>
        <v>144226</v>
      </c>
      <c r="T239" s="123">
        <v>431077</v>
      </c>
      <c r="U239" s="123">
        <v>305963</v>
      </c>
      <c r="V239" s="123">
        <f t="shared" si="71"/>
        <v>125114</v>
      </c>
      <c r="W239" s="122" t="str">
        <f t="shared" si="69"/>
        <v>1</v>
      </c>
      <c r="X239" s="123">
        <f>Y239+Z239</f>
        <v>286851</v>
      </c>
      <c r="Y239" s="123">
        <f>79099+4254</f>
        <v>83353</v>
      </c>
      <c r="Z239" s="123">
        <f>105745+67011+21659+9083</f>
        <v>203498</v>
      </c>
      <c r="AA239" s="122" t="str">
        <f t="shared" si="70"/>
        <v>1</v>
      </c>
      <c r="AB239" s="120">
        <f t="shared" si="51"/>
        <v>189098</v>
      </c>
      <c r="AC239" s="123">
        <v>0</v>
      </c>
      <c r="AD239" s="123">
        <f>Y239+105745</f>
        <v>189098</v>
      </c>
      <c r="AE239" s="123">
        <v>0</v>
      </c>
      <c r="AG239" s="151">
        <f>AH239-AL239</f>
        <v>80771</v>
      </c>
      <c r="AH239" s="123">
        <f>112059+279-3158</f>
        <v>109180</v>
      </c>
      <c r="AL239" s="123">
        <v>28409</v>
      </c>
      <c r="AM239" s="123">
        <v>228197</v>
      </c>
      <c r="AN239" s="123">
        <v>116515</v>
      </c>
    </row>
    <row r="240" spans="1:40" s="123" customFormat="1" ht="16.2" thickBot="1" x14ac:dyDescent="0.35">
      <c r="A240" s="27"/>
      <c r="B240" s="217" t="s">
        <v>136</v>
      </c>
      <c r="C240" s="31" t="str">
        <f>VLOOKUP((CONCATENATE(B240)),ID!$A$2:$D$305,3,0)</f>
        <v>RL035</v>
      </c>
      <c r="D240" s="27">
        <v>1</v>
      </c>
      <c r="E240" s="27" t="s">
        <v>4057</v>
      </c>
      <c r="F240" s="27" t="s">
        <v>3814</v>
      </c>
      <c r="G240" s="27" t="s">
        <v>3853</v>
      </c>
      <c r="H240" s="94">
        <v>5114</v>
      </c>
      <c r="I240" s="47">
        <v>5127</v>
      </c>
      <c r="J240" s="47">
        <v>5141</v>
      </c>
      <c r="K240" s="169">
        <v>1</v>
      </c>
      <c r="L240" s="47">
        <v>5141</v>
      </c>
      <c r="M240" s="48">
        <v>5162</v>
      </c>
      <c r="N240" s="47">
        <v>5162</v>
      </c>
      <c r="O240" s="27" t="s">
        <v>3815</v>
      </c>
      <c r="P240" s="194" t="str">
        <f>IF(AJ240=0,"?","1")</f>
        <v>1</v>
      </c>
      <c r="Q240" s="21">
        <v>1</v>
      </c>
      <c r="R240" s="39" t="str">
        <f t="shared" si="60"/>
        <v>-</v>
      </c>
      <c r="S240" s="120">
        <f t="shared" si="50"/>
        <v>184838</v>
      </c>
      <c r="T240" s="123">
        <v>461858</v>
      </c>
      <c r="U240" s="123">
        <f>332847</f>
        <v>332847</v>
      </c>
      <c r="V240" s="123">
        <f t="shared" si="71"/>
        <v>129011</v>
      </c>
      <c r="W240" s="122" t="str">
        <f t="shared" si="69"/>
        <v>1</v>
      </c>
      <c r="X240" s="123">
        <f>113745+887+8528+1590+23550+30091+19941+257+78431</f>
        <v>277020</v>
      </c>
      <c r="Y240" s="123">
        <f>78431+1590</f>
        <v>80021</v>
      </c>
      <c r="Z240" s="123">
        <f>X240-Y240</f>
        <v>196999</v>
      </c>
      <c r="AA240" s="122" t="str">
        <f t="shared" si="70"/>
        <v>1</v>
      </c>
      <c r="AB240" s="120">
        <f t="shared" si="51"/>
        <v>115335</v>
      </c>
      <c r="AC240" s="123">
        <v>0</v>
      </c>
      <c r="AD240" s="123">
        <f>113745+1590</f>
        <v>115335</v>
      </c>
      <c r="AE240" s="123">
        <v>11695</v>
      </c>
      <c r="AG240" s="151">
        <f>AH240-AL240</f>
        <v>186930</v>
      </c>
      <c r="AH240" s="123">
        <f>270346-7666-3327</f>
        <v>259353</v>
      </c>
      <c r="AJ240" s="123">
        <v>91015</v>
      </c>
      <c r="AL240" s="123">
        <f>83416-3327-7666</f>
        <v>72423</v>
      </c>
      <c r="AM240" s="123">
        <v>532581</v>
      </c>
      <c r="AN240" s="123">
        <v>201341</v>
      </c>
    </row>
    <row r="241" spans="1:40" s="123" customFormat="1" ht="16.2" thickBot="1" x14ac:dyDescent="0.35">
      <c r="A241" s="27"/>
      <c r="B241" s="217" t="s">
        <v>137</v>
      </c>
      <c r="C241" s="31" t="str">
        <f>VLOOKUP((CONCATENATE(B241)),ID!$A$2:$D$305,3,0)</f>
        <v>RL036</v>
      </c>
      <c r="D241" s="27">
        <v>0</v>
      </c>
      <c r="E241" s="27" t="s">
        <v>4057</v>
      </c>
      <c r="F241" s="27" t="s">
        <v>1117</v>
      </c>
      <c r="G241" s="27" t="s">
        <v>3853</v>
      </c>
      <c r="H241" s="94">
        <v>3653</v>
      </c>
      <c r="I241" s="47">
        <v>3670</v>
      </c>
      <c r="J241" s="47">
        <v>3672</v>
      </c>
      <c r="K241" s="169">
        <v>1</v>
      </c>
      <c r="L241" s="47">
        <v>3677</v>
      </c>
      <c r="M241" s="48">
        <v>3688</v>
      </c>
      <c r="N241" s="47">
        <v>3688</v>
      </c>
      <c r="O241" s="27" t="s">
        <v>3816</v>
      </c>
      <c r="P241" s="194">
        <v>1</v>
      </c>
      <c r="Q241" s="21">
        <v>1</v>
      </c>
      <c r="R241" s="39" t="str">
        <f t="shared" si="60"/>
        <v>-</v>
      </c>
      <c r="S241" s="120">
        <f t="shared" si="50"/>
        <v>0</v>
      </c>
      <c r="T241" s="123">
        <v>222526</v>
      </c>
      <c r="U241" s="123">
        <v>137366</v>
      </c>
      <c r="V241" s="123">
        <f t="shared" si="71"/>
        <v>85160</v>
      </c>
      <c r="W241" s="122" t="str">
        <f t="shared" si="69"/>
        <v>1</v>
      </c>
      <c r="X241" s="123">
        <v>222526</v>
      </c>
      <c r="Y241" s="123">
        <f>153000</f>
        <v>153000</v>
      </c>
      <c r="Z241" s="123">
        <f>X241-Y241</f>
        <v>69526</v>
      </c>
      <c r="AA241" s="122" t="str">
        <f t="shared" si="70"/>
        <v>1</v>
      </c>
      <c r="AB241" s="120">
        <f t="shared" si="51"/>
        <v>153089</v>
      </c>
      <c r="AC241" s="123">
        <v>153000</v>
      </c>
      <c r="AD241" s="123">
        <v>89</v>
      </c>
      <c r="AE241" s="123">
        <v>9772</v>
      </c>
      <c r="AG241" s="151">
        <f>AH241-AL241</f>
        <v>4884</v>
      </c>
      <c r="AH241" s="123">
        <f>23013-8045</f>
        <v>14968</v>
      </c>
      <c r="AL241" s="123">
        <v>10084</v>
      </c>
      <c r="AM241" s="123">
        <v>37909</v>
      </c>
      <c r="AN241" s="123">
        <v>36138</v>
      </c>
    </row>
    <row r="242" spans="1:40" s="123" customFormat="1" ht="16.2" thickBot="1" x14ac:dyDescent="0.35">
      <c r="A242" s="27"/>
      <c r="B242" s="217" t="s">
        <v>137</v>
      </c>
      <c r="C242" s="31" t="str">
        <f>VLOOKUP((CONCATENATE(B242)),ID!$A$2:$D$305,3,0)</f>
        <v>RL036</v>
      </c>
      <c r="D242" s="27">
        <v>0</v>
      </c>
      <c r="E242" s="27" t="s">
        <v>4057</v>
      </c>
      <c r="F242" s="27" t="s">
        <v>1117</v>
      </c>
      <c r="G242" s="27" t="s">
        <v>3853</v>
      </c>
      <c r="H242" s="94">
        <v>3834</v>
      </c>
      <c r="I242" s="47">
        <v>3852</v>
      </c>
      <c r="J242" s="47">
        <v>3854</v>
      </c>
      <c r="K242" s="169">
        <v>1</v>
      </c>
      <c r="L242" s="47">
        <v>3859</v>
      </c>
      <c r="M242" s="48">
        <v>3868</v>
      </c>
      <c r="N242" s="47">
        <v>3868</v>
      </c>
      <c r="O242" s="27" t="s">
        <v>3816</v>
      </c>
      <c r="P242" s="194">
        <v>1</v>
      </c>
      <c r="Q242" s="21">
        <v>1</v>
      </c>
      <c r="R242" s="39" t="str">
        <f t="shared" si="60"/>
        <v>-</v>
      </c>
      <c r="S242" s="120">
        <f t="shared" si="50"/>
        <v>0</v>
      </c>
      <c r="T242" s="123">
        <v>220275</v>
      </c>
      <c r="U242" s="123">
        <v>197066</v>
      </c>
      <c r="V242" s="123">
        <f t="shared" si="71"/>
        <v>23209</v>
      </c>
      <c r="W242" s="122" t="str">
        <f t="shared" si="69"/>
        <v>1</v>
      </c>
      <c r="X242" s="123">
        <v>220275</v>
      </c>
      <c r="Y242" s="123">
        <f>153000</f>
        <v>153000</v>
      </c>
      <c r="Z242" s="123">
        <f>X242-Y242</f>
        <v>67275</v>
      </c>
      <c r="AA242" s="122" t="str">
        <f t="shared" si="70"/>
        <v>1</v>
      </c>
      <c r="AB242" s="120">
        <f t="shared" si="51"/>
        <v>153310</v>
      </c>
      <c r="AC242" s="123">
        <v>153000</v>
      </c>
      <c r="AD242" s="123">
        <v>310</v>
      </c>
      <c r="AE242" s="123">
        <v>10266</v>
      </c>
      <c r="AG242" s="151">
        <f>AH242-AL242</f>
        <v>4817</v>
      </c>
      <c r="AH242" s="123">
        <f>22946-8045</f>
        <v>14901</v>
      </c>
      <c r="AL242" s="123">
        <v>10084</v>
      </c>
      <c r="AM242" s="123">
        <v>39662</v>
      </c>
      <c r="AN242" s="123">
        <v>37911</v>
      </c>
    </row>
    <row r="243" spans="1:40" s="123" customFormat="1" ht="16.2" thickBot="1" x14ac:dyDescent="0.35">
      <c r="A243" s="27">
        <v>36.1</v>
      </c>
      <c r="B243" s="217" t="s">
        <v>137</v>
      </c>
      <c r="C243" s="31" t="str">
        <f>VLOOKUP((CONCATENATE(B243)),ID!$A$2:$D$305,3,0)</f>
        <v>RL036</v>
      </c>
      <c r="D243" s="27">
        <v>0</v>
      </c>
      <c r="E243" s="27" t="s">
        <v>4057</v>
      </c>
      <c r="F243" s="27" t="s">
        <v>1117</v>
      </c>
      <c r="G243" s="27" t="s">
        <v>3853</v>
      </c>
      <c r="H243" s="94">
        <v>4018</v>
      </c>
      <c r="I243" s="47">
        <v>4034</v>
      </c>
      <c r="J243" s="47">
        <v>4035</v>
      </c>
      <c r="K243" s="27">
        <v>1</v>
      </c>
      <c r="L243" s="47">
        <v>4041</v>
      </c>
      <c r="M243" s="48">
        <v>4050</v>
      </c>
      <c r="N243" s="47">
        <v>4050</v>
      </c>
      <c r="O243" s="27" t="s">
        <v>3816</v>
      </c>
      <c r="P243" s="194">
        <v>1</v>
      </c>
      <c r="Q243" s="21">
        <v>1</v>
      </c>
      <c r="R243" s="39" t="str">
        <f t="shared" si="60"/>
        <v>-</v>
      </c>
      <c r="S243" s="120">
        <f t="shared" si="50"/>
        <v>0</v>
      </c>
      <c r="T243" s="123">
        <v>222757</v>
      </c>
      <c r="U243" s="123">
        <f>197066</f>
        <v>197066</v>
      </c>
      <c r="V243" s="123">
        <f t="shared" ref="V243:V370" si="72">T243-U243</f>
        <v>25691</v>
      </c>
      <c r="W243" s="122" t="str">
        <f t="shared" si="69"/>
        <v>1</v>
      </c>
      <c r="X243" s="123">
        <v>222757</v>
      </c>
      <c r="Y243" s="123">
        <f>153000</f>
        <v>153000</v>
      </c>
      <c r="Z243" s="123">
        <f>X243-Y243</f>
        <v>69757</v>
      </c>
      <c r="AA243" s="122" t="str">
        <f t="shared" si="70"/>
        <v>1</v>
      </c>
      <c r="AB243" s="120">
        <f t="shared" si="51"/>
        <v>153267</v>
      </c>
      <c r="AC243" s="123">
        <v>153000</v>
      </c>
      <c r="AD243" s="123">
        <v>267</v>
      </c>
      <c r="AE243" s="123">
        <v>10782</v>
      </c>
      <c r="AG243" s="152">
        <f>AH243-10084</f>
        <v>4882</v>
      </c>
      <c r="AH243" s="134">
        <f>19108-8045+3903</f>
        <v>14966</v>
      </c>
      <c r="AI243" s="134"/>
      <c r="AJ243" s="134"/>
      <c r="AK243" s="134"/>
      <c r="AL243" s="134">
        <v>10084</v>
      </c>
      <c r="AM243" s="134">
        <v>39066</v>
      </c>
      <c r="AN243" s="134">
        <v>37201</v>
      </c>
    </row>
    <row r="244" spans="1:40" s="123" customFormat="1" ht="16.2" thickBot="1" x14ac:dyDescent="0.35">
      <c r="A244" s="27">
        <v>36.200000000000003</v>
      </c>
      <c r="B244" s="217" t="s">
        <v>137</v>
      </c>
      <c r="C244" s="31" t="str">
        <f>VLOOKUP((CONCATENATE(B244)),ID!$A$2:$D$305,3,0)</f>
        <v>RL036</v>
      </c>
      <c r="D244" s="27">
        <v>0</v>
      </c>
      <c r="E244" s="27" t="s">
        <v>4057</v>
      </c>
      <c r="F244" s="27" t="s">
        <v>1117</v>
      </c>
      <c r="G244" s="27" t="s">
        <v>3853</v>
      </c>
      <c r="H244" s="94">
        <v>4199</v>
      </c>
      <c r="I244" s="47">
        <v>4216</v>
      </c>
      <c r="J244" s="47">
        <v>4218</v>
      </c>
      <c r="K244" s="27">
        <v>1</v>
      </c>
      <c r="L244" s="47">
        <v>4223</v>
      </c>
      <c r="M244" s="48">
        <v>4232</v>
      </c>
      <c r="N244" s="47">
        <v>4232</v>
      </c>
      <c r="O244" s="27" t="s">
        <v>3816</v>
      </c>
      <c r="P244" s="194">
        <v>1</v>
      </c>
      <c r="Q244" s="21">
        <v>1</v>
      </c>
      <c r="R244" s="39" t="str">
        <f t="shared" si="60"/>
        <v>-</v>
      </c>
      <c r="S244" s="120">
        <f t="shared" si="50"/>
        <v>0</v>
      </c>
      <c r="T244" s="123">
        <v>223128</v>
      </c>
      <c r="U244" s="123">
        <v>200242</v>
      </c>
      <c r="V244" s="123">
        <f t="shared" si="72"/>
        <v>22886</v>
      </c>
      <c r="W244" s="122" t="str">
        <f t="shared" si="69"/>
        <v>1</v>
      </c>
      <c r="X244" s="123">
        <v>223128</v>
      </c>
      <c r="Y244" s="123">
        <f>2500+153000</f>
        <v>155500</v>
      </c>
      <c r="Z244" s="123">
        <f t="shared" ref="Z244:Z372" si="73">X244-Y244</f>
        <v>67628</v>
      </c>
      <c r="AA244" s="122" t="str">
        <f t="shared" si="70"/>
        <v>1</v>
      </c>
      <c r="AB244" s="120">
        <f t="shared" si="51"/>
        <v>155794</v>
      </c>
      <c r="AC244" s="123">
        <f>Y244</f>
        <v>155500</v>
      </c>
      <c r="AD244" s="123">
        <v>294</v>
      </c>
      <c r="AE244" s="123">
        <v>11559</v>
      </c>
      <c r="AF244" s="134"/>
      <c r="AG244" s="152">
        <f>AH244-10084</f>
        <v>4668</v>
      </c>
      <c r="AH244" s="134">
        <f>21687-8045+1110</f>
        <v>14752</v>
      </c>
      <c r="AI244" s="134"/>
      <c r="AJ244" s="134"/>
      <c r="AK244" s="134"/>
      <c r="AL244" s="134">
        <v>10084</v>
      </c>
      <c r="AM244" s="134">
        <v>41844</v>
      </c>
      <c r="AN244" s="134">
        <v>39863</v>
      </c>
    </row>
    <row r="245" spans="1:40" s="123" customFormat="1" ht="16.2" thickBot="1" x14ac:dyDescent="0.35">
      <c r="A245" s="27">
        <v>36.299999999999997</v>
      </c>
      <c r="B245" s="217" t="s">
        <v>137</v>
      </c>
      <c r="C245" s="31" t="str">
        <f>VLOOKUP((CONCATENATE(B245)),ID!$A$2:$D$305,3,0)</f>
        <v>RL036</v>
      </c>
      <c r="D245" s="27">
        <v>0</v>
      </c>
      <c r="E245" s="27" t="s">
        <v>4057</v>
      </c>
      <c r="F245" s="27" t="s">
        <v>1117</v>
      </c>
      <c r="G245" s="27" t="s">
        <v>3853</v>
      </c>
      <c r="H245" s="94">
        <v>4383</v>
      </c>
      <c r="I245" s="47">
        <v>4398</v>
      </c>
      <c r="J245" s="47">
        <v>4399</v>
      </c>
      <c r="K245" s="27">
        <v>1</v>
      </c>
      <c r="L245" s="47">
        <v>4405</v>
      </c>
      <c r="M245" s="48">
        <v>4414</v>
      </c>
      <c r="N245" s="47">
        <v>4414</v>
      </c>
      <c r="O245" s="27" t="s">
        <v>3816</v>
      </c>
      <c r="P245" s="194">
        <v>1</v>
      </c>
      <c r="Q245" s="21">
        <v>1</v>
      </c>
      <c r="R245" s="39" t="str">
        <f t="shared" si="60"/>
        <v>-</v>
      </c>
      <c r="S245" s="120">
        <f t="shared" si="50"/>
        <v>0</v>
      </c>
      <c r="T245" s="134">
        <v>226678</v>
      </c>
      <c r="U245" s="123">
        <v>201447</v>
      </c>
      <c r="V245" s="123">
        <f t="shared" si="72"/>
        <v>25231</v>
      </c>
      <c r="W245" s="122" t="str">
        <f t="shared" si="69"/>
        <v>1</v>
      </c>
      <c r="X245" s="123">
        <f>T245</f>
        <v>226678</v>
      </c>
      <c r="Y245" s="123">
        <f>2350+153000</f>
        <v>155350</v>
      </c>
      <c r="Z245" s="123">
        <f t="shared" si="73"/>
        <v>71328</v>
      </c>
      <c r="AA245" s="122" t="str">
        <f t="shared" si="70"/>
        <v>1</v>
      </c>
      <c r="AB245" s="120">
        <f t="shared" si="51"/>
        <v>155439</v>
      </c>
      <c r="AC245" s="123">
        <f>Y245</f>
        <v>155350</v>
      </c>
      <c r="AD245" s="123">
        <v>89</v>
      </c>
      <c r="AE245" s="123">
        <f>3623+7750</f>
        <v>11373</v>
      </c>
      <c r="AF245" s="134"/>
      <c r="AG245" s="152">
        <f>AH245-10084</f>
        <v>4799</v>
      </c>
      <c r="AH245" s="134">
        <f>19744-8045+3184</f>
        <v>14883</v>
      </c>
      <c r="AI245" s="134"/>
      <c r="AJ245" s="134"/>
      <c r="AK245" s="134"/>
      <c r="AL245" s="134">
        <v>10084</v>
      </c>
      <c r="AM245" s="134">
        <v>40713</v>
      </c>
      <c r="AN245" s="134">
        <v>38628</v>
      </c>
    </row>
    <row r="246" spans="1:40" s="123" customFormat="1" ht="16.2" thickBot="1" x14ac:dyDescent="0.35">
      <c r="A246" s="27">
        <v>36.4</v>
      </c>
      <c r="B246" s="217" t="s">
        <v>137</v>
      </c>
      <c r="C246" s="31" t="str">
        <f>VLOOKUP((CONCATENATE(B246)),ID!$A$2:$D$305,3,0)</f>
        <v>RL036</v>
      </c>
      <c r="D246" s="27">
        <v>0</v>
      </c>
      <c r="E246" s="27" t="s">
        <v>4057</v>
      </c>
      <c r="F246" s="27" t="s">
        <v>1117</v>
      </c>
      <c r="G246" s="27" t="s">
        <v>3853</v>
      </c>
      <c r="H246" s="94">
        <v>4565</v>
      </c>
      <c r="I246" s="47">
        <v>4578</v>
      </c>
      <c r="J246" s="47">
        <v>4583</v>
      </c>
      <c r="K246" s="27">
        <v>1</v>
      </c>
      <c r="L246" s="47">
        <v>4587</v>
      </c>
      <c r="M246" s="48">
        <v>4595</v>
      </c>
      <c r="N246" s="47">
        <v>4595</v>
      </c>
      <c r="O246" s="27" t="s">
        <v>3816</v>
      </c>
      <c r="P246" s="194">
        <v>1</v>
      </c>
      <c r="Q246" s="21">
        <v>1</v>
      </c>
      <c r="R246" s="39" t="str">
        <f t="shared" si="60"/>
        <v>-</v>
      </c>
      <c r="S246" s="120">
        <f t="shared" si="50"/>
        <v>184</v>
      </c>
      <c r="T246" s="134">
        <v>225491</v>
      </c>
      <c r="U246" s="123">
        <v>201447</v>
      </c>
      <c r="V246" s="123">
        <f t="shared" si="72"/>
        <v>24044</v>
      </c>
      <c r="W246" s="122" t="str">
        <f t="shared" si="69"/>
        <v>1</v>
      </c>
      <c r="X246" s="123">
        <f>T246-184</f>
        <v>225307</v>
      </c>
      <c r="Y246" s="123">
        <f>2200+153000</f>
        <v>155200</v>
      </c>
      <c r="Z246" s="123">
        <f t="shared" si="73"/>
        <v>70107</v>
      </c>
      <c r="AA246" s="122" t="str">
        <f t="shared" si="70"/>
        <v>1</v>
      </c>
      <c r="AB246" s="120">
        <f t="shared" si="51"/>
        <v>155236</v>
      </c>
      <c r="AC246" s="123">
        <f>Y246</f>
        <v>155200</v>
      </c>
      <c r="AD246" s="123">
        <v>36</v>
      </c>
      <c r="AE246" s="123">
        <v>14336</v>
      </c>
      <c r="AF246" s="134"/>
      <c r="AG246" s="152">
        <f>AH246-10084</f>
        <v>4963</v>
      </c>
      <c r="AH246" s="134">
        <f>23242-150-8045</f>
        <v>15047</v>
      </c>
      <c r="AI246" s="134"/>
      <c r="AJ246" s="134"/>
      <c r="AK246" s="134"/>
      <c r="AL246" s="134">
        <v>10084</v>
      </c>
      <c r="AM246" s="134">
        <v>44540</v>
      </c>
      <c r="AN246" s="134">
        <v>42477</v>
      </c>
    </row>
    <row r="247" spans="1:40" s="123" customFormat="1" ht="16.2" thickBot="1" x14ac:dyDescent="0.35">
      <c r="A247" s="27"/>
      <c r="B247" s="217" t="s">
        <v>137</v>
      </c>
      <c r="C247" s="31" t="str">
        <f>VLOOKUP((CONCATENATE(B247)),ID!$A$2:$D$305,3,0)</f>
        <v>RL036</v>
      </c>
      <c r="D247" s="27">
        <v>0</v>
      </c>
      <c r="E247" s="27" t="s">
        <v>4057</v>
      </c>
      <c r="F247" s="27" t="s">
        <v>1117</v>
      </c>
      <c r="G247" s="27" t="s">
        <v>3853</v>
      </c>
      <c r="H247" s="94">
        <v>4749</v>
      </c>
      <c r="I247" s="47">
        <v>4762</v>
      </c>
      <c r="J247" s="47">
        <v>4764</v>
      </c>
      <c r="K247" s="27">
        <v>1</v>
      </c>
      <c r="L247" s="47">
        <v>4769</v>
      </c>
      <c r="M247" s="48">
        <v>4778</v>
      </c>
      <c r="N247" s="47">
        <v>4778</v>
      </c>
      <c r="O247" s="27" t="s">
        <v>3816</v>
      </c>
      <c r="P247" s="194">
        <v>1</v>
      </c>
      <c r="Q247" s="21">
        <v>1</v>
      </c>
      <c r="R247" s="39" t="str">
        <f t="shared" si="60"/>
        <v>-</v>
      </c>
      <c r="S247" s="120">
        <f t="shared" si="50"/>
        <v>0</v>
      </c>
      <c r="T247" s="134">
        <v>225449</v>
      </c>
      <c r="U247" s="123">
        <f>202082</f>
        <v>202082</v>
      </c>
      <c r="V247" s="123">
        <f t="shared" si="72"/>
        <v>23367</v>
      </c>
      <c r="W247" s="122" t="str">
        <f t="shared" si="69"/>
        <v>1</v>
      </c>
      <c r="X247" s="123">
        <v>225449</v>
      </c>
      <c r="Y247" s="123">
        <f>2000+193000</f>
        <v>195000</v>
      </c>
      <c r="Z247" s="123">
        <f t="shared" si="73"/>
        <v>30449</v>
      </c>
      <c r="AA247" s="122" t="str">
        <f t="shared" si="70"/>
        <v>1</v>
      </c>
      <c r="AB247" s="120">
        <f t="shared" si="51"/>
        <v>195126</v>
      </c>
      <c r="AC247" s="123">
        <f>Y247</f>
        <v>195000</v>
      </c>
      <c r="AD247" s="123">
        <v>126</v>
      </c>
      <c r="AE247" s="123">
        <v>8267</v>
      </c>
      <c r="AF247" s="134"/>
      <c r="AG247" s="152">
        <f t="shared" ref="AG247:AG252" si="74">AH247-AL247</f>
        <v>4645</v>
      </c>
      <c r="AH247" s="134">
        <f>23185-184-8045-227</f>
        <v>14729</v>
      </c>
      <c r="AI247" s="134"/>
      <c r="AJ247" s="134"/>
      <c r="AK247" s="134"/>
      <c r="AL247" s="134">
        <v>10084</v>
      </c>
      <c r="AM247" s="134">
        <v>39039</v>
      </c>
      <c r="AN247" s="134">
        <v>37017</v>
      </c>
    </row>
    <row r="248" spans="1:40" s="123" customFormat="1" ht="16.2" thickBot="1" x14ac:dyDescent="0.35">
      <c r="A248" s="27"/>
      <c r="B248" s="217" t="s">
        <v>3817</v>
      </c>
      <c r="C248" s="31" t="str">
        <f>VLOOKUP((CONCATENATE(B248)),ID!$A$2:$D$305,3,0)</f>
        <v>RL037</v>
      </c>
      <c r="D248" s="27">
        <v>0</v>
      </c>
      <c r="E248" s="27" t="s">
        <v>4057</v>
      </c>
      <c r="F248" s="27" t="s">
        <v>1117</v>
      </c>
      <c r="G248" s="27" t="s">
        <v>3853</v>
      </c>
      <c r="H248" s="94">
        <v>3653</v>
      </c>
      <c r="I248" s="47">
        <v>3678</v>
      </c>
      <c r="J248" s="47">
        <v>3685</v>
      </c>
      <c r="K248" s="27">
        <v>1</v>
      </c>
      <c r="L248" s="47">
        <v>3670</v>
      </c>
      <c r="M248" s="48">
        <v>3695</v>
      </c>
      <c r="N248" s="47">
        <v>3695</v>
      </c>
      <c r="O248" s="27" t="s">
        <v>3818</v>
      </c>
      <c r="P248" s="194">
        <v>1</v>
      </c>
      <c r="Q248" s="21">
        <v>1</v>
      </c>
      <c r="R248" s="39" t="str">
        <f t="shared" si="60"/>
        <v>-</v>
      </c>
      <c r="S248" s="120">
        <f t="shared" si="50"/>
        <v>1063109</v>
      </c>
      <c r="T248" s="134">
        <v>3261659</v>
      </c>
      <c r="U248" s="123">
        <f>486449+1500</f>
        <v>487949</v>
      </c>
      <c r="V248" s="123">
        <f t="shared" si="72"/>
        <v>2773710</v>
      </c>
      <c r="W248" s="122" t="str">
        <f t="shared" si="69"/>
        <v>1</v>
      </c>
      <c r="X248" s="123">
        <f>T248-45000-104007-914102</f>
        <v>2198550</v>
      </c>
      <c r="Y248" s="123">
        <f>220692+248908+753465+190851</f>
        <v>1413916</v>
      </c>
      <c r="Z248" s="123">
        <f t="shared" si="73"/>
        <v>784634</v>
      </c>
      <c r="AA248" s="122" t="str">
        <f t="shared" si="70"/>
        <v>1</v>
      </c>
      <c r="AB248" s="120">
        <f t="shared" si="51"/>
        <v>469600</v>
      </c>
      <c r="AC248" s="123">
        <v>0</v>
      </c>
      <c r="AD248" s="123">
        <v>469600</v>
      </c>
      <c r="AE248" s="123">
        <v>998210</v>
      </c>
      <c r="AF248" s="134"/>
      <c r="AG248" s="152">
        <f t="shared" si="74"/>
        <v>917005</v>
      </c>
      <c r="AH248" s="134">
        <f>1267329-24762-18000-20913-4525-806-1750-5272-20000</f>
        <v>1171301</v>
      </c>
      <c r="AI248" s="134"/>
      <c r="AJ248" s="134"/>
      <c r="AK248" s="134"/>
      <c r="AL248" s="134">
        <f>228510+8010+9000+8776</f>
        <v>254296</v>
      </c>
      <c r="AM248" s="134">
        <v>3241845</v>
      </c>
      <c r="AN248" s="134">
        <v>1228287</v>
      </c>
    </row>
    <row r="249" spans="1:40" s="123" customFormat="1" ht="16.2" thickBot="1" x14ac:dyDescent="0.35">
      <c r="A249" s="27"/>
      <c r="B249" s="217" t="s">
        <v>3817</v>
      </c>
      <c r="C249" s="31" t="str">
        <f>VLOOKUP((CONCATENATE(B249)),ID!$A$2:$D$305,3,0)</f>
        <v>RL037</v>
      </c>
      <c r="D249" s="27">
        <v>0</v>
      </c>
      <c r="E249" s="27" t="s">
        <v>4057</v>
      </c>
      <c r="F249" s="27" t="s">
        <v>1117</v>
      </c>
      <c r="G249" s="27" t="s">
        <v>3853</v>
      </c>
      <c r="H249" s="94">
        <v>3834</v>
      </c>
      <c r="I249" s="47">
        <v>3857</v>
      </c>
      <c r="J249" s="47">
        <v>3864</v>
      </c>
      <c r="K249" s="27">
        <v>1</v>
      </c>
      <c r="L249" s="47">
        <v>3852</v>
      </c>
      <c r="M249" s="48">
        <v>3874</v>
      </c>
      <c r="N249" s="47">
        <v>3874</v>
      </c>
      <c r="O249" s="27" t="s">
        <v>3818</v>
      </c>
      <c r="P249" s="194">
        <v>1</v>
      </c>
      <c r="Q249" s="21">
        <v>1</v>
      </c>
      <c r="R249" s="39" t="str">
        <f t="shared" si="60"/>
        <v>-</v>
      </c>
      <c r="S249" s="120">
        <f t="shared" si="50"/>
        <v>929866</v>
      </c>
      <c r="T249" s="134">
        <v>3313754</v>
      </c>
      <c r="U249" s="123">
        <f>1500+486449</f>
        <v>487949</v>
      </c>
      <c r="V249" s="123">
        <f t="shared" si="72"/>
        <v>2825805</v>
      </c>
      <c r="W249" s="122" t="str">
        <f t="shared" si="69"/>
        <v>1</v>
      </c>
      <c r="X249" s="123">
        <f>T249-45000-105500-779366</f>
        <v>2383888</v>
      </c>
      <c r="Y249" s="123">
        <f>AD249+193669+772013</f>
        <v>1512311</v>
      </c>
      <c r="Z249" s="123">
        <f t="shared" si="73"/>
        <v>871577</v>
      </c>
      <c r="AA249" s="122" t="str">
        <f t="shared" si="70"/>
        <v>1</v>
      </c>
      <c r="AB249" s="120">
        <f t="shared" si="51"/>
        <v>546629</v>
      </c>
      <c r="AC249" s="123">
        <v>0</v>
      </c>
      <c r="AD249" s="123">
        <v>546629</v>
      </c>
      <c r="AE249" s="123">
        <f>352061+600845</f>
        <v>952906</v>
      </c>
      <c r="AF249" s="134"/>
      <c r="AG249" s="152">
        <f t="shared" si="74"/>
        <v>806557</v>
      </c>
      <c r="AH249" s="134">
        <f>1132125-20000-5272-1750-806-4525-20913-18000</f>
        <v>1060859</v>
      </c>
      <c r="AI249" s="134"/>
      <c r="AJ249" s="134"/>
      <c r="AK249" s="134"/>
      <c r="AL249" s="134">
        <f>228516+8010+9000+8776</f>
        <v>254302</v>
      </c>
      <c r="AM249" s="134">
        <v>2951820</v>
      </c>
      <c r="AN249" s="134">
        <v>1028712</v>
      </c>
    </row>
    <row r="250" spans="1:40" s="123" customFormat="1" ht="16.2" thickBot="1" x14ac:dyDescent="0.35">
      <c r="A250" s="27">
        <v>37.1</v>
      </c>
      <c r="B250" s="217" t="s">
        <v>3817</v>
      </c>
      <c r="C250" s="31" t="str">
        <f>VLOOKUP((CONCATENATE(B250)),ID!$A$2:$D$305,3,0)</f>
        <v>RL037</v>
      </c>
      <c r="D250" s="27">
        <v>0</v>
      </c>
      <c r="E250" s="27" t="s">
        <v>4057</v>
      </c>
      <c r="F250" s="27" t="s">
        <v>1117</v>
      </c>
      <c r="G250" s="27" t="s">
        <v>3853</v>
      </c>
      <c r="H250" s="94">
        <v>4018</v>
      </c>
      <c r="I250" s="47">
        <v>4042</v>
      </c>
      <c r="J250" s="47">
        <v>4049</v>
      </c>
      <c r="K250" s="27">
        <v>1</v>
      </c>
      <c r="L250" s="47">
        <v>4034</v>
      </c>
      <c r="M250" s="48">
        <v>4059</v>
      </c>
      <c r="N250" s="47">
        <v>4059</v>
      </c>
      <c r="O250" s="27" t="s">
        <v>3818</v>
      </c>
      <c r="P250" s="194">
        <v>1</v>
      </c>
      <c r="Q250" s="21">
        <v>1</v>
      </c>
      <c r="R250" s="39" t="str">
        <f t="shared" si="60"/>
        <v>-</v>
      </c>
      <c r="S250" s="120">
        <f t="shared" si="50"/>
        <v>1140483</v>
      </c>
      <c r="T250" s="123">
        <v>3703880</v>
      </c>
      <c r="U250" s="123">
        <f>578761+1500</f>
        <v>580261</v>
      </c>
      <c r="V250" s="123">
        <f t="shared" si="72"/>
        <v>3123619</v>
      </c>
      <c r="W250" s="122" t="str">
        <f t="shared" si="69"/>
        <v>1</v>
      </c>
      <c r="X250" s="123">
        <f>635628+342701+5771+273818+7433+291098+203055+803893</f>
        <v>2563397</v>
      </c>
      <c r="Y250" s="123">
        <f>342701+291098+203055+803893</f>
        <v>1640747</v>
      </c>
      <c r="Z250" s="123">
        <f t="shared" si="73"/>
        <v>922650</v>
      </c>
      <c r="AA250" s="122" t="str">
        <f t="shared" si="70"/>
        <v>1</v>
      </c>
      <c r="AB250" s="120">
        <f t="shared" si="51"/>
        <v>633799</v>
      </c>
      <c r="AC250" s="123">
        <v>0</v>
      </c>
      <c r="AD250" s="123">
        <v>633799</v>
      </c>
      <c r="AE250" s="123">
        <v>1243186</v>
      </c>
      <c r="AG250" s="152">
        <f t="shared" si="74"/>
        <v>935603</v>
      </c>
      <c r="AH250" s="134">
        <f>1341139-79964-5272-18000-20913-4525-806-1750-20000</f>
        <v>1189909</v>
      </c>
      <c r="AI250" s="134"/>
      <c r="AJ250" s="134"/>
      <c r="AK250" s="134"/>
      <c r="AL250" s="134">
        <f>228520+8010+9000+8776</f>
        <v>254306</v>
      </c>
      <c r="AM250" s="134">
        <v>3320669</v>
      </c>
      <c r="AN250" s="134">
        <v>1256478</v>
      </c>
    </row>
    <row r="251" spans="1:40" s="123" customFormat="1" ht="16.2" thickBot="1" x14ac:dyDescent="0.35">
      <c r="A251" s="27">
        <v>37.200000000000003</v>
      </c>
      <c r="B251" s="217" t="s">
        <v>3817</v>
      </c>
      <c r="C251" s="31" t="str">
        <f>VLOOKUP((CONCATENATE(B251)),ID!$A$2:$D$305,3,0)</f>
        <v>RL037</v>
      </c>
      <c r="D251" s="27">
        <v>0</v>
      </c>
      <c r="E251" s="27" t="s">
        <v>4057</v>
      </c>
      <c r="F251" s="27" t="s">
        <v>1117</v>
      </c>
      <c r="G251" s="27" t="s">
        <v>3853</v>
      </c>
      <c r="H251" s="94">
        <v>4199</v>
      </c>
      <c r="I251" s="47">
        <v>4223</v>
      </c>
      <c r="J251" s="47">
        <v>4230</v>
      </c>
      <c r="K251" s="27">
        <v>1</v>
      </c>
      <c r="L251" s="47">
        <v>4216</v>
      </c>
      <c r="M251" s="48">
        <v>4240</v>
      </c>
      <c r="N251" s="47">
        <v>4240</v>
      </c>
      <c r="O251" s="27" t="s">
        <v>3818</v>
      </c>
      <c r="P251" s="194">
        <v>1</v>
      </c>
      <c r="Q251" s="21">
        <v>1</v>
      </c>
      <c r="R251" s="39" t="str">
        <f t="shared" si="60"/>
        <v>-</v>
      </c>
      <c r="S251" s="120">
        <f t="shared" si="50"/>
        <v>987731</v>
      </c>
      <c r="T251" s="123">
        <v>3524725</v>
      </c>
      <c r="U251" s="123">
        <f>661310+104274</f>
        <v>765584</v>
      </c>
      <c r="V251" s="123">
        <f t="shared" si="72"/>
        <v>2759141</v>
      </c>
      <c r="W251" s="122" t="str">
        <f t="shared" si="69"/>
        <v>1</v>
      </c>
      <c r="X251" s="123">
        <f>650626+380048+334196+37048+273819+7695+643997+209565</f>
        <v>2536994</v>
      </c>
      <c r="Y251" s="123">
        <f>380048+334196+643997+209565</f>
        <v>1567806</v>
      </c>
      <c r="Z251" s="123">
        <f t="shared" si="73"/>
        <v>969188</v>
      </c>
      <c r="AA251" s="122" t="str">
        <f t="shared" si="70"/>
        <v>1</v>
      </c>
      <c r="AB251" s="120">
        <f t="shared" si="51"/>
        <v>714244</v>
      </c>
      <c r="AC251" s="123">
        <v>0</v>
      </c>
      <c r="AD251" s="123">
        <v>714244</v>
      </c>
      <c r="AE251" s="123">
        <v>994061</v>
      </c>
      <c r="AG251" s="152">
        <f t="shared" si="74"/>
        <v>761892</v>
      </c>
      <c r="AH251" s="134">
        <f>1172632-18000-20913-4525-806-1750-5272-20000-85162</f>
        <v>1016204</v>
      </c>
      <c r="AI251" s="134"/>
      <c r="AJ251" s="134"/>
      <c r="AK251" s="134"/>
      <c r="AL251" s="134">
        <f>228526+8010+9000+8776</f>
        <v>254312</v>
      </c>
      <c r="AM251" s="134">
        <v>3031341</v>
      </c>
      <c r="AN251" s="123">
        <v>1058339</v>
      </c>
    </row>
    <row r="252" spans="1:40" s="123" customFormat="1" ht="16.2" thickBot="1" x14ac:dyDescent="0.35">
      <c r="A252" s="27">
        <v>37.299999999999997</v>
      </c>
      <c r="B252" s="217" t="s">
        <v>3817</v>
      </c>
      <c r="C252" s="31" t="str">
        <f>VLOOKUP((CONCATENATE(B252)),ID!$A$2:$D$305,3,0)</f>
        <v>RL037</v>
      </c>
      <c r="D252" s="27">
        <v>0</v>
      </c>
      <c r="E252" s="27" t="s">
        <v>4057</v>
      </c>
      <c r="F252" s="27" t="s">
        <v>1117</v>
      </c>
      <c r="G252" s="27" t="s">
        <v>3853</v>
      </c>
      <c r="H252" s="94">
        <v>4383</v>
      </c>
      <c r="I252" s="47">
        <v>4406</v>
      </c>
      <c r="J252" s="47">
        <v>4412</v>
      </c>
      <c r="K252" s="27">
        <v>1</v>
      </c>
      <c r="L252" s="47">
        <v>4398</v>
      </c>
      <c r="M252" s="48">
        <v>4423</v>
      </c>
      <c r="N252" s="47">
        <v>4423</v>
      </c>
      <c r="O252" s="27" t="s">
        <v>3818</v>
      </c>
      <c r="P252" s="194">
        <v>1</v>
      </c>
      <c r="Q252" s="21">
        <v>1</v>
      </c>
      <c r="R252" s="39" t="str">
        <f t="shared" si="60"/>
        <v>-</v>
      </c>
      <c r="S252" s="120">
        <f t="shared" si="50"/>
        <v>1252474</v>
      </c>
      <c r="T252" s="123">
        <v>3797071</v>
      </c>
      <c r="U252" s="123">
        <f>783660+104274</f>
        <v>887934</v>
      </c>
      <c r="V252" s="123">
        <f t="shared" si="72"/>
        <v>2909137</v>
      </c>
      <c r="W252" s="122" t="str">
        <f t="shared" si="69"/>
        <v>1</v>
      </c>
      <c r="X252" s="123">
        <f>724725+302393+330393+20578+273823+7293+666042+219350</f>
        <v>2544597</v>
      </c>
      <c r="Y252" s="123">
        <f>330393+302393+666042+219350</f>
        <v>1518178</v>
      </c>
      <c r="Z252" s="123">
        <f t="shared" si="73"/>
        <v>1026419</v>
      </c>
      <c r="AA252" s="122" t="str">
        <f t="shared" si="70"/>
        <v>1</v>
      </c>
      <c r="AB252" s="120">
        <f t="shared" si="51"/>
        <v>632786</v>
      </c>
      <c r="AC252" s="123">
        <v>0</v>
      </c>
      <c r="AD252" s="123">
        <v>632786</v>
      </c>
      <c r="AE252" s="123">
        <v>1020636</v>
      </c>
      <c r="AG252" s="152">
        <f t="shared" si="74"/>
        <v>991948</v>
      </c>
      <c r="AH252" s="134">
        <f>1438455-120926-18000-20913-4525-806-1750-5272-20000</f>
        <v>1246263</v>
      </c>
      <c r="AI252" s="134"/>
      <c r="AJ252" s="134"/>
      <c r="AK252" s="134"/>
      <c r="AL252" s="134">
        <f>228529+8010+9000+8776</f>
        <v>254315</v>
      </c>
      <c r="AM252" s="134">
        <v>3422170</v>
      </c>
      <c r="AN252" s="134">
        <f>1275754</f>
        <v>1275754</v>
      </c>
    </row>
    <row r="253" spans="1:40" s="123" customFormat="1" ht="16.2" thickBot="1" x14ac:dyDescent="0.35">
      <c r="A253" s="27">
        <v>37.4</v>
      </c>
      <c r="B253" s="217" t="s">
        <v>3817</v>
      </c>
      <c r="C253" s="31" t="str">
        <f>VLOOKUP((CONCATENATE(B253)),ID!$A$2:$D$305,3,0)</f>
        <v>RL037</v>
      </c>
      <c r="D253" s="27">
        <v>0</v>
      </c>
      <c r="E253" s="27" t="s">
        <v>4057</v>
      </c>
      <c r="F253" s="27" t="s">
        <v>1117</v>
      </c>
      <c r="G253" s="27" t="s">
        <v>3853</v>
      </c>
      <c r="H253" s="94">
        <v>4565</v>
      </c>
      <c r="I253" s="47">
        <v>4587</v>
      </c>
      <c r="J253" s="47">
        <v>4594</v>
      </c>
      <c r="K253" s="27">
        <v>1</v>
      </c>
      <c r="L253" s="47">
        <v>4580</v>
      </c>
      <c r="M253" s="48">
        <v>4604</v>
      </c>
      <c r="N253" s="47">
        <v>4604</v>
      </c>
      <c r="O253" s="27" t="s">
        <v>3818</v>
      </c>
      <c r="P253" s="194">
        <v>1</v>
      </c>
      <c r="Q253" s="21">
        <v>1</v>
      </c>
      <c r="R253" s="39" t="str">
        <f t="shared" si="60"/>
        <v>-</v>
      </c>
      <c r="S253" s="120">
        <f t="shared" si="50"/>
        <v>957351</v>
      </c>
      <c r="T253" s="123">
        <v>3662874</v>
      </c>
      <c r="U253" s="123">
        <f>933677+155662</f>
        <v>1089339</v>
      </c>
      <c r="V253" s="123">
        <f t="shared" si="72"/>
        <v>2573535</v>
      </c>
      <c r="W253" s="122" t="str">
        <f t="shared" si="69"/>
        <v>1</v>
      </c>
      <c r="X253" s="123">
        <f>8565+273826+28313+358589+762842+359760+225071+688557</f>
        <v>2705523</v>
      </c>
      <c r="Y253" s="123">
        <f>359760+358589+688557+225071</f>
        <v>1631977</v>
      </c>
      <c r="Z253" s="123">
        <f t="shared" si="73"/>
        <v>1073546</v>
      </c>
      <c r="AA253" s="122" t="str">
        <f t="shared" si="70"/>
        <v>1</v>
      </c>
      <c r="AB253" s="120">
        <f t="shared" si="51"/>
        <v>718349</v>
      </c>
      <c r="AC253" s="123">
        <v>0</v>
      </c>
      <c r="AD253" s="123">
        <v>718349</v>
      </c>
      <c r="AE253" s="123">
        <v>811634</v>
      </c>
      <c r="AG253" s="152">
        <f>AH253-228535-29252-8010-9000-8776+7805+6641</f>
        <v>521896</v>
      </c>
      <c r="AH253" s="134">
        <f>1097689-127700-5272-1750-806-4525-20913-18000-127700</f>
        <v>791023</v>
      </c>
      <c r="AI253" s="134"/>
      <c r="AJ253" s="134"/>
      <c r="AK253" s="134"/>
      <c r="AL253" s="134">
        <f>228535+8010+9000+8776</f>
        <v>254321</v>
      </c>
      <c r="AM253" s="134">
        <v>2937710</v>
      </c>
      <c r="AN253" s="123">
        <v>1028312</v>
      </c>
    </row>
    <row r="254" spans="1:40" s="123" customFormat="1" ht="16.2" thickBot="1" x14ac:dyDescent="0.35">
      <c r="A254" s="27"/>
      <c r="B254" s="217" t="s">
        <v>3817</v>
      </c>
      <c r="C254" s="31" t="str">
        <f>VLOOKUP((CONCATENATE(B254)),ID!$A$2:$D$305,3,0)</f>
        <v>RL037</v>
      </c>
      <c r="D254" s="27">
        <v>0</v>
      </c>
      <c r="E254" s="27" t="s">
        <v>4057</v>
      </c>
      <c r="F254" s="27" t="s">
        <v>1117</v>
      </c>
      <c r="G254" s="27" t="s">
        <v>3853</v>
      </c>
      <c r="H254" s="94">
        <v>4749</v>
      </c>
      <c r="I254" s="47">
        <v>4777</v>
      </c>
      <c r="J254" s="47">
        <v>4782</v>
      </c>
      <c r="K254" s="27">
        <v>1</v>
      </c>
      <c r="L254" s="47">
        <v>4769</v>
      </c>
      <c r="M254" s="48">
        <v>4794</v>
      </c>
      <c r="N254" s="47">
        <v>4794</v>
      </c>
      <c r="O254" s="27" t="s">
        <v>3818</v>
      </c>
      <c r="P254" s="194">
        <v>1</v>
      </c>
      <c r="Q254" s="21">
        <v>1</v>
      </c>
      <c r="R254" s="39" t="str">
        <f t="shared" si="60"/>
        <v>-</v>
      </c>
      <c r="S254" s="120">
        <f t="shared" si="50"/>
        <v>1254490</v>
      </c>
      <c r="T254" s="123">
        <v>4039049</v>
      </c>
      <c r="U254" s="123">
        <f>1154575+155662</f>
        <v>1310237</v>
      </c>
      <c r="V254" s="123">
        <f t="shared" si="72"/>
        <v>2728812</v>
      </c>
      <c r="W254" s="122" t="str">
        <f t="shared" si="69"/>
        <v>1</v>
      </c>
      <c r="X254" s="123">
        <f>872525+374879+308796+273835+7224+235139+712161</f>
        <v>2784559</v>
      </c>
      <c r="Y254" s="123">
        <f>AD254+712161+235139</f>
        <v>1530975</v>
      </c>
      <c r="Z254" s="123">
        <f t="shared" si="73"/>
        <v>1253584</v>
      </c>
      <c r="AA254" s="122" t="str">
        <f t="shared" si="70"/>
        <v>1</v>
      </c>
      <c r="AB254" s="120">
        <f t="shared" si="51"/>
        <v>583675</v>
      </c>
      <c r="AC254" s="123">
        <v>0</v>
      </c>
      <c r="AD254" s="123">
        <f>208796+374879</f>
        <v>583675</v>
      </c>
      <c r="AE254" s="123">
        <v>858437</v>
      </c>
      <c r="AG254" s="152">
        <f>AH254-AL254</f>
        <v>1024155</v>
      </c>
      <c r="AH254" s="134">
        <f>1413187-63443-18000-20913-4525-806-1750-20000-5272</f>
        <v>1278478</v>
      </c>
      <c r="AI254" s="134"/>
      <c r="AJ254" s="134"/>
      <c r="AK254" s="134"/>
      <c r="AL254" s="134">
        <f>228537+8010+9000+8776</f>
        <v>254323</v>
      </c>
      <c r="AM254" s="134">
        <v>3537297</v>
      </c>
      <c r="AN254" s="123">
        <v>1316670</v>
      </c>
    </row>
    <row r="255" spans="1:40" s="123" customFormat="1" ht="16.2" thickBot="1" x14ac:dyDescent="0.35">
      <c r="A255" s="27"/>
      <c r="B255" s="217" t="s">
        <v>3817</v>
      </c>
      <c r="C255" s="31" t="str">
        <f>VLOOKUP((CONCATENATE(B255)),ID!$A$2:$D$305,3,0)</f>
        <v>RL037</v>
      </c>
      <c r="D255" s="27">
        <v>1</v>
      </c>
      <c r="E255" s="27" t="s">
        <v>4057</v>
      </c>
      <c r="F255" s="27" t="s">
        <v>1117</v>
      </c>
      <c r="G255" s="27" t="s">
        <v>3853</v>
      </c>
      <c r="H255" s="94">
        <v>5114</v>
      </c>
      <c r="I255" s="47">
        <v>5141</v>
      </c>
      <c r="J255" s="47">
        <v>5148</v>
      </c>
      <c r="K255" s="27">
        <v>1</v>
      </c>
      <c r="L255" s="47">
        <v>5133</v>
      </c>
      <c r="M255" s="48">
        <v>5158</v>
      </c>
      <c r="N255" s="48">
        <v>5158</v>
      </c>
      <c r="O255" s="27" t="s">
        <v>3818</v>
      </c>
      <c r="P255" s="194" t="str">
        <f>IF(AJ255=0,"?","1")</f>
        <v>1</v>
      </c>
      <c r="Q255" s="21">
        <v>1</v>
      </c>
      <c r="R255" s="39" t="str">
        <f t="shared" ref="R255:R318" si="75">IF(Q255=0,"?","-")</f>
        <v>-</v>
      </c>
      <c r="S255" s="120">
        <f t="shared" si="50"/>
        <v>1704036</v>
      </c>
      <c r="T255" s="123">
        <v>4151664</v>
      </c>
      <c r="U255" s="123">
        <f>662756+104274</f>
        <v>767030</v>
      </c>
      <c r="V255" s="123">
        <f t="shared" si="72"/>
        <v>3384634</v>
      </c>
      <c r="W255" s="122" t="str">
        <f t="shared" si="69"/>
        <v>1</v>
      </c>
      <c r="X255" s="123">
        <f>222442+349294+227290+5562+335548+260490+6217+788886+251899</f>
        <v>2447628</v>
      </c>
      <c r="Y255" s="123">
        <f>251899+788886+335548</f>
        <v>1376333</v>
      </c>
      <c r="Z255" s="123">
        <f t="shared" si="73"/>
        <v>1071295</v>
      </c>
      <c r="AA255" s="122" t="str">
        <f t="shared" si="70"/>
        <v>1</v>
      </c>
      <c r="AB255" s="120">
        <f t="shared" si="51"/>
        <v>335548</v>
      </c>
      <c r="AC255" s="123">
        <v>0</v>
      </c>
      <c r="AD255" s="123">
        <v>335548</v>
      </c>
      <c r="AE255" s="123">
        <v>1479959</v>
      </c>
      <c r="AG255" s="152">
        <f>AH255-AL255</f>
        <v>2057720</v>
      </c>
      <c r="AH255" s="134">
        <f>2233859-64822-365-36648-30351-2000-1336-15351</f>
        <v>2082986</v>
      </c>
      <c r="AI255" s="134"/>
      <c r="AJ255" s="134">
        <f>5957+1324</f>
        <v>7281</v>
      </c>
      <c r="AK255" s="134"/>
      <c r="AL255" s="134">
        <f>1295+23971</f>
        <v>25266</v>
      </c>
      <c r="AM255" s="134">
        <v>6949466</v>
      </c>
    </row>
    <row r="256" spans="1:40" s="123" customFormat="1" ht="16.2" thickBot="1" x14ac:dyDescent="0.35">
      <c r="A256" s="27"/>
      <c r="B256" s="217" t="s">
        <v>139</v>
      </c>
      <c r="C256" s="31" t="str">
        <f>VLOOKUP((CONCATENATE(B256)),ID!$A$2:$D$305,3,0)</f>
        <v>RL038</v>
      </c>
      <c r="D256" s="27">
        <v>0</v>
      </c>
      <c r="E256" s="27" t="s">
        <v>4057</v>
      </c>
      <c r="F256" s="27" t="s">
        <v>3802</v>
      </c>
      <c r="G256" s="27" t="s">
        <v>3853</v>
      </c>
      <c r="H256" s="94">
        <v>3653</v>
      </c>
      <c r="I256" s="47">
        <v>3673</v>
      </c>
      <c r="J256" s="47">
        <v>3710</v>
      </c>
      <c r="K256" s="27">
        <v>0</v>
      </c>
      <c r="L256" s="47"/>
      <c r="M256" s="48"/>
      <c r="N256" s="47">
        <v>3693</v>
      </c>
      <c r="O256" s="27" t="s">
        <v>3819</v>
      </c>
      <c r="P256" s="194">
        <v>1</v>
      </c>
      <c r="Q256" s="21">
        <v>1</v>
      </c>
      <c r="R256" s="39" t="str">
        <f t="shared" si="75"/>
        <v>-</v>
      </c>
      <c r="S256" s="120">
        <f t="shared" si="50"/>
        <v>349287</v>
      </c>
      <c r="T256" s="123">
        <v>540454</v>
      </c>
      <c r="U256" s="123">
        <f>177270+109817</f>
        <v>287087</v>
      </c>
      <c r="V256" s="123">
        <f t="shared" si="72"/>
        <v>253367</v>
      </c>
      <c r="W256" s="122" t="str">
        <f t="shared" si="69"/>
        <v>1</v>
      </c>
      <c r="X256" s="123">
        <f>96750+2151+60420+4070+Y256</f>
        <v>191167</v>
      </c>
      <c r="Y256" s="123">
        <v>27776</v>
      </c>
      <c r="Z256" s="123">
        <f t="shared" si="73"/>
        <v>163391</v>
      </c>
      <c r="AA256" s="122" t="str">
        <f t="shared" si="70"/>
        <v>1</v>
      </c>
      <c r="AB256" s="120">
        <f t="shared" si="51"/>
        <v>0</v>
      </c>
      <c r="AC256" s="123">
        <v>0</v>
      </c>
      <c r="AD256" s="123">
        <v>0</v>
      </c>
      <c r="AE256" s="123">
        <v>39720</v>
      </c>
      <c r="AG256" s="152">
        <f>AH256-AL256</f>
        <v>200985</v>
      </c>
      <c r="AH256" s="134">
        <f>279966-15571</f>
        <v>264395</v>
      </c>
      <c r="AI256" s="134"/>
      <c r="AJ256" s="134"/>
      <c r="AK256" s="134"/>
      <c r="AL256" s="134">
        <f>45025+17385+1000</f>
        <v>63410</v>
      </c>
      <c r="AM256" s="134">
        <v>546441</v>
      </c>
      <c r="AN256" s="123">
        <v>297551</v>
      </c>
    </row>
    <row r="257" spans="1:40" s="123" customFormat="1" ht="16.2" thickBot="1" x14ac:dyDescent="0.35">
      <c r="A257" s="27"/>
      <c r="B257" s="217" t="s">
        <v>139</v>
      </c>
      <c r="C257" s="31" t="str">
        <f>VLOOKUP((CONCATENATE(B257)),ID!$A$2:$D$305,3,0)</f>
        <v>RL038</v>
      </c>
      <c r="D257" s="27">
        <v>0</v>
      </c>
      <c r="E257" s="27" t="s">
        <v>4057</v>
      </c>
      <c r="F257" s="27" t="s">
        <v>3802</v>
      </c>
      <c r="G257" s="27" t="s">
        <v>3853</v>
      </c>
      <c r="H257" s="94">
        <v>3834</v>
      </c>
      <c r="I257" s="47">
        <v>3862</v>
      </c>
      <c r="J257" s="47">
        <v>3862</v>
      </c>
      <c r="K257" s="27">
        <v>0</v>
      </c>
      <c r="L257" s="47"/>
      <c r="M257" s="48"/>
      <c r="N257" s="47">
        <v>3882</v>
      </c>
      <c r="O257" s="27" t="s">
        <v>3819</v>
      </c>
      <c r="P257" s="194">
        <v>1</v>
      </c>
      <c r="Q257" s="21">
        <v>1</v>
      </c>
      <c r="R257" s="39" t="str">
        <f t="shared" si="75"/>
        <v>-</v>
      </c>
      <c r="S257" s="120">
        <f t="shared" si="50"/>
        <v>356588</v>
      </c>
      <c r="T257" s="123">
        <v>515715</v>
      </c>
      <c r="U257" s="123">
        <f>141627+124141</f>
        <v>265768</v>
      </c>
      <c r="V257" s="123">
        <f t="shared" si="72"/>
        <v>249947</v>
      </c>
      <c r="W257" s="122" t="str">
        <f t="shared" si="69"/>
        <v>1</v>
      </c>
      <c r="X257" s="123">
        <f>63297+673+60422+4254+669+Y257</f>
        <v>159127</v>
      </c>
      <c r="Y257" s="123">
        <f>29230+582</f>
        <v>29812</v>
      </c>
      <c r="Z257" s="123">
        <f t="shared" si="73"/>
        <v>129315</v>
      </c>
      <c r="AA257" s="122" t="str">
        <f t="shared" si="70"/>
        <v>1</v>
      </c>
      <c r="AB257" s="120">
        <f t="shared" si="51"/>
        <v>0</v>
      </c>
      <c r="AC257" s="123">
        <v>0</v>
      </c>
      <c r="AD257" s="123">
        <v>0</v>
      </c>
      <c r="AE257" s="123">
        <v>12572</v>
      </c>
      <c r="AG257" s="152">
        <f>AH257-AL257</f>
        <v>134852</v>
      </c>
      <c r="AH257" s="134">
        <f>248365-51099</f>
        <v>197266</v>
      </c>
      <c r="AI257" s="134"/>
      <c r="AJ257" s="134"/>
      <c r="AK257" s="134"/>
      <c r="AL257" s="134">
        <f>45029+17385</f>
        <v>62414</v>
      </c>
      <c r="AM257" s="134">
        <v>494853</v>
      </c>
      <c r="AN257" s="123">
        <v>244452</v>
      </c>
    </row>
    <row r="258" spans="1:40" s="123" customFormat="1" ht="16.2" thickBot="1" x14ac:dyDescent="0.35">
      <c r="A258" s="27">
        <v>38.1</v>
      </c>
      <c r="B258" s="217" t="s">
        <v>139</v>
      </c>
      <c r="C258" s="31" t="str">
        <f>VLOOKUP((CONCATENATE(B258)),ID!$A$2:$D$305,3,0)</f>
        <v>RL038</v>
      </c>
      <c r="D258" s="27">
        <v>0</v>
      </c>
      <c r="E258" s="27" t="s">
        <v>4057</v>
      </c>
      <c r="F258" s="27" t="s">
        <v>3802</v>
      </c>
      <c r="G258" s="27" t="s">
        <v>3853</v>
      </c>
      <c r="H258" s="94">
        <v>4018</v>
      </c>
      <c r="I258" s="47">
        <v>4043</v>
      </c>
      <c r="J258" s="47">
        <v>4048</v>
      </c>
      <c r="K258" s="27">
        <v>0</v>
      </c>
      <c r="L258" s="27"/>
      <c r="M258" s="28"/>
      <c r="N258" s="47">
        <v>4064</v>
      </c>
      <c r="O258" s="27" t="s">
        <v>3819</v>
      </c>
      <c r="P258" s="194">
        <v>1</v>
      </c>
      <c r="Q258" s="21">
        <v>1</v>
      </c>
      <c r="R258" s="39" t="str">
        <f t="shared" si="75"/>
        <v>-</v>
      </c>
      <c r="S258" s="120">
        <f t="shared" si="50"/>
        <v>418025</v>
      </c>
      <c r="T258" s="123">
        <v>614336</v>
      </c>
      <c r="U258" s="123">
        <f>137971+145842</f>
        <v>283813</v>
      </c>
      <c r="V258" s="123">
        <f t="shared" si="72"/>
        <v>330523</v>
      </c>
      <c r="W258" s="122" t="str">
        <f t="shared" si="69"/>
        <v>1</v>
      </c>
      <c r="X258" s="123">
        <f>4834+60589+473+97949+Y258</f>
        <v>196311</v>
      </c>
      <c r="Y258" s="123">
        <f>30731+1735</f>
        <v>32466</v>
      </c>
      <c r="Z258" s="123">
        <f t="shared" si="73"/>
        <v>163845</v>
      </c>
      <c r="AA258" s="122" t="str">
        <f t="shared" si="70"/>
        <v>1</v>
      </c>
      <c r="AB258" s="120">
        <f t="shared" si="51"/>
        <v>0</v>
      </c>
      <c r="AC258" s="123">
        <v>0</v>
      </c>
      <c r="AD258" s="123">
        <v>0</v>
      </c>
      <c r="AE258" s="123">
        <v>48616</v>
      </c>
      <c r="AG258" s="151">
        <f t="shared" ref="AG258:AG267" si="76">AH258-AL258</f>
        <v>193875</v>
      </c>
      <c r="AH258" s="123">
        <f>295603-38414</f>
        <v>257189</v>
      </c>
      <c r="AL258" s="123">
        <f>45929+17385</f>
        <v>63314</v>
      </c>
      <c r="AM258" s="123">
        <v>571090</v>
      </c>
      <c r="AN258" s="123">
        <v>305751</v>
      </c>
    </row>
    <row r="259" spans="1:40" s="123" customFormat="1" ht="16.2" thickBot="1" x14ac:dyDescent="0.35">
      <c r="A259" s="27">
        <v>38.200000000000003</v>
      </c>
      <c r="B259" s="217" t="s">
        <v>139</v>
      </c>
      <c r="C259" s="31" t="str">
        <f>VLOOKUP((CONCATENATE(B259)),ID!$A$2:$D$305,3,0)</f>
        <v>RL038</v>
      </c>
      <c r="D259" s="27">
        <v>0</v>
      </c>
      <c r="E259" s="27" t="s">
        <v>4057</v>
      </c>
      <c r="F259" s="27" t="s">
        <v>3802</v>
      </c>
      <c r="G259" s="27" t="s">
        <v>3853</v>
      </c>
      <c r="H259" s="94">
        <v>4199</v>
      </c>
      <c r="I259" s="47">
        <v>4220</v>
      </c>
      <c r="J259" s="47">
        <v>4224</v>
      </c>
      <c r="K259" s="27">
        <v>0</v>
      </c>
      <c r="L259" s="27"/>
      <c r="M259" s="28"/>
      <c r="N259" s="47">
        <v>4239</v>
      </c>
      <c r="O259" s="27" t="s">
        <v>3819</v>
      </c>
      <c r="P259" s="194">
        <v>1</v>
      </c>
      <c r="Q259" s="21">
        <v>1</v>
      </c>
      <c r="R259" s="39" t="str">
        <f t="shared" si="75"/>
        <v>-</v>
      </c>
      <c r="S259" s="120">
        <f t="shared" si="50"/>
        <v>375719</v>
      </c>
      <c r="T259" s="123">
        <v>635198</v>
      </c>
      <c r="U259" s="123">
        <f>336212</f>
        <v>336212</v>
      </c>
      <c r="V259" s="123">
        <f t="shared" si="72"/>
        <v>298986</v>
      </c>
      <c r="W259" s="122" t="str">
        <f t="shared" si="69"/>
        <v>1</v>
      </c>
      <c r="X259" s="123">
        <f>82435+4775+60452+2424+74061+Y259</f>
        <v>259479</v>
      </c>
      <c r="Y259" s="123">
        <f>32233+3099</f>
        <v>35332</v>
      </c>
      <c r="Z259" s="123">
        <f t="shared" si="73"/>
        <v>224147</v>
      </c>
      <c r="AA259" s="122" t="str">
        <f t="shared" si="70"/>
        <v>1</v>
      </c>
      <c r="AB259" s="120">
        <f t="shared" si="51"/>
        <v>0</v>
      </c>
      <c r="AC259" s="123">
        <v>0</v>
      </c>
      <c r="AD259" s="123">
        <v>0</v>
      </c>
      <c r="AE259" s="123">
        <v>5097</v>
      </c>
      <c r="AG259" s="151">
        <f t="shared" si="76"/>
        <v>134239</v>
      </c>
      <c r="AH259" s="123">
        <f>248826-51273</f>
        <v>197553</v>
      </c>
      <c r="AL259" s="123">
        <f>45929+17385</f>
        <v>63314</v>
      </c>
      <c r="AM259" s="123">
        <v>508988</v>
      </c>
      <c r="AN259" s="123">
        <v>248778</v>
      </c>
    </row>
    <row r="260" spans="1:40" s="123" customFormat="1" ht="16.2" thickBot="1" x14ac:dyDescent="0.35">
      <c r="A260" s="27">
        <v>38.299999999999997</v>
      </c>
      <c r="B260" s="217" t="s">
        <v>139</v>
      </c>
      <c r="C260" s="31" t="str">
        <f>VLOOKUP((CONCATENATE(B260)),ID!$A$2:$D$305,3,0)</f>
        <v>RL038</v>
      </c>
      <c r="D260" s="27">
        <v>0</v>
      </c>
      <c r="E260" s="27" t="s">
        <v>4057</v>
      </c>
      <c r="F260" s="27" t="s">
        <v>3802</v>
      </c>
      <c r="G260" s="27" t="s">
        <v>3853</v>
      </c>
      <c r="H260" s="94">
        <v>4383</v>
      </c>
      <c r="I260" s="47">
        <v>4408</v>
      </c>
      <c r="J260" s="47">
        <v>4414</v>
      </c>
      <c r="K260" s="27">
        <v>0</v>
      </c>
      <c r="L260" s="27"/>
      <c r="M260" s="28"/>
      <c r="N260" s="47">
        <v>4428</v>
      </c>
      <c r="O260" s="27" t="s">
        <v>3819</v>
      </c>
      <c r="P260" s="194">
        <v>1</v>
      </c>
      <c r="Q260" s="21">
        <v>1</v>
      </c>
      <c r="R260" s="39" t="str">
        <f t="shared" si="75"/>
        <v>-</v>
      </c>
      <c r="S260" s="120">
        <f t="shared" si="50"/>
        <v>383903</v>
      </c>
      <c r="T260" s="123">
        <v>669975</v>
      </c>
      <c r="U260" s="123">
        <f>436978</f>
        <v>436978</v>
      </c>
      <c r="V260" s="123">
        <f t="shared" si="72"/>
        <v>232997</v>
      </c>
      <c r="W260" s="122" t="str">
        <f t="shared" si="69"/>
        <v>1</v>
      </c>
      <c r="X260" s="123">
        <f>78930+4989+60322+2532+99545+Y260</f>
        <v>286072</v>
      </c>
      <c r="Y260" s="123">
        <f>4488+35266</f>
        <v>39754</v>
      </c>
      <c r="Z260" s="123">
        <f t="shared" si="73"/>
        <v>246318</v>
      </c>
      <c r="AA260" s="122" t="str">
        <f t="shared" si="70"/>
        <v>1</v>
      </c>
      <c r="AB260" s="120">
        <f t="shared" si="51"/>
        <v>0</v>
      </c>
      <c r="AC260" s="123">
        <v>0</v>
      </c>
      <c r="AD260" s="123">
        <v>0</v>
      </c>
      <c r="AE260" s="123">
        <v>3893</v>
      </c>
      <c r="AG260" s="151">
        <f t="shared" si="76"/>
        <v>184105</v>
      </c>
      <c r="AH260" s="123">
        <f>291202-38717-AK260</f>
        <v>247485</v>
      </c>
      <c r="AK260" s="123">
        <v>5000</v>
      </c>
      <c r="AL260" s="123">
        <f>45995+17385</f>
        <v>63380</v>
      </c>
      <c r="AM260" s="123">
        <v>577353</v>
      </c>
      <c r="AN260" s="123">
        <v>242425</v>
      </c>
    </row>
    <row r="261" spans="1:40" s="123" customFormat="1" ht="16.2" thickBot="1" x14ac:dyDescent="0.35">
      <c r="A261" s="27">
        <v>38.4</v>
      </c>
      <c r="B261" s="217" t="s">
        <v>139</v>
      </c>
      <c r="C261" s="31" t="str">
        <f>VLOOKUP((CONCATENATE(B261)),ID!$A$2:$D$305,3,0)</f>
        <v>RL038</v>
      </c>
      <c r="D261" s="27">
        <v>0</v>
      </c>
      <c r="E261" s="27" t="s">
        <v>4057</v>
      </c>
      <c r="F261" s="27" t="s">
        <v>3802</v>
      </c>
      <c r="G261" s="27" t="s">
        <v>3853</v>
      </c>
      <c r="H261" s="94">
        <v>4565</v>
      </c>
      <c r="I261" s="47">
        <v>4583</v>
      </c>
      <c r="J261" s="47">
        <v>4591</v>
      </c>
      <c r="K261" s="27">
        <v>0</v>
      </c>
      <c r="L261" s="27"/>
      <c r="M261" s="28"/>
      <c r="N261" s="47">
        <v>4603</v>
      </c>
      <c r="O261" s="27" t="s">
        <v>3819</v>
      </c>
      <c r="P261" s="194">
        <v>1</v>
      </c>
      <c r="Q261" s="21">
        <v>1</v>
      </c>
      <c r="R261" s="39" t="str">
        <f t="shared" si="75"/>
        <v>-</v>
      </c>
      <c r="S261" s="120">
        <f t="shared" si="50"/>
        <v>356929</v>
      </c>
      <c r="T261" s="123">
        <v>558073</v>
      </c>
      <c r="U261" s="123">
        <f>249980+39977</f>
        <v>289957</v>
      </c>
      <c r="V261" s="123">
        <f t="shared" si="72"/>
        <v>268116</v>
      </c>
      <c r="W261" s="122" t="str">
        <f t="shared" si="69"/>
        <v>1</v>
      </c>
      <c r="X261" s="123">
        <f>6310+60769+829+88906+Y261</f>
        <v>201144</v>
      </c>
      <c r="Y261" s="123">
        <f>39055+5275</f>
        <v>44330</v>
      </c>
      <c r="Z261" s="123">
        <f t="shared" si="73"/>
        <v>156814</v>
      </c>
      <c r="AA261" s="122" t="str">
        <f t="shared" si="70"/>
        <v>1</v>
      </c>
      <c r="AB261" s="120">
        <f t="shared" si="51"/>
        <v>0</v>
      </c>
      <c r="AC261" s="123">
        <v>0</v>
      </c>
      <c r="AD261" s="123">
        <v>0</v>
      </c>
      <c r="AE261" s="123">
        <v>9405</v>
      </c>
      <c r="AG261" s="151">
        <f t="shared" si="76"/>
        <v>117332</v>
      </c>
      <c r="AH261" s="123">
        <f>231912-49025</f>
        <v>182887</v>
      </c>
      <c r="AL261" s="123">
        <f>46070+17385+2100</f>
        <v>65555</v>
      </c>
      <c r="AM261" s="123">
        <v>516132</v>
      </c>
      <c r="AN261" s="123">
        <v>250354</v>
      </c>
    </row>
    <row r="262" spans="1:40" s="123" customFormat="1" ht="16.2" thickBot="1" x14ac:dyDescent="0.35">
      <c r="A262" s="27"/>
      <c r="B262" s="217" t="s">
        <v>139</v>
      </c>
      <c r="C262" s="31" t="str">
        <f>VLOOKUP((CONCATENATE(B262)),ID!$A$2:$D$305,3,0)</f>
        <v>RL038</v>
      </c>
      <c r="D262" s="27">
        <v>0</v>
      </c>
      <c r="E262" s="27" t="s">
        <v>4057</v>
      </c>
      <c r="F262" s="27" t="s">
        <v>3802</v>
      </c>
      <c r="G262" s="27" t="s">
        <v>3853</v>
      </c>
      <c r="H262" s="94">
        <v>4749</v>
      </c>
      <c r="I262" s="47">
        <v>4765</v>
      </c>
      <c r="J262" s="47">
        <v>4771</v>
      </c>
      <c r="K262" s="27">
        <v>0</v>
      </c>
      <c r="L262" s="27"/>
      <c r="M262" s="28"/>
      <c r="N262" s="47">
        <v>4785</v>
      </c>
      <c r="O262" s="27" t="s">
        <v>3819</v>
      </c>
      <c r="P262" s="194">
        <v>1</v>
      </c>
      <c r="Q262" s="21">
        <v>1</v>
      </c>
      <c r="R262" s="39" t="str">
        <f t="shared" si="75"/>
        <v>-</v>
      </c>
      <c r="S262" s="120">
        <f t="shared" si="50"/>
        <v>414314</v>
      </c>
      <c r="T262" s="123">
        <v>590452</v>
      </c>
      <c r="U262" s="123">
        <f>290242+49427</f>
        <v>339669</v>
      </c>
      <c r="V262" s="123">
        <f>T262-U262</f>
        <v>250783</v>
      </c>
      <c r="W262" s="122" t="str">
        <f>IF(V262+U262=T262,"1","0")</f>
        <v>1</v>
      </c>
      <c r="X262" s="123">
        <f>32+4273+60591+935+62374+Y262</f>
        <v>176138</v>
      </c>
      <c r="Y262" s="123">
        <f>7056+40877</f>
        <v>47933</v>
      </c>
      <c r="Z262" s="123">
        <f t="shared" si="73"/>
        <v>128205</v>
      </c>
      <c r="AA262" s="122" t="str">
        <f t="shared" si="70"/>
        <v>1</v>
      </c>
      <c r="AB262" s="120">
        <f t="shared" si="51"/>
        <v>0</v>
      </c>
      <c r="AC262" s="123">
        <v>0</v>
      </c>
      <c r="AD262" s="123">
        <v>0</v>
      </c>
      <c r="AE262" s="123">
        <v>21069</v>
      </c>
      <c r="AG262" s="151">
        <f t="shared" si="76"/>
        <v>174135</v>
      </c>
      <c r="AH262" s="123">
        <f>266413-28823</f>
        <v>237590</v>
      </c>
      <c r="AK262" s="123">
        <v>5000</v>
      </c>
      <c r="AL262" s="123">
        <f>46070+17385</f>
        <v>63455</v>
      </c>
      <c r="AM262" s="123">
        <v>573242</v>
      </c>
      <c r="AN262" s="123">
        <v>305625</v>
      </c>
    </row>
    <row r="263" spans="1:40" s="123" customFormat="1" ht="16.2" thickBot="1" x14ac:dyDescent="0.35">
      <c r="A263" s="27"/>
      <c r="B263" s="217" t="s">
        <v>139</v>
      </c>
      <c r="C263" s="31" t="str">
        <f>VLOOKUP((CONCATENATE(B263)),ID!$A$2:$D$305,3,0)</f>
        <v>RL038</v>
      </c>
      <c r="D263" s="27">
        <v>1</v>
      </c>
      <c r="E263" s="27" t="s">
        <v>4057</v>
      </c>
      <c r="F263" s="27" t="s">
        <v>3802</v>
      </c>
      <c r="G263" s="27" t="s">
        <v>3853</v>
      </c>
      <c r="H263" s="94">
        <v>5114</v>
      </c>
      <c r="I263" s="47">
        <v>5143</v>
      </c>
      <c r="J263" s="47">
        <v>5150</v>
      </c>
      <c r="K263" s="27">
        <v>0</v>
      </c>
      <c r="L263" s="27"/>
      <c r="M263" s="28"/>
      <c r="N263" s="47">
        <v>5163</v>
      </c>
      <c r="O263" s="27" t="s">
        <v>3819</v>
      </c>
      <c r="P263" s="194">
        <v>1</v>
      </c>
      <c r="Q263" s="21">
        <v>1</v>
      </c>
      <c r="R263" s="39" t="str">
        <f t="shared" si="75"/>
        <v>-</v>
      </c>
      <c r="S263" s="120">
        <f t="shared" si="50"/>
        <v>465943</v>
      </c>
      <c r="T263" s="123">
        <v>686625</v>
      </c>
      <c r="U263" s="123">
        <f>316506+14623+43650</f>
        <v>374779</v>
      </c>
      <c r="V263" s="123">
        <f>T263-U263</f>
        <v>311846</v>
      </c>
      <c r="W263" s="122" t="str">
        <f>IF(V263+U263=T263,"1","0")</f>
        <v>1</v>
      </c>
      <c r="X263" s="123">
        <f>4630+61050+3749+54366+25233+16389+Y263</f>
        <v>220682</v>
      </c>
      <c r="Y263" s="123">
        <f>46272+8993</f>
        <v>55265</v>
      </c>
      <c r="Z263" s="123">
        <f t="shared" si="73"/>
        <v>165417</v>
      </c>
      <c r="AA263" s="122" t="str">
        <f t="shared" si="70"/>
        <v>1</v>
      </c>
      <c r="AB263" s="120">
        <f t="shared" si="51"/>
        <v>0</v>
      </c>
      <c r="AC263" s="123">
        <v>0</v>
      </c>
      <c r="AD263" s="123">
        <v>0</v>
      </c>
      <c r="AE263" s="123">
        <v>85775</v>
      </c>
      <c r="AG263" s="151">
        <f t="shared" si="76"/>
        <v>312030</v>
      </c>
      <c r="AH263" s="123">
        <f>457630-1307-7736-2000-AK263</f>
        <v>442851</v>
      </c>
      <c r="AK263" s="123">
        <v>3736</v>
      </c>
      <c r="AL263" s="123">
        <f>1873+1307+92488+34770+383</f>
        <v>130821</v>
      </c>
      <c r="AM263" s="123">
        <v>1191286</v>
      </c>
    </row>
    <row r="264" spans="1:40" s="123" customFormat="1" ht="16.2" thickBot="1" x14ac:dyDescent="0.35">
      <c r="A264" s="27"/>
      <c r="B264" s="212" t="s">
        <v>140</v>
      </c>
      <c r="C264" s="31" t="str">
        <f>VLOOKUP((CONCATENATE(B264)),ID!$A$2:$D$305,3,0)</f>
        <v>RL039</v>
      </c>
      <c r="D264" s="21">
        <v>0</v>
      </c>
      <c r="E264" s="21" t="s">
        <v>4057</v>
      </c>
      <c r="F264" s="21" t="s">
        <v>3802</v>
      </c>
      <c r="G264" s="21" t="s">
        <v>3853</v>
      </c>
      <c r="H264" s="94">
        <v>3653</v>
      </c>
      <c r="I264" s="47">
        <v>3674</v>
      </c>
      <c r="J264" s="47">
        <v>3680</v>
      </c>
      <c r="K264" s="27">
        <v>0</v>
      </c>
      <c r="L264" s="27"/>
      <c r="M264" s="28"/>
      <c r="N264" s="47">
        <v>3700</v>
      </c>
      <c r="O264" s="21" t="s">
        <v>3820</v>
      </c>
      <c r="P264" s="194" t="str">
        <f t="shared" ref="P264:P317" si="77">IF(AJ264=0,"?","1")</f>
        <v>1</v>
      </c>
      <c r="Q264" s="21">
        <v>1</v>
      </c>
      <c r="R264" s="39" t="str">
        <f t="shared" si="75"/>
        <v>-</v>
      </c>
      <c r="S264" s="120">
        <f t="shared" si="50"/>
        <v>436907</v>
      </c>
      <c r="T264" s="123">
        <v>742187</v>
      </c>
      <c r="U264" s="123">
        <f>191589+119859</f>
        <v>311448</v>
      </c>
      <c r="V264" s="123">
        <f>T264-U264</f>
        <v>430739</v>
      </c>
      <c r="W264" s="122" t="str">
        <f>IF(V264+U264=T264,"1","0")</f>
        <v>1</v>
      </c>
      <c r="X264" s="123">
        <f>T264-18169-122000-13047-283691</f>
        <v>305280</v>
      </c>
      <c r="Y264" s="123">
        <f>110592+20844</f>
        <v>131436</v>
      </c>
      <c r="Z264" s="123">
        <f t="shared" si="73"/>
        <v>173844</v>
      </c>
      <c r="AA264" s="122" t="str">
        <f t="shared" si="70"/>
        <v>1</v>
      </c>
      <c r="AB264" s="120">
        <f t="shared" si="51"/>
        <v>20844</v>
      </c>
      <c r="AC264" s="123">
        <v>0</v>
      </c>
      <c r="AD264" s="123">
        <v>20844</v>
      </c>
      <c r="AE264" s="123">
        <f>23582+85000</f>
        <v>108582</v>
      </c>
      <c r="AG264" s="151">
        <f>AH264-AL264</f>
        <v>257650</v>
      </c>
      <c r="AH264" s="123">
        <f>390838-30984-276-20496</f>
        <v>339082</v>
      </c>
      <c r="AJ264" s="123">
        <f>2400+2205</f>
        <v>4605</v>
      </c>
      <c r="AL264" s="123">
        <f>79496+1936</f>
        <v>81432</v>
      </c>
      <c r="AM264" s="123">
        <v>787143</v>
      </c>
      <c r="AN264" s="123">
        <v>399070</v>
      </c>
    </row>
    <row r="265" spans="1:40" s="123" customFormat="1" ht="16.2" thickBot="1" x14ac:dyDescent="0.35">
      <c r="A265" s="27"/>
      <c r="B265" s="212" t="s">
        <v>140</v>
      </c>
      <c r="C265" s="31" t="str">
        <f>VLOOKUP((CONCATENATE(B265)),ID!$A$2:$D$305,3,0)</f>
        <v>RL039</v>
      </c>
      <c r="D265" s="21">
        <v>0</v>
      </c>
      <c r="E265" s="21" t="s">
        <v>4057</v>
      </c>
      <c r="F265" s="21" t="s">
        <v>3802</v>
      </c>
      <c r="G265" s="21" t="s">
        <v>3853</v>
      </c>
      <c r="H265" s="94">
        <v>3834</v>
      </c>
      <c r="I265" s="47">
        <v>3852</v>
      </c>
      <c r="J265" s="47">
        <v>3862</v>
      </c>
      <c r="K265" s="27">
        <v>0</v>
      </c>
      <c r="L265" s="27"/>
      <c r="M265" s="28"/>
      <c r="N265" s="47">
        <v>3875</v>
      </c>
      <c r="O265" s="21" t="s">
        <v>3820</v>
      </c>
      <c r="P265" s="194" t="str">
        <f t="shared" si="77"/>
        <v>1</v>
      </c>
      <c r="Q265" s="21">
        <v>1</v>
      </c>
      <c r="R265" s="39" t="str">
        <f t="shared" si="75"/>
        <v>-</v>
      </c>
      <c r="S265" s="120">
        <f t="shared" si="50"/>
        <v>395279</v>
      </c>
      <c r="T265" s="123">
        <v>700184</v>
      </c>
      <c r="U265" s="123">
        <f>204589+121891</f>
        <v>326480</v>
      </c>
      <c r="V265" s="123">
        <f>T265-U265</f>
        <v>373704</v>
      </c>
      <c r="W265" s="122" t="str">
        <f>IF(V265+U265=T265,"1","0")</f>
        <v>1</v>
      </c>
      <c r="X265" s="123">
        <f>T265-15769-122000-15602-241908</f>
        <v>304905</v>
      </c>
      <c r="Y265" s="123">
        <f>111263+24789</f>
        <v>136052</v>
      </c>
      <c r="Z265" s="123">
        <f t="shared" si="73"/>
        <v>168853</v>
      </c>
      <c r="AA265" s="122" t="str">
        <f t="shared" si="70"/>
        <v>1</v>
      </c>
      <c r="AB265" s="120">
        <f t="shared" si="51"/>
        <v>24789</v>
      </c>
      <c r="AC265" s="123">
        <v>0</v>
      </c>
      <c r="AD265" s="123">
        <v>24789</v>
      </c>
      <c r="AE265" s="123">
        <f>23924+15000</f>
        <v>38924</v>
      </c>
      <c r="AG265" s="151">
        <f>AH265-AL265</f>
        <v>182025</v>
      </c>
      <c r="AH265" s="123">
        <f>349405-64819-20098-339</f>
        <v>264149</v>
      </c>
      <c r="AJ265" s="123">
        <f>2198+2400</f>
        <v>4598</v>
      </c>
      <c r="AL265" s="123">
        <f>79496+2628</f>
        <v>82124</v>
      </c>
      <c r="AM265" s="123">
        <v>702417</v>
      </c>
      <c r="AN265" s="123">
        <v>335404</v>
      </c>
    </row>
    <row r="266" spans="1:40" s="123" customFormat="1" ht="16.2" thickBot="1" x14ac:dyDescent="0.35">
      <c r="A266" s="27">
        <v>39.1</v>
      </c>
      <c r="B266" s="217" t="s">
        <v>140</v>
      </c>
      <c r="C266" s="31" t="str">
        <f>VLOOKUP((CONCATENATE(B266)),ID!$A$2:$D$305,3,0)</f>
        <v>RL039</v>
      </c>
      <c r="D266" s="27">
        <v>0</v>
      </c>
      <c r="E266" s="27" t="s">
        <v>4057</v>
      </c>
      <c r="F266" s="27" t="s">
        <v>3802</v>
      </c>
      <c r="G266" s="27" t="s">
        <v>3853</v>
      </c>
      <c r="H266" s="94">
        <v>4018</v>
      </c>
      <c r="I266" s="47">
        <v>4038</v>
      </c>
      <c r="J266" s="47">
        <v>4050</v>
      </c>
      <c r="K266" s="27">
        <v>0</v>
      </c>
      <c r="L266" s="27"/>
      <c r="M266" s="28"/>
      <c r="N266" s="47">
        <v>4064</v>
      </c>
      <c r="O266" s="21" t="s">
        <v>3820</v>
      </c>
      <c r="P266" s="194" t="str">
        <f t="shared" si="77"/>
        <v>1</v>
      </c>
      <c r="Q266" s="21">
        <v>1</v>
      </c>
      <c r="R266" s="39" t="str">
        <f t="shared" si="75"/>
        <v>-</v>
      </c>
      <c r="S266" s="120">
        <f t="shared" si="50"/>
        <v>428619</v>
      </c>
      <c r="T266" s="123">
        <v>761464</v>
      </c>
      <c r="U266" s="123">
        <f>210513+121891</f>
        <v>332404</v>
      </c>
      <c r="V266" s="123">
        <f t="shared" si="72"/>
        <v>429060</v>
      </c>
      <c r="W266" s="122" t="str">
        <f t="shared" si="69"/>
        <v>1</v>
      </c>
      <c r="X266" s="123">
        <f>8370+74859+3062+24462+13451+96468+112173</f>
        <v>332845</v>
      </c>
      <c r="Y266" s="123">
        <f>24462+112173</f>
        <v>136635</v>
      </c>
      <c r="Z266" s="123">
        <f t="shared" si="73"/>
        <v>196210</v>
      </c>
      <c r="AA266" s="122" t="str">
        <f t="shared" si="70"/>
        <v>1</v>
      </c>
      <c r="AB266" s="120">
        <f t="shared" si="51"/>
        <v>24462</v>
      </c>
      <c r="AC266" s="123">
        <v>0</v>
      </c>
      <c r="AD266" s="123">
        <v>24462</v>
      </c>
      <c r="AE266" s="123">
        <f>55000+15815</f>
        <v>70815</v>
      </c>
      <c r="AG266" s="151">
        <f t="shared" si="76"/>
        <v>285756</v>
      </c>
      <c r="AH266" s="123">
        <f>421912-33419-20506-286</f>
        <v>367701</v>
      </c>
      <c r="AJ266" s="123">
        <f>2400+2512</f>
        <v>4912</v>
      </c>
      <c r="AL266" s="123">
        <f>79496+2449</f>
        <v>81945</v>
      </c>
      <c r="AM266" s="123">
        <v>813610</v>
      </c>
      <c r="AN266" s="123">
        <v>415891</v>
      </c>
    </row>
    <row r="267" spans="1:40" s="123" customFormat="1" ht="16.2" thickBot="1" x14ac:dyDescent="0.35">
      <c r="A267" s="27">
        <v>39.200000000000003</v>
      </c>
      <c r="B267" s="217" t="s">
        <v>140</v>
      </c>
      <c r="C267" s="31" t="str">
        <f>VLOOKUP((CONCATENATE(B267)),ID!$A$2:$D$305,3,0)</f>
        <v>RL039</v>
      </c>
      <c r="D267" s="27">
        <v>0</v>
      </c>
      <c r="E267" s="27" t="s">
        <v>4057</v>
      </c>
      <c r="F267" s="27" t="s">
        <v>3802</v>
      </c>
      <c r="G267" s="27" t="s">
        <v>3853</v>
      </c>
      <c r="H267" s="94">
        <v>4199</v>
      </c>
      <c r="I267" s="47">
        <v>4213</v>
      </c>
      <c r="J267" s="47">
        <v>4225</v>
      </c>
      <c r="K267" s="27">
        <v>0</v>
      </c>
      <c r="L267" s="27"/>
      <c r="M267" s="27"/>
      <c r="N267" s="47">
        <v>4239</v>
      </c>
      <c r="O267" s="21" t="s">
        <v>3820</v>
      </c>
      <c r="P267" s="194" t="str">
        <f t="shared" si="77"/>
        <v>1</v>
      </c>
      <c r="Q267" s="21">
        <v>1</v>
      </c>
      <c r="R267" s="39" t="str">
        <f t="shared" si="75"/>
        <v>-</v>
      </c>
      <c r="S267" s="120">
        <f t="shared" si="50"/>
        <v>394776</v>
      </c>
      <c r="T267" s="123">
        <v>706676</v>
      </c>
      <c r="U267" s="123">
        <f>221997+121891</f>
        <v>343888</v>
      </c>
      <c r="V267" s="123">
        <f t="shared" si="72"/>
        <v>362788</v>
      </c>
      <c r="W267" s="122" t="str">
        <f t="shared" si="69"/>
        <v>1</v>
      </c>
      <c r="X267" s="123">
        <f>8696+74859+3062+26348+10923+74763+113249</f>
        <v>311900</v>
      </c>
      <c r="Y267" s="123">
        <f>26348+113249</f>
        <v>139597</v>
      </c>
      <c r="Z267" s="123">
        <f t="shared" si="73"/>
        <v>172303</v>
      </c>
      <c r="AA267" s="122" t="str">
        <f t="shared" si="70"/>
        <v>1</v>
      </c>
      <c r="AB267" s="120">
        <f t="shared" si="51"/>
        <v>26348</v>
      </c>
      <c r="AC267" s="123">
        <v>0</v>
      </c>
      <c r="AD267" s="123">
        <v>26348</v>
      </c>
      <c r="AE267" s="123">
        <v>18618</v>
      </c>
      <c r="AG267" s="151">
        <f t="shared" si="76"/>
        <v>210232</v>
      </c>
      <c r="AH267" s="123">
        <f>374082-60396-20606-241</f>
        <v>292839</v>
      </c>
      <c r="AJ267" s="123">
        <f>2400+2513</f>
        <v>4913</v>
      </c>
      <c r="AL267" s="123">
        <f>3111+79496</f>
        <v>82607</v>
      </c>
      <c r="AM267" s="123">
        <v>728774</v>
      </c>
      <c r="AN267" s="123">
        <v>342508</v>
      </c>
    </row>
    <row r="268" spans="1:40" s="123" customFormat="1" ht="16.2" thickBot="1" x14ac:dyDescent="0.35">
      <c r="A268" s="21">
        <v>39.299999999999997</v>
      </c>
      <c r="B268" s="212" t="s">
        <v>140</v>
      </c>
      <c r="C268" s="31" t="str">
        <f>VLOOKUP((CONCATENATE(B268)),ID!$A$2:$D$305,3,0)</f>
        <v>RL039</v>
      </c>
      <c r="D268" s="21">
        <v>0</v>
      </c>
      <c r="E268" s="21" t="s">
        <v>4057</v>
      </c>
      <c r="F268" s="21" t="s">
        <v>3802</v>
      </c>
      <c r="G268" s="21" t="s">
        <v>3853</v>
      </c>
      <c r="H268" s="94">
        <v>4383</v>
      </c>
      <c r="I268" s="43">
        <v>4405</v>
      </c>
      <c r="J268" s="43">
        <v>4414</v>
      </c>
      <c r="K268" s="21">
        <v>0</v>
      </c>
      <c r="L268" s="21"/>
      <c r="M268" s="21"/>
      <c r="N268" s="43">
        <v>4428</v>
      </c>
      <c r="O268" s="21" t="s">
        <v>3820</v>
      </c>
      <c r="P268" s="194" t="str">
        <f t="shared" si="77"/>
        <v>1</v>
      </c>
      <c r="Q268" s="21">
        <v>1</v>
      </c>
      <c r="R268" s="39" t="str">
        <f t="shared" si="75"/>
        <v>-</v>
      </c>
      <c r="S268" s="120">
        <f t="shared" si="50"/>
        <v>426876</v>
      </c>
      <c r="T268" s="123">
        <v>756145</v>
      </c>
      <c r="U268" s="123">
        <f>287207+121891</f>
        <v>409098</v>
      </c>
      <c r="V268" s="123">
        <f t="shared" si="72"/>
        <v>347047</v>
      </c>
      <c r="W268" s="122" t="str">
        <f t="shared" si="69"/>
        <v>1</v>
      </c>
      <c r="X268" s="123">
        <f>7593+74859+3062+26720+11915+92658+112462</f>
        <v>329269</v>
      </c>
      <c r="Y268" s="123">
        <f>112462+26720</f>
        <v>139182</v>
      </c>
      <c r="Z268" s="123">
        <f t="shared" si="73"/>
        <v>190087</v>
      </c>
      <c r="AA268" s="122" t="str">
        <f t="shared" si="70"/>
        <v>1</v>
      </c>
      <c r="AB268" s="120">
        <f t="shared" si="51"/>
        <v>26720</v>
      </c>
      <c r="AC268" s="123">
        <v>0</v>
      </c>
      <c r="AD268" s="123">
        <v>26720</v>
      </c>
      <c r="AE268" s="123">
        <v>8209</v>
      </c>
      <c r="AG268" s="151">
        <f t="shared" ref="AG268:AG285" si="78">AH268-AL268</f>
        <v>244939</v>
      </c>
      <c r="AH268" s="123">
        <f>340184+2148+6080-20612-158</f>
        <v>327642</v>
      </c>
      <c r="AJ268" s="123">
        <f>2400+2215</f>
        <v>4615</v>
      </c>
      <c r="AL268" s="123">
        <f>79496+3207</f>
        <v>82703</v>
      </c>
      <c r="AM268" s="123">
        <f>772982</f>
        <v>772982</v>
      </c>
      <c r="AN268" s="123">
        <v>300075</v>
      </c>
    </row>
    <row r="269" spans="1:40" s="123" customFormat="1" ht="16.2" thickBot="1" x14ac:dyDescent="0.35">
      <c r="A269" s="21">
        <v>39.4</v>
      </c>
      <c r="B269" s="212" t="s">
        <v>140</v>
      </c>
      <c r="C269" s="31" t="str">
        <f>VLOOKUP((CONCATENATE(B269)),ID!$A$2:$D$305,3,0)</f>
        <v>RL039</v>
      </c>
      <c r="D269" s="21">
        <v>0</v>
      </c>
      <c r="E269" s="21" t="s">
        <v>4057</v>
      </c>
      <c r="F269" s="21" t="s">
        <v>3802</v>
      </c>
      <c r="G269" s="21" t="s">
        <v>3853</v>
      </c>
      <c r="H269" s="94">
        <v>4565</v>
      </c>
      <c r="I269" s="43">
        <v>4577</v>
      </c>
      <c r="J269" s="43">
        <v>4589</v>
      </c>
      <c r="K269" s="21">
        <v>0</v>
      </c>
      <c r="L269" s="21"/>
      <c r="M269" s="21"/>
      <c r="N269" s="43">
        <v>4603</v>
      </c>
      <c r="O269" s="21" t="s">
        <v>3820</v>
      </c>
      <c r="P269" s="194" t="str">
        <f t="shared" si="77"/>
        <v>1</v>
      </c>
      <c r="Q269" s="21">
        <v>1</v>
      </c>
      <c r="R269" s="39" t="str">
        <f t="shared" si="75"/>
        <v>-</v>
      </c>
      <c r="S269" s="120">
        <f t="shared" si="50"/>
        <v>407369</v>
      </c>
      <c r="T269" s="123">
        <v>780531</v>
      </c>
      <c r="U269" s="123">
        <f>313482+121891</f>
        <v>435373</v>
      </c>
      <c r="V269" s="123">
        <f t="shared" si="72"/>
        <v>345158</v>
      </c>
      <c r="W269" s="122" t="str">
        <f t="shared" si="69"/>
        <v>1</v>
      </c>
      <c r="X269" s="123">
        <f>7233+74859+3062+60410+29460+11045+76650+110443</f>
        <v>373162</v>
      </c>
      <c r="Y269" s="123">
        <f>29460+110443</f>
        <v>139903</v>
      </c>
      <c r="Z269" s="123">
        <f t="shared" si="73"/>
        <v>233259</v>
      </c>
      <c r="AA269" s="122" t="str">
        <f t="shared" si="70"/>
        <v>1</v>
      </c>
      <c r="AB269" s="120">
        <f t="shared" si="51"/>
        <v>29460</v>
      </c>
      <c r="AC269" s="123">
        <v>0</v>
      </c>
      <c r="AD269" s="123">
        <v>29460</v>
      </c>
      <c r="AE269" s="123">
        <v>15969</v>
      </c>
      <c r="AG269" s="151">
        <f t="shared" si="78"/>
        <v>209305</v>
      </c>
      <c r="AH269" s="123">
        <f>304620+2148+6245-19581-226</f>
        <v>293206</v>
      </c>
      <c r="AJ269" s="123">
        <f>2400+2456</f>
        <v>4856</v>
      </c>
      <c r="AL269" s="123">
        <f>4405+79496</f>
        <v>83901</v>
      </c>
      <c r="AM269" s="123">
        <v>742104</v>
      </c>
      <c r="AN269" s="123">
        <v>344182</v>
      </c>
    </row>
    <row r="270" spans="1:40" s="123" customFormat="1" ht="16.2" thickBot="1" x14ac:dyDescent="0.35">
      <c r="A270" s="21"/>
      <c r="B270" s="212" t="s">
        <v>140</v>
      </c>
      <c r="C270" s="31" t="str">
        <f>VLOOKUP((CONCATENATE(B270)),ID!$A$2:$D$305,3,0)</f>
        <v>RL039</v>
      </c>
      <c r="D270" s="21">
        <v>0</v>
      </c>
      <c r="E270" s="21" t="s">
        <v>4057</v>
      </c>
      <c r="F270" s="21" t="s">
        <v>3802</v>
      </c>
      <c r="G270" s="21" t="s">
        <v>3853</v>
      </c>
      <c r="H270" s="94">
        <v>4749</v>
      </c>
      <c r="I270" s="43">
        <v>4766</v>
      </c>
      <c r="J270" s="43">
        <v>4778</v>
      </c>
      <c r="K270" s="21">
        <v>0</v>
      </c>
      <c r="L270" s="21"/>
      <c r="M270" s="21"/>
      <c r="N270" s="43">
        <v>4792</v>
      </c>
      <c r="O270" s="21" t="s">
        <v>3820</v>
      </c>
      <c r="P270" s="194" t="str">
        <f t="shared" si="77"/>
        <v>1</v>
      </c>
      <c r="Q270" s="21">
        <v>1</v>
      </c>
      <c r="R270" s="39" t="str">
        <f t="shared" si="75"/>
        <v>-</v>
      </c>
      <c r="S270" s="120">
        <f t="shared" si="50"/>
        <v>452655</v>
      </c>
      <c r="T270" s="123">
        <v>877352</v>
      </c>
      <c r="U270" s="123">
        <f>389338+121891</f>
        <v>511229</v>
      </c>
      <c r="V270" s="123">
        <f t="shared" si="72"/>
        <v>366123</v>
      </c>
      <c r="W270" s="122" t="str">
        <f t="shared" si="69"/>
        <v>1</v>
      </c>
      <c r="X270" s="123">
        <f>T270-2384-2082-130000-17617-300572</f>
        <v>424697</v>
      </c>
      <c r="Y270" s="123">
        <f>30895+111027</f>
        <v>141922</v>
      </c>
      <c r="Z270" s="123">
        <f t="shared" si="73"/>
        <v>282775</v>
      </c>
      <c r="AA270" s="122" t="str">
        <f t="shared" si="70"/>
        <v>1</v>
      </c>
      <c r="AB270" s="120">
        <f t="shared" si="51"/>
        <v>30895</v>
      </c>
      <c r="AC270" s="123">
        <v>0</v>
      </c>
      <c r="AD270" s="123">
        <v>30895</v>
      </c>
      <c r="AE270" s="123">
        <v>12003</v>
      </c>
      <c r="AG270" s="151">
        <f t="shared" si="78"/>
        <v>252834</v>
      </c>
      <c r="AH270" s="123">
        <f>410651-53156-100-20232</f>
        <v>337163</v>
      </c>
      <c r="AJ270" s="123">
        <f>2681+2400</f>
        <v>5081</v>
      </c>
      <c r="AL270" s="123">
        <f>79496+4833</f>
        <v>84329</v>
      </c>
      <c r="AM270" s="123">
        <v>816983</v>
      </c>
      <c r="AN270" s="123">
        <v>412510</v>
      </c>
    </row>
    <row r="271" spans="1:40" s="123" customFormat="1" ht="16.2" thickBot="1" x14ac:dyDescent="0.35">
      <c r="A271" s="21"/>
      <c r="B271" s="212" t="s">
        <v>140</v>
      </c>
      <c r="C271" s="31" t="str">
        <f>VLOOKUP((CONCATENATE(B271)),ID!$A$2:$D$305,3,0)</f>
        <v>RL039</v>
      </c>
      <c r="D271" s="21">
        <v>1</v>
      </c>
      <c r="E271" s="21" t="s">
        <v>4057</v>
      </c>
      <c r="F271" s="21" t="s">
        <v>3802</v>
      </c>
      <c r="G271" s="21" t="s">
        <v>3853</v>
      </c>
      <c r="H271" s="94">
        <v>5114</v>
      </c>
      <c r="I271" s="43">
        <v>5141</v>
      </c>
      <c r="J271" s="43">
        <v>5150</v>
      </c>
      <c r="K271" s="21">
        <v>0</v>
      </c>
      <c r="L271" s="21"/>
      <c r="M271" s="21"/>
      <c r="N271" s="43">
        <v>5163</v>
      </c>
      <c r="O271" s="21" t="s">
        <v>3820</v>
      </c>
      <c r="P271" s="194" t="str">
        <f t="shared" si="77"/>
        <v>1</v>
      </c>
      <c r="Q271" s="21">
        <v>1</v>
      </c>
      <c r="R271" s="39" t="str">
        <f t="shared" si="75"/>
        <v>-</v>
      </c>
      <c r="S271" s="120">
        <f t="shared" si="50"/>
        <v>524515</v>
      </c>
      <c r="T271" s="123">
        <v>840248</v>
      </c>
      <c r="U271" s="123">
        <f>170039+175528</f>
        <v>345567</v>
      </c>
      <c r="V271" s="123">
        <f t="shared" si="72"/>
        <v>494681</v>
      </c>
      <c r="W271" s="122" t="str">
        <f t="shared" si="69"/>
        <v>1</v>
      </c>
      <c r="X271" s="123">
        <f>6009+67898+12922+27661+77921+6587+13442+Y271</f>
        <v>315733</v>
      </c>
      <c r="Y271" s="123">
        <v>103293</v>
      </c>
      <c r="Z271" s="123">
        <f t="shared" si="73"/>
        <v>212440</v>
      </c>
      <c r="AA271" s="122" t="str">
        <f t="shared" si="70"/>
        <v>1</v>
      </c>
      <c r="AB271" s="120">
        <f t="shared" si="51"/>
        <v>0</v>
      </c>
      <c r="AC271" s="123">
        <v>0</v>
      </c>
      <c r="AD271" s="123">
        <v>0</v>
      </c>
      <c r="AE271" s="123">
        <v>60000</v>
      </c>
      <c r="AG271" s="151">
        <f t="shared" si="78"/>
        <v>669651</v>
      </c>
      <c r="AH271" s="123">
        <f>716018+AL271-4193-4881-1731-35562</f>
        <v>844854</v>
      </c>
      <c r="AJ271" s="123">
        <f>4800+4806</f>
        <v>9606</v>
      </c>
      <c r="AL271" s="123">
        <f>1750+5544+4458+158993+4458</f>
        <v>175203</v>
      </c>
      <c r="AM271" s="123">
        <v>1639743</v>
      </c>
    </row>
    <row r="272" spans="1:40" s="123" customFormat="1" ht="16.2" thickBot="1" x14ac:dyDescent="0.35">
      <c r="A272" s="21">
        <v>40.1</v>
      </c>
      <c r="B272" s="212" t="s">
        <v>141</v>
      </c>
      <c r="C272" s="31" t="str">
        <f>VLOOKUP((CONCATENATE(B272)),ID!$A$2:$D$305,3,0)</f>
        <v>RL040</v>
      </c>
      <c r="D272" s="21">
        <v>1</v>
      </c>
      <c r="E272" s="21" t="s">
        <v>4057</v>
      </c>
      <c r="F272" s="21" t="s">
        <v>1117</v>
      </c>
      <c r="G272" s="21" t="s">
        <v>3821</v>
      </c>
      <c r="H272" s="88">
        <v>4018</v>
      </c>
      <c r="I272" s="43">
        <v>4119</v>
      </c>
      <c r="J272" s="43">
        <v>4115</v>
      </c>
      <c r="K272" s="21">
        <v>1</v>
      </c>
      <c r="L272" s="43">
        <v>4126</v>
      </c>
      <c r="M272" s="43">
        <v>4138</v>
      </c>
      <c r="N272" s="43">
        <v>4133</v>
      </c>
      <c r="O272" s="27" t="s">
        <v>3796</v>
      </c>
      <c r="P272" s="194" t="str">
        <f t="shared" si="77"/>
        <v>1</v>
      </c>
      <c r="Q272" s="21">
        <v>1</v>
      </c>
      <c r="R272" s="39" t="str">
        <f t="shared" si="75"/>
        <v>-</v>
      </c>
      <c r="S272" s="120">
        <f t="shared" si="50"/>
        <v>597623</v>
      </c>
      <c r="T272" s="123">
        <v>968310</v>
      </c>
      <c r="U272" s="123">
        <f>5786+27773+27332+18483+12796+22367+1451+218506+14077</f>
        <v>348571</v>
      </c>
      <c r="V272" s="123">
        <f t="shared" si="72"/>
        <v>619739</v>
      </c>
      <c r="W272" s="122" t="str">
        <f t="shared" si="69"/>
        <v>1</v>
      </c>
      <c r="X272" s="123">
        <f>31203+3187+513+196100+106193+15000+18491</f>
        <v>370687</v>
      </c>
      <c r="Y272" s="123">
        <v>18491</v>
      </c>
      <c r="Z272" s="123">
        <f t="shared" si="73"/>
        <v>352196</v>
      </c>
      <c r="AA272" s="122" t="str">
        <f t="shared" si="70"/>
        <v>1</v>
      </c>
      <c r="AB272" s="120">
        <f t="shared" si="51"/>
        <v>0</v>
      </c>
      <c r="AC272" s="123">
        <v>0</v>
      </c>
      <c r="AD272" s="123">
        <v>0</v>
      </c>
      <c r="AE272" s="134">
        <f>129900+196100+62413+31014</f>
        <v>419427</v>
      </c>
      <c r="AG272" s="151">
        <f t="shared" si="78"/>
        <v>129770</v>
      </c>
      <c r="AH272" s="123">
        <f>225144-14573-23616</f>
        <v>186955</v>
      </c>
      <c r="AJ272" s="123">
        <f>15000+25500</f>
        <v>40500</v>
      </c>
      <c r="AL272" s="123">
        <f>4125+710+33975+18375</f>
        <v>57185</v>
      </c>
      <c r="AM272" s="123">
        <v>604188</v>
      </c>
      <c r="AN272" s="123">
        <v>134776</v>
      </c>
    </row>
    <row r="273" spans="1:40" s="123" customFormat="1" ht="16.2" thickBot="1" x14ac:dyDescent="0.35">
      <c r="A273" s="21">
        <v>40.200000000000003</v>
      </c>
      <c r="B273" s="212" t="s">
        <v>141</v>
      </c>
      <c r="C273" s="31" t="str">
        <f>VLOOKUP((CONCATENATE(B273)),ID!$A$2:$D$305,3,0)</f>
        <v>RL040</v>
      </c>
      <c r="D273" s="21">
        <v>1</v>
      </c>
      <c r="E273" s="21" t="s">
        <v>4057</v>
      </c>
      <c r="F273" s="21" t="s">
        <v>1117</v>
      </c>
      <c r="G273" s="21" t="s">
        <v>3821</v>
      </c>
      <c r="H273" s="88">
        <v>4383</v>
      </c>
      <c r="I273" s="43">
        <v>4493</v>
      </c>
      <c r="J273" s="43">
        <v>4491</v>
      </c>
      <c r="K273" s="21">
        <v>1</v>
      </c>
      <c r="L273" s="43">
        <v>4490</v>
      </c>
      <c r="M273" s="43">
        <v>4504</v>
      </c>
      <c r="N273" s="43">
        <v>4504</v>
      </c>
      <c r="O273" s="27" t="s">
        <v>3796</v>
      </c>
      <c r="P273" s="194" t="str">
        <f t="shared" si="77"/>
        <v>1</v>
      </c>
      <c r="Q273" s="21">
        <v>1</v>
      </c>
      <c r="R273" s="39" t="str">
        <f t="shared" si="75"/>
        <v>-</v>
      </c>
      <c r="S273" s="120">
        <f t="shared" ref="S273:S411" si="79">T273-X273</f>
        <v>438391</v>
      </c>
      <c r="T273" s="123">
        <v>673432</v>
      </c>
      <c r="U273" s="123">
        <f>5556+26303+28977+18485+50314+9923+1451+286254+9510</f>
        <v>436773</v>
      </c>
      <c r="V273" s="123">
        <f t="shared" si="72"/>
        <v>236659</v>
      </c>
      <c r="W273" s="122" t="str">
        <f t="shared" si="69"/>
        <v>1</v>
      </c>
      <c r="X273" s="123">
        <f>1000+168270+12000+603+3009+31668+Y273</f>
        <v>235041</v>
      </c>
      <c r="Y273" s="123">
        <v>18491</v>
      </c>
      <c r="Z273" s="123">
        <f t="shared" si="73"/>
        <v>216550</v>
      </c>
      <c r="AA273" s="122" t="str">
        <f t="shared" si="70"/>
        <v>1</v>
      </c>
      <c r="AB273" s="120">
        <f t="shared" ref="AB273:AB411" si="80">SUM(AC273+AD273)</f>
        <v>0</v>
      </c>
      <c r="AC273" s="123">
        <v>0</v>
      </c>
      <c r="AD273" s="123">
        <v>0</v>
      </c>
      <c r="AE273" s="123">
        <v>143157</v>
      </c>
      <c r="AG273" s="151">
        <f t="shared" si="78"/>
        <v>131882</v>
      </c>
      <c r="AH273" s="123">
        <f>224952-17342-23735</f>
        <v>183875</v>
      </c>
      <c r="AJ273" s="123">
        <v>45000</v>
      </c>
      <c r="AL273" s="123">
        <f>18375+30832+2786</f>
        <v>51993</v>
      </c>
      <c r="AM273" s="123">
        <v>644887</v>
      </c>
      <c r="AN273" s="123">
        <v>146467</v>
      </c>
    </row>
    <row r="274" spans="1:40" s="123" customFormat="1" ht="16.2" thickBot="1" x14ac:dyDescent="0.35">
      <c r="A274" s="21"/>
      <c r="B274" s="212" t="s">
        <v>141</v>
      </c>
      <c r="C274" s="31" t="str">
        <f>VLOOKUP((CONCATENATE(B274)),ID!$A$2:$D$305,3,0)</f>
        <v>RL040</v>
      </c>
      <c r="D274" s="21">
        <v>1</v>
      </c>
      <c r="E274" s="21" t="s">
        <v>4057</v>
      </c>
      <c r="F274" s="21" t="s">
        <v>1117</v>
      </c>
      <c r="G274" s="21" t="s">
        <v>3821</v>
      </c>
      <c r="H274" s="88">
        <v>4749</v>
      </c>
      <c r="I274" s="43">
        <v>4858</v>
      </c>
      <c r="J274" s="43">
        <v>4857</v>
      </c>
      <c r="K274" s="21">
        <v>1</v>
      </c>
      <c r="L274" s="43">
        <v>4855</v>
      </c>
      <c r="M274" s="43">
        <v>4869</v>
      </c>
      <c r="N274" s="43">
        <v>4868</v>
      </c>
      <c r="O274" s="27" t="s">
        <v>3796</v>
      </c>
      <c r="P274" s="194" t="str">
        <f t="shared" si="77"/>
        <v>1</v>
      </c>
      <c r="Q274" s="21">
        <v>1</v>
      </c>
      <c r="R274" s="39" t="str">
        <f t="shared" si="75"/>
        <v>-</v>
      </c>
      <c r="S274" s="120">
        <f t="shared" si="79"/>
        <v>551350</v>
      </c>
      <c r="T274" s="123">
        <v>757365</v>
      </c>
      <c r="U274" s="123">
        <f>T274-V274</f>
        <v>424113</v>
      </c>
      <c r="V274" s="123">
        <f>119592+56000+157660</f>
        <v>333252</v>
      </c>
      <c r="W274" s="122" t="str">
        <f t="shared" si="69"/>
        <v>1</v>
      </c>
      <c r="X274" s="123">
        <f>40885+576+128829+17234+Y274</f>
        <v>206015</v>
      </c>
      <c r="Y274" s="123">
        <v>18491</v>
      </c>
      <c r="Z274" s="123">
        <f t="shared" si="73"/>
        <v>187524</v>
      </c>
      <c r="AA274" s="122" t="str">
        <f t="shared" si="70"/>
        <v>1</v>
      </c>
      <c r="AB274" s="120">
        <f t="shared" si="80"/>
        <v>0</v>
      </c>
      <c r="AC274" s="123">
        <v>0</v>
      </c>
      <c r="AD274" s="123">
        <v>0</v>
      </c>
      <c r="AE274" s="123">
        <v>157660</v>
      </c>
      <c r="AG274" s="151">
        <f>AH274-AL274</f>
        <v>150500</v>
      </c>
      <c r="AH274" s="123">
        <f>249755-18223-23791</f>
        <v>207741</v>
      </c>
      <c r="AJ274" s="123">
        <f>22500+37500</f>
        <v>60000</v>
      </c>
      <c r="AL274" s="123">
        <f>18375+38866</f>
        <v>57241</v>
      </c>
      <c r="AM274" s="123">
        <v>684985</v>
      </c>
      <c r="AN274" s="123">
        <v>168612</v>
      </c>
    </row>
    <row r="275" spans="1:40" s="123" customFormat="1" ht="16.2" thickBot="1" x14ac:dyDescent="0.35">
      <c r="A275" s="21"/>
      <c r="B275" s="212" t="s">
        <v>141</v>
      </c>
      <c r="C275" s="31" t="str">
        <f>VLOOKUP((CONCATENATE(B275)),ID!$A$2:$D$305,3,0)</f>
        <v>RL040</v>
      </c>
      <c r="D275" s="21">
        <v>1</v>
      </c>
      <c r="E275" s="21" t="s">
        <v>4057</v>
      </c>
      <c r="F275" s="21" t="s">
        <v>1117</v>
      </c>
      <c r="G275" s="21" t="s">
        <v>3821</v>
      </c>
      <c r="H275" s="88">
        <v>5114</v>
      </c>
      <c r="I275" s="43">
        <v>5221</v>
      </c>
      <c r="J275" s="43">
        <v>5220</v>
      </c>
      <c r="K275" s="21">
        <v>1</v>
      </c>
      <c r="L275" s="43">
        <v>5220</v>
      </c>
      <c r="M275" s="43">
        <v>5234</v>
      </c>
      <c r="N275" s="43">
        <v>5232</v>
      </c>
      <c r="O275" s="27" t="s">
        <v>4093</v>
      </c>
      <c r="P275" s="194" t="str">
        <f t="shared" si="77"/>
        <v>1</v>
      </c>
      <c r="Q275" s="21">
        <v>1</v>
      </c>
      <c r="R275" s="39" t="str">
        <f t="shared" si="75"/>
        <v>-</v>
      </c>
      <c r="S275" s="120">
        <f t="shared" si="79"/>
        <v>385765</v>
      </c>
      <c r="T275" s="123">
        <v>666862</v>
      </c>
      <c r="U275" s="123">
        <f>T275-V275</f>
        <v>440944</v>
      </c>
      <c r="V275" s="123">
        <f>41228+62000+122690</f>
        <v>225918</v>
      </c>
      <c r="W275" s="122" t="str">
        <f t="shared" si="69"/>
        <v>1</v>
      </c>
      <c r="X275" s="123">
        <f>103000+4281+132543+657+40616</f>
        <v>281097</v>
      </c>
      <c r="Y275" s="123">
        <v>103000</v>
      </c>
      <c r="Z275" s="123">
        <f t="shared" si="73"/>
        <v>178097</v>
      </c>
      <c r="AA275" s="122" t="str">
        <f t="shared" si="70"/>
        <v>1</v>
      </c>
      <c r="AB275" s="120">
        <f t="shared" si="80"/>
        <v>103000</v>
      </c>
      <c r="AC275" s="123">
        <v>103000</v>
      </c>
      <c r="AD275" s="123">
        <v>0</v>
      </c>
      <c r="AE275" s="123">
        <v>41228</v>
      </c>
      <c r="AG275" s="151">
        <f>AH275-AL275</f>
        <v>135376</v>
      </c>
      <c r="AH275" s="123">
        <f>279713-16970-60240</f>
        <v>202503</v>
      </c>
      <c r="AJ275" s="123">
        <f>22500+37500</f>
        <v>60000</v>
      </c>
      <c r="AL275" s="123">
        <f>18375+48752</f>
        <v>67127</v>
      </c>
      <c r="AM275" s="123">
        <v>759900</v>
      </c>
      <c r="AN275" s="123">
        <v>177250</v>
      </c>
    </row>
    <row r="276" spans="1:40" s="123" customFormat="1" ht="16.2" thickBot="1" x14ac:dyDescent="0.35">
      <c r="A276" s="21"/>
      <c r="B276" s="212" t="s">
        <v>142</v>
      </c>
      <c r="C276" s="31" t="str">
        <f>VLOOKUP((CONCATENATE(B276)),ID!$A$2:$D$305,3,0)</f>
        <v>RL041</v>
      </c>
      <c r="D276" s="21">
        <v>0</v>
      </c>
      <c r="E276" s="21" t="s">
        <v>4057</v>
      </c>
      <c r="F276" s="21" t="s">
        <v>3823</v>
      </c>
      <c r="G276" s="21" t="s">
        <v>3853</v>
      </c>
      <c r="H276" s="94">
        <v>3653</v>
      </c>
      <c r="I276" s="43">
        <v>3688</v>
      </c>
      <c r="J276" s="43">
        <v>3679</v>
      </c>
      <c r="K276" s="21">
        <v>0</v>
      </c>
      <c r="L276" s="43"/>
      <c r="M276" s="43"/>
      <c r="N276" s="43">
        <v>3695</v>
      </c>
      <c r="O276" s="21" t="s">
        <v>3822</v>
      </c>
      <c r="P276" s="194" t="str">
        <f t="shared" si="77"/>
        <v>1</v>
      </c>
      <c r="Q276" s="21">
        <v>1</v>
      </c>
      <c r="R276" s="39" t="str">
        <f t="shared" si="75"/>
        <v>-</v>
      </c>
      <c r="S276" s="120">
        <f t="shared" si="79"/>
        <v>2838931</v>
      </c>
      <c r="T276" s="123">
        <v>7378527</v>
      </c>
      <c r="U276" s="123">
        <f>1310959+5640+223250+69590+131632+53022</f>
        <v>1794093</v>
      </c>
      <c r="V276" s="123">
        <f t="shared" si="72"/>
        <v>5584434</v>
      </c>
      <c r="W276" s="122" t="str">
        <f t="shared" si="69"/>
        <v>1</v>
      </c>
      <c r="X276" s="123">
        <f>31948+679706+104634+2171246+440513+1111549</f>
        <v>4539596</v>
      </c>
      <c r="Y276" s="123">
        <f>104634+440513+1111549</f>
        <v>1656696</v>
      </c>
      <c r="Z276" s="123">
        <f t="shared" si="73"/>
        <v>2882900</v>
      </c>
      <c r="AA276" s="122" t="str">
        <f t="shared" si="70"/>
        <v>1</v>
      </c>
      <c r="AB276" s="120">
        <f t="shared" si="80"/>
        <v>104634</v>
      </c>
      <c r="AC276" s="123">
        <v>0</v>
      </c>
      <c r="AD276" s="123">
        <v>104634</v>
      </c>
      <c r="AE276" s="123">
        <f>882106+1916000</f>
        <v>2798106</v>
      </c>
      <c r="AG276" s="151">
        <f>AH276-AL276</f>
        <v>2208027</v>
      </c>
      <c r="AH276" s="123">
        <f>2967053-74482-24867-190272</f>
        <v>2677432</v>
      </c>
      <c r="AJ276" s="123">
        <v>190271</v>
      </c>
      <c r="AL276" s="123">
        <f>1462+466440+5+1498</f>
        <v>469405</v>
      </c>
      <c r="AM276" s="123">
        <v>7264365</v>
      </c>
      <c r="AN276" s="123">
        <v>3633468</v>
      </c>
    </row>
    <row r="277" spans="1:40" s="123" customFormat="1" ht="16.2" thickBot="1" x14ac:dyDescent="0.35">
      <c r="A277" s="21"/>
      <c r="B277" s="212" t="s">
        <v>142</v>
      </c>
      <c r="C277" s="31" t="str">
        <f>VLOOKUP((CONCATENATE(B277)),ID!$A$2:$D$305,3,0)</f>
        <v>RL041</v>
      </c>
      <c r="D277" s="21">
        <v>0</v>
      </c>
      <c r="E277" s="21" t="s">
        <v>4057</v>
      </c>
      <c r="F277" s="21" t="s">
        <v>3823</v>
      </c>
      <c r="G277" s="21" t="s">
        <v>3853</v>
      </c>
      <c r="H277" s="94">
        <v>3834</v>
      </c>
      <c r="I277" s="43">
        <v>3860</v>
      </c>
      <c r="J277" s="43">
        <v>3869</v>
      </c>
      <c r="K277" s="21">
        <v>0</v>
      </c>
      <c r="L277" s="43"/>
      <c r="M277" s="43"/>
      <c r="N277" s="43">
        <v>3876</v>
      </c>
      <c r="O277" s="21" t="s">
        <v>3822</v>
      </c>
      <c r="P277" s="194" t="str">
        <f t="shared" si="77"/>
        <v>1</v>
      </c>
      <c r="Q277" s="21">
        <v>1</v>
      </c>
      <c r="R277" s="39" t="str">
        <f t="shared" si="75"/>
        <v>-</v>
      </c>
      <c r="S277" s="120">
        <f t="shared" si="79"/>
        <v>2312733</v>
      </c>
      <c r="T277" s="123">
        <v>7218725</v>
      </c>
      <c r="U277" s="123">
        <f>333531+705640+237550+50600+129091+51360</f>
        <v>1507772</v>
      </c>
      <c r="V277" s="123">
        <f t="shared" si="72"/>
        <v>5710953</v>
      </c>
      <c r="W277" s="122" t="str">
        <f t="shared" si="69"/>
        <v>1</v>
      </c>
      <c r="X277" s="123">
        <f>31979+687171+127613+2463020+1137195+459014</f>
        <v>4905992</v>
      </c>
      <c r="Y277" s="123">
        <f>127613+1137195+459014</f>
        <v>1723822</v>
      </c>
      <c r="Z277" s="123">
        <f t="shared" si="73"/>
        <v>3182170</v>
      </c>
      <c r="AA277" s="122" t="str">
        <f t="shared" si="70"/>
        <v>1</v>
      </c>
      <c r="AB277" s="120">
        <f t="shared" si="80"/>
        <v>127613</v>
      </c>
      <c r="AC277" s="123">
        <v>0</v>
      </c>
      <c r="AD277" s="123">
        <v>127613</v>
      </c>
      <c r="AE277" s="123">
        <f>2182000+828629</f>
        <v>3010629</v>
      </c>
      <c r="AG277" s="151">
        <f>AH277-AL277</f>
        <v>1656270</v>
      </c>
      <c r="AH277" s="138">
        <f>2428520-98874-24193-173295</f>
        <v>2132158</v>
      </c>
      <c r="AJ277" s="123">
        <f>190271</f>
        <v>190271</v>
      </c>
      <c r="AL277" s="123">
        <f>5+472923+1462+1498</f>
        <v>475888</v>
      </c>
      <c r="AM277" s="123">
        <v>6634896</v>
      </c>
      <c r="AN277" s="123">
        <v>3033912</v>
      </c>
    </row>
    <row r="278" spans="1:40" s="123" customFormat="1" ht="16.2" thickBot="1" x14ac:dyDescent="0.35">
      <c r="A278" s="21">
        <v>41.1</v>
      </c>
      <c r="B278" s="212" t="s">
        <v>142</v>
      </c>
      <c r="C278" s="31" t="str">
        <f>VLOOKUP((CONCATENATE(B278)),ID!$A$2:$D$305,3,0)</f>
        <v>RL041</v>
      </c>
      <c r="D278" s="21">
        <v>0</v>
      </c>
      <c r="E278" s="21" t="s">
        <v>4057</v>
      </c>
      <c r="F278" s="21" t="s">
        <v>3823</v>
      </c>
      <c r="G278" s="21" t="s">
        <v>3853</v>
      </c>
      <c r="H278" s="94">
        <v>4018</v>
      </c>
      <c r="I278" s="43">
        <v>4049</v>
      </c>
      <c r="J278" s="43">
        <v>4057</v>
      </c>
      <c r="K278" s="21">
        <v>0</v>
      </c>
      <c r="L278" s="21"/>
      <c r="M278" s="21"/>
      <c r="N278" s="43">
        <v>4065</v>
      </c>
      <c r="O278" s="21" t="s">
        <v>3822</v>
      </c>
      <c r="P278" s="194" t="str">
        <f t="shared" si="77"/>
        <v>1</v>
      </c>
      <c r="Q278" s="21">
        <v>1</v>
      </c>
      <c r="R278" s="39" t="str">
        <f t="shared" si="75"/>
        <v>-</v>
      </c>
      <c r="S278" s="120">
        <f t="shared" si="79"/>
        <v>2999278</v>
      </c>
      <c r="T278" s="123">
        <v>8059986</v>
      </c>
      <c r="U278" s="123">
        <f>33727+1272640+269766+50600+116993+48860</f>
        <v>1792586</v>
      </c>
      <c r="V278" s="123">
        <f t="shared" si="72"/>
        <v>6267400</v>
      </c>
      <c r="W278" s="122" t="str">
        <f t="shared" si="69"/>
        <v>1</v>
      </c>
      <c r="X278" s="123">
        <f>31790+712705+84841+2552148+1183720+495504</f>
        <v>5060708</v>
      </c>
      <c r="Y278" s="123">
        <f>84841+1183720+495504</f>
        <v>1764065</v>
      </c>
      <c r="Z278" s="123">
        <f t="shared" si="73"/>
        <v>3296643</v>
      </c>
      <c r="AA278" s="122" t="str">
        <f t="shared" si="70"/>
        <v>1</v>
      </c>
      <c r="AB278" s="120">
        <f t="shared" si="80"/>
        <v>84841</v>
      </c>
      <c r="AC278" s="123">
        <v>0</v>
      </c>
      <c r="AD278" s="123">
        <v>84841</v>
      </c>
      <c r="AE278" s="123">
        <f>1161155+2484620</f>
        <v>3645775</v>
      </c>
      <c r="AG278" s="151">
        <f t="shared" si="78"/>
        <v>2308869</v>
      </c>
      <c r="AH278" s="123">
        <f>3097390-96901-164444-24800</f>
        <v>2811245</v>
      </c>
      <c r="AJ278" s="123">
        <v>190271</v>
      </c>
      <c r="AL278" s="123">
        <f>5+499411+1462+1498</f>
        <v>502376</v>
      </c>
      <c r="AM278" s="123">
        <v>7497911</v>
      </c>
      <c r="AN278" s="123">
        <v>3760773</v>
      </c>
    </row>
    <row r="279" spans="1:40" s="123" customFormat="1" ht="16.2" thickBot="1" x14ac:dyDescent="0.35">
      <c r="A279" s="21">
        <v>41.2</v>
      </c>
      <c r="B279" s="212" t="s">
        <v>142</v>
      </c>
      <c r="C279" s="31" t="str">
        <f>VLOOKUP((CONCATENATE(B279)),ID!$A$2:$D$305,3,0)</f>
        <v>RL041</v>
      </c>
      <c r="D279" s="21">
        <v>0</v>
      </c>
      <c r="E279" s="21" t="s">
        <v>4057</v>
      </c>
      <c r="F279" s="21" t="s">
        <v>3823</v>
      </c>
      <c r="G279" s="21" t="s">
        <v>3853</v>
      </c>
      <c r="H279" s="94">
        <v>4199</v>
      </c>
      <c r="I279" s="43">
        <v>4223</v>
      </c>
      <c r="J279" s="43">
        <v>4233</v>
      </c>
      <c r="K279" s="21">
        <v>0</v>
      </c>
      <c r="L279" s="21"/>
      <c r="M279" s="21"/>
      <c r="N279" s="43">
        <v>4240</v>
      </c>
      <c r="O279" s="21" t="s">
        <v>3822</v>
      </c>
      <c r="P279" s="194" t="str">
        <f t="shared" si="77"/>
        <v>1</v>
      </c>
      <c r="Q279" s="21">
        <v>1</v>
      </c>
      <c r="R279" s="39" t="str">
        <f t="shared" si="75"/>
        <v>-</v>
      </c>
      <c r="S279" s="120">
        <f t="shared" si="79"/>
        <v>2598919</v>
      </c>
      <c r="T279" s="123">
        <v>7987259</v>
      </c>
      <c r="U279" s="123">
        <f>47198+110299+50600+281095+1058160</f>
        <v>1547352</v>
      </c>
      <c r="V279" s="123">
        <f t="shared" si="72"/>
        <v>6439907</v>
      </c>
      <c r="W279" s="122" t="str">
        <f t="shared" si="69"/>
        <v>1</v>
      </c>
      <c r="X279" s="123">
        <f>32093+725528+86638+2785234+1235195+523652</f>
        <v>5388340</v>
      </c>
      <c r="Y279" s="123">
        <f>86638+1235195+523652</f>
        <v>1845485</v>
      </c>
      <c r="Z279" s="123">
        <f t="shared" si="73"/>
        <v>3542855</v>
      </c>
      <c r="AA279" s="122" t="str">
        <f t="shared" si="70"/>
        <v>1</v>
      </c>
      <c r="AB279" s="120">
        <f t="shared" si="80"/>
        <v>86638</v>
      </c>
      <c r="AC279" s="123">
        <v>0</v>
      </c>
      <c r="AD279" s="123">
        <v>86638</v>
      </c>
      <c r="AE279" s="123">
        <f>1134240+2610150</f>
        <v>3744390</v>
      </c>
      <c r="AG279" s="151">
        <f t="shared" si="78"/>
        <v>1755155</v>
      </c>
      <c r="AH279" s="123">
        <f>2579311-114790-26102-166777</f>
        <v>2271642</v>
      </c>
      <c r="AJ279" s="123">
        <v>190271</v>
      </c>
      <c r="AL279" s="123">
        <f>5+513522+1462+1498</f>
        <v>516487</v>
      </c>
      <c r="AM279" s="123">
        <v>6873427</v>
      </c>
      <c r="AN279" s="123">
        <v>3142088</v>
      </c>
    </row>
    <row r="280" spans="1:40" s="123" customFormat="1" ht="16.2" thickBot="1" x14ac:dyDescent="0.35">
      <c r="A280" s="21">
        <v>41.3</v>
      </c>
      <c r="B280" s="212" t="s">
        <v>142</v>
      </c>
      <c r="C280" s="31" t="str">
        <f>VLOOKUP((CONCATENATE(B280)),ID!$A$2:$D$305,3,0)</f>
        <v>RL041</v>
      </c>
      <c r="D280" s="21">
        <v>0</v>
      </c>
      <c r="E280" s="21" t="s">
        <v>4057</v>
      </c>
      <c r="F280" s="21" t="s">
        <v>3823</v>
      </c>
      <c r="G280" s="21" t="s">
        <v>3853</v>
      </c>
      <c r="H280" s="94">
        <v>4383</v>
      </c>
      <c r="I280" s="43">
        <v>4413</v>
      </c>
      <c r="J280" s="43">
        <v>4421</v>
      </c>
      <c r="K280" s="21">
        <v>0</v>
      </c>
      <c r="L280" s="21"/>
      <c r="M280" s="21"/>
      <c r="N280" s="43">
        <v>4429</v>
      </c>
      <c r="O280" s="21" t="s">
        <v>3822</v>
      </c>
      <c r="P280" s="194" t="str">
        <f t="shared" si="77"/>
        <v>1</v>
      </c>
      <c r="Q280" s="21">
        <v>1</v>
      </c>
      <c r="R280" s="39" t="str">
        <f t="shared" si="75"/>
        <v>-</v>
      </c>
      <c r="S280" s="120">
        <f t="shared" si="79"/>
        <v>2997134</v>
      </c>
      <c r="T280" s="123">
        <v>8519028</v>
      </c>
      <c r="U280" s="123">
        <f>76075+1379730+311205+50600+97608+44698</f>
        <v>1959916</v>
      </c>
      <c r="V280" s="123">
        <f t="shared" si="72"/>
        <v>6559112</v>
      </c>
      <c r="W280" s="122" t="str">
        <f t="shared" si="69"/>
        <v>1</v>
      </c>
      <c r="X280" s="123">
        <f>33143+732255+101218+2699533+1390882+564863</f>
        <v>5521894</v>
      </c>
      <c r="Y280" s="123">
        <f>101218+1390882+564863</f>
        <v>2056963</v>
      </c>
      <c r="Z280" s="123">
        <f t="shared" si="73"/>
        <v>3464931</v>
      </c>
      <c r="AA280" s="122" t="str">
        <f t="shared" si="70"/>
        <v>1</v>
      </c>
      <c r="AB280" s="120">
        <f t="shared" si="80"/>
        <v>101218</v>
      </c>
      <c r="AC280" s="123">
        <v>0</v>
      </c>
      <c r="AD280" s="123">
        <v>101218</v>
      </c>
      <c r="AE280" s="123">
        <f>2713350+951333</f>
        <v>3664683</v>
      </c>
      <c r="AG280" s="151">
        <f t="shared" si="78"/>
        <v>2249147</v>
      </c>
      <c r="AH280" s="123">
        <f>3087339-120425-166744-27470</f>
        <v>2772700</v>
      </c>
      <c r="AJ280" s="123">
        <v>190271</v>
      </c>
      <c r="AL280" s="123">
        <f>5+520588+1462+1498</f>
        <v>523553</v>
      </c>
      <c r="AM280" s="123">
        <f>7601981</f>
        <v>7601981</v>
      </c>
      <c r="AN280" s="123">
        <v>3749835</v>
      </c>
    </row>
    <row r="281" spans="1:40" s="123" customFormat="1" ht="16.2" thickBot="1" x14ac:dyDescent="0.35">
      <c r="A281" s="21">
        <v>41.4</v>
      </c>
      <c r="B281" s="212" t="s">
        <v>142</v>
      </c>
      <c r="C281" s="31" t="str">
        <f>VLOOKUP((CONCATENATE(B281)),ID!$A$2:$D$305,3,0)</f>
        <v>RL041</v>
      </c>
      <c r="D281" s="21">
        <v>0</v>
      </c>
      <c r="E281" s="21" t="s">
        <v>4057</v>
      </c>
      <c r="F281" s="21" t="s">
        <v>3823</v>
      </c>
      <c r="G281" s="21" t="s">
        <v>3853</v>
      </c>
      <c r="H281" s="94">
        <v>4565</v>
      </c>
      <c r="I281" s="43">
        <v>4589</v>
      </c>
      <c r="J281" s="43">
        <v>4598</v>
      </c>
      <c r="K281" s="21">
        <v>0</v>
      </c>
      <c r="L281" s="21"/>
      <c r="M281" s="21"/>
      <c r="N281" s="43">
        <v>4605</v>
      </c>
      <c r="O281" s="21" t="s">
        <v>3822</v>
      </c>
      <c r="P281" s="194" t="str">
        <f t="shared" si="77"/>
        <v>1</v>
      </c>
      <c r="Q281" s="21">
        <v>1</v>
      </c>
      <c r="R281" s="39" t="str">
        <f t="shared" si="75"/>
        <v>-</v>
      </c>
      <c r="S281" s="120">
        <f t="shared" si="79"/>
        <v>2313058</v>
      </c>
      <c r="T281" s="123">
        <v>8008278</v>
      </c>
      <c r="U281" s="123">
        <f>476668+354660+387058+50600+43036</f>
        <v>1312022</v>
      </c>
      <c r="V281" s="123">
        <f t="shared" si="72"/>
        <v>6696256</v>
      </c>
      <c r="W281" s="122" t="str">
        <f t="shared" si="69"/>
        <v>1</v>
      </c>
      <c r="X281" s="123">
        <f>39361+732884+86891+2728528+1514727+592829</f>
        <v>5695220</v>
      </c>
      <c r="Y281" s="123">
        <f>86891+1514727+592829</f>
        <v>2194447</v>
      </c>
      <c r="Z281" s="123">
        <f t="shared" si="73"/>
        <v>3500773</v>
      </c>
      <c r="AA281" s="122" t="str">
        <f t="shared" si="70"/>
        <v>1</v>
      </c>
      <c r="AB281" s="120">
        <f t="shared" si="80"/>
        <v>86891</v>
      </c>
      <c r="AC281" s="123">
        <v>0</v>
      </c>
      <c r="AD281" s="123">
        <v>86891</v>
      </c>
      <c r="AE281" s="123">
        <f>1275564+2305000</f>
        <v>3580564</v>
      </c>
      <c r="AG281" s="151">
        <f t="shared" si="78"/>
        <v>1546638</v>
      </c>
      <c r="AH281" s="123">
        <f>2392133-123712-171890-26412</f>
        <v>2070119</v>
      </c>
      <c r="AJ281" s="123">
        <v>190297</v>
      </c>
      <c r="AL281" s="123">
        <f>5+522014+1462</f>
        <v>523481</v>
      </c>
      <c r="AM281" s="123">
        <v>6639084</v>
      </c>
      <c r="AN281" s="123">
        <v>3033175</v>
      </c>
    </row>
    <row r="282" spans="1:40" s="123" customFormat="1" ht="16.2" thickBot="1" x14ac:dyDescent="0.35">
      <c r="A282" s="21"/>
      <c r="B282" s="212" t="s">
        <v>142</v>
      </c>
      <c r="C282" s="31" t="str">
        <f>VLOOKUP((CONCATENATE(B282)),ID!$A$2:$D$305,3,0)</f>
        <v>RL041</v>
      </c>
      <c r="D282" s="21">
        <v>0</v>
      </c>
      <c r="E282" s="21" t="s">
        <v>4057</v>
      </c>
      <c r="F282" s="21" t="s">
        <v>3823</v>
      </c>
      <c r="G282" s="21" t="s">
        <v>3853</v>
      </c>
      <c r="H282" s="94">
        <v>4749</v>
      </c>
      <c r="I282" s="43">
        <v>4783</v>
      </c>
      <c r="J282" s="43">
        <v>4792</v>
      </c>
      <c r="K282" s="21">
        <v>0</v>
      </c>
      <c r="L282" s="21"/>
      <c r="M282" s="21"/>
      <c r="N282" s="43">
        <v>4800</v>
      </c>
      <c r="O282" s="21" t="s">
        <v>3822</v>
      </c>
      <c r="P282" s="194" t="str">
        <f t="shared" si="77"/>
        <v>1</v>
      </c>
      <c r="Q282" s="21">
        <v>1</v>
      </c>
      <c r="R282" s="39" t="str">
        <f t="shared" si="75"/>
        <v>-</v>
      </c>
      <c r="S282" s="120">
        <f t="shared" si="79"/>
        <v>3167425</v>
      </c>
      <c r="T282" s="123">
        <v>9107419</v>
      </c>
      <c r="U282" s="123">
        <f>1086600+382377+45760+40036</f>
        <v>1554773</v>
      </c>
      <c r="V282" s="123">
        <f t="shared" si="72"/>
        <v>7552646</v>
      </c>
      <c r="W282" s="122" t="str">
        <f t="shared" si="69"/>
        <v>1</v>
      </c>
      <c r="X282" s="123">
        <f>2665594+268215+732644+35862+1610708+626971</f>
        <v>5939994</v>
      </c>
      <c r="Y282" s="123">
        <f>268215+1610708+626971</f>
        <v>2505894</v>
      </c>
      <c r="Z282" s="123">
        <f t="shared" si="73"/>
        <v>3434100</v>
      </c>
      <c r="AA282" s="122" t="str">
        <f t="shared" si="70"/>
        <v>1</v>
      </c>
      <c r="AB282" s="120">
        <f t="shared" si="80"/>
        <v>268215</v>
      </c>
      <c r="AC282" s="123">
        <v>0</v>
      </c>
      <c r="AD282" s="123">
        <v>268215</v>
      </c>
      <c r="AE282" s="123">
        <f>1202077+2907000</f>
        <v>4109077</v>
      </c>
      <c r="AG282" s="151">
        <f t="shared" si="78"/>
        <v>2368270</v>
      </c>
      <c r="AH282" s="123">
        <f>3193480-101293-28734-171699</f>
        <v>2891754</v>
      </c>
      <c r="AJ282" s="123">
        <v>190297</v>
      </c>
      <c r="AL282" s="123">
        <f>5+522017+1462</f>
        <v>523484</v>
      </c>
      <c r="AM282" s="123">
        <v>8055066</v>
      </c>
      <c r="AN282" s="123">
        <v>3906257</v>
      </c>
    </row>
    <row r="283" spans="1:40" s="123" customFormat="1" ht="16.2" thickBot="1" x14ac:dyDescent="0.35">
      <c r="A283" s="21"/>
      <c r="B283" s="212" t="s">
        <v>142</v>
      </c>
      <c r="C283" s="31" t="str">
        <f>VLOOKUP((CONCATENATE(B283)),ID!$A$2:$D$305,3,0)</f>
        <v>RL041</v>
      </c>
      <c r="D283" s="21">
        <v>1</v>
      </c>
      <c r="E283" s="21" t="s">
        <v>4057</v>
      </c>
      <c r="F283" s="21" t="s">
        <v>3823</v>
      </c>
      <c r="G283" s="21" t="s">
        <v>3853</v>
      </c>
      <c r="H283" s="94">
        <v>5114</v>
      </c>
      <c r="I283" s="43">
        <v>5154</v>
      </c>
      <c r="J283" s="43">
        <v>5158</v>
      </c>
      <c r="K283" s="21">
        <v>0</v>
      </c>
      <c r="L283" s="21"/>
      <c r="M283" s="21"/>
      <c r="N283" s="43">
        <v>5171</v>
      </c>
      <c r="O283" s="21" t="s">
        <v>3822</v>
      </c>
      <c r="P283" s="194" t="str">
        <f t="shared" si="77"/>
        <v>1</v>
      </c>
      <c r="Q283" s="21">
        <v>1</v>
      </c>
      <c r="R283" s="39" t="str">
        <f t="shared" si="75"/>
        <v>-</v>
      </c>
      <c r="S283" s="120">
        <f t="shared" si="79"/>
        <v>5286770</v>
      </c>
      <c r="T283" s="123">
        <v>10105857</v>
      </c>
      <c r="U283" s="123">
        <f>1747671+757955+439860+16861+35374</f>
        <v>2997721</v>
      </c>
      <c r="V283" s="123">
        <f t="shared" si="72"/>
        <v>7108136</v>
      </c>
      <c r="W283" s="122" t="str">
        <f t="shared" si="69"/>
        <v>1</v>
      </c>
      <c r="X283" s="123">
        <f>200604+476798+724182+263221+720635+42571+1703860+687216</f>
        <v>4819087</v>
      </c>
      <c r="Y283" s="123">
        <f>1703860+687216</f>
        <v>2391076</v>
      </c>
      <c r="Z283" s="123">
        <f t="shared" si="73"/>
        <v>2428011</v>
      </c>
      <c r="AA283" s="122" t="str">
        <f t="shared" si="70"/>
        <v>1</v>
      </c>
      <c r="AB283" s="120">
        <f t="shared" si="80"/>
        <v>0</v>
      </c>
      <c r="AC283" s="123">
        <v>0</v>
      </c>
      <c r="AD283" s="123">
        <v>0</v>
      </c>
      <c r="AE283" s="123">
        <v>3721018</v>
      </c>
      <c r="AG283" s="151">
        <f t="shared" si="78"/>
        <v>4355816</v>
      </c>
      <c r="AH283" s="123">
        <f>5929034-72094-2925-390893</f>
        <v>5463122</v>
      </c>
      <c r="AJ283" s="123">
        <v>380500</v>
      </c>
      <c r="AL283" s="123">
        <f>1043980+10+63316</f>
        <v>1107306</v>
      </c>
      <c r="AM283" s="123">
        <v>16020994</v>
      </c>
    </row>
    <row r="284" spans="1:40" s="123" customFormat="1" ht="16.2" thickBot="1" x14ac:dyDescent="0.35">
      <c r="A284" s="21"/>
      <c r="B284" s="212" t="s">
        <v>147</v>
      </c>
      <c r="C284" s="31" t="str">
        <f>VLOOKUP((CONCATENATE(B284)),ID!$A$2:$D$305,3,0)</f>
        <v>RL042</v>
      </c>
      <c r="D284" s="21">
        <v>0</v>
      </c>
      <c r="E284" s="21" t="s">
        <v>4057</v>
      </c>
      <c r="F284" s="21" t="s">
        <v>3825</v>
      </c>
      <c r="G284" s="21" t="s">
        <v>3853</v>
      </c>
      <c r="H284" s="94">
        <v>3684</v>
      </c>
      <c r="I284" s="43">
        <v>3714</v>
      </c>
      <c r="J284" s="43">
        <v>3714</v>
      </c>
      <c r="K284" s="21">
        <v>1</v>
      </c>
      <c r="L284" s="43">
        <v>3728</v>
      </c>
      <c r="M284" s="43">
        <v>3742</v>
      </c>
      <c r="N284" s="43">
        <v>3742</v>
      </c>
      <c r="O284" s="21" t="s">
        <v>3824</v>
      </c>
      <c r="P284" s="194">
        <v>1</v>
      </c>
      <c r="Q284" s="21">
        <v>1</v>
      </c>
      <c r="R284" s="39" t="str">
        <f t="shared" si="75"/>
        <v>-</v>
      </c>
      <c r="S284" s="120">
        <f t="shared" si="79"/>
        <v>115845</v>
      </c>
      <c r="T284" s="123">
        <v>298196</v>
      </c>
      <c r="U284" s="123">
        <v>246549</v>
      </c>
      <c r="V284" s="123">
        <f t="shared" si="72"/>
        <v>51647</v>
      </c>
      <c r="W284" s="122" t="str">
        <f t="shared" si="69"/>
        <v>1</v>
      </c>
      <c r="X284" s="123">
        <f>33739+6943+40000+18971+1603+81095</f>
        <v>182351</v>
      </c>
      <c r="Y284" s="123">
        <f>81095+6943</f>
        <v>88038</v>
      </c>
      <c r="Z284" s="123">
        <f t="shared" si="73"/>
        <v>94313</v>
      </c>
      <c r="AA284" s="122" t="str">
        <f t="shared" si="70"/>
        <v>1</v>
      </c>
      <c r="AB284" s="120">
        <f t="shared" si="80"/>
        <v>46943</v>
      </c>
      <c r="AC284" s="123">
        <v>0</v>
      </c>
      <c r="AD284" s="123">
        <v>46943</v>
      </c>
      <c r="AE284" s="123">
        <v>25332</v>
      </c>
      <c r="AG284" s="151">
        <f t="shared" si="78"/>
        <v>71541</v>
      </c>
      <c r="AH284" s="123">
        <f>118696-1072</f>
        <v>117624</v>
      </c>
      <c r="AL284" s="123">
        <v>46083</v>
      </c>
      <c r="AM284" s="123">
        <v>277960</v>
      </c>
      <c r="AN284" s="123">
        <v>174098</v>
      </c>
    </row>
    <row r="285" spans="1:40" s="123" customFormat="1" ht="16.2" thickBot="1" x14ac:dyDescent="0.35">
      <c r="A285" s="21"/>
      <c r="B285" s="212" t="s">
        <v>147</v>
      </c>
      <c r="C285" s="31" t="str">
        <f>VLOOKUP((CONCATENATE(B285)),ID!$A$2:$D$305,3,0)</f>
        <v>RL042</v>
      </c>
      <c r="D285" s="21">
        <v>0</v>
      </c>
      <c r="E285" s="21" t="s">
        <v>4057</v>
      </c>
      <c r="F285" s="21" t="s">
        <v>3825</v>
      </c>
      <c r="G285" s="21" t="s">
        <v>3853</v>
      </c>
      <c r="H285" s="94">
        <v>3865</v>
      </c>
      <c r="I285" s="43">
        <v>3896</v>
      </c>
      <c r="J285" s="43">
        <v>3896</v>
      </c>
      <c r="K285" s="21">
        <v>1</v>
      </c>
      <c r="L285" s="43">
        <v>3901</v>
      </c>
      <c r="M285" s="43">
        <v>3924</v>
      </c>
      <c r="N285" s="43">
        <v>3924</v>
      </c>
      <c r="O285" s="21" t="s">
        <v>3824</v>
      </c>
      <c r="P285" s="194">
        <v>1</v>
      </c>
      <c r="Q285" s="21">
        <v>1</v>
      </c>
      <c r="R285" s="39" t="str">
        <f t="shared" si="75"/>
        <v>-</v>
      </c>
      <c r="S285" s="120">
        <f t="shared" si="79"/>
        <v>94393</v>
      </c>
      <c r="T285" s="123">
        <v>304907</v>
      </c>
      <c r="U285" s="123">
        <f>157595</f>
        <v>157595</v>
      </c>
      <c r="V285" s="123">
        <f t="shared" si="72"/>
        <v>147312</v>
      </c>
      <c r="W285" s="122" t="str">
        <f t="shared" si="69"/>
        <v>1</v>
      </c>
      <c r="X285" s="123">
        <f>56519+1692+43000+21176+1688+7406+79033</f>
        <v>210514</v>
      </c>
      <c r="Y285" s="123">
        <f>79033+1692</f>
        <v>80725</v>
      </c>
      <c r="Z285" s="123">
        <f t="shared" si="73"/>
        <v>129789</v>
      </c>
      <c r="AA285" s="122" t="str">
        <f t="shared" si="70"/>
        <v>1</v>
      </c>
      <c r="AB285" s="120">
        <f t="shared" si="80"/>
        <v>44692</v>
      </c>
      <c r="AC285" s="123">
        <v>0</v>
      </c>
      <c r="AD285" s="123">
        <v>44692</v>
      </c>
      <c r="AE285" s="123">
        <v>0</v>
      </c>
      <c r="AG285" s="151">
        <f t="shared" si="78"/>
        <v>66207</v>
      </c>
      <c r="AH285" s="123">
        <f>113815-1036</f>
        <v>112779</v>
      </c>
      <c r="AL285" s="123">
        <v>46572</v>
      </c>
      <c r="AM285" s="123">
        <v>268027</v>
      </c>
      <c r="AN285" s="123">
        <v>164934</v>
      </c>
    </row>
    <row r="286" spans="1:40" s="123" customFormat="1" ht="16.2" thickBot="1" x14ac:dyDescent="0.35">
      <c r="A286" s="21">
        <v>42.1</v>
      </c>
      <c r="B286" s="212" t="s">
        <v>147</v>
      </c>
      <c r="C286" s="31" t="str">
        <f>VLOOKUP((CONCATENATE(B286)),ID!$A$2:$D$305,3,0)</f>
        <v>RL042</v>
      </c>
      <c r="D286" s="21">
        <v>0</v>
      </c>
      <c r="E286" s="21" t="s">
        <v>4057</v>
      </c>
      <c r="F286" s="21" t="s">
        <v>3825</v>
      </c>
      <c r="G286" s="21" t="s">
        <v>3853</v>
      </c>
      <c r="H286" s="94">
        <v>4049</v>
      </c>
      <c r="I286" s="43">
        <v>4078</v>
      </c>
      <c r="J286" s="43">
        <v>4078</v>
      </c>
      <c r="K286" s="21">
        <v>1</v>
      </c>
      <c r="L286" s="43">
        <v>4083</v>
      </c>
      <c r="M286" s="43">
        <v>4106</v>
      </c>
      <c r="N286" s="43">
        <v>4106</v>
      </c>
      <c r="O286" s="21" t="s">
        <v>3824</v>
      </c>
      <c r="P286" s="194">
        <v>1</v>
      </c>
      <c r="Q286" s="21">
        <v>1</v>
      </c>
      <c r="R286" s="39" t="str">
        <f t="shared" si="75"/>
        <v>-</v>
      </c>
      <c r="S286" s="120">
        <f t="shared" si="79"/>
        <v>108590</v>
      </c>
      <c r="T286" s="123">
        <v>317536</v>
      </c>
      <c r="U286" s="123">
        <f>175959</f>
        <v>175959</v>
      </c>
      <c r="V286" s="123">
        <f t="shared" si="72"/>
        <v>141577</v>
      </c>
      <c r="W286" s="122" t="str">
        <f t="shared" si="69"/>
        <v>1</v>
      </c>
      <c r="X286" s="123">
        <f>1183+19934+33000+4534+67745+82550</f>
        <v>208946</v>
      </c>
      <c r="Y286" s="123">
        <f>82550+4534</f>
        <v>87084</v>
      </c>
      <c r="Z286" s="123">
        <f t="shared" si="73"/>
        <v>121862</v>
      </c>
      <c r="AA286" s="122" t="str">
        <f t="shared" si="70"/>
        <v>1</v>
      </c>
      <c r="AB286" s="120">
        <f t="shared" si="80"/>
        <v>37534</v>
      </c>
      <c r="AC286" s="123">
        <v>0</v>
      </c>
      <c r="AD286" s="123">
        <f>33000+4534</f>
        <v>37534</v>
      </c>
      <c r="AE286" s="123">
        <v>333</v>
      </c>
      <c r="AG286" s="151">
        <f t="shared" ref="AG286:AG310" si="81">AH286-AL286</f>
        <v>80425</v>
      </c>
      <c r="AH286" s="123">
        <f>127601-1049</f>
        <v>126552</v>
      </c>
      <c r="AL286" s="123">
        <v>46127</v>
      </c>
      <c r="AM286" s="123">
        <v>288368</v>
      </c>
      <c r="AN286" s="123">
        <v>180441</v>
      </c>
    </row>
    <row r="287" spans="1:40" s="123" customFormat="1" ht="16.2" thickBot="1" x14ac:dyDescent="0.35">
      <c r="A287" s="21">
        <v>42.2</v>
      </c>
      <c r="B287" s="212" t="s">
        <v>147</v>
      </c>
      <c r="C287" s="31" t="str">
        <f>VLOOKUP((CONCATENATE(B287)),ID!$A$2:$D$305,3,0)</f>
        <v>RL042</v>
      </c>
      <c r="D287" s="21">
        <v>0</v>
      </c>
      <c r="E287" s="21" t="s">
        <v>4057</v>
      </c>
      <c r="F287" s="21" t="s">
        <v>3825</v>
      </c>
      <c r="G287" s="21" t="s">
        <v>3853</v>
      </c>
      <c r="H287" s="94">
        <v>4230</v>
      </c>
      <c r="I287" s="43">
        <v>4260</v>
      </c>
      <c r="J287" s="43">
        <v>4260</v>
      </c>
      <c r="K287" s="21">
        <v>1</v>
      </c>
      <c r="L287" s="43">
        <v>4265</v>
      </c>
      <c r="M287" s="43">
        <v>4288</v>
      </c>
      <c r="N287" s="43">
        <v>4288</v>
      </c>
      <c r="O287" s="21" t="s">
        <v>3824</v>
      </c>
      <c r="P287" s="194">
        <v>1</v>
      </c>
      <c r="Q287" s="21">
        <v>1</v>
      </c>
      <c r="R287" s="39" t="str">
        <f t="shared" si="75"/>
        <v>-</v>
      </c>
      <c r="S287" s="120">
        <f t="shared" si="79"/>
        <v>99674</v>
      </c>
      <c r="T287" s="123">
        <v>355604</v>
      </c>
      <c r="U287" s="123">
        <v>197639</v>
      </c>
      <c r="V287" s="123">
        <f t="shared" si="72"/>
        <v>157965</v>
      </c>
      <c r="W287" s="122" t="str">
        <f t="shared" si="69"/>
        <v>1</v>
      </c>
      <c r="X287" s="123">
        <f>583+887+21445+88000+620+62387+82008</f>
        <v>255930</v>
      </c>
      <c r="Y287" s="123">
        <f>620+82008</f>
        <v>82628</v>
      </c>
      <c r="Z287" s="123">
        <f t="shared" si="73"/>
        <v>173302</v>
      </c>
      <c r="AA287" s="122" t="str">
        <f t="shared" si="70"/>
        <v>1</v>
      </c>
      <c r="AB287" s="120">
        <f t="shared" si="80"/>
        <v>88620</v>
      </c>
      <c r="AC287" s="123">
        <v>0</v>
      </c>
      <c r="AD287" s="123">
        <f>88000+620</f>
        <v>88620</v>
      </c>
      <c r="AE287" s="123">
        <v>0</v>
      </c>
      <c r="AG287" s="151">
        <f t="shared" si="81"/>
        <v>66192</v>
      </c>
      <c r="AH287" s="123">
        <f>114263-1038</f>
        <v>113225</v>
      </c>
      <c r="AL287" s="123">
        <v>47033</v>
      </c>
      <c r="AM287" s="123">
        <v>268620</v>
      </c>
      <c r="AN287" s="123">
        <v>167368</v>
      </c>
    </row>
    <row r="288" spans="1:40" s="123" customFormat="1" ht="16.2" thickBot="1" x14ac:dyDescent="0.35">
      <c r="A288" s="21">
        <v>42.3</v>
      </c>
      <c r="B288" s="212" t="s">
        <v>147</v>
      </c>
      <c r="C288" s="31" t="str">
        <f>VLOOKUP((CONCATENATE(B288)),ID!$A$2:$D$305,3,0)</f>
        <v>RL042</v>
      </c>
      <c r="D288" s="21">
        <v>0</v>
      </c>
      <c r="E288" s="21" t="s">
        <v>4057</v>
      </c>
      <c r="F288" s="21" t="s">
        <v>3825</v>
      </c>
      <c r="G288" s="21" t="s">
        <v>3853</v>
      </c>
      <c r="H288" s="94">
        <v>4414</v>
      </c>
      <c r="I288" s="43">
        <v>4442</v>
      </c>
      <c r="J288" s="43">
        <v>4442</v>
      </c>
      <c r="K288" s="21">
        <v>1</v>
      </c>
      <c r="L288" s="43">
        <v>4447</v>
      </c>
      <c r="M288" s="43">
        <v>4470</v>
      </c>
      <c r="N288" s="43">
        <v>4470</v>
      </c>
      <c r="O288" s="21" t="s">
        <v>3824</v>
      </c>
      <c r="P288" s="194">
        <v>1</v>
      </c>
      <c r="Q288" s="21">
        <v>1</v>
      </c>
      <c r="R288" s="39" t="str">
        <f t="shared" si="75"/>
        <v>-</v>
      </c>
      <c r="S288" s="120">
        <f t="shared" si="79"/>
        <v>121244</v>
      </c>
      <c r="T288" s="123">
        <v>361840</v>
      </c>
      <c r="U288" s="123">
        <v>205456</v>
      </c>
      <c r="V288" s="123">
        <f t="shared" si="72"/>
        <v>156384</v>
      </c>
      <c r="W288" s="122" t="str">
        <f t="shared" si="69"/>
        <v>1</v>
      </c>
      <c r="X288" s="123">
        <f>936+20147+58000+6705+68923+85885</f>
        <v>240596</v>
      </c>
      <c r="Y288" s="123">
        <f>85885+6705</f>
        <v>92590</v>
      </c>
      <c r="Z288" s="123">
        <f t="shared" si="73"/>
        <v>148006</v>
      </c>
      <c r="AA288" s="122" t="str">
        <f t="shared" si="70"/>
        <v>1</v>
      </c>
      <c r="AB288" s="120">
        <f t="shared" si="80"/>
        <v>64705</v>
      </c>
      <c r="AC288" s="123">
        <v>0</v>
      </c>
      <c r="AD288" s="123">
        <f>58000+6705</f>
        <v>64705</v>
      </c>
      <c r="AE288" s="123">
        <v>6664</v>
      </c>
      <c r="AG288" s="151">
        <f t="shared" si="81"/>
        <v>86975</v>
      </c>
      <c r="AH288" s="123">
        <f>134631-1047</f>
        <v>133584</v>
      </c>
      <c r="AL288" s="123">
        <v>46609</v>
      </c>
      <c r="AM288" s="123">
        <v>298142</v>
      </c>
      <c r="AN288" s="123">
        <v>183476</v>
      </c>
    </row>
    <row r="289" spans="1:40" s="123" customFormat="1" ht="16.2" thickBot="1" x14ac:dyDescent="0.35">
      <c r="A289" s="21">
        <v>42.4</v>
      </c>
      <c r="B289" s="212" t="s">
        <v>147</v>
      </c>
      <c r="C289" s="31" t="str">
        <f>VLOOKUP((CONCATENATE(B289)),ID!$A$2:$D$305,3,0)</f>
        <v>RL042</v>
      </c>
      <c r="D289" s="21">
        <v>0</v>
      </c>
      <c r="E289" s="21" t="s">
        <v>4057</v>
      </c>
      <c r="F289" s="21" t="s">
        <v>3825</v>
      </c>
      <c r="G289" s="21" t="s">
        <v>3853</v>
      </c>
      <c r="H289" s="94">
        <v>4596</v>
      </c>
      <c r="I289" s="43">
        <v>4624</v>
      </c>
      <c r="J289" s="43">
        <v>4624</v>
      </c>
      <c r="K289" s="21">
        <v>1</v>
      </c>
      <c r="L289" s="43">
        <v>4629</v>
      </c>
      <c r="M289" s="43">
        <v>4652</v>
      </c>
      <c r="N289" s="43">
        <v>4652</v>
      </c>
      <c r="O289" s="21" t="s">
        <v>3824</v>
      </c>
      <c r="P289" s="194">
        <v>1</v>
      </c>
      <c r="Q289" s="21">
        <v>1</v>
      </c>
      <c r="R289" s="39" t="str">
        <f t="shared" si="75"/>
        <v>-</v>
      </c>
      <c r="S289" s="120">
        <f t="shared" si="79"/>
        <v>102805</v>
      </c>
      <c r="T289" s="123">
        <v>380079</v>
      </c>
      <c r="U289" s="123">
        <v>210761</v>
      </c>
      <c r="V289" s="123">
        <f t="shared" si="72"/>
        <v>169318</v>
      </c>
      <c r="W289" s="122" t="str">
        <f t="shared" si="69"/>
        <v>1</v>
      </c>
      <c r="X289" s="123">
        <f>883+21770+103000+390+67416+83815</f>
        <v>277274</v>
      </c>
      <c r="Y289" s="123">
        <f>83815+390</f>
        <v>84205</v>
      </c>
      <c r="Z289" s="123">
        <f t="shared" si="73"/>
        <v>193069</v>
      </c>
      <c r="AA289" s="122" t="str">
        <f t="shared" si="70"/>
        <v>1</v>
      </c>
      <c r="AB289" s="120">
        <f t="shared" si="80"/>
        <v>103390</v>
      </c>
      <c r="AC289" s="123">
        <v>0</v>
      </c>
      <c r="AD289" s="123">
        <f>103000+390</f>
        <v>103390</v>
      </c>
      <c r="AE289" s="123">
        <v>13779</v>
      </c>
      <c r="AG289" s="151">
        <f t="shared" si="81"/>
        <v>64167</v>
      </c>
      <c r="AH289" s="123">
        <f>112493-1038</f>
        <v>111455</v>
      </c>
      <c r="AL289" s="123">
        <v>47288</v>
      </c>
      <c r="AM289" s="123">
        <v>267457</v>
      </c>
      <c r="AN289" s="123">
        <v>162592</v>
      </c>
    </row>
    <row r="290" spans="1:40" s="123" customFormat="1" ht="16.2" thickBot="1" x14ac:dyDescent="0.35">
      <c r="A290" s="21"/>
      <c r="B290" s="212" t="s">
        <v>147</v>
      </c>
      <c r="C290" s="31" t="str">
        <f>VLOOKUP((CONCATENATE(B290)),ID!$A$2:$D$305,3,0)</f>
        <v>RL042</v>
      </c>
      <c r="D290" s="21">
        <v>0</v>
      </c>
      <c r="E290" s="21" t="s">
        <v>4057</v>
      </c>
      <c r="F290" s="21" t="s">
        <v>3825</v>
      </c>
      <c r="G290" s="21" t="s">
        <v>3853</v>
      </c>
      <c r="H290" s="94">
        <v>4749</v>
      </c>
      <c r="I290" s="43">
        <v>4769</v>
      </c>
      <c r="J290" s="43">
        <v>4778</v>
      </c>
      <c r="K290" s="21">
        <v>1</v>
      </c>
      <c r="L290" s="43">
        <v>4783</v>
      </c>
      <c r="M290" s="43">
        <v>4806</v>
      </c>
      <c r="N290" s="43">
        <v>4806</v>
      </c>
      <c r="O290" s="21" t="s">
        <v>3824</v>
      </c>
      <c r="P290" s="194">
        <v>1</v>
      </c>
      <c r="Q290" s="21">
        <v>1</v>
      </c>
      <c r="R290" s="39" t="str">
        <f t="shared" si="75"/>
        <v>-</v>
      </c>
      <c r="S290" s="120">
        <f t="shared" si="79"/>
        <v>109518</v>
      </c>
      <c r="T290" s="123">
        <v>367345</v>
      </c>
      <c r="U290" s="123">
        <v>213268</v>
      </c>
      <c r="V290" s="123">
        <f t="shared" si="72"/>
        <v>154077</v>
      </c>
      <c r="W290" s="122" t="str">
        <f t="shared" si="69"/>
        <v>1</v>
      </c>
      <c r="X290" s="123">
        <f>73053+5815+63000+12462+919+15803+86775</f>
        <v>257827</v>
      </c>
      <c r="Y290" s="123">
        <f>86775+5815</f>
        <v>92590</v>
      </c>
      <c r="Z290" s="123">
        <f t="shared" si="73"/>
        <v>165237</v>
      </c>
      <c r="AA290" s="122" t="str">
        <f t="shared" si="70"/>
        <v>1</v>
      </c>
      <c r="AB290" s="120">
        <f t="shared" si="80"/>
        <v>68815</v>
      </c>
      <c r="AC290" s="123">
        <v>0</v>
      </c>
      <c r="AD290" s="123">
        <v>68815</v>
      </c>
      <c r="AE290" s="123">
        <v>0</v>
      </c>
      <c r="AG290" s="151">
        <f>AH290-AL290</f>
        <v>73630</v>
      </c>
      <c r="AH290" s="123">
        <f>113789-1022</f>
        <v>112767</v>
      </c>
      <c r="AL290" s="123">
        <v>39137</v>
      </c>
      <c r="AM290" s="123">
        <v>262231</v>
      </c>
      <c r="AN290" s="123">
        <v>164020</v>
      </c>
    </row>
    <row r="291" spans="1:40" s="123" customFormat="1" ht="16.2" thickBot="1" x14ac:dyDescent="0.35">
      <c r="A291" s="21"/>
      <c r="B291" s="212" t="s">
        <v>147</v>
      </c>
      <c r="C291" s="31" t="str">
        <f>VLOOKUP((CONCATENATE(B291)),ID!$A$2:$D$305,3,0)</f>
        <v>RL042</v>
      </c>
      <c r="D291" s="21">
        <v>1</v>
      </c>
      <c r="E291" s="21" t="s">
        <v>4057</v>
      </c>
      <c r="F291" s="21" t="s">
        <v>3825</v>
      </c>
      <c r="G291" s="21" t="s">
        <v>3853</v>
      </c>
      <c r="H291" s="94">
        <v>5114</v>
      </c>
      <c r="I291" s="43">
        <v>5142</v>
      </c>
      <c r="J291" s="43">
        <v>5142</v>
      </c>
      <c r="K291" s="21">
        <v>1</v>
      </c>
      <c r="L291" s="43">
        <v>5147</v>
      </c>
      <c r="M291" s="43">
        <v>5170</v>
      </c>
      <c r="N291" s="43">
        <v>5170</v>
      </c>
      <c r="O291" s="21" t="s">
        <v>3824</v>
      </c>
      <c r="P291" s="194">
        <v>1</v>
      </c>
      <c r="Q291" s="21">
        <v>1</v>
      </c>
      <c r="R291" s="39" t="str">
        <f t="shared" si="75"/>
        <v>-</v>
      </c>
      <c r="S291" s="120">
        <f t="shared" si="79"/>
        <v>170168</v>
      </c>
      <c r="T291" s="123">
        <v>395978</v>
      </c>
      <c r="U291" s="123">
        <v>256666</v>
      </c>
      <c r="V291" s="123">
        <f t="shared" si="72"/>
        <v>139312</v>
      </c>
      <c r="W291" s="122" t="str">
        <f t="shared" si="69"/>
        <v>1</v>
      </c>
      <c r="X291" s="123">
        <f>3236+49739+6869+11743+1414+50000+13063+89746</f>
        <v>225810</v>
      </c>
      <c r="Y291" s="123">
        <f>89746+6869</f>
        <v>96615</v>
      </c>
      <c r="Z291" s="123">
        <f t="shared" si="73"/>
        <v>129195</v>
      </c>
      <c r="AA291" s="122" t="str">
        <f t="shared" si="70"/>
        <v>1</v>
      </c>
      <c r="AB291" s="120">
        <f t="shared" si="80"/>
        <v>56869</v>
      </c>
      <c r="AC291" s="123">
        <v>0</v>
      </c>
      <c r="AD291" s="123">
        <f>56869</f>
        <v>56869</v>
      </c>
      <c r="AE291" s="123">
        <v>0</v>
      </c>
      <c r="AG291" s="151">
        <f>AH291-AL291</f>
        <v>157662</v>
      </c>
      <c r="AH291" s="123">
        <f>261659-6657</f>
        <v>255002</v>
      </c>
      <c r="AL291" s="123">
        <f>103997-6657</f>
        <v>97340</v>
      </c>
      <c r="AM291" s="123">
        <v>633765</v>
      </c>
    </row>
    <row r="292" spans="1:40" s="123" customFormat="1" ht="16.2" thickBot="1" x14ac:dyDescent="0.35">
      <c r="A292" s="21"/>
      <c r="B292" s="212" t="s">
        <v>152</v>
      </c>
      <c r="C292" s="31" t="str">
        <f>VLOOKUP((CONCATENATE(B292)),ID!$A$2:$D$305,3,0)</f>
        <v>RL043</v>
      </c>
      <c r="D292" s="21">
        <v>0</v>
      </c>
      <c r="E292" s="21" t="s">
        <v>4057</v>
      </c>
      <c r="F292" s="21" t="s">
        <v>1117</v>
      </c>
      <c r="G292" s="21" t="s">
        <v>3853</v>
      </c>
      <c r="H292" s="94">
        <v>3653</v>
      </c>
      <c r="I292" s="43">
        <v>3677</v>
      </c>
      <c r="J292" s="43">
        <v>3685</v>
      </c>
      <c r="K292" s="21">
        <v>0</v>
      </c>
      <c r="L292" s="43"/>
      <c r="M292" s="43"/>
      <c r="N292" s="43">
        <v>3693</v>
      </c>
      <c r="O292" s="21" t="s">
        <v>3826</v>
      </c>
      <c r="P292" s="194">
        <v>1</v>
      </c>
      <c r="Q292" s="21">
        <v>1</v>
      </c>
      <c r="R292" s="39" t="str">
        <f t="shared" si="75"/>
        <v>-</v>
      </c>
      <c r="S292" s="120">
        <f t="shared" si="79"/>
        <v>250710</v>
      </c>
      <c r="T292" s="123">
        <v>413602</v>
      </c>
      <c r="U292" s="123">
        <f>112860+550</f>
        <v>113410</v>
      </c>
      <c r="V292" s="123">
        <f t="shared" si="72"/>
        <v>300192</v>
      </c>
      <c r="W292" s="122" t="str">
        <f t="shared" si="69"/>
        <v>1</v>
      </c>
      <c r="X292" s="123">
        <f>35496+50043+10000+53684+1750+Y292</f>
        <v>162892</v>
      </c>
      <c r="Y292" s="123">
        <f>8834+3085</f>
        <v>11919</v>
      </c>
      <c r="Z292" s="123">
        <f t="shared" si="73"/>
        <v>150973</v>
      </c>
      <c r="AA292" s="122" t="str">
        <f t="shared" si="70"/>
        <v>1</v>
      </c>
      <c r="AB292" s="120">
        <f t="shared" si="80"/>
        <v>0</v>
      </c>
      <c r="AC292" s="123">
        <v>0</v>
      </c>
      <c r="AD292" s="123">
        <v>0</v>
      </c>
      <c r="AE292" s="123">
        <f>1087+116162</f>
        <v>117249</v>
      </c>
      <c r="AG292" s="151">
        <f>AH292-AL292</f>
        <v>82798</v>
      </c>
      <c r="AH292" s="123">
        <f>170645-23163-1000</f>
        <v>146482</v>
      </c>
      <c r="AL292" s="123">
        <f>23684+30000+10000</f>
        <v>63684</v>
      </c>
      <c r="AM292" s="123">
        <v>344685</v>
      </c>
      <c r="AN292" s="123">
        <v>13225</v>
      </c>
    </row>
    <row r="293" spans="1:40" s="123" customFormat="1" ht="16.2" thickBot="1" x14ac:dyDescent="0.35">
      <c r="A293" s="21"/>
      <c r="B293" s="212" t="s">
        <v>152</v>
      </c>
      <c r="C293" s="31" t="str">
        <f>VLOOKUP((CONCATENATE(B293)),ID!$A$2:$D$305,3,0)</f>
        <v>RL043</v>
      </c>
      <c r="D293" s="21">
        <v>0</v>
      </c>
      <c r="E293" s="21" t="s">
        <v>4057</v>
      </c>
      <c r="F293" s="21" t="s">
        <v>1117</v>
      </c>
      <c r="G293" s="21" t="s">
        <v>3853</v>
      </c>
      <c r="H293" s="94">
        <v>3834</v>
      </c>
      <c r="I293" s="43">
        <v>3848</v>
      </c>
      <c r="J293" s="43">
        <v>3863</v>
      </c>
      <c r="K293" s="21">
        <v>1</v>
      </c>
      <c r="L293" s="43">
        <v>3859</v>
      </c>
      <c r="M293" s="43">
        <v>3875</v>
      </c>
      <c r="N293" s="43">
        <v>3875</v>
      </c>
      <c r="O293" s="21" t="s">
        <v>3826</v>
      </c>
      <c r="P293" s="194">
        <v>1</v>
      </c>
      <c r="Q293" s="21">
        <v>1</v>
      </c>
      <c r="R293" s="39" t="str">
        <f t="shared" si="75"/>
        <v>-</v>
      </c>
      <c r="S293" s="120">
        <f t="shared" si="79"/>
        <v>258266</v>
      </c>
      <c r="T293" s="123">
        <v>422602</v>
      </c>
      <c r="U293" s="123">
        <f>160605+550</f>
        <v>161155</v>
      </c>
      <c r="V293" s="123">
        <f t="shared" si="72"/>
        <v>261447</v>
      </c>
      <c r="W293" s="122" t="str">
        <f t="shared" si="69"/>
        <v>1</v>
      </c>
      <c r="X293" s="123">
        <f>35652+49330+10000+53684+2168+Y293</f>
        <v>164336</v>
      </c>
      <c r="Y293" s="123">
        <f>3349+10153</f>
        <v>13502</v>
      </c>
      <c r="Z293" s="123">
        <f t="shared" si="73"/>
        <v>150834</v>
      </c>
      <c r="AA293" s="122" t="str">
        <f t="shared" si="70"/>
        <v>1</v>
      </c>
      <c r="AB293" s="120">
        <f t="shared" si="80"/>
        <v>0</v>
      </c>
      <c r="AC293" s="123">
        <v>0</v>
      </c>
      <c r="AD293" s="123">
        <v>0</v>
      </c>
      <c r="AE293" s="123">
        <f>1087+72637</f>
        <v>73724</v>
      </c>
      <c r="AG293" s="151">
        <f>AH293-AL293</f>
        <v>85278</v>
      </c>
      <c r="AH293" s="123">
        <f>150531+104-1673</f>
        <v>148962</v>
      </c>
      <c r="AL293" s="123">
        <f>40000+23684</f>
        <v>63684</v>
      </c>
      <c r="AM293" s="123">
        <v>358913</v>
      </c>
      <c r="AN293" s="123">
        <v>13626</v>
      </c>
    </row>
    <row r="294" spans="1:40" s="123" customFormat="1" ht="16.2" thickBot="1" x14ac:dyDescent="0.35">
      <c r="A294" s="21">
        <v>43.1</v>
      </c>
      <c r="B294" s="212" t="s">
        <v>152</v>
      </c>
      <c r="C294" s="31" t="str">
        <f>VLOOKUP((CONCATENATE(B294)),ID!$A$2:$D$305,3,0)</f>
        <v>RL043</v>
      </c>
      <c r="D294" s="21">
        <v>0</v>
      </c>
      <c r="E294" s="21" t="s">
        <v>4057</v>
      </c>
      <c r="F294" s="21" t="s">
        <v>1117</v>
      </c>
      <c r="G294" s="21" t="s">
        <v>3853</v>
      </c>
      <c r="H294" s="94">
        <v>4018</v>
      </c>
      <c r="I294" s="43">
        <v>4029</v>
      </c>
      <c r="J294" s="43">
        <v>4049</v>
      </c>
      <c r="K294" s="21">
        <v>1</v>
      </c>
      <c r="L294" s="43">
        <v>4041</v>
      </c>
      <c r="M294" s="43">
        <v>4057</v>
      </c>
      <c r="N294" s="43">
        <v>4057</v>
      </c>
      <c r="O294" s="21" t="s">
        <v>3826</v>
      </c>
      <c r="P294" s="194">
        <v>1</v>
      </c>
      <c r="Q294" s="21">
        <v>1</v>
      </c>
      <c r="R294" s="39" t="str">
        <f t="shared" si="75"/>
        <v>-</v>
      </c>
      <c r="S294" s="120">
        <f t="shared" si="79"/>
        <v>266271</v>
      </c>
      <c r="T294" s="123">
        <v>458842</v>
      </c>
      <c r="U294" s="123">
        <f>550+99156</f>
        <v>99706</v>
      </c>
      <c r="V294" s="123">
        <f t="shared" si="72"/>
        <v>359136</v>
      </c>
      <c r="W294" s="122" t="str">
        <f t="shared" si="69"/>
        <v>1</v>
      </c>
      <c r="X294" s="123">
        <f>2199+53684+10000+68832+42532+Y294</f>
        <v>192571</v>
      </c>
      <c r="Y294" s="123">
        <f>11643+3681</f>
        <v>15324</v>
      </c>
      <c r="Z294" s="123">
        <f t="shared" si="73"/>
        <v>177247</v>
      </c>
      <c r="AA294" s="122" t="str">
        <f t="shared" si="70"/>
        <v>1</v>
      </c>
      <c r="AB294" s="120">
        <f t="shared" si="80"/>
        <v>0</v>
      </c>
      <c r="AC294" s="123">
        <v>0</v>
      </c>
      <c r="AD294" s="123">
        <v>0</v>
      </c>
      <c r="AE294" s="123">
        <f>1089+173995</f>
        <v>175084</v>
      </c>
      <c r="AG294" s="151">
        <f t="shared" si="81"/>
        <v>84724</v>
      </c>
      <c r="AH294" s="123">
        <f>174381-24238-1735</f>
        <v>148408</v>
      </c>
      <c r="AL294" s="123">
        <f>23684+30000+10000</f>
        <v>63684</v>
      </c>
      <c r="AM294" s="123">
        <v>356292</v>
      </c>
      <c r="AN294" s="123">
        <v>14122</v>
      </c>
    </row>
    <row r="295" spans="1:40" s="123" customFormat="1" ht="16.2" thickBot="1" x14ac:dyDescent="0.35">
      <c r="A295" s="21">
        <v>43.2</v>
      </c>
      <c r="B295" s="212" t="s">
        <v>152</v>
      </c>
      <c r="C295" s="31" t="str">
        <f>VLOOKUP((CONCATENATE(B295)),ID!$A$2:$D$305,3,0)</f>
        <v>RL043</v>
      </c>
      <c r="D295" s="21">
        <v>0</v>
      </c>
      <c r="E295" s="21" t="s">
        <v>4057</v>
      </c>
      <c r="F295" s="21" t="s">
        <v>1117</v>
      </c>
      <c r="G295" s="21" t="s">
        <v>3853</v>
      </c>
      <c r="H295" s="94">
        <v>4199</v>
      </c>
      <c r="I295" s="43">
        <v>4212</v>
      </c>
      <c r="J295" s="43">
        <v>4227</v>
      </c>
      <c r="K295" s="21">
        <v>1</v>
      </c>
      <c r="L295" s="43">
        <v>4223</v>
      </c>
      <c r="M295" s="43">
        <v>4239</v>
      </c>
      <c r="N295" s="43">
        <v>4239</v>
      </c>
      <c r="O295" s="21" t="s">
        <v>3826</v>
      </c>
      <c r="P295" s="194">
        <v>1</v>
      </c>
      <c r="Q295" s="21">
        <v>1</v>
      </c>
      <c r="R295" s="39" t="str">
        <f t="shared" si="75"/>
        <v>-</v>
      </c>
      <c r="S295" s="120">
        <f t="shared" si="79"/>
        <v>252686</v>
      </c>
      <c r="T295" s="123">
        <v>426226</v>
      </c>
      <c r="U295" s="123">
        <f>550+21028</f>
        <v>21578</v>
      </c>
      <c r="V295" s="123">
        <f t="shared" si="72"/>
        <v>404648</v>
      </c>
      <c r="W295" s="122" t="str">
        <f t="shared" si="69"/>
        <v>1</v>
      </c>
      <c r="X295" s="123">
        <f>2375+53684+10000+53907+36908+Y295</f>
        <v>173540</v>
      </c>
      <c r="Y295" s="123">
        <f>12896+3770</f>
        <v>16666</v>
      </c>
      <c r="Z295" s="123">
        <f t="shared" si="73"/>
        <v>156874</v>
      </c>
      <c r="AA295" s="122" t="str">
        <f t="shared" si="70"/>
        <v>1</v>
      </c>
      <c r="AB295" s="120">
        <f t="shared" si="80"/>
        <v>0</v>
      </c>
      <c r="AC295" s="123">
        <v>0</v>
      </c>
      <c r="AD295" s="123">
        <v>0</v>
      </c>
      <c r="AE295" s="123">
        <f>1089+117894</f>
        <v>118983</v>
      </c>
      <c r="AG295" s="151">
        <f t="shared" si="81"/>
        <v>70854</v>
      </c>
      <c r="AH295" s="123">
        <f>149009-12773-1698</f>
        <v>134538</v>
      </c>
      <c r="AL295" s="123">
        <f>10000+53684</f>
        <v>63684</v>
      </c>
      <c r="AM295" s="123">
        <v>333220</v>
      </c>
      <c r="AN295" s="123">
        <v>13569</v>
      </c>
    </row>
    <row r="296" spans="1:40" s="123" customFormat="1" ht="16.2" thickBot="1" x14ac:dyDescent="0.35">
      <c r="A296" s="21">
        <v>43.3</v>
      </c>
      <c r="B296" s="212" t="s">
        <v>152</v>
      </c>
      <c r="C296" s="31" t="str">
        <f>VLOOKUP((CONCATENATE(B296)),ID!$A$2:$D$305,3,0)</f>
        <v>RL043</v>
      </c>
      <c r="D296" s="21">
        <v>0</v>
      </c>
      <c r="E296" s="21" t="s">
        <v>4057</v>
      </c>
      <c r="F296" s="21" t="s">
        <v>1117</v>
      </c>
      <c r="G296" s="21" t="s">
        <v>3853</v>
      </c>
      <c r="H296" s="94">
        <v>4383</v>
      </c>
      <c r="I296" s="43">
        <v>4400</v>
      </c>
      <c r="J296" s="43">
        <v>4413</v>
      </c>
      <c r="K296" s="21">
        <v>1</v>
      </c>
      <c r="L296" s="43">
        <v>4410</v>
      </c>
      <c r="M296" s="43">
        <v>4427</v>
      </c>
      <c r="N296" s="43">
        <v>4427</v>
      </c>
      <c r="O296" s="21" t="s">
        <v>3826</v>
      </c>
      <c r="P296" s="194">
        <v>1</v>
      </c>
      <c r="Q296" s="21">
        <v>1</v>
      </c>
      <c r="R296" s="39" t="str">
        <f t="shared" si="75"/>
        <v>-</v>
      </c>
      <c r="S296" s="120">
        <f t="shared" si="79"/>
        <v>283392</v>
      </c>
      <c r="T296" s="123">
        <v>467833</v>
      </c>
      <c r="U296" s="123">
        <f>77624+550</f>
        <v>78174</v>
      </c>
      <c r="V296" s="123">
        <f t="shared" si="72"/>
        <v>389659</v>
      </c>
      <c r="W296" s="122" t="str">
        <f t="shared" si="69"/>
        <v>1</v>
      </c>
      <c r="X296" s="123">
        <f>2247+53684+10000+63263+38138+Y296</f>
        <v>184441</v>
      </c>
      <c r="Y296" s="123">
        <f>13011+4098</f>
        <v>17109</v>
      </c>
      <c r="Z296" s="123">
        <f t="shared" si="73"/>
        <v>167332</v>
      </c>
      <c r="AA296" s="122" t="str">
        <f t="shared" si="70"/>
        <v>1</v>
      </c>
      <c r="AB296" s="120">
        <f t="shared" si="80"/>
        <v>0</v>
      </c>
      <c r="AC296" s="123">
        <v>0</v>
      </c>
      <c r="AD296" s="123">
        <v>0</v>
      </c>
      <c r="AE296" s="123">
        <f>467833-103384-116-3623-1394-28949-39722-25877-550-105000-77621</f>
        <v>81597</v>
      </c>
      <c r="AG296" s="151">
        <f t="shared" si="81"/>
        <v>92905</v>
      </c>
      <c r="AH296" s="123">
        <f>183856-25569-1698</f>
        <v>156589</v>
      </c>
      <c r="AL296" s="123">
        <f>23684+40000</f>
        <v>63684</v>
      </c>
      <c r="AM296" s="123">
        <v>366832</v>
      </c>
      <c r="AN296" s="123">
        <v>13868</v>
      </c>
    </row>
    <row r="297" spans="1:40" s="123" customFormat="1" ht="16.2" thickBot="1" x14ac:dyDescent="0.35">
      <c r="A297" s="21">
        <v>43.4</v>
      </c>
      <c r="B297" s="212" t="s">
        <v>152</v>
      </c>
      <c r="C297" s="31" t="str">
        <f>VLOOKUP((CONCATENATE(B297)),ID!$A$2:$D$305,3,0)</f>
        <v>RL043</v>
      </c>
      <c r="D297" s="21">
        <v>0</v>
      </c>
      <c r="E297" s="21" t="s">
        <v>4057</v>
      </c>
      <c r="F297" s="21" t="s">
        <v>1117</v>
      </c>
      <c r="G297" s="21" t="s">
        <v>3853</v>
      </c>
      <c r="H297" s="94">
        <v>4565</v>
      </c>
      <c r="I297" s="43">
        <v>4583</v>
      </c>
      <c r="J297" s="43">
        <v>4595</v>
      </c>
      <c r="K297" s="21">
        <v>1</v>
      </c>
      <c r="L297" s="43">
        <v>4594</v>
      </c>
      <c r="M297" s="43">
        <v>4609</v>
      </c>
      <c r="N297" s="43">
        <v>4609</v>
      </c>
      <c r="O297" s="21" t="s">
        <v>3826</v>
      </c>
      <c r="P297" s="194">
        <v>1</v>
      </c>
      <c r="Q297" s="21">
        <v>1</v>
      </c>
      <c r="R297" s="39" t="str">
        <f t="shared" si="75"/>
        <v>-</v>
      </c>
      <c r="S297" s="120">
        <f t="shared" si="79"/>
        <v>249620</v>
      </c>
      <c r="T297" s="123">
        <v>435079</v>
      </c>
      <c r="U297" s="123">
        <f>550+129589</f>
        <v>130139</v>
      </c>
      <c r="V297" s="123">
        <f t="shared" si="72"/>
        <v>304940</v>
      </c>
      <c r="W297" s="122" t="str">
        <f t="shared" si="69"/>
        <v>1</v>
      </c>
      <c r="X297" s="123">
        <f>2243+53684+10000+63912+36141+Y297</f>
        <v>185459</v>
      </c>
      <c r="Y297" s="123">
        <f>4091+15388</f>
        <v>19479</v>
      </c>
      <c r="Z297" s="123">
        <f t="shared" si="73"/>
        <v>165980</v>
      </c>
      <c r="AA297" s="122" t="str">
        <f t="shared" si="70"/>
        <v>1</v>
      </c>
      <c r="AB297" s="120">
        <f t="shared" si="80"/>
        <v>0</v>
      </c>
      <c r="AC297" s="123">
        <v>0</v>
      </c>
      <c r="AD297" s="123">
        <v>0</v>
      </c>
      <c r="AE297" s="123">
        <f>121277+1129</f>
        <v>122406</v>
      </c>
      <c r="AG297" s="151">
        <f t="shared" si="81"/>
        <v>49445</v>
      </c>
      <c r="AH297" s="123">
        <f>131676-16849-1698</f>
        <v>113129</v>
      </c>
      <c r="AL297" s="123">
        <f>23684+40000</f>
        <v>63684</v>
      </c>
      <c r="AM297" s="123">
        <v>316484</v>
      </c>
      <c r="AN297" s="123">
        <v>12904</v>
      </c>
    </row>
    <row r="298" spans="1:40" s="123" customFormat="1" ht="16.2" thickBot="1" x14ac:dyDescent="0.35">
      <c r="A298" s="21"/>
      <c r="B298" s="212" t="s">
        <v>152</v>
      </c>
      <c r="C298" s="31" t="str">
        <f>VLOOKUP((CONCATENATE(B298)),ID!$A$2:$D$305,3,0)</f>
        <v>RL043</v>
      </c>
      <c r="D298" s="21">
        <v>0</v>
      </c>
      <c r="E298" s="21" t="s">
        <v>4057</v>
      </c>
      <c r="F298" s="21" t="s">
        <v>1117</v>
      </c>
      <c r="G298" s="21" t="s">
        <v>3853</v>
      </c>
      <c r="H298" s="94">
        <v>4749</v>
      </c>
      <c r="I298" s="43">
        <v>4759</v>
      </c>
      <c r="J298" s="43">
        <v>4780</v>
      </c>
      <c r="K298" s="21">
        <v>1</v>
      </c>
      <c r="L298" s="43">
        <v>4776</v>
      </c>
      <c r="M298" s="43">
        <v>4791</v>
      </c>
      <c r="N298" s="43">
        <v>4791</v>
      </c>
      <c r="O298" s="21" t="s">
        <v>3826</v>
      </c>
      <c r="P298" s="194">
        <v>1</v>
      </c>
      <c r="Q298" s="21">
        <v>1</v>
      </c>
      <c r="R298" s="39" t="str">
        <f t="shared" si="75"/>
        <v>-</v>
      </c>
      <c r="S298" s="120">
        <f t="shared" si="79"/>
        <v>313999</v>
      </c>
      <c r="T298" s="123">
        <v>511257</v>
      </c>
      <c r="U298" s="123">
        <f>184242+550</f>
        <v>184792</v>
      </c>
      <c r="V298" s="123">
        <f t="shared" si="72"/>
        <v>326465</v>
      </c>
      <c r="W298" s="122" t="str">
        <f t="shared" si="69"/>
        <v>1</v>
      </c>
      <c r="X298" s="123">
        <f>1845+37431+71484+10000+53684+1965+Y298</f>
        <v>197258</v>
      </c>
      <c r="Y298" s="123">
        <f>16774+4075</f>
        <v>20849</v>
      </c>
      <c r="Z298" s="123">
        <f t="shared" si="73"/>
        <v>176409</v>
      </c>
      <c r="AA298" s="122" t="str">
        <f t="shared" si="70"/>
        <v>1</v>
      </c>
      <c r="AB298" s="120">
        <f t="shared" si="80"/>
        <v>0</v>
      </c>
      <c r="AC298" s="123">
        <v>0</v>
      </c>
      <c r="AD298" s="123">
        <v>0</v>
      </c>
      <c r="AE298" s="123">
        <f>137391+1134</f>
        <v>138525</v>
      </c>
      <c r="AG298" s="151">
        <f>AH298-AL298</f>
        <v>110483</v>
      </c>
      <c r="AH298" s="123">
        <f>200034-24169-1698</f>
        <v>174167</v>
      </c>
      <c r="AL298" s="123">
        <f>23684+40000</f>
        <v>63684</v>
      </c>
      <c r="AM298" s="123">
        <v>400876</v>
      </c>
      <c r="AN298" s="123">
        <v>12451</v>
      </c>
    </row>
    <row r="299" spans="1:40" s="123" customFormat="1" ht="16.2" thickBot="1" x14ac:dyDescent="0.35">
      <c r="A299" s="21"/>
      <c r="B299" s="212" t="s">
        <v>152</v>
      </c>
      <c r="C299" s="31" t="str">
        <f>VLOOKUP((CONCATENATE(B299)),ID!$A$2:$D$305,3,0)</f>
        <v>RL043</v>
      </c>
      <c r="D299" s="21">
        <v>1</v>
      </c>
      <c r="E299" s="21" t="s">
        <v>4057</v>
      </c>
      <c r="F299" s="21" t="s">
        <v>1117</v>
      </c>
      <c r="G299" s="21" t="s">
        <v>3853</v>
      </c>
      <c r="H299" s="94">
        <v>5114</v>
      </c>
      <c r="I299" s="43">
        <v>5129</v>
      </c>
      <c r="J299" s="43">
        <v>5148</v>
      </c>
      <c r="K299" s="21">
        <v>1</v>
      </c>
      <c r="L299" s="43">
        <v>5140</v>
      </c>
      <c r="M299" s="43">
        <v>5162</v>
      </c>
      <c r="N299" s="43">
        <v>5162</v>
      </c>
      <c r="O299" s="21" t="s">
        <v>3826</v>
      </c>
      <c r="P299" s="194" t="str">
        <f t="shared" si="77"/>
        <v>1</v>
      </c>
      <c r="Q299" s="21">
        <v>1</v>
      </c>
      <c r="R299" s="39" t="str">
        <f t="shared" si="75"/>
        <v>-</v>
      </c>
      <c r="S299" s="120">
        <f t="shared" si="79"/>
        <v>308582</v>
      </c>
      <c r="T299" s="123">
        <v>529746</v>
      </c>
      <c r="U299" s="123">
        <f>228141+2164</f>
        <v>230305</v>
      </c>
      <c r="V299" s="123">
        <f t="shared" si="72"/>
        <v>299441</v>
      </c>
      <c r="W299" s="122" t="str">
        <f t="shared" si="69"/>
        <v>1</v>
      </c>
      <c r="X299" s="123">
        <f>19313+10677+56494+45061+63684+1847+Y299</f>
        <v>221164</v>
      </c>
      <c r="Y299" s="123">
        <f>19313+4775</f>
        <v>24088</v>
      </c>
      <c r="Z299" s="123">
        <f t="shared" si="73"/>
        <v>197076</v>
      </c>
      <c r="AA299" s="122" t="str">
        <f t="shared" si="70"/>
        <v>1</v>
      </c>
      <c r="AB299" s="120">
        <f t="shared" si="80"/>
        <v>0</v>
      </c>
      <c r="AC299" s="123">
        <v>0</v>
      </c>
      <c r="AD299" s="123">
        <v>0</v>
      </c>
      <c r="AE299" s="123">
        <v>116171</v>
      </c>
      <c r="AG299" s="151">
        <f>AH299-AL299</f>
        <v>198055</v>
      </c>
      <c r="AH299" s="123">
        <f>332768-3396--5</f>
        <v>329377</v>
      </c>
      <c r="AJ299" s="123">
        <v>75125</v>
      </c>
      <c r="AL299" s="123">
        <f>161362-5-26639-3396</f>
        <v>131322</v>
      </c>
      <c r="AM299" s="123">
        <v>813353</v>
      </c>
    </row>
    <row r="300" spans="1:40" s="123" customFormat="1" ht="16.2" thickBot="1" x14ac:dyDescent="0.35">
      <c r="A300" s="21"/>
      <c r="B300" s="212" t="s">
        <v>159</v>
      </c>
      <c r="C300" s="31" t="str">
        <f>VLOOKUP((CONCATENATE(B300)),ID!$A$2:$D$305,3,0)</f>
        <v>RL044</v>
      </c>
      <c r="D300" s="21">
        <v>1</v>
      </c>
      <c r="E300" s="21" t="s">
        <v>4057</v>
      </c>
      <c r="F300" s="21" t="s">
        <v>1117</v>
      </c>
      <c r="G300" s="21" t="s">
        <v>3827</v>
      </c>
      <c r="H300" s="88">
        <v>3834</v>
      </c>
      <c r="I300" s="43"/>
      <c r="J300" s="43">
        <v>3959</v>
      </c>
      <c r="K300" s="21"/>
      <c r="L300" s="43"/>
      <c r="M300" s="43"/>
      <c r="N300" s="43">
        <v>3971</v>
      </c>
      <c r="O300" s="21" t="s">
        <v>3828</v>
      </c>
      <c r="P300" s="194" t="str">
        <f t="shared" si="77"/>
        <v>1</v>
      </c>
      <c r="Q300" s="21">
        <v>1</v>
      </c>
      <c r="R300" s="39" t="str">
        <f t="shared" si="75"/>
        <v>-</v>
      </c>
      <c r="S300" s="120">
        <f t="shared" si="79"/>
        <v>229242</v>
      </c>
      <c r="T300" s="123">
        <v>366957</v>
      </c>
      <c r="U300" s="123">
        <f>10325+78480</f>
        <v>88805</v>
      </c>
      <c r="V300" s="123">
        <f>T300-U300</f>
        <v>278152</v>
      </c>
      <c r="W300" s="122" t="str">
        <f>IF(V300+U300=T300,"1","0")</f>
        <v>1</v>
      </c>
      <c r="X300" s="123">
        <f>112750+11500+49+13416</f>
        <v>137715</v>
      </c>
      <c r="Y300" s="123">
        <v>11500</v>
      </c>
      <c r="Z300" s="123">
        <f t="shared" si="73"/>
        <v>126215</v>
      </c>
      <c r="AA300" s="122" t="str">
        <f t="shared" si="70"/>
        <v>1</v>
      </c>
      <c r="AB300" s="120">
        <f t="shared" si="80"/>
        <v>11500</v>
      </c>
      <c r="AC300" s="123">
        <v>11500</v>
      </c>
      <c r="AD300" s="123">
        <v>0</v>
      </c>
      <c r="AE300" s="123">
        <v>30857</v>
      </c>
      <c r="AG300" s="151">
        <f>AH300-AL300</f>
        <v>171162</v>
      </c>
      <c r="AH300" s="123">
        <f>312693-53225</f>
        <v>259468</v>
      </c>
      <c r="AJ300" s="123">
        <f>35000</f>
        <v>35000</v>
      </c>
      <c r="AL300" s="123">
        <f>46000+25875+16431</f>
        <v>88306</v>
      </c>
    </row>
    <row r="301" spans="1:40" s="123" customFormat="1" ht="16.2" thickBot="1" x14ac:dyDescent="0.35">
      <c r="A301" s="21">
        <v>44.1</v>
      </c>
      <c r="B301" s="212" t="s">
        <v>159</v>
      </c>
      <c r="C301" s="31" t="str">
        <f>VLOOKUP((CONCATENATE(B301)),ID!$A$2:$D$305,3,0)</f>
        <v>RL044</v>
      </c>
      <c r="D301" s="21">
        <v>1</v>
      </c>
      <c r="E301" s="21" t="s">
        <v>4057</v>
      </c>
      <c r="F301" s="21" t="s">
        <v>1117</v>
      </c>
      <c r="G301" s="21" t="s">
        <v>3827</v>
      </c>
      <c r="H301" s="88">
        <v>4199</v>
      </c>
      <c r="I301" s="43">
        <v>4332</v>
      </c>
      <c r="J301" s="43">
        <v>4328</v>
      </c>
      <c r="K301" s="21">
        <v>1</v>
      </c>
      <c r="L301" s="43">
        <v>4331</v>
      </c>
      <c r="M301" s="43">
        <v>4345</v>
      </c>
      <c r="N301" s="43">
        <v>4342</v>
      </c>
      <c r="O301" s="21" t="s">
        <v>3828</v>
      </c>
      <c r="P301" s="194" t="str">
        <f t="shared" si="77"/>
        <v>1</v>
      </c>
      <c r="Q301" s="21">
        <v>1</v>
      </c>
      <c r="R301" s="39" t="str">
        <f t="shared" si="75"/>
        <v>-</v>
      </c>
      <c r="S301" s="120">
        <f t="shared" si="79"/>
        <v>164329</v>
      </c>
      <c r="T301" s="123">
        <v>388595</v>
      </c>
      <c r="U301" s="123">
        <f>57452+215+40567+25317</f>
        <v>123551</v>
      </c>
      <c r="V301" s="123">
        <f t="shared" si="72"/>
        <v>265044</v>
      </c>
      <c r="W301" s="122" t="str">
        <f t="shared" si="69"/>
        <v>1</v>
      </c>
      <c r="X301" s="123">
        <f>3470+18291+325+54000+148180</f>
        <v>224266</v>
      </c>
      <c r="Y301" s="123">
        <f>54000</f>
        <v>54000</v>
      </c>
      <c r="Z301" s="123">
        <f t="shared" si="73"/>
        <v>170266</v>
      </c>
      <c r="AA301" s="122" t="str">
        <f t="shared" si="70"/>
        <v>1</v>
      </c>
      <c r="AB301" s="120">
        <f t="shared" si="80"/>
        <v>54000</v>
      </c>
      <c r="AC301" s="123">
        <v>54000</v>
      </c>
      <c r="AD301" s="123">
        <v>0</v>
      </c>
      <c r="AE301" s="123">
        <v>27804</v>
      </c>
      <c r="AG301" s="151">
        <f t="shared" si="81"/>
        <v>113222</v>
      </c>
      <c r="AH301" s="123">
        <f>326821-20000-72621+200+3022-9457</f>
        <v>227965</v>
      </c>
      <c r="AJ301" s="123">
        <f>35000</f>
        <v>35000</v>
      </c>
      <c r="AL301" s="123">
        <f>46000+52312+16431</f>
        <v>114743</v>
      </c>
    </row>
    <row r="302" spans="1:40" s="123" customFormat="1" ht="16.2" thickBot="1" x14ac:dyDescent="0.35">
      <c r="A302" s="21">
        <v>44.2</v>
      </c>
      <c r="B302" s="212" t="s">
        <v>159</v>
      </c>
      <c r="C302" s="31" t="str">
        <f>VLOOKUP((CONCATENATE(B302)),ID!$A$2:$D$305,3,0)</f>
        <v>RL044</v>
      </c>
      <c r="D302" s="21">
        <v>1</v>
      </c>
      <c r="E302" s="21" t="s">
        <v>4057</v>
      </c>
      <c r="F302" s="21" t="s">
        <v>1117</v>
      </c>
      <c r="G302" s="21" t="s">
        <v>3827</v>
      </c>
      <c r="H302" s="88">
        <v>4565</v>
      </c>
      <c r="I302" s="43">
        <v>4690</v>
      </c>
      <c r="J302" s="43">
        <v>4685</v>
      </c>
      <c r="K302" s="21">
        <v>1</v>
      </c>
      <c r="L302" s="43">
        <v>4689</v>
      </c>
      <c r="M302" s="43">
        <v>4702</v>
      </c>
      <c r="N302" s="43">
        <v>4699</v>
      </c>
      <c r="O302" s="21" t="s">
        <v>3829</v>
      </c>
      <c r="P302" s="194">
        <v>1</v>
      </c>
      <c r="Q302" s="21">
        <v>1</v>
      </c>
      <c r="R302" s="39" t="str">
        <f t="shared" si="75"/>
        <v>-</v>
      </c>
      <c r="S302" s="120">
        <f t="shared" si="79"/>
        <v>235834</v>
      </c>
      <c r="T302" s="123">
        <v>393464</v>
      </c>
      <c r="U302" s="123">
        <f>40567+14263+213</f>
        <v>55043</v>
      </c>
      <c r="V302" s="123">
        <f t="shared" si="72"/>
        <v>338421</v>
      </c>
      <c r="W302" s="122" t="str">
        <f t="shared" si="69"/>
        <v>1</v>
      </c>
      <c r="X302" s="123">
        <f>18291+3470+135869</f>
        <v>157630</v>
      </c>
      <c r="Y302" s="123">
        <v>0</v>
      </c>
      <c r="Z302" s="123">
        <f t="shared" si="73"/>
        <v>157630</v>
      </c>
      <c r="AA302" s="122" t="str">
        <f t="shared" si="70"/>
        <v>1</v>
      </c>
      <c r="AB302" s="120">
        <f t="shared" si="80"/>
        <v>0</v>
      </c>
      <c r="AC302" s="123">
        <v>0</v>
      </c>
      <c r="AD302" s="123">
        <v>0</v>
      </c>
      <c r="AE302" s="123">
        <v>89280</v>
      </c>
      <c r="AG302" s="151">
        <f t="shared" si="81"/>
        <v>121366</v>
      </c>
      <c r="AH302" s="123">
        <f>331070+141+2730-98618-9457</f>
        <v>225866</v>
      </c>
      <c r="AJ302" s="123">
        <v>0</v>
      </c>
      <c r="AL302" s="123">
        <f>46000+58500</f>
        <v>104500</v>
      </c>
    </row>
    <row r="303" spans="1:40" s="123" customFormat="1" ht="16.2" thickBot="1" x14ac:dyDescent="0.35">
      <c r="A303" s="21"/>
      <c r="B303" s="212" t="s">
        <v>159</v>
      </c>
      <c r="C303" s="31" t="str">
        <f>VLOOKUP((CONCATENATE(B303)),ID!$A$2:$D$305,3,0)</f>
        <v>RL044</v>
      </c>
      <c r="D303" s="21">
        <v>1</v>
      </c>
      <c r="E303" s="21" t="s">
        <v>4057</v>
      </c>
      <c r="F303" s="21" t="s">
        <v>1117</v>
      </c>
      <c r="G303" s="21" t="s">
        <v>3827</v>
      </c>
      <c r="H303" s="88">
        <v>4930</v>
      </c>
      <c r="I303" s="43">
        <v>5088</v>
      </c>
      <c r="J303" s="43">
        <v>5085</v>
      </c>
      <c r="K303" s="21">
        <v>0</v>
      </c>
      <c r="L303" s="43"/>
      <c r="M303" s="43"/>
      <c r="N303" s="43">
        <v>5098</v>
      </c>
      <c r="O303" s="21" t="s">
        <v>3829</v>
      </c>
      <c r="P303" s="194">
        <v>1</v>
      </c>
      <c r="Q303" s="21">
        <v>1</v>
      </c>
      <c r="R303" s="39" t="str">
        <f t="shared" si="75"/>
        <v>-</v>
      </c>
      <c r="S303" s="120">
        <f t="shared" si="79"/>
        <v>217760</v>
      </c>
      <c r="T303" s="123">
        <v>443832</v>
      </c>
      <c r="U303" s="123">
        <f>25541+40567+213</f>
        <v>66321</v>
      </c>
      <c r="V303" s="123">
        <f t="shared" si="72"/>
        <v>377511</v>
      </c>
      <c r="W303" s="122" t="str">
        <f t="shared" si="69"/>
        <v>1</v>
      </c>
      <c r="X303" s="123">
        <f>207781+18291</f>
        <v>226072</v>
      </c>
      <c r="Y303" s="123">
        <v>0</v>
      </c>
      <c r="Z303" s="123">
        <f t="shared" si="73"/>
        <v>226072</v>
      </c>
      <c r="AA303" s="122" t="str">
        <f>IF(Z303+Y303=X303,"1","0")</f>
        <v>1</v>
      </c>
      <c r="AB303" s="120">
        <f>SUM(AC303+AD303)</f>
        <v>0</v>
      </c>
      <c r="AC303" s="123">
        <v>0</v>
      </c>
      <c r="AD303" s="123">
        <v>0</v>
      </c>
      <c r="AE303" s="123">
        <v>105874</v>
      </c>
      <c r="AG303" s="151">
        <f>AH303-AL303</f>
        <v>120723</v>
      </c>
      <c r="AH303" s="123">
        <f>330856-103759-1874</f>
        <v>225223</v>
      </c>
      <c r="AJ303" s="123">
        <v>0</v>
      </c>
      <c r="AL303" s="123">
        <f>46000+58500</f>
        <v>104500</v>
      </c>
    </row>
    <row r="304" spans="1:40" s="123" customFormat="1" ht="16.2" thickBot="1" x14ac:dyDescent="0.35">
      <c r="A304" s="21"/>
      <c r="B304" s="212" t="s">
        <v>159</v>
      </c>
      <c r="C304" s="31" t="str">
        <f>VLOOKUP((CONCATENATE(B304)),ID!$A$2:$D$305,3,0)</f>
        <v>RL044</v>
      </c>
      <c r="D304" s="21">
        <v>1</v>
      </c>
      <c r="E304" s="21" t="s">
        <v>4057</v>
      </c>
      <c r="F304" s="21" t="s">
        <v>1117</v>
      </c>
      <c r="G304" s="21" t="s">
        <v>3827</v>
      </c>
      <c r="H304" s="88">
        <v>5295</v>
      </c>
      <c r="I304" s="43"/>
      <c r="J304" s="43">
        <v>5494</v>
      </c>
      <c r="K304" s="21"/>
      <c r="L304" s="43"/>
      <c r="M304" s="43"/>
      <c r="N304" s="43"/>
      <c r="O304" s="21" t="s">
        <v>3829</v>
      </c>
      <c r="P304" s="194">
        <v>0</v>
      </c>
      <c r="Q304" s="21">
        <v>1</v>
      </c>
      <c r="R304" s="39" t="str">
        <f t="shared" si="75"/>
        <v>-</v>
      </c>
      <c r="S304" s="120">
        <f t="shared" si="79"/>
        <v>149615</v>
      </c>
      <c r="T304" s="123">
        <v>347671</v>
      </c>
      <c r="U304" s="123">
        <f>213+33125+10241+21562+54314</f>
        <v>119455</v>
      </c>
      <c r="V304" s="123">
        <f t="shared" si="72"/>
        <v>228216</v>
      </c>
      <c r="W304" s="122" t="str">
        <f t="shared" si="69"/>
        <v>1</v>
      </c>
      <c r="X304" s="123">
        <f>97919+100137</f>
        <v>198056</v>
      </c>
      <c r="Y304" s="123">
        <v>0</v>
      </c>
      <c r="Z304" s="123">
        <f t="shared" si="73"/>
        <v>198056</v>
      </c>
      <c r="AA304" s="122" t="str">
        <f>IF(Z304+Y304=X304,"1","0")</f>
        <v>1</v>
      </c>
      <c r="AB304" s="120">
        <f>SUM(AC304+AD304)</f>
        <v>0</v>
      </c>
      <c r="AC304" s="123">
        <v>0</v>
      </c>
      <c r="AD304" s="123">
        <v>0</v>
      </c>
      <c r="AE304" s="123">
        <v>35003</v>
      </c>
      <c r="AG304" s="151">
        <f>AH304-AL304</f>
        <v>49170</v>
      </c>
      <c r="AH304" s="151">
        <f>182720+4489+33085-523-9166-46919-3593-33085-20880</f>
        <v>106128</v>
      </c>
      <c r="AL304" s="123">
        <f>32583+24375</f>
        <v>56958</v>
      </c>
    </row>
    <row r="305" spans="1:40" s="123" customFormat="1" ht="16.2" thickBot="1" x14ac:dyDescent="0.35">
      <c r="A305" s="21"/>
      <c r="B305" s="212" t="s">
        <v>167</v>
      </c>
      <c r="C305" s="31" t="str">
        <f>VLOOKUP((CONCATENATE(B305)),ID!$A$2:$D$305,3,0)</f>
        <v>RL045</v>
      </c>
      <c r="D305" s="21">
        <v>0</v>
      </c>
      <c r="E305" s="21" t="s">
        <v>4057</v>
      </c>
      <c r="F305" s="21" t="s">
        <v>3812</v>
      </c>
      <c r="G305" s="21" t="s">
        <v>3853</v>
      </c>
      <c r="H305" s="94">
        <v>3653</v>
      </c>
      <c r="I305" s="43">
        <v>3674</v>
      </c>
      <c r="J305" s="43">
        <v>3680</v>
      </c>
      <c r="K305" s="21">
        <v>0</v>
      </c>
      <c r="L305" s="43"/>
      <c r="M305" s="43"/>
      <c r="N305" s="43">
        <v>3693</v>
      </c>
      <c r="O305" s="21" t="s">
        <v>3830</v>
      </c>
      <c r="P305" s="194">
        <v>1</v>
      </c>
      <c r="Q305" s="21">
        <v>1</v>
      </c>
      <c r="R305" s="39" t="str">
        <f t="shared" si="75"/>
        <v>-</v>
      </c>
      <c r="S305" s="120">
        <f t="shared" si="79"/>
        <v>1467115</v>
      </c>
      <c r="T305" s="123">
        <v>3342394</v>
      </c>
      <c r="U305" s="123">
        <f>1563707+44555</f>
        <v>1608262</v>
      </c>
      <c r="V305" s="123">
        <f t="shared" si="72"/>
        <v>1734132</v>
      </c>
      <c r="W305" s="122" t="str">
        <f t="shared" si="69"/>
        <v>1</v>
      </c>
      <c r="X305" s="123">
        <f>385719+105810+284388+5681+Y305</f>
        <v>1875279</v>
      </c>
      <c r="Y305" s="123">
        <f>465441+75970+4879+466926+80465</f>
        <v>1093681</v>
      </c>
      <c r="Z305" s="123">
        <f t="shared" si="73"/>
        <v>781598</v>
      </c>
      <c r="AA305" s="122" t="str">
        <f>IF(Z305+Y305=X305,"1","0")</f>
        <v>1</v>
      </c>
      <c r="AB305" s="120">
        <f>SUM(AC305+AD305)</f>
        <v>80465</v>
      </c>
      <c r="AC305" s="123">
        <v>0</v>
      </c>
      <c r="AD305" s="123">
        <v>80465</v>
      </c>
      <c r="AE305" s="123">
        <v>506125</v>
      </c>
      <c r="AG305" s="151">
        <f>AH305-AL305</f>
        <v>932444</v>
      </c>
      <c r="AH305" s="123">
        <f>1256139-22811-2173</f>
        <v>1231155</v>
      </c>
      <c r="AL305" s="123">
        <f>394+298317</f>
        <v>298711</v>
      </c>
      <c r="AM305" s="123">
        <v>3096272</v>
      </c>
      <c r="AN305" s="123">
        <v>1358498</v>
      </c>
    </row>
    <row r="306" spans="1:40" s="123" customFormat="1" ht="16.2" thickBot="1" x14ac:dyDescent="0.35">
      <c r="A306" s="21"/>
      <c r="B306" s="212" t="s">
        <v>167</v>
      </c>
      <c r="C306" s="31" t="str">
        <f>VLOOKUP((CONCATENATE(B306)),ID!$A$2:$D$305,3,0)</f>
        <v>RL045</v>
      </c>
      <c r="D306" s="21">
        <v>0</v>
      </c>
      <c r="E306" s="21" t="s">
        <v>4057</v>
      </c>
      <c r="F306" s="21" t="s">
        <v>3812</v>
      </c>
      <c r="G306" s="21" t="s">
        <v>3853</v>
      </c>
      <c r="H306" s="94">
        <v>3834</v>
      </c>
      <c r="I306" s="43">
        <v>3856</v>
      </c>
      <c r="J306" s="43">
        <v>3862</v>
      </c>
      <c r="K306" s="21">
        <v>0</v>
      </c>
      <c r="L306" s="43"/>
      <c r="M306" s="43"/>
      <c r="N306" s="43">
        <v>3875</v>
      </c>
      <c r="O306" s="21" t="s">
        <v>3830</v>
      </c>
      <c r="P306" s="194">
        <v>1</v>
      </c>
      <c r="Q306" s="21">
        <v>1</v>
      </c>
      <c r="R306" s="39" t="str">
        <f t="shared" si="75"/>
        <v>-</v>
      </c>
      <c r="S306" s="120">
        <f t="shared" si="79"/>
        <v>1395418</v>
      </c>
      <c r="T306" s="123">
        <v>3424267</v>
      </c>
      <c r="U306" s="123">
        <f>1673814+13323+43098</f>
        <v>1730235</v>
      </c>
      <c r="V306" s="123">
        <f t="shared" si="72"/>
        <v>1694032</v>
      </c>
      <c r="W306" s="122" t="str">
        <f t="shared" si="69"/>
        <v>1</v>
      </c>
      <c r="X306" s="123">
        <f>5015+284183+131632+487578+Y306</f>
        <v>2028849</v>
      </c>
      <c r="Y306" s="123">
        <f>82119+465441+86224+5366+481291</f>
        <v>1120441</v>
      </c>
      <c r="Z306" s="123">
        <f t="shared" si="73"/>
        <v>908408</v>
      </c>
      <c r="AA306" s="122" t="str">
        <f>IF(Z306+Y306=X306,"1","0")</f>
        <v>1</v>
      </c>
      <c r="AB306" s="120">
        <f>SUM(AC306+AD306)</f>
        <v>82119</v>
      </c>
      <c r="AC306" s="123">
        <v>0</v>
      </c>
      <c r="AD306" s="123">
        <v>82119</v>
      </c>
      <c r="AE306" s="123">
        <v>491868</v>
      </c>
      <c r="AG306" s="151">
        <f>AH306-AL306</f>
        <v>838776</v>
      </c>
      <c r="AH306" s="123">
        <f>1190974-38692-2173</f>
        <v>1150109</v>
      </c>
      <c r="AL306" s="123">
        <f>298317+150+22+12844</f>
        <v>311333</v>
      </c>
      <c r="AM306" s="123">
        <v>2901755</v>
      </c>
      <c r="AN306" s="123">
        <v>1149810</v>
      </c>
    </row>
    <row r="307" spans="1:40" s="123" customFormat="1" ht="16.2" thickBot="1" x14ac:dyDescent="0.35">
      <c r="A307" s="21">
        <v>45.1</v>
      </c>
      <c r="B307" s="212" t="s">
        <v>167</v>
      </c>
      <c r="C307" s="31" t="str">
        <f>VLOOKUP((CONCATENATE(B307)),ID!$A$2:$D$305,3,0)</f>
        <v>RL045</v>
      </c>
      <c r="D307" s="21">
        <v>0</v>
      </c>
      <c r="E307" s="21" t="s">
        <v>4057</v>
      </c>
      <c r="F307" s="21" t="s">
        <v>3812</v>
      </c>
      <c r="G307" s="21" t="s">
        <v>3853</v>
      </c>
      <c r="H307" s="94">
        <v>4018</v>
      </c>
      <c r="I307" s="43">
        <v>40566</v>
      </c>
      <c r="J307" s="43">
        <v>4044</v>
      </c>
      <c r="K307" s="21">
        <v>0</v>
      </c>
      <c r="L307" s="21"/>
      <c r="M307" s="21"/>
      <c r="N307" s="43">
        <v>4057</v>
      </c>
      <c r="O307" s="21" t="s">
        <v>3830</v>
      </c>
      <c r="P307" s="194">
        <v>1</v>
      </c>
      <c r="Q307" s="21">
        <v>1</v>
      </c>
      <c r="R307" s="39" t="str">
        <f t="shared" si="75"/>
        <v>-</v>
      </c>
      <c r="S307" s="120">
        <f t="shared" si="79"/>
        <v>1594123</v>
      </c>
      <c r="T307" s="123">
        <v>3663164</v>
      </c>
      <c r="U307" s="123">
        <f>1862140+43419</f>
        <v>1905559</v>
      </c>
      <c r="V307" s="123">
        <f t="shared" si="72"/>
        <v>1757605</v>
      </c>
      <c r="W307" s="122" t="str">
        <f t="shared" si="69"/>
        <v>1</v>
      </c>
      <c r="X307" s="123">
        <f>4766+284439+127415+520277+Y307</f>
        <v>2069041</v>
      </c>
      <c r="Y307" s="123">
        <f>76618+96343+5089+488653+465441</f>
        <v>1132144</v>
      </c>
      <c r="Z307" s="123">
        <f t="shared" si="73"/>
        <v>936897</v>
      </c>
      <c r="AA307" s="122" t="str">
        <f t="shared" si="70"/>
        <v>1</v>
      </c>
      <c r="AB307" s="120">
        <f t="shared" si="80"/>
        <v>76618</v>
      </c>
      <c r="AC307" s="123">
        <v>0</v>
      </c>
      <c r="AD307" s="123">
        <v>76618</v>
      </c>
      <c r="AE307" s="123">
        <v>501591</v>
      </c>
      <c r="AG307" s="151">
        <f t="shared" si="81"/>
        <v>988645</v>
      </c>
      <c r="AH307" s="123">
        <f>1326946-23043-2423</f>
        <v>1301480</v>
      </c>
      <c r="AL307" s="123">
        <f>315258-2423</f>
        <v>312835</v>
      </c>
      <c r="AM307" s="123">
        <v>3176175</v>
      </c>
      <c r="AN307" s="123">
        <v>1392098</v>
      </c>
    </row>
    <row r="308" spans="1:40" s="123" customFormat="1" ht="16.2" thickBot="1" x14ac:dyDescent="0.35">
      <c r="A308" s="21">
        <v>45.2</v>
      </c>
      <c r="B308" s="212" t="s">
        <v>167</v>
      </c>
      <c r="C308" s="31" t="str">
        <f>VLOOKUP((CONCATENATE(B308)),ID!$A$2:$D$305,3,0)</f>
        <v>RL045</v>
      </c>
      <c r="D308" s="21">
        <v>0</v>
      </c>
      <c r="E308" s="21" t="s">
        <v>4057</v>
      </c>
      <c r="F308" s="21" t="s">
        <v>3812</v>
      </c>
      <c r="G308" s="21" t="s">
        <v>3853</v>
      </c>
      <c r="H308" s="94">
        <v>4199</v>
      </c>
      <c r="I308" s="43">
        <v>4220</v>
      </c>
      <c r="J308" s="43">
        <v>4225</v>
      </c>
      <c r="K308" s="21">
        <v>0</v>
      </c>
      <c r="L308" s="21"/>
      <c r="M308" s="21"/>
      <c r="N308" s="43">
        <v>4239</v>
      </c>
      <c r="O308" s="21" t="s">
        <v>3830</v>
      </c>
      <c r="P308" s="194">
        <v>1</v>
      </c>
      <c r="Q308" s="21">
        <v>1</v>
      </c>
      <c r="R308" s="39" t="str">
        <f t="shared" si="75"/>
        <v>-</v>
      </c>
      <c r="S308" s="120">
        <f t="shared" si="79"/>
        <v>1576745</v>
      </c>
      <c r="T308" s="123">
        <v>3907104</v>
      </c>
      <c r="U308" s="123">
        <f>2015609+43957</f>
        <v>2059566</v>
      </c>
      <c r="V308" s="123">
        <f t="shared" si="72"/>
        <v>1847538</v>
      </c>
      <c r="W308" s="122" t="str">
        <f t="shared" si="69"/>
        <v>1</v>
      </c>
      <c r="X308" s="123">
        <f>8140+701951+149262+301994+3645+Y308</f>
        <v>2330359</v>
      </c>
      <c r="Y308" s="123">
        <f>89943+497897+5583+106503+465441</f>
        <v>1165367</v>
      </c>
      <c r="Z308" s="123">
        <f t="shared" si="73"/>
        <v>1164992</v>
      </c>
      <c r="AA308" s="122" t="str">
        <f t="shared" si="70"/>
        <v>1</v>
      </c>
      <c r="AB308" s="120">
        <f t="shared" si="80"/>
        <v>89943</v>
      </c>
      <c r="AC308" s="123">
        <v>0</v>
      </c>
      <c r="AD308" s="123">
        <v>89943</v>
      </c>
      <c r="AE308" s="123">
        <v>487669</v>
      </c>
      <c r="AG308" s="151">
        <f t="shared" si="81"/>
        <v>907568</v>
      </c>
      <c r="AH308" s="123">
        <f>1262853-39380-2423</f>
        <v>1221050</v>
      </c>
      <c r="AL308" s="123">
        <f>335905-22423</f>
        <v>313482</v>
      </c>
      <c r="AM308" s="123">
        <v>2998592</v>
      </c>
      <c r="AN308" s="123">
        <f>32758+82248+747333+177540</f>
        <v>1039879</v>
      </c>
    </row>
    <row r="309" spans="1:40" s="123" customFormat="1" ht="16.2" thickBot="1" x14ac:dyDescent="0.35">
      <c r="A309" s="21">
        <v>45.3</v>
      </c>
      <c r="B309" s="212" t="s">
        <v>167</v>
      </c>
      <c r="C309" s="31" t="str">
        <f>VLOOKUP((CONCATENATE(B309)),ID!$A$2:$D$305,3,0)</f>
        <v>RL045</v>
      </c>
      <c r="D309" s="21">
        <v>0</v>
      </c>
      <c r="E309" s="21" t="s">
        <v>4057</v>
      </c>
      <c r="F309" s="21" t="s">
        <v>3812</v>
      </c>
      <c r="G309" s="21" t="s">
        <v>3853</v>
      </c>
      <c r="H309" s="94">
        <v>4383</v>
      </c>
      <c r="I309" s="43">
        <v>4402</v>
      </c>
      <c r="J309" s="43">
        <v>4407</v>
      </c>
      <c r="K309" s="21">
        <v>0</v>
      </c>
      <c r="L309" s="21"/>
      <c r="M309" s="21"/>
      <c r="N309" s="43">
        <v>4421</v>
      </c>
      <c r="O309" s="21" t="s">
        <v>3830</v>
      </c>
      <c r="P309" s="194">
        <v>1</v>
      </c>
      <c r="Q309" s="21">
        <v>1</v>
      </c>
      <c r="R309" s="39" t="str">
        <f t="shared" si="75"/>
        <v>-</v>
      </c>
      <c r="S309" s="120">
        <f t="shared" si="79"/>
        <v>1716288</v>
      </c>
      <c r="T309" s="123">
        <v>4037835</v>
      </c>
      <c r="U309" s="123">
        <f>2138096+33335</f>
        <v>2171431</v>
      </c>
      <c r="V309" s="123">
        <f t="shared" si="72"/>
        <v>1866404</v>
      </c>
      <c r="W309" s="122" t="str">
        <f t="shared" si="69"/>
        <v>1</v>
      </c>
      <c r="X309" s="123">
        <f>7979+702535+123819+302290+4037+Y309</f>
        <v>2321547</v>
      </c>
      <c r="Y309" s="123">
        <f>86787+465441+116212+5735+506712</f>
        <v>1180887</v>
      </c>
      <c r="Z309" s="123">
        <f t="shared" si="73"/>
        <v>1140660</v>
      </c>
      <c r="AA309" s="122" t="str">
        <f t="shared" si="70"/>
        <v>1</v>
      </c>
      <c r="AB309" s="120">
        <f t="shared" si="80"/>
        <v>86787</v>
      </c>
      <c r="AC309" s="123">
        <v>0</v>
      </c>
      <c r="AD309" s="123">
        <v>86787</v>
      </c>
      <c r="AE309" s="123">
        <v>462603</v>
      </c>
      <c r="AG309" s="151">
        <f t="shared" si="81"/>
        <v>1009326</v>
      </c>
      <c r="AH309" s="123">
        <f>1350715-25470-2673</f>
        <v>1322572</v>
      </c>
      <c r="AL309" s="123">
        <f>14779+298317+150</f>
        <v>313246</v>
      </c>
      <c r="AM309" s="123">
        <v>3246861</v>
      </c>
      <c r="AN309" s="123">
        <v>1395472</v>
      </c>
    </row>
    <row r="310" spans="1:40" s="123" customFormat="1" ht="16.2" thickBot="1" x14ac:dyDescent="0.35">
      <c r="A310" s="21">
        <v>45.4</v>
      </c>
      <c r="B310" s="212" t="s">
        <v>167</v>
      </c>
      <c r="C310" s="31" t="str">
        <f>VLOOKUP((CONCATENATE(B310)),ID!$A$2:$D$305,3,0)</f>
        <v>RL045</v>
      </c>
      <c r="D310" s="21">
        <v>0</v>
      </c>
      <c r="E310" s="21" t="s">
        <v>4057</v>
      </c>
      <c r="F310" s="21" t="s">
        <v>3812</v>
      </c>
      <c r="G310" s="21" t="s">
        <v>3853</v>
      </c>
      <c r="H310" s="94">
        <v>4565</v>
      </c>
      <c r="I310" s="43">
        <v>4584</v>
      </c>
      <c r="J310" s="43">
        <v>4590</v>
      </c>
      <c r="K310" s="21">
        <v>0</v>
      </c>
      <c r="L310" s="21"/>
      <c r="M310" s="21"/>
      <c r="N310" s="43">
        <v>4421</v>
      </c>
      <c r="O310" s="21" t="s">
        <v>3830</v>
      </c>
      <c r="P310" s="194">
        <v>1</v>
      </c>
      <c r="Q310" s="21">
        <v>1</v>
      </c>
      <c r="R310" s="39" t="str">
        <f t="shared" si="75"/>
        <v>-</v>
      </c>
      <c r="S310" s="120">
        <f t="shared" si="79"/>
        <v>1600324</v>
      </c>
      <c r="T310" s="123">
        <v>4108034</v>
      </c>
      <c r="U310" s="123">
        <f>2328981+7856+32310</f>
        <v>2369147</v>
      </c>
      <c r="V310" s="123">
        <f t="shared" si="72"/>
        <v>1738887</v>
      </c>
      <c r="W310" s="122" t="str">
        <f t="shared" si="69"/>
        <v>1</v>
      </c>
      <c r="X310" s="123">
        <f>4155+302343+143190+795865+7220+Y310</f>
        <v>2507710</v>
      </c>
      <c r="Y310" s="123">
        <f>135158+465441+124597+5015+524726</f>
        <v>1254937</v>
      </c>
      <c r="Z310" s="123">
        <f t="shared" si="73"/>
        <v>1252773</v>
      </c>
      <c r="AA310" s="122" t="str">
        <f t="shared" si="70"/>
        <v>1</v>
      </c>
      <c r="AB310" s="120">
        <f t="shared" si="80"/>
        <v>135158</v>
      </c>
      <c r="AC310" s="123">
        <v>0</v>
      </c>
      <c r="AD310" s="123">
        <v>135158</v>
      </c>
      <c r="AE310" s="123">
        <v>341691</v>
      </c>
      <c r="AG310" s="151">
        <f t="shared" si="81"/>
        <v>795592</v>
      </c>
      <c r="AH310" s="123">
        <f>1152704-37487-2673</f>
        <v>1112544</v>
      </c>
      <c r="AL310" s="123">
        <f>150+298347+15506+2949</f>
        <v>316952</v>
      </c>
      <c r="AM310" s="123">
        <v>2935304</v>
      </c>
      <c r="AN310" s="123">
        <v>1176685</v>
      </c>
    </row>
    <row r="311" spans="1:40" s="123" customFormat="1" ht="16.2" thickBot="1" x14ac:dyDescent="0.35">
      <c r="A311" s="21"/>
      <c r="B311" s="212" t="s">
        <v>167</v>
      </c>
      <c r="C311" s="31" t="str">
        <f>VLOOKUP((CONCATENATE(B311)),ID!$A$2:$D$305,3,0)</f>
        <v>RL045</v>
      </c>
      <c r="D311" s="21">
        <v>0</v>
      </c>
      <c r="E311" s="21" t="s">
        <v>4057</v>
      </c>
      <c r="F311" s="21" t="s">
        <v>3812</v>
      </c>
      <c r="G311" s="21" t="s">
        <v>3853</v>
      </c>
      <c r="H311" s="94">
        <v>4749</v>
      </c>
      <c r="I311" s="43">
        <v>4776</v>
      </c>
      <c r="J311" s="43">
        <v>4772</v>
      </c>
      <c r="K311" s="21">
        <v>0</v>
      </c>
      <c r="L311" s="21"/>
      <c r="M311" s="21"/>
      <c r="N311" s="43">
        <v>4785</v>
      </c>
      <c r="O311" s="21" t="s">
        <v>3830</v>
      </c>
      <c r="P311" s="194">
        <v>1</v>
      </c>
      <c r="Q311" s="21">
        <v>1</v>
      </c>
      <c r="R311" s="39" t="str">
        <f t="shared" si="75"/>
        <v>-</v>
      </c>
      <c r="S311" s="120">
        <f t="shared" si="79"/>
        <v>1811748</v>
      </c>
      <c r="T311" s="123">
        <v>4304176</v>
      </c>
      <c r="U311" s="123">
        <f>2467445+6945+36808</f>
        <v>2511198</v>
      </c>
      <c r="V311" s="123">
        <f>T311-U311</f>
        <v>1792978</v>
      </c>
      <c r="W311" s="122" t="str">
        <f t="shared" si="69"/>
        <v>1</v>
      </c>
      <c r="X311" s="123">
        <f>T311-65000-198333-201110-73250-65038-195621-1013396</f>
        <v>2492428</v>
      </c>
      <c r="Y311" s="123">
        <f>AB311+540970+5159+132122+465441</f>
        <v>1224992</v>
      </c>
      <c r="Z311" s="123">
        <f t="shared" si="73"/>
        <v>1267436</v>
      </c>
      <c r="AA311" s="122" t="str">
        <f t="shared" si="70"/>
        <v>1</v>
      </c>
      <c r="AB311" s="120">
        <f t="shared" si="80"/>
        <v>81300</v>
      </c>
      <c r="AC311" s="123">
        <v>0</v>
      </c>
      <c r="AD311" s="123">
        <f>81300</f>
        <v>81300</v>
      </c>
      <c r="AE311" s="123">
        <v>253350</v>
      </c>
      <c r="AG311" s="151">
        <f>AH311-AL311</f>
        <v>1007203</v>
      </c>
      <c r="AH311" s="123">
        <f>1351357-25605-2923</f>
        <v>1322829</v>
      </c>
      <c r="AL311" s="123">
        <f>132+298947+15900+647</f>
        <v>315626</v>
      </c>
      <c r="AM311" s="123">
        <v>3438661</v>
      </c>
      <c r="AN311" s="123">
        <v>1502994</v>
      </c>
    </row>
    <row r="312" spans="1:40" s="123" customFormat="1" ht="16.2" thickBot="1" x14ac:dyDescent="0.35">
      <c r="A312" s="21"/>
      <c r="B312" s="212" t="s">
        <v>167</v>
      </c>
      <c r="C312" s="31" t="str">
        <f>VLOOKUP((CONCATENATE(B312)),ID!$A$2:$D$305,3,0)</f>
        <v>RL045</v>
      </c>
      <c r="D312" s="21">
        <v>1</v>
      </c>
      <c r="E312" s="21" t="s">
        <v>4057</v>
      </c>
      <c r="F312" s="21" t="s">
        <v>3812</v>
      </c>
      <c r="G312" s="21" t="s">
        <v>3853</v>
      </c>
      <c r="H312" s="94">
        <v>5114</v>
      </c>
      <c r="I312" s="43">
        <v>5127</v>
      </c>
      <c r="J312" s="43">
        <v>5147</v>
      </c>
      <c r="K312" s="21">
        <v>0</v>
      </c>
      <c r="L312" s="21"/>
      <c r="M312" s="21"/>
      <c r="N312" s="43">
        <v>5163</v>
      </c>
      <c r="O312" s="21" t="s">
        <v>3830</v>
      </c>
      <c r="P312" s="194" t="str">
        <f t="shared" si="77"/>
        <v>1</v>
      </c>
      <c r="Q312" s="21">
        <v>1</v>
      </c>
      <c r="R312" s="39" t="str">
        <f t="shared" si="75"/>
        <v>-</v>
      </c>
      <c r="S312" s="120">
        <f t="shared" si="79"/>
        <v>1897614</v>
      </c>
      <c r="T312" s="123">
        <v>4597027</v>
      </c>
      <c r="U312" s="123">
        <f>2579738</f>
        <v>2579738</v>
      </c>
      <c r="V312" s="123">
        <f t="shared" si="72"/>
        <v>2017289</v>
      </c>
      <c r="W312" s="122" t="str">
        <f t="shared" si="69"/>
        <v>1</v>
      </c>
      <c r="X312" s="123">
        <f>T312-197427-546171-65000-1089016</f>
        <v>2699413</v>
      </c>
      <c r="Y312" s="123">
        <f>5869+137868+609205+569381</f>
        <v>1322323</v>
      </c>
      <c r="Z312" s="123">
        <f t="shared" si="73"/>
        <v>1377090</v>
      </c>
      <c r="AA312" s="122" t="str">
        <f t="shared" si="70"/>
        <v>1</v>
      </c>
      <c r="AB312" s="120">
        <f t="shared" si="80"/>
        <v>0</v>
      </c>
      <c r="AC312" s="123">
        <v>0</v>
      </c>
      <c r="AD312" s="123">
        <v>0</v>
      </c>
      <c r="AE312" s="123">
        <v>369949</v>
      </c>
      <c r="AG312" s="151">
        <f>AH312-AL312-AI312</f>
        <v>1888342</v>
      </c>
      <c r="AH312" s="123">
        <f>2602111+21256-5225-57559</f>
        <v>2560583</v>
      </c>
      <c r="AJ312" s="123">
        <v>837996</v>
      </c>
      <c r="AL312" s="123">
        <f>21256+26856+90+597566+26473</f>
        <v>672241</v>
      </c>
      <c r="AM312" s="123">
        <v>7236982</v>
      </c>
    </row>
    <row r="313" spans="1:40" s="123" customFormat="1" ht="16.2" thickBot="1" x14ac:dyDescent="0.35">
      <c r="A313" s="21"/>
      <c r="B313" s="212" t="s">
        <v>172</v>
      </c>
      <c r="C313" s="31" t="str">
        <f>VLOOKUP((CONCATENATE(B313)),ID!$A$2:$D$305,3,0)</f>
        <v>RL046</v>
      </c>
      <c r="D313" s="21">
        <v>1</v>
      </c>
      <c r="E313" s="21" t="s">
        <v>4057</v>
      </c>
      <c r="F313" s="21" t="s">
        <v>1117</v>
      </c>
      <c r="G313" s="21" t="s">
        <v>3821</v>
      </c>
      <c r="H313" s="88">
        <v>3653</v>
      </c>
      <c r="I313" s="43">
        <v>3783</v>
      </c>
      <c r="J313" s="43">
        <v>3783</v>
      </c>
      <c r="K313" s="21">
        <v>1</v>
      </c>
      <c r="L313" s="43">
        <v>3780</v>
      </c>
      <c r="M313" s="43">
        <v>3794</v>
      </c>
      <c r="N313" s="43">
        <v>3792</v>
      </c>
      <c r="O313" s="27" t="s">
        <v>3800</v>
      </c>
      <c r="P313" s="194" t="str">
        <f t="shared" si="77"/>
        <v>1</v>
      </c>
      <c r="Q313" s="21">
        <v>1</v>
      </c>
      <c r="R313" s="39" t="str">
        <f t="shared" si="75"/>
        <v>-</v>
      </c>
      <c r="S313" s="120">
        <f t="shared" si="79"/>
        <v>545811</v>
      </c>
      <c r="T313" s="123">
        <v>1146343</v>
      </c>
      <c r="U313" s="123">
        <f>655256+145193+5999</f>
        <v>806448</v>
      </c>
      <c r="V313" s="123">
        <f t="shared" si="72"/>
        <v>339895</v>
      </c>
      <c r="W313" s="122" t="str">
        <f t="shared" si="69"/>
        <v>1</v>
      </c>
      <c r="X313" s="123">
        <f>302+27320+52000+40248+33664+68082+370178+Y313</f>
        <v>600532</v>
      </c>
      <c r="Y313" s="123">
        <v>8738</v>
      </c>
      <c r="Z313" s="123">
        <f t="shared" si="73"/>
        <v>591794</v>
      </c>
      <c r="AA313" s="122" t="str">
        <f t="shared" si="70"/>
        <v>1</v>
      </c>
      <c r="AB313" s="120">
        <f t="shared" si="80"/>
        <v>52000</v>
      </c>
      <c r="AC313" s="123">
        <v>0</v>
      </c>
      <c r="AD313" s="123">
        <v>52000</v>
      </c>
      <c r="AE313" s="123">
        <f>34206+10182</f>
        <v>44388</v>
      </c>
      <c r="AG313" s="151">
        <f t="shared" ref="AG313:AG376" si="82">AH313-AL313-AI313</f>
        <v>269048</v>
      </c>
      <c r="AH313" s="123">
        <f>518996-105882-27</f>
        <v>413087</v>
      </c>
      <c r="AJ313" s="123">
        <v>71500</v>
      </c>
      <c r="AL313" s="123">
        <f>144039</f>
        <v>144039</v>
      </c>
      <c r="AM313" s="123">
        <v>1215083</v>
      </c>
      <c r="AN313" s="123">
        <v>193033</v>
      </c>
    </row>
    <row r="314" spans="1:40" s="123" customFormat="1" ht="16.2" thickBot="1" x14ac:dyDescent="0.35">
      <c r="A314" s="21"/>
      <c r="B314" s="212" t="s">
        <v>172</v>
      </c>
      <c r="C314" s="31" t="str">
        <f>VLOOKUP((CONCATENATE(B314)),ID!$A$2:$D$305,3,0)</f>
        <v>RL046</v>
      </c>
      <c r="D314" s="21">
        <v>1</v>
      </c>
      <c r="E314" s="21" t="s">
        <v>4057</v>
      </c>
      <c r="F314" s="21" t="s">
        <v>1117</v>
      </c>
      <c r="G314" s="21" t="s">
        <v>3821</v>
      </c>
      <c r="H314" s="88">
        <v>4018</v>
      </c>
      <c r="I314" s="43"/>
      <c r="J314" s="43"/>
      <c r="K314" s="21"/>
      <c r="L314" s="43"/>
      <c r="M314" s="43"/>
      <c r="N314" s="43"/>
      <c r="O314" s="27"/>
      <c r="P314" s="194" t="str">
        <f t="shared" si="77"/>
        <v>?</v>
      </c>
      <c r="Q314" s="21">
        <v>1</v>
      </c>
      <c r="R314" s="39" t="str">
        <f t="shared" si="75"/>
        <v>-</v>
      </c>
      <c r="S314" s="120">
        <f t="shared" si="79"/>
        <v>0</v>
      </c>
      <c r="T314" s="135"/>
      <c r="U314" s="135"/>
      <c r="V314" s="135"/>
      <c r="W314" s="174"/>
      <c r="X314" s="135"/>
      <c r="Y314" s="135"/>
      <c r="Z314" s="135"/>
      <c r="AA314" s="174"/>
      <c r="AB314" s="179"/>
      <c r="AC314" s="135"/>
      <c r="AD314" s="135"/>
      <c r="AE314" s="135"/>
      <c r="AG314" s="158">
        <f t="shared" si="82"/>
        <v>0</v>
      </c>
      <c r="AH314" s="135"/>
      <c r="AI314" s="135"/>
      <c r="AJ314" s="135"/>
      <c r="AK314" s="135"/>
      <c r="AL314" s="135"/>
      <c r="AM314" s="123">
        <v>1318116</v>
      </c>
      <c r="AN314" s="123">
        <v>255849</v>
      </c>
    </row>
    <row r="315" spans="1:40" s="123" customFormat="1" ht="16.2" thickBot="1" x14ac:dyDescent="0.35">
      <c r="A315" s="21">
        <v>46.1</v>
      </c>
      <c r="B315" s="212" t="s">
        <v>172</v>
      </c>
      <c r="C315" s="31" t="str">
        <f>VLOOKUP((CONCATENATE(B315)),ID!$A$2:$D$305,3,0)</f>
        <v>RL046</v>
      </c>
      <c r="D315" s="21">
        <v>1</v>
      </c>
      <c r="E315" s="21" t="s">
        <v>4057</v>
      </c>
      <c r="F315" s="21" t="s">
        <v>1117</v>
      </c>
      <c r="G315" s="21" t="s">
        <v>3821</v>
      </c>
      <c r="H315" s="88">
        <v>4383</v>
      </c>
      <c r="I315" s="43">
        <v>4513</v>
      </c>
      <c r="J315" s="67">
        <v>4512</v>
      </c>
      <c r="K315" s="21">
        <v>1</v>
      </c>
      <c r="L315" s="43">
        <v>4511</v>
      </c>
      <c r="M315" s="43">
        <v>4525</v>
      </c>
      <c r="N315" s="43">
        <v>4521</v>
      </c>
      <c r="O315" s="27" t="s">
        <v>3800</v>
      </c>
      <c r="P315" s="194" t="str">
        <f t="shared" si="77"/>
        <v>1</v>
      </c>
      <c r="Q315" s="21">
        <v>1</v>
      </c>
      <c r="R315" s="39" t="str">
        <f t="shared" si="75"/>
        <v>-</v>
      </c>
      <c r="S315" s="120">
        <f t="shared" si="79"/>
        <v>618123</v>
      </c>
      <c r="T315" s="123">
        <v>1396251</v>
      </c>
      <c r="U315" s="123">
        <f>323807+5999</f>
        <v>329806</v>
      </c>
      <c r="V315" s="123">
        <f t="shared" si="72"/>
        <v>1066445</v>
      </c>
      <c r="W315" s="122" t="str">
        <f t="shared" si="69"/>
        <v>1</v>
      </c>
      <c r="X315" s="123">
        <f>490557+122960+76993+43478+27178+Y315</f>
        <v>778128</v>
      </c>
      <c r="Y315" s="123">
        <v>16962</v>
      </c>
      <c r="Z315" s="123">
        <f t="shared" si="73"/>
        <v>761166</v>
      </c>
      <c r="AA315" s="122" t="str">
        <f t="shared" si="70"/>
        <v>1</v>
      </c>
      <c r="AB315" s="120">
        <f t="shared" si="80"/>
        <v>0</v>
      </c>
      <c r="AC315" s="123">
        <v>0</v>
      </c>
      <c r="AD315" s="123">
        <v>0</v>
      </c>
      <c r="AE315" s="123">
        <f>127639+10896</f>
        <v>138535</v>
      </c>
      <c r="AG315" s="151">
        <f t="shared" si="82"/>
        <v>281544</v>
      </c>
      <c r="AH315" s="123">
        <f>556226-113309-100</f>
        <v>442817</v>
      </c>
      <c r="AI315" s="123">
        <v>515</v>
      </c>
      <c r="AJ315" s="123">
        <v>138794</v>
      </c>
      <c r="AL315" s="123">
        <v>160758</v>
      </c>
      <c r="AM315" s="123">
        <v>1365918</v>
      </c>
      <c r="AN315" s="123">
        <v>300521</v>
      </c>
    </row>
    <row r="316" spans="1:40" s="123" customFormat="1" ht="16.2" thickBot="1" x14ac:dyDescent="0.35">
      <c r="A316" s="21"/>
      <c r="B316" s="212" t="s">
        <v>172</v>
      </c>
      <c r="C316" s="31" t="str">
        <f>VLOOKUP((CONCATENATE(B316)),ID!$A$2:$D$305,3,0)</f>
        <v>RL046</v>
      </c>
      <c r="D316" s="21">
        <v>1</v>
      </c>
      <c r="E316" s="21" t="s">
        <v>4057</v>
      </c>
      <c r="F316" s="21" t="s">
        <v>1117</v>
      </c>
      <c r="G316" s="21" t="s">
        <v>3821</v>
      </c>
      <c r="H316" s="88">
        <v>4749</v>
      </c>
      <c r="I316" s="43">
        <v>4890</v>
      </c>
      <c r="J316" s="67">
        <v>4890</v>
      </c>
      <c r="K316" s="21">
        <v>1</v>
      </c>
      <c r="L316" s="43">
        <v>4885</v>
      </c>
      <c r="M316" s="43">
        <v>4899</v>
      </c>
      <c r="N316" s="43">
        <v>4899</v>
      </c>
      <c r="O316" s="27" t="s">
        <v>3800</v>
      </c>
      <c r="P316" s="194" t="str">
        <f t="shared" si="77"/>
        <v>1</v>
      </c>
      <c r="Q316" s="21">
        <v>1</v>
      </c>
      <c r="R316" s="39" t="str">
        <f t="shared" si="75"/>
        <v>-</v>
      </c>
      <c r="S316" s="120">
        <f t="shared" si="79"/>
        <v>719941</v>
      </c>
      <c r="T316" s="123">
        <v>1719951</v>
      </c>
      <c r="U316" s="123">
        <f>438744+5999+258543</f>
        <v>703286</v>
      </c>
      <c r="V316" s="123">
        <f t="shared" si="72"/>
        <v>1016665</v>
      </c>
      <c r="W316" s="122" t="str">
        <f t="shared" si="69"/>
        <v>1</v>
      </c>
      <c r="X316" s="123">
        <f>28521+44514+158343+602558+Y316</f>
        <v>1000010</v>
      </c>
      <c r="Y316" s="123">
        <f>140000+26074</f>
        <v>166074</v>
      </c>
      <c r="Z316" s="123">
        <f t="shared" si="73"/>
        <v>833936</v>
      </c>
      <c r="AA316" s="122" t="str">
        <f t="shared" si="70"/>
        <v>1</v>
      </c>
      <c r="AB316" s="120">
        <f t="shared" si="80"/>
        <v>140000</v>
      </c>
      <c r="AC316" s="123">
        <v>0</v>
      </c>
      <c r="AD316" s="123">
        <v>140000</v>
      </c>
      <c r="AE316" s="123">
        <f>168649+13163</f>
        <v>181812</v>
      </c>
      <c r="AG316" s="151">
        <f t="shared" si="82"/>
        <v>450780</v>
      </c>
      <c r="AH316" s="123">
        <f>739521-119245-127</f>
        <v>620149</v>
      </c>
      <c r="AJ316" s="123">
        <v>156493</v>
      </c>
      <c r="AL316" s="123">
        <f>167665+1704</f>
        <v>169369</v>
      </c>
      <c r="AM316" s="123">
        <v>1688925</v>
      </c>
      <c r="AN316" s="123">
        <v>366235</v>
      </c>
    </row>
    <row r="317" spans="1:40" s="123" customFormat="1" ht="16.2" thickBot="1" x14ac:dyDescent="0.35">
      <c r="A317" s="21"/>
      <c r="B317" s="212" t="s">
        <v>172</v>
      </c>
      <c r="C317" s="31" t="str">
        <f>VLOOKUP((CONCATENATE(B317)),ID!$A$2:$D$305,3,0)</f>
        <v>RL046</v>
      </c>
      <c r="D317" s="21">
        <v>1</v>
      </c>
      <c r="E317" s="21" t="s">
        <v>4057</v>
      </c>
      <c r="F317" s="21" t="s">
        <v>1117</v>
      </c>
      <c r="G317" s="21" t="s">
        <v>3821</v>
      </c>
      <c r="H317" s="88">
        <v>5114</v>
      </c>
      <c r="I317" s="43">
        <v>5235</v>
      </c>
      <c r="J317" s="67">
        <v>5235</v>
      </c>
      <c r="K317" s="21">
        <v>1</v>
      </c>
      <c r="L317" s="43">
        <v>5241</v>
      </c>
      <c r="M317" s="43">
        <v>5255</v>
      </c>
      <c r="N317" s="43">
        <v>5245</v>
      </c>
      <c r="O317" s="27" t="s">
        <v>3800</v>
      </c>
      <c r="P317" s="194" t="str">
        <f t="shared" si="77"/>
        <v>1</v>
      </c>
      <c r="Q317" s="21">
        <v>1</v>
      </c>
      <c r="R317" s="39" t="str">
        <f t="shared" si="75"/>
        <v>-</v>
      </c>
      <c r="S317" s="120">
        <f t="shared" si="79"/>
        <v>792797</v>
      </c>
      <c r="T317" s="123">
        <v>1718328</v>
      </c>
      <c r="U317" s="123">
        <f>89794+462978+5899+276078</f>
        <v>834749</v>
      </c>
      <c r="V317" s="123">
        <f t="shared" si="72"/>
        <v>883579</v>
      </c>
      <c r="W317" s="122" t="str">
        <f t="shared" si="69"/>
        <v>1</v>
      </c>
      <c r="X317" s="123">
        <f>3576+9213+45431+173959+658707+Y317</f>
        <v>925531</v>
      </c>
      <c r="Y317" s="123">
        <f>34645</f>
        <v>34645</v>
      </c>
      <c r="Z317" s="123">
        <f t="shared" si="73"/>
        <v>890886</v>
      </c>
      <c r="AA317" s="122" t="str">
        <f t="shared" si="70"/>
        <v>1</v>
      </c>
      <c r="AB317" s="120">
        <f t="shared" si="80"/>
        <v>0</v>
      </c>
      <c r="AC317" s="123">
        <v>0</v>
      </c>
      <c r="AD317" s="123">
        <v>0</v>
      </c>
      <c r="AE317" s="123">
        <f>12877+72807</f>
        <v>85684</v>
      </c>
      <c r="AG317" s="151">
        <f t="shared" si="82"/>
        <v>466449</v>
      </c>
      <c r="AH317" s="123">
        <f>791108-117903-170</f>
        <v>673035</v>
      </c>
      <c r="AJ317" s="123">
        <v>156493</v>
      </c>
      <c r="AL317" s="123">
        <f>179812+16583+10191</f>
        <v>206586</v>
      </c>
      <c r="AM317" s="123">
        <v>1872476</v>
      </c>
      <c r="AN317" s="123">
        <v>401353</v>
      </c>
    </row>
    <row r="318" spans="1:40" s="123" customFormat="1" ht="16.2" thickBot="1" x14ac:dyDescent="0.35">
      <c r="A318" s="21"/>
      <c r="B318" s="212" t="s">
        <v>184</v>
      </c>
      <c r="C318" s="31" t="str">
        <f>VLOOKUP((CONCATENATE(B318)),ID!$A$2:$D$305,3,0)</f>
        <v>RL047</v>
      </c>
      <c r="D318" s="21">
        <v>0</v>
      </c>
      <c r="E318" s="21" t="s">
        <v>4057</v>
      </c>
      <c r="F318" s="21" t="s">
        <v>1117</v>
      </c>
      <c r="G318" s="21" t="s">
        <v>3853</v>
      </c>
      <c r="H318" s="94">
        <v>3653</v>
      </c>
      <c r="I318" s="43">
        <v>3687</v>
      </c>
      <c r="J318" s="67">
        <v>3693</v>
      </c>
      <c r="K318" s="21">
        <v>0</v>
      </c>
      <c r="L318" s="43"/>
      <c r="M318" s="43"/>
      <c r="N318" s="43">
        <v>3702</v>
      </c>
      <c r="O318" s="21" t="s">
        <v>3831</v>
      </c>
      <c r="P318" s="194">
        <v>1</v>
      </c>
      <c r="Q318" s="21">
        <v>1</v>
      </c>
      <c r="R318" s="39" t="str">
        <f t="shared" si="75"/>
        <v>-</v>
      </c>
      <c r="S318" s="120">
        <f t="shared" si="79"/>
        <v>3713148</v>
      </c>
      <c r="T318" s="123">
        <v>9142947</v>
      </c>
      <c r="U318" s="123">
        <f>3376594+75431</f>
        <v>3452025</v>
      </c>
      <c r="V318" s="123">
        <f t="shared" si="72"/>
        <v>5690922</v>
      </c>
      <c r="W318" s="122" t="str">
        <f t="shared" si="69"/>
        <v>1</v>
      </c>
      <c r="X318" s="123">
        <f>14086+48854+585125+101174+1954003+Y318</f>
        <v>5429799</v>
      </c>
      <c r="Y318" s="123">
        <f>267108+4551+725836+217030+1512032</f>
        <v>2726557</v>
      </c>
      <c r="Z318" s="123">
        <f t="shared" si="73"/>
        <v>2703242</v>
      </c>
      <c r="AA318" s="122" t="str">
        <f t="shared" si="70"/>
        <v>1</v>
      </c>
      <c r="AB318" s="120">
        <f t="shared" si="80"/>
        <v>0</v>
      </c>
      <c r="AC318" s="123">
        <v>0</v>
      </c>
      <c r="AD318" s="123">
        <v>0</v>
      </c>
      <c r="AE318" s="123">
        <f>1125000+289472</f>
        <v>1414472</v>
      </c>
      <c r="AG318" s="151">
        <f t="shared" si="82"/>
        <v>2416350</v>
      </c>
      <c r="AH318" s="123">
        <f>3227493-(1990981-1878068)</f>
        <v>3114580</v>
      </c>
      <c r="AL318" s="123">
        <f>145530+552700</f>
        <v>698230</v>
      </c>
      <c r="AM318" s="123">
        <v>8131668</v>
      </c>
      <c r="AN318" s="123">
        <v>3606278</v>
      </c>
    </row>
    <row r="319" spans="1:40" s="123" customFormat="1" ht="16.2" thickBot="1" x14ac:dyDescent="0.35">
      <c r="A319" s="21"/>
      <c r="B319" s="212" t="s">
        <v>184</v>
      </c>
      <c r="C319" s="31" t="str">
        <f>VLOOKUP((CONCATENATE(B319)),ID!$A$2:$D$305,3,0)</f>
        <v>RL047</v>
      </c>
      <c r="D319" s="21">
        <v>0</v>
      </c>
      <c r="E319" s="21" t="s">
        <v>4057</v>
      </c>
      <c r="F319" s="21" t="s">
        <v>1117</v>
      </c>
      <c r="G319" s="21" t="s">
        <v>3853</v>
      </c>
      <c r="H319" s="94">
        <v>3834</v>
      </c>
      <c r="I319" s="43">
        <v>3862</v>
      </c>
      <c r="J319" s="67">
        <v>3869</v>
      </c>
      <c r="K319" s="21">
        <v>0</v>
      </c>
      <c r="L319" s="43"/>
      <c r="M319" s="43"/>
      <c r="N319" s="43">
        <v>3877</v>
      </c>
      <c r="O319" s="21" t="s">
        <v>3831</v>
      </c>
      <c r="P319" s="194">
        <v>1</v>
      </c>
      <c r="Q319" s="21">
        <v>1</v>
      </c>
      <c r="R319" s="39" t="str">
        <f t="shared" ref="R319:R358" si="83">IF(Q319=0,"?","-")</f>
        <v>-</v>
      </c>
      <c r="S319" s="120">
        <f t="shared" si="79"/>
        <v>3497602</v>
      </c>
      <c r="T319" s="123">
        <v>9115042</v>
      </c>
      <c r="U319" s="123">
        <f>3534477</f>
        <v>3534477</v>
      </c>
      <c r="V319" s="123">
        <f t="shared" si="72"/>
        <v>5580565</v>
      </c>
      <c r="W319" s="122" t="str">
        <f t="shared" si="69"/>
        <v>1</v>
      </c>
      <c r="X319" s="123">
        <f>14434+54205+585126+87718+2131874+Y319</f>
        <v>5617440</v>
      </c>
      <c r="Y319" s="123">
        <f>263164+3734+725590+228493+1523102</f>
        <v>2744083</v>
      </c>
      <c r="Z319" s="123">
        <f t="shared" si="73"/>
        <v>2873357</v>
      </c>
      <c r="AA319" s="122" t="str">
        <f t="shared" si="70"/>
        <v>1</v>
      </c>
      <c r="AB319" s="120">
        <f t="shared" si="80"/>
        <v>0</v>
      </c>
      <c r="AC319" s="123">
        <v>0</v>
      </c>
      <c r="AD319" s="123">
        <v>0</v>
      </c>
      <c r="AE319" s="123">
        <v>1343984</v>
      </c>
      <c r="AG319" s="151">
        <f t="shared" si="82"/>
        <v>2120532</v>
      </c>
      <c r="AH319" s="123">
        <f>2938868-118516</f>
        <v>2820352</v>
      </c>
      <c r="AL319" s="123">
        <f>552788+147032</f>
        <v>699820</v>
      </c>
      <c r="AM319" s="123">
        <v>7501587</v>
      </c>
      <c r="AN319" s="123">
        <v>2994060</v>
      </c>
    </row>
    <row r="320" spans="1:40" s="123" customFormat="1" ht="16.2" thickBot="1" x14ac:dyDescent="0.35">
      <c r="A320" s="21">
        <v>47.1</v>
      </c>
      <c r="B320" s="212" t="s">
        <v>184</v>
      </c>
      <c r="C320" s="31" t="str">
        <f>VLOOKUP((CONCATENATE(B320)),ID!$A$2:$D$305,3,0)</f>
        <v>RL047</v>
      </c>
      <c r="D320" s="21">
        <v>0</v>
      </c>
      <c r="E320" s="21" t="s">
        <v>4057</v>
      </c>
      <c r="F320" s="21" t="s">
        <v>1117</v>
      </c>
      <c r="G320" s="21" t="s">
        <v>3853</v>
      </c>
      <c r="H320" s="94">
        <v>4018</v>
      </c>
      <c r="I320" s="43">
        <v>4051</v>
      </c>
      <c r="J320" s="43">
        <v>4057</v>
      </c>
      <c r="K320" s="21">
        <v>0</v>
      </c>
      <c r="L320" s="21"/>
      <c r="M320" s="21"/>
      <c r="N320" s="43">
        <v>4066</v>
      </c>
      <c r="O320" s="21" t="s">
        <v>3831</v>
      </c>
      <c r="P320" s="194">
        <v>1</v>
      </c>
      <c r="Q320" s="21">
        <v>1</v>
      </c>
      <c r="R320" s="39" t="str">
        <f t="shared" si="83"/>
        <v>-</v>
      </c>
      <c r="S320" s="120">
        <f t="shared" si="79"/>
        <v>4162082</v>
      </c>
      <c r="T320" s="123">
        <v>9996687</v>
      </c>
      <c r="U320" s="123">
        <f>3726033+42472+75147</f>
        <v>3843652</v>
      </c>
      <c r="V320" s="123">
        <f t="shared" si="72"/>
        <v>6153035</v>
      </c>
      <c r="W320" s="122" t="str">
        <f t="shared" si="69"/>
        <v>1</v>
      </c>
      <c r="X320" s="123">
        <f>2274147+87391+585178+74894+14968+Y320</f>
        <v>5834605</v>
      </c>
      <c r="Y320" s="123">
        <f>265677+4270+752049+240414+1535617</f>
        <v>2798027</v>
      </c>
      <c r="Z320" s="123">
        <f t="shared" si="73"/>
        <v>3036578</v>
      </c>
      <c r="AA320" s="122" t="str">
        <f t="shared" si="70"/>
        <v>1</v>
      </c>
      <c r="AB320" s="120">
        <f t="shared" si="80"/>
        <v>0</v>
      </c>
      <c r="AC320" s="123">
        <v>0</v>
      </c>
      <c r="AD320" s="123">
        <v>0</v>
      </c>
      <c r="AE320" s="123">
        <v>1941166</v>
      </c>
      <c r="AG320" s="151">
        <f t="shared" si="82"/>
        <v>2639945</v>
      </c>
      <c r="AH320" s="123">
        <f>3426348-100135</f>
        <v>3326213</v>
      </c>
      <c r="AL320" s="123">
        <f>552839+133429</f>
        <v>686268</v>
      </c>
      <c r="AM320" s="123">
        <v>8421108</v>
      </c>
      <c r="AN320" s="123">
        <v>3704534</v>
      </c>
    </row>
    <row r="321" spans="1:40" s="123" customFormat="1" ht="16.2" thickBot="1" x14ac:dyDescent="0.35">
      <c r="A321" s="21">
        <v>47.2</v>
      </c>
      <c r="B321" s="212" t="s">
        <v>184</v>
      </c>
      <c r="C321" s="31" t="str">
        <f>VLOOKUP((CONCATENATE(B321)),ID!$A$2:$D$305,3,0)</f>
        <v>RL047</v>
      </c>
      <c r="D321" s="21">
        <v>0</v>
      </c>
      <c r="E321" s="21" t="s">
        <v>4057</v>
      </c>
      <c r="F321" s="21" t="s">
        <v>1117</v>
      </c>
      <c r="G321" s="21" t="s">
        <v>3853</v>
      </c>
      <c r="H321" s="94">
        <v>4199</v>
      </c>
      <c r="I321" s="43">
        <v>4226</v>
      </c>
      <c r="J321" s="43">
        <v>4233</v>
      </c>
      <c r="K321" s="21">
        <v>0</v>
      </c>
      <c r="L321" s="21"/>
      <c r="M321" s="21"/>
      <c r="N321" s="43">
        <v>4241</v>
      </c>
      <c r="O321" s="21" t="s">
        <v>3831</v>
      </c>
      <c r="P321" s="194">
        <v>1</v>
      </c>
      <c r="Q321" s="21">
        <v>1</v>
      </c>
      <c r="R321" s="39" t="str">
        <f t="shared" si="83"/>
        <v>-</v>
      </c>
      <c r="S321" s="120">
        <f t="shared" si="79"/>
        <v>3953769</v>
      </c>
      <c r="T321" s="123">
        <v>10037267</v>
      </c>
      <c r="U321" s="123">
        <f>3866704+42473+78691</f>
        <v>3987868</v>
      </c>
      <c r="V321" s="123">
        <f t="shared" si="72"/>
        <v>6049399</v>
      </c>
      <c r="W321" s="122" t="str">
        <f t="shared" si="69"/>
        <v>1</v>
      </c>
      <c r="X321" s="123">
        <f>12423+53850+585334+78787+2521127+Y321</f>
        <v>6083498</v>
      </c>
      <c r="Y321" s="123">
        <f>269407+3441+759099+252915+1547115</f>
        <v>2831977</v>
      </c>
      <c r="Z321" s="123">
        <f t="shared" si="73"/>
        <v>3251521</v>
      </c>
      <c r="AA321" s="122" t="str">
        <f t="shared" si="70"/>
        <v>1</v>
      </c>
      <c r="AB321" s="120">
        <f t="shared" si="80"/>
        <v>0</v>
      </c>
      <c r="AC321" s="123">
        <v>0</v>
      </c>
      <c r="AD321" s="123">
        <v>0</v>
      </c>
      <c r="AE321" s="123">
        <v>1467285</v>
      </c>
      <c r="AG321" s="151">
        <f t="shared" si="82"/>
        <v>2268954</v>
      </c>
      <c r="AH321" s="123">
        <f>3084337-118662</f>
        <v>2965675</v>
      </c>
      <c r="AL321" s="123">
        <f>552993+143728</f>
        <v>696721</v>
      </c>
      <c r="AM321" s="123">
        <v>7767333</v>
      </c>
      <c r="AN321" s="123">
        <v>3117651</v>
      </c>
    </row>
    <row r="322" spans="1:40" s="123" customFormat="1" ht="16.2" thickBot="1" x14ac:dyDescent="0.35">
      <c r="A322" s="21">
        <v>47.3</v>
      </c>
      <c r="B322" s="212" t="s">
        <v>184</v>
      </c>
      <c r="C322" s="31" t="str">
        <f>VLOOKUP((CONCATENATE(B322)),ID!$A$2:$D$305,3,0)</f>
        <v>RL047</v>
      </c>
      <c r="D322" s="21">
        <v>0</v>
      </c>
      <c r="E322" s="21" t="s">
        <v>4057</v>
      </c>
      <c r="F322" s="21" t="s">
        <v>1117</v>
      </c>
      <c r="G322" s="21" t="s">
        <v>3853</v>
      </c>
      <c r="H322" s="94">
        <v>4383</v>
      </c>
      <c r="I322" s="43">
        <v>4415</v>
      </c>
      <c r="J322" s="43">
        <v>4421</v>
      </c>
      <c r="K322" s="21">
        <v>0</v>
      </c>
      <c r="L322" s="21"/>
      <c r="M322" s="21"/>
      <c r="N322" s="43">
        <v>4430</v>
      </c>
      <c r="O322" s="21" t="s">
        <v>3831</v>
      </c>
      <c r="P322" s="194">
        <v>1</v>
      </c>
      <c r="Q322" s="21">
        <v>1</v>
      </c>
      <c r="R322" s="39" t="str">
        <f t="shared" si="83"/>
        <v>-</v>
      </c>
      <c r="S322" s="120">
        <f t="shared" si="79"/>
        <v>4507385</v>
      </c>
      <c r="T322" s="123">
        <v>10723777</v>
      </c>
      <c r="U322" s="123">
        <f>4065224+54607+42476</f>
        <v>4162307</v>
      </c>
      <c r="V322" s="123">
        <f t="shared" si="72"/>
        <v>6561470</v>
      </c>
      <c r="W322" s="122" t="str">
        <f t="shared" si="69"/>
        <v>1</v>
      </c>
      <c r="X322" s="123">
        <f>10685+75773+585334+98838+2521415+50000+Y322</f>
        <v>6216392</v>
      </c>
      <c r="Y322" s="123">
        <f>257525+4446+791345+265027+1556004</f>
        <v>2874347</v>
      </c>
      <c r="Z322" s="123">
        <f t="shared" si="73"/>
        <v>3342045</v>
      </c>
      <c r="AA322" s="122" t="str">
        <f t="shared" si="70"/>
        <v>1</v>
      </c>
      <c r="AB322" s="120">
        <f t="shared" si="80"/>
        <v>0</v>
      </c>
      <c r="AC322" s="123">
        <v>0</v>
      </c>
      <c r="AD322" s="123">
        <v>0</v>
      </c>
      <c r="AE322" s="123">
        <v>2245668</v>
      </c>
      <c r="AG322" s="151">
        <f t="shared" si="82"/>
        <v>2630224</v>
      </c>
      <c r="AH322" s="123">
        <f>3462951-141479</f>
        <v>3321472</v>
      </c>
      <c r="AL322" s="123">
        <f>552992+138256</f>
        <v>691248</v>
      </c>
      <c r="AM322" s="123">
        <v>8642211</v>
      </c>
      <c r="AN322" s="123">
        <v>3815121</v>
      </c>
    </row>
    <row r="323" spans="1:40" s="123" customFormat="1" ht="16.2" thickBot="1" x14ac:dyDescent="0.35">
      <c r="A323" s="21">
        <v>47.4</v>
      </c>
      <c r="B323" s="212" t="s">
        <v>184</v>
      </c>
      <c r="C323" s="31" t="str">
        <f>VLOOKUP((CONCATENATE(B323)),ID!$A$2:$D$305,3,0)</f>
        <v>RL047</v>
      </c>
      <c r="D323" s="21">
        <v>0</v>
      </c>
      <c r="E323" s="21" t="s">
        <v>4057</v>
      </c>
      <c r="F323" s="21" t="s">
        <v>1117</v>
      </c>
      <c r="G323" s="21" t="s">
        <v>3853</v>
      </c>
      <c r="H323" s="94">
        <v>4565</v>
      </c>
      <c r="I323" s="43">
        <v>4590</v>
      </c>
      <c r="J323" s="43">
        <v>4597</v>
      </c>
      <c r="K323" s="21">
        <v>0</v>
      </c>
      <c r="L323" s="21"/>
      <c r="M323" s="21"/>
      <c r="N323" s="43">
        <v>4605</v>
      </c>
      <c r="O323" s="21" t="s">
        <v>3831</v>
      </c>
      <c r="P323" s="194">
        <v>1</v>
      </c>
      <c r="Q323" s="21">
        <v>1</v>
      </c>
      <c r="R323" s="39" t="str">
        <f t="shared" si="83"/>
        <v>-</v>
      </c>
      <c r="S323" s="120">
        <f t="shared" si="79"/>
        <v>3901878</v>
      </c>
      <c r="T323" s="123">
        <v>10434686</v>
      </c>
      <c r="U323" s="123">
        <f>4272552+41771+42477</f>
        <v>4356800</v>
      </c>
      <c r="V323" s="123">
        <f t="shared" si="72"/>
        <v>6077886</v>
      </c>
      <c r="W323" s="122" t="str">
        <f t="shared" si="69"/>
        <v>1</v>
      </c>
      <c r="X323" s="123">
        <f>11458+59127+585334+120968+2814254+50000+Y323</f>
        <v>6532808</v>
      </c>
      <c r="Y323" s="123">
        <f>249855+3583+793250+278070+1566909</f>
        <v>2891667</v>
      </c>
      <c r="Z323" s="123">
        <f t="shared" si="73"/>
        <v>3641141</v>
      </c>
      <c r="AA323" s="122" t="str">
        <f t="shared" si="70"/>
        <v>1</v>
      </c>
      <c r="AB323" s="120">
        <f t="shared" si="80"/>
        <v>0</v>
      </c>
      <c r="AC323" s="123">
        <v>0</v>
      </c>
      <c r="AD323" s="123">
        <v>0</v>
      </c>
      <c r="AE323" s="123">
        <v>1775266</v>
      </c>
      <c r="AG323" s="151">
        <f t="shared" si="82"/>
        <v>1915936</v>
      </c>
      <c r="AH323" s="123">
        <f>2732092-106280</f>
        <v>2625812</v>
      </c>
      <c r="AL323" s="123">
        <f>552990+156886</f>
        <v>709876</v>
      </c>
      <c r="AM323" s="123">
        <v>7580454</v>
      </c>
      <c r="AN323" s="123">
        <v>3044189</v>
      </c>
    </row>
    <row r="324" spans="1:40" s="123" customFormat="1" ht="16.2" thickBot="1" x14ac:dyDescent="0.35">
      <c r="A324" s="21"/>
      <c r="B324" s="212" t="s">
        <v>184</v>
      </c>
      <c r="C324" s="31" t="str">
        <f>VLOOKUP((CONCATENATE(B324)),ID!$A$2:$D$305,3,0)</f>
        <v>RL047</v>
      </c>
      <c r="D324" s="21">
        <v>0</v>
      </c>
      <c r="E324" s="21" t="s">
        <v>4057</v>
      </c>
      <c r="F324" s="21" t="s">
        <v>1117</v>
      </c>
      <c r="G324" s="21" t="s">
        <v>3853</v>
      </c>
      <c r="H324" s="94">
        <v>4749</v>
      </c>
      <c r="I324" s="43">
        <v>4786</v>
      </c>
      <c r="J324" s="43">
        <v>4792</v>
      </c>
      <c r="K324" s="21">
        <v>0</v>
      </c>
      <c r="L324" s="21"/>
      <c r="M324" s="21"/>
      <c r="N324" s="43">
        <v>4801</v>
      </c>
      <c r="O324" s="21" t="s">
        <v>3831</v>
      </c>
      <c r="P324" s="194">
        <v>1</v>
      </c>
      <c r="Q324" s="21">
        <v>1</v>
      </c>
      <c r="R324" s="39" t="str">
        <f t="shared" si="83"/>
        <v>-</v>
      </c>
      <c r="S324" s="120">
        <f t="shared" si="79"/>
        <v>4373183</v>
      </c>
      <c r="T324" s="123">
        <v>11969363</v>
      </c>
      <c r="U324" s="123">
        <f>4707920+25792</f>
        <v>4733712</v>
      </c>
      <c r="V324" s="123">
        <f t="shared" si="72"/>
        <v>7235651</v>
      </c>
      <c r="W324" s="122" t="str">
        <f t="shared" si="69"/>
        <v>1</v>
      </c>
      <c r="X324" s="123">
        <f>1251+64968+585334+106920+3860970+Y324</f>
        <v>7596180</v>
      </c>
      <c r="Y324" s="123">
        <f>271600+4606+833326+290943+1576262</f>
        <v>2976737</v>
      </c>
      <c r="Z324" s="123">
        <f t="shared" si="73"/>
        <v>4619443</v>
      </c>
      <c r="AA324" s="122" t="str">
        <f t="shared" si="70"/>
        <v>1</v>
      </c>
      <c r="AB324" s="120">
        <f t="shared" si="80"/>
        <v>0</v>
      </c>
      <c r="AC324" s="123">
        <v>0</v>
      </c>
      <c r="AD324" s="123">
        <v>0</v>
      </c>
      <c r="AE324" s="123">
        <f>2230066</f>
        <v>2230066</v>
      </c>
      <c r="AG324" s="151">
        <f t="shared" si="82"/>
        <v>2745973</v>
      </c>
      <c r="AH324" s="123">
        <f>3524094-90506</f>
        <v>3433588</v>
      </c>
      <c r="AL324" s="123">
        <f>552989+134626</f>
        <v>687615</v>
      </c>
      <c r="AM324" s="123">
        <v>9152739</v>
      </c>
      <c r="AN324" s="123">
        <v>3974829</v>
      </c>
    </row>
    <row r="325" spans="1:40" s="123" customFormat="1" ht="16.2" thickBot="1" x14ac:dyDescent="0.35">
      <c r="A325" s="21"/>
      <c r="B325" s="212" t="s">
        <v>184</v>
      </c>
      <c r="C325" s="31" t="str">
        <f>VLOOKUP((CONCATENATE(B325)),ID!$A$2:$D$305,3,0)</f>
        <v>RL047</v>
      </c>
      <c r="D325" s="21">
        <v>1</v>
      </c>
      <c r="E325" s="21" t="s">
        <v>4057</v>
      </c>
      <c r="F325" s="21" t="s">
        <v>1117</v>
      </c>
      <c r="G325" s="21" t="s">
        <v>3853</v>
      </c>
      <c r="H325" s="94">
        <v>5114</v>
      </c>
      <c r="I325" s="43">
        <v>5152</v>
      </c>
      <c r="J325" s="43">
        <v>4793</v>
      </c>
      <c r="K325" s="21">
        <v>0</v>
      </c>
      <c r="L325" s="21"/>
      <c r="M325" s="21"/>
      <c r="N325" s="43">
        <v>5172</v>
      </c>
      <c r="O325" s="21" t="s">
        <v>3831</v>
      </c>
      <c r="P325" s="194" t="str">
        <f t="shared" ref="P325:P368" si="84">IF(AJ325=0,"?","1")</f>
        <v>1</v>
      </c>
      <c r="Q325" s="21">
        <v>1</v>
      </c>
      <c r="R325" s="39" t="str">
        <f t="shared" si="83"/>
        <v>-</v>
      </c>
      <c r="S325" s="120">
        <f t="shared" si="79"/>
        <v>5736804</v>
      </c>
      <c r="T325" s="123">
        <v>12304025</v>
      </c>
      <c r="U325" s="123">
        <f>5547211+211481</f>
        <v>5758692</v>
      </c>
      <c r="V325" s="123">
        <f t="shared" si="72"/>
        <v>6545333</v>
      </c>
      <c r="W325" s="122" t="str">
        <f t="shared" si="69"/>
        <v>1</v>
      </c>
      <c r="X325" s="123">
        <f>13503+562420+407159+945888+60514+191955+Y325</f>
        <v>6567221</v>
      </c>
      <c r="Y325" s="123">
        <f>880783+3450343+4656+50000</f>
        <v>4385782</v>
      </c>
      <c r="Z325" s="123">
        <f t="shared" si="73"/>
        <v>2181439</v>
      </c>
      <c r="AA325" s="122" t="str">
        <f t="shared" si="70"/>
        <v>1</v>
      </c>
      <c r="AB325" s="120">
        <f t="shared" si="80"/>
        <v>0</v>
      </c>
      <c r="AC325" s="123">
        <v>0</v>
      </c>
      <c r="AD325" s="123">
        <v>0</v>
      </c>
      <c r="AE325" s="123">
        <v>1904254</v>
      </c>
      <c r="AG325" s="151">
        <f t="shared" si="82"/>
        <v>5482171</v>
      </c>
      <c r="AH325" s="123">
        <f>5896895-151904-1293-118715-1929-7108-7500</f>
        <v>5608446</v>
      </c>
      <c r="AJ325" s="123">
        <v>22975</v>
      </c>
      <c r="AL325" s="123">
        <f>437699-22975-7500-7108-118715-1929-1293-151904</f>
        <v>126275</v>
      </c>
      <c r="AM325" s="123">
        <v>17219060</v>
      </c>
    </row>
    <row r="326" spans="1:40" s="123" customFormat="1" ht="16.2" thickBot="1" x14ac:dyDescent="0.35">
      <c r="A326" s="21"/>
      <c r="B326" s="212" t="s">
        <v>189</v>
      </c>
      <c r="C326" s="31" t="str">
        <f>VLOOKUP((CONCATENATE(B326)),ID!$A$2:$D$305,3,0)</f>
        <v>RL048</v>
      </c>
      <c r="D326" s="21">
        <v>0</v>
      </c>
      <c r="E326" s="21" t="s">
        <v>4057</v>
      </c>
      <c r="F326" s="21" t="s">
        <v>1117</v>
      </c>
      <c r="G326" s="21" t="s">
        <v>3853</v>
      </c>
      <c r="H326" s="94">
        <v>3653</v>
      </c>
      <c r="I326" s="43">
        <v>3660</v>
      </c>
      <c r="J326" s="43">
        <v>3678</v>
      </c>
      <c r="K326" s="21">
        <v>1</v>
      </c>
      <c r="L326" s="43">
        <v>3668</v>
      </c>
      <c r="M326" s="43">
        <v>3688</v>
      </c>
      <c r="N326" s="43">
        <v>3688</v>
      </c>
      <c r="O326" s="21" t="s">
        <v>3833</v>
      </c>
      <c r="P326" s="194">
        <v>1</v>
      </c>
      <c r="Q326" s="21">
        <v>1</v>
      </c>
      <c r="R326" s="39" t="str">
        <f t="shared" si="83"/>
        <v>-</v>
      </c>
      <c r="S326" s="120">
        <f t="shared" si="79"/>
        <v>1450033</v>
      </c>
      <c r="T326" s="123">
        <v>2924147</v>
      </c>
      <c r="U326" s="123">
        <f>1134450+354106</f>
        <v>1488556</v>
      </c>
      <c r="V326" s="123">
        <f t="shared" si="72"/>
        <v>1435591</v>
      </c>
      <c r="W326" s="122" t="str">
        <f t="shared" si="69"/>
        <v>1</v>
      </c>
      <c r="X326" s="123">
        <f>6404+197510+37923+16447+422536+Y326</f>
        <v>1474114</v>
      </c>
      <c r="Y326" s="123">
        <f>5039+788255</f>
        <v>793294</v>
      </c>
      <c r="Z326" s="123">
        <f t="shared" si="73"/>
        <v>680820</v>
      </c>
      <c r="AA326" s="122" t="str">
        <f t="shared" si="70"/>
        <v>1</v>
      </c>
      <c r="AB326" s="120">
        <f t="shared" si="80"/>
        <v>0</v>
      </c>
      <c r="AC326" s="123">
        <v>0</v>
      </c>
      <c r="AD326" s="123">
        <v>0</v>
      </c>
      <c r="AE326" s="123">
        <f>386000+201429</f>
        <v>587429</v>
      </c>
      <c r="AG326" s="151">
        <f t="shared" si="82"/>
        <v>935362</v>
      </c>
      <c r="AH326" s="123">
        <f>1230667-28856-38653</f>
        <v>1163158</v>
      </c>
      <c r="AL326" s="123">
        <f>110+221798+5888</f>
        <v>227796</v>
      </c>
      <c r="AM326" s="123">
        <v>2961421</v>
      </c>
      <c r="AN326" s="123">
        <v>1809489</v>
      </c>
    </row>
    <row r="327" spans="1:40" s="123" customFormat="1" ht="16.2" thickBot="1" x14ac:dyDescent="0.35">
      <c r="A327" s="21"/>
      <c r="B327" s="212" t="s">
        <v>189</v>
      </c>
      <c r="C327" s="31" t="str">
        <f>VLOOKUP((CONCATENATE(B327)),ID!$A$2:$D$305,3,0)</f>
        <v>RL048</v>
      </c>
      <c r="D327" s="21">
        <v>0</v>
      </c>
      <c r="E327" s="21" t="s">
        <v>4057</v>
      </c>
      <c r="F327" s="21" t="s">
        <v>1117</v>
      </c>
      <c r="G327" s="21" t="s">
        <v>3853</v>
      </c>
      <c r="H327" s="94">
        <v>3834</v>
      </c>
      <c r="I327" s="43">
        <v>3842</v>
      </c>
      <c r="J327" s="43">
        <v>3860</v>
      </c>
      <c r="K327" s="21">
        <v>1</v>
      </c>
      <c r="L327" s="43">
        <v>3850</v>
      </c>
      <c r="M327" s="43">
        <v>3870</v>
      </c>
      <c r="N327" s="43">
        <v>3870</v>
      </c>
      <c r="O327" s="21" t="s">
        <v>3833</v>
      </c>
      <c r="P327" s="194">
        <v>1</v>
      </c>
      <c r="Q327" s="21">
        <v>1</v>
      </c>
      <c r="R327" s="39" t="str">
        <f t="shared" si="83"/>
        <v>-</v>
      </c>
      <c r="S327" s="120">
        <f t="shared" si="79"/>
        <v>1166241</v>
      </c>
      <c r="T327" s="123">
        <v>2807265</v>
      </c>
      <c r="U327" s="123">
        <f>1367673+377823</f>
        <v>1745496</v>
      </c>
      <c r="V327" s="123">
        <f t="shared" si="72"/>
        <v>1061769</v>
      </c>
      <c r="W327" s="122" t="str">
        <f t="shared" si="69"/>
        <v>1</v>
      </c>
      <c r="X327" s="123">
        <f>6444+197449+34528+5313+597354+Y327</f>
        <v>1641024</v>
      </c>
      <c r="Y327" s="123">
        <f>794891+5045</f>
        <v>799936</v>
      </c>
      <c r="Z327" s="123">
        <f t="shared" si="73"/>
        <v>841088</v>
      </c>
      <c r="AA327" s="122" t="str">
        <f t="shared" si="70"/>
        <v>1</v>
      </c>
      <c r="AB327" s="120">
        <f t="shared" si="80"/>
        <v>0</v>
      </c>
      <c r="AC327" s="123">
        <v>0</v>
      </c>
      <c r="AD327" s="123">
        <v>0</v>
      </c>
      <c r="AE327" s="123">
        <v>191125</v>
      </c>
      <c r="AG327" s="151">
        <f t="shared" si="82"/>
        <v>633116</v>
      </c>
      <c r="AH327" s="123">
        <f>949882-32852-39579</f>
        <v>877451</v>
      </c>
      <c r="AL327" s="123">
        <f>36+221807+22492</f>
        <v>244335</v>
      </c>
      <c r="AM327" s="123">
        <v>2669562</v>
      </c>
      <c r="AN327" s="123">
        <v>1589801</v>
      </c>
    </row>
    <row r="328" spans="1:40" s="123" customFormat="1" ht="16.2" thickBot="1" x14ac:dyDescent="0.35">
      <c r="A328" s="21">
        <v>48.1</v>
      </c>
      <c r="B328" s="212" t="s">
        <v>189</v>
      </c>
      <c r="C328" s="31" t="str">
        <f>VLOOKUP((CONCATENATE(B328)),ID!$A$2:$D$305,3,0)</f>
        <v>RL048</v>
      </c>
      <c r="D328" s="21">
        <v>0</v>
      </c>
      <c r="E328" s="21" t="s">
        <v>4057</v>
      </c>
      <c r="F328" s="21" t="s">
        <v>1117</v>
      </c>
      <c r="G328" s="21" t="s">
        <v>3853</v>
      </c>
      <c r="H328" s="94">
        <v>4018</v>
      </c>
      <c r="I328" s="43">
        <v>4031</v>
      </c>
      <c r="J328" s="43">
        <v>4045</v>
      </c>
      <c r="K328" s="21">
        <v>1</v>
      </c>
      <c r="L328" s="43">
        <v>4039</v>
      </c>
      <c r="M328" s="43">
        <v>4059</v>
      </c>
      <c r="N328" s="43">
        <v>4059</v>
      </c>
      <c r="O328" s="21" t="s">
        <v>3833</v>
      </c>
      <c r="P328" s="194">
        <v>1</v>
      </c>
      <c r="Q328" s="21">
        <v>1</v>
      </c>
      <c r="R328" s="39" t="str">
        <f t="shared" si="83"/>
        <v>-</v>
      </c>
      <c r="S328" s="120">
        <f t="shared" si="79"/>
        <v>1446956</v>
      </c>
      <c r="T328" s="123">
        <v>2971773</v>
      </c>
      <c r="U328" s="123">
        <f>1651564+382965</f>
        <v>2034529</v>
      </c>
      <c r="V328" s="123">
        <f t="shared" si="72"/>
        <v>937244</v>
      </c>
      <c r="W328" s="122" t="str">
        <f t="shared" si="69"/>
        <v>1</v>
      </c>
      <c r="X328" s="123">
        <f>5675+197460+35551+7689+453744+Y328</f>
        <v>1524817</v>
      </c>
      <c r="Y328" s="123">
        <f>819644+5054</f>
        <v>824698</v>
      </c>
      <c r="Z328" s="123">
        <f t="shared" si="73"/>
        <v>700119</v>
      </c>
      <c r="AA328" s="122" t="str">
        <f t="shared" si="70"/>
        <v>1</v>
      </c>
      <c r="AB328" s="120">
        <f t="shared" si="80"/>
        <v>0</v>
      </c>
      <c r="AC328" s="123">
        <v>0</v>
      </c>
      <c r="AD328" s="123">
        <v>0</v>
      </c>
      <c r="AE328" s="123">
        <v>60432</v>
      </c>
      <c r="AG328" s="151">
        <f t="shared" si="82"/>
        <v>967368</v>
      </c>
      <c r="AH328" s="123">
        <f>1273222-32009-37596</f>
        <v>1203617</v>
      </c>
      <c r="AL328" s="123">
        <f>14400+221817+32</f>
        <v>236249</v>
      </c>
      <c r="AM328" s="123">
        <v>3042951</v>
      </c>
      <c r="AN328" s="123">
        <v>1574924</v>
      </c>
    </row>
    <row r="329" spans="1:40" s="123" customFormat="1" ht="16.2" thickBot="1" x14ac:dyDescent="0.35">
      <c r="A329" s="21">
        <v>48.2</v>
      </c>
      <c r="B329" s="212" t="s">
        <v>189</v>
      </c>
      <c r="C329" s="31" t="str">
        <f>VLOOKUP((CONCATENATE(B329)),ID!$A$2:$D$305,3,0)</f>
        <v>RL048</v>
      </c>
      <c r="D329" s="21">
        <v>0</v>
      </c>
      <c r="E329" s="21" t="s">
        <v>4057</v>
      </c>
      <c r="F329" s="21" t="s">
        <v>1117</v>
      </c>
      <c r="G329" s="21" t="s">
        <v>3853</v>
      </c>
      <c r="H329" s="94">
        <v>4199</v>
      </c>
      <c r="I329" s="43">
        <v>4205</v>
      </c>
      <c r="J329" s="43">
        <v>4224</v>
      </c>
      <c r="K329" s="21">
        <v>1</v>
      </c>
      <c r="L329" s="43">
        <v>4214</v>
      </c>
      <c r="M329" s="43">
        <v>4234</v>
      </c>
      <c r="N329" s="43">
        <v>4234</v>
      </c>
      <c r="O329" s="21" t="s">
        <v>3833</v>
      </c>
      <c r="P329" s="194">
        <v>1</v>
      </c>
      <c r="Q329" s="21">
        <v>1</v>
      </c>
      <c r="R329" s="39" t="str">
        <f t="shared" si="83"/>
        <v>-</v>
      </c>
      <c r="S329" s="120">
        <f t="shared" si="79"/>
        <v>1155191</v>
      </c>
      <c r="T329" s="123">
        <v>2837475</v>
      </c>
      <c r="U329" s="123">
        <f>981300+382965</f>
        <v>1364265</v>
      </c>
      <c r="V329" s="123">
        <f t="shared" si="72"/>
        <v>1473210</v>
      </c>
      <c r="W329" s="122" t="str">
        <f t="shared" si="69"/>
        <v>1</v>
      </c>
      <c r="X329" s="123">
        <f>6734+199443+32888+16963+596704+Y329</f>
        <v>1682284</v>
      </c>
      <c r="Y329" s="123">
        <f>5018+824534</f>
        <v>829552</v>
      </c>
      <c r="Z329" s="123">
        <f t="shared" si="73"/>
        <v>852732</v>
      </c>
      <c r="AA329" s="122" t="str">
        <f t="shared" si="70"/>
        <v>1</v>
      </c>
      <c r="AB329" s="120">
        <f t="shared" si="80"/>
        <v>0</v>
      </c>
      <c r="AC329" s="123">
        <v>0</v>
      </c>
      <c r="AD329" s="123">
        <v>0</v>
      </c>
      <c r="AE329" s="123">
        <f>420000+109584</f>
        <v>529584</v>
      </c>
      <c r="AG329" s="151">
        <f t="shared" si="82"/>
        <v>667509</v>
      </c>
      <c r="AH329" s="123">
        <f>970771-35141-39129</f>
        <v>896501</v>
      </c>
      <c r="AL329" s="123">
        <f>223954+5038</f>
        <v>228992</v>
      </c>
      <c r="AM329" s="123">
        <v>2725970</v>
      </c>
      <c r="AN329" s="123">
        <v>1631818</v>
      </c>
    </row>
    <row r="330" spans="1:40" s="123" customFormat="1" ht="16.2" thickBot="1" x14ac:dyDescent="0.35">
      <c r="A330" s="21">
        <v>48.3</v>
      </c>
      <c r="B330" s="212" t="s">
        <v>189</v>
      </c>
      <c r="C330" s="31" t="str">
        <f>VLOOKUP((CONCATENATE(B330)),ID!$A$2:$D$305,3,0)</f>
        <v>RL048</v>
      </c>
      <c r="D330" s="21">
        <v>0</v>
      </c>
      <c r="E330" s="21" t="s">
        <v>4057</v>
      </c>
      <c r="F330" s="21" t="s">
        <v>1117</v>
      </c>
      <c r="G330" s="21" t="s">
        <v>3853</v>
      </c>
      <c r="H330" s="94">
        <v>4383</v>
      </c>
      <c r="I330" s="43">
        <v>4395</v>
      </c>
      <c r="J330" s="43">
        <v>4409</v>
      </c>
      <c r="K330" s="21">
        <v>1</v>
      </c>
      <c r="L330" s="43">
        <v>4403</v>
      </c>
      <c r="M330" s="43">
        <v>4423</v>
      </c>
      <c r="N330" s="43">
        <v>4423</v>
      </c>
      <c r="O330" s="21" t="s">
        <v>3832</v>
      </c>
      <c r="P330" s="194">
        <v>1</v>
      </c>
      <c r="Q330" s="21">
        <v>1</v>
      </c>
      <c r="R330" s="39" t="str">
        <f t="shared" si="83"/>
        <v>-</v>
      </c>
      <c r="S330" s="120">
        <f t="shared" si="79"/>
        <v>1344068</v>
      </c>
      <c r="T330" s="123">
        <v>2968746</v>
      </c>
      <c r="U330" s="123">
        <f>1305465+387130</f>
        <v>1692595</v>
      </c>
      <c r="V330" s="123">
        <f t="shared" si="72"/>
        <v>1276151</v>
      </c>
      <c r="W330" s="122" t="str">
        <f t="shared" si="69"/>
        <v>1</v>
      </c>
      <c r="X330" s="123">
        <f>6272+199453+34629+7992+525562+Y330</f>
        <v>1624678</v>
      </c>
      <c r="Y330" s="123">
        <f>845747+5023</f>
        <v>850770</v>
      </c>
      <c r="Z330" s="123">
        <f t="shared" si="73"/>
        <v>773908</v>
      </c>
      <c r="AA330" s="122" t="str">
        <f t="shared" si="70"/>
        <v>1</v>
      </c>
      <c r="AB330" s="120">
        <f t="shared" si="80"/>
        <v>0</v>
      </c>
      <c r="AC330" s="123">
        <v>0</v>
      </c>
      <c r="AD330" s="123">
        <v>0</v>
      </c>
      <c r="AE330" s="123">
        <f>161543+116000</f>
        <v>277543</v>
      </c>
      <c r="AG330" s="151">
        <f t="shared" si="82"/>
        <v>965153</v>
      </c>
      <c r="AH330" s="123">
        <f>1270195-35586-37100</f>
        <v>1197509</v>
      </c>
      <c r="AL330" s="123">
        <f>224087+8269</f>
        <v>232356</v>
      </c>
      <c r="AM330" s="123">
        <v>3071933</v>
      </c>
      <c r="AN330" s="123">
        <v>1869823</v>
      </c>
    </row>
    <row r="331" spans="1:40" s="123" customFormat="1" ht="16.2" thickBot="1" x14ac:dyDescent="0.35">
      <c r="A331" s="21">
        <v>48.4</v>
      </c>
      <c r="B331" s="212" t="s">
        <v>189</v>
      </c>
      <c r="C331" s="31" t="str">
        <f>VLOOKUP((CONCATENATE(B331)),ID!$A$2:$D$305,3,0)</f>
        <v>RL048</v>
      </c>
      <c r="D331" s="21">
        <v>0</v>
      </c>
      <c r="E331" s="21" t="s">
        <v>4057</v>
      </c>
      <c r="F331" s="21" t="s">
        <v>1117</v>
      </c>
      <c r="G331" s="21" t="s">
        <v>3853</v>
      </c>
      <c r="H331" s="94">
        <v>4565</v>
      </c>
      <c r="I331" s="43">
        <v>4577</v>
      </c>
      <c r="J331" s="43">
        <v>4590</v>
      </c>
      <c r="K331" s="21">
        <v>1</v>
      </c>
      <c r="L331" s="43">
        <v>4585</v>
      </c>
      <c r="M331" s="43">
        <v>4605</v>
      </c>
      <c r="N331" s="43">
        <v>4605</v>
      </c>
      <c r="O331" s="21" t="s">
        <v>3833</v>
      </c>
      <c r="P331" s="194">
        <v>1</v>
      </c>
      <c r="Q331" s="21">
        <v>1</v>
      </c>
      <c r="R331" s="39" t="str">
        <f t="shared" si="83"/>
        <v>-</v>
      </c>
      <c r="S331" s="120">
        <f t="shared" si="79"/>
        <v>932967</v>
      </c>
      <c r="T331" s="123">
        <v>2613849</v>
      </c>
      <c r="U331" s="123">
        <f>857899+398095</f>
        <v>1255994</v>
      </c>
      <c r="V331" s="123">
        <f t="shared" si="72"/>
        <v>1357855</v>
      </c>
      <c r="W331" s="122" t="str">
        <f t="shared" si="69"/>
        <v>1</v>
      </c>
      <c r="X331" s="123">
        <f>574193+12419+30317+204269+7378+Y331</f>
        <v>1680882</v>
      </c>
      <c r="Y331" s="123">
        <f>847258+5048</f>
        <v>852306</v>
      </c>
      <c r="Z331" s="123">
        <f t="shared" si="73"/>
        <v>828576</v>
      </c>
      <c r="AA331" s="122" t="str">
        <f t="shared" si="70"/>
        <v>1</v>
      </c>
      <c r="AB331" s="120">
        <f t="shared" si="80"/>
        <v>0</v>
      </c>
      <c r="AC331" s="123">
        <v>0</v>
      </c>
      <c r="AD331" s="123">
        <v>0</v>
      </c>
      <c r="AE331" s="123">
        <f>158906+255000</f>
        <v>413906</v>
      </c>
      <c r="AG331" s="151">
        <f t="shared" si="82"/>
        <v>584263</v>
      </c>
      <c r="AH331" s="123">
        <f>892259-35288-42849</f>
        <v>814122</v>
      </c>
      <c r="AL331" s="123">
        <f>45+228728+1086</f>
        <v>229859</v>
      </c>
      <c r="AM331" s="123">
        <v>2653308</v>
      </c>
      <c r="AN331" s="123">
        <v>1565223</v>
      </c>
    </row>
    <row r="332" spans="1:40" s="123" customFormat="1" ht="16.2" thickBot="1" x14ac:dyDescent="0.35">
      <c r="A332" s="21"/>
      <c r="B332" s="212" t="s">
        <v>189</v>
      </c>
      <c r="C332" s="31" t="str">
        <f>VLOOKUP((CONCATENATE(B332)),ID!$A$2:$D$305,3,0)</f>
        <v>RL048</v>
      </c>
      <c r="D332" s="21">
        <v>0</v>
      </c>
      <c r="E332" s="21" t="s">
        <v>4057</v>
      </c>
      <c r="F332" s="21" t="s">
        <v>1117</v>
      </c>
      <c r="G332" s="21" t="s">
        <v>3853</v>
      </c>
      <c r="H332" s="94">
        <v>4749</v>
      </c>
      <c r="I332" s="43">
        <v>4759</v>
      </c>
      <c r="J332" s="43">
        <v>4773</v>
      </c>
      <c r="K332" s="21">
        <v>1</v>
      </c>
      <c r="L332" s="43">
        <v>4767</v>
      </c>
      <c r="M332" s="43">
        <v>4787</v>
      </c>
      <c r="N332" s="43">
        <v>4787</v>
      </c>
      <c r="O332" s="21" t="s">
        <v>3833</v>
      </c>
      <c r="P332" s="194">
        <v>1</v>
      </c>
      <c r="Q332" s="21">
        <v>1</v>
      </c>
      <c r="R332" s="39" t="str">
        <f t="shared" si="83"/>
        <v>-</v>
      </c>
      <c r="S332" s="120">
        <f t="shared" si="79"/>
        <v>1290671</v>
      </c>
      <c r="T332" s="123">
        <v>2953518</v>
      </c>
      <c r="U332" s="123">
        <f>1010345+400246</f>
        <v>1410591</v>
      </c>
      <c r="V332" s="123">
        <f t="shared" si="72"/>
        <v>1542927</v>
      </c>
      <c r="W332" s="122" t="str">
        <f t="shared" si="69"/>
        <v>1</v>
      </c>
      <c r="X332" s="123">
        <f>T332-963141-55000-102756-169774</f>
        <v>1662847</v>
      </c>
      <c r="Y332" s="123">
        <f>869054+5071</f>
        <v>874125</v>
      </c>
      <c r="Z332" s="123">
        <f t="shared" si="73"/>
        <v>788722</v>
      </c>
      <c r="AA332" s="122" t="str">
        <f t="shared" si="70"/>
        <v>1</v>
      </c>
      <c r="AB332" s="120">
        <f t="shared" si="80"/>
        <v>0</v>
      </c>
      <c r="AC332" s="123">
        <v>0</v>
      </c>
      <c r="AD332" s="123">
        <v>0</v>
      </c>
      <c r="AG332" s="151">
        <f t="shared" si="82"/>
        <v>927354</v>
      </c>
      <c r="AH332" s="123">
        <f>1231179-35788-34757</f>
        <v>1160634</v>
      </c>
      <c r="AL332" s="123">
        <f>229040+45+4195</f>
        <v>233280</v>
      </c>
      <c r="AM332" s="123">
        <v>3136924</v>
      </c>
      <c r="AN332" s="123">
        <v>1880192</v>
      </c>
    </row>
    <row r="333" spans="1:40" s="123" customFormat="1" ht="16.2" thickBot="1" x14ac:dyDescent="0.35">
      <c r="A333" s="21"/>
      <c r="B333" s="212" t="s">
        <v>189</v>
      </c>
      <c r="C333" s="31" t="str">
        <f>VLOOKUP((CONCATENATE(B333)),ID!$A$2:$D$305,3,0)</f>
        <v>RL048</v>
      </c>
      <c r="D333" s="21">
        <v>1</v>
      </c>
      <c r="E333" s="21" t="s">
        <v>4057</v>
      </c>
      <c r="F333" s="21" t="s">
        <v>1117</v>
      </c>
      <c r="G333" s="21" t="s">
        <v>3853</v>
      </c>
      <c r="H333" s="94">
        <v>5114</v>
      </c>
      <c r="I333" s="43">
        <v>5144</v>
      </c>
      <c r="J333" s="43">
        <v>5163</v>
      </c>
      <c r="K333" s="21">
        <v>1</v>
      </c>
      <c r="L333" s="43">
        <v>5152</v>
      </c>
      <c r="M333" s="43">
        <v>5172</v>
      </c>
      <c r="N333" s="43">
        <v>5172</v>
      </c>
      <c r="O333" s="21" t="s">
        <v>3833</v>
      </c>
      <c r="P333" s="194" t="str">
        <f t="shared" si="84"/>
        <v>1</v>
      </c>
      <c r="Q333" s="21">
        <v>1</v>
      </c>
      <c r="R333" s="39" t="str">
        <f t="shared" si="83"/>
        <v>-</v>
      </c>
      <c r="S333" s="120">
        <f t="shared" si="79"/>
        <v>1669879</v>
      </c>
      <c r="T333" s="123">
        <v>3089149</v>
      </c>
      <c r="U333" s="123">
        <f>910960+404763</f>
        <v>1315723</v>
      </c>
      <c r="V333" s="123">
        <f t="shared" si="72"/>
        <v>1773426</v>
      </c>
      <c r="W333" s="122" t="str">
        <f t="shared" si="69"/>
        <v>1</v>
      </c>
      <c r="X333" s="123">
        <f>5492+205634+42485+199493+16823+26487+Y333</f>
        <v>1419270</v>
      </c>
      <c r="Y333" s="123">
        <f>563073+332719+22064+5000</f>
        <v>922856</v>
      </c>
      <c r="Z333" s="123">
        <f t="shared" si="73"/>
        <v>496414</v>
      </c>
      <c r="AA333" s="122" t="str">
        <f t="shared" si="70"/>
        <v>1</v>
      </c>
      <c r="AB333" s="120">
        <f t="shared" si="80"/>
        <v>0</v>
      </c>
      <c r="AC333" s="123">
        <v>0</v>
      </c>
      <c r="AD333" s="123">
        <v>0</v>
      </c>
      <c r="AE333" s="123">
        <v>798876</v>
      </c>
      <c r="AG333" s="151">
        <f t="shared" si="82"/>
        <v>1645342</v>
      </c>
      <c r="AH333" s="123">
        <f>2190502+5326-4498-5199-75282+15651</f>
        <v>2126500</v>
      </c>
      <c r="AJ333" s="123">
        <v>656401</v>
      </c>
      <c r="AL333" s="123">
        <f>5326+15651+460181</f>
        <v>481158</v>
      </c>
      <c r="AM333" s="123">
        <v>6101262</v>
      </c>
    </row>
    <row r="334" spans="1:40" s="123" customFormat="1" ht="16.2" thickBot="1" x14ac:dyDescent="0.35">
      <c r="A334" s="21"/>
      <c r="B334" s="212" t="s">
        <v>191</v>
      </c>
      <c r="C334" s="31" t="str">
        <f>VLOOKUP((CONCATENATE(B334)),ID!$A$2:$D$305,3,0)</f>
        <v>RL049</v>
      </c>
      <c r="D334" s="21">
        <v>0</v>
      </c>
      <c r="E334" s="21" t="s">
        <v>4057</v>
      </c>
      <c r="F334" s="21" t="s">
        <v>1117</v>
      </c>
      <c r="G334" s="21" t="s">
        <v>3853</v>
      </c>
      <c r="H334" s="94">
        <v>3653</v>
      </c>
      <c r="I334" s="43">
        <v>3658</v>
      </c>
      <c r="J334" s="43">
        <v>3678</v>
      </c>
      <c r="K334" s="21">
        <v>1</v>
      </c>
      <c r="L334" s="43">
        <v>3665</v>
      </c>
      <c r="M334" s="43">
        <v>3686</v>
      </c>
      <c r="N334" s="43">
        <v>3686</v>
      </c>
      <c r="O334" s="21" t="s">
        <v>3834</v>
      </c>
      <c r="P334" s="194">
        <v>1</v>
      </c>
      <c r="Q334" s="21">
        <v>1</v>
      </c>
      <c r="R334" s="39" t="str">
        <f t="shared" si="83"/>
        <v>-</v>
      </c>
      <c r="S334" s="120">
        <f t="shared" si="79"/>
        <v>989661</v>
      </c>
      <c r="T334" s="123">
        <v>2344592</v>
      </c>
      <c r="U334" s="123">
        <f>1583866+143101</f>
        <v>1726967</v>
      </c>
      <c r="V334" s="123">
        <f t="shared" si="72"/>
        <v>617625</v>
      </c>
      <c r="W334" s="122" t="str">
        <f t="shared" si="69"/>
        <v>1</v>
      </c>
      <c r="X334" s="123">
        <f>167442+Y334+136969+34480</f>
        <v>1354931</v>
      </c>
      <c r="Y334" s="123">
        <f>638694+302373+74973</f>
        <v>1016040</v>
      </c>
      <c r="Z334" s="123">
        <f t="shared" si="73"/>
        <v>338891</v>
      </c>
      <c r="AA334" s="122" t="str">
        <f t="shared" si="70"/>
        <v>1</v>
      </c>
      <c r="AB334" s="120">
        <f t="shared" si="80"/>
        <v>74973</v>
      </c>
      <c r="AC334" s="123">
        <v>0</v>
      </c>
      <c r="AD334" s="123">
        <v>74973</v>
      </c>
      <c r="AE334" s="123">
        <v>62829</v>
      </c>
      <c r="AG334" s="151">
        <f t="shared" si="82"/>
        <v>681248</v>
      </c>
      <c r="AH334" s="123">
        <f>845033-702-300-4066</f>
        <v>839965</v>
      </c>
      <c r="AL334" s="123">
        <f>201+13064+145452</f>
        <v>158717</v>
      </c>
      <c r="AM334" s="123">
        <v>1836405</v>
      </c>
      <c r="AN334" s="123">
        <v>1306408</v>
      </c>
    </row>
    <row r="335" spans="1:40" s="123" customFormat="1" ht="16.2" thickBot="1" x14ac:dyDescent="0.35">
      <c r="A335" s="21"/>
      <c r="B335" s="212" t="s">
        <v>191</v>
      </c>
      <c r="C335" s="31" t="str">
        <f>VLOOKUP((CONCATENATE(B335)),ID!$A$2:$D$305,3,0)</f>
        <v>RL049</v>
      </c>
      <c r="D335" s="21">
        <v>0</v>
      </c>
      <c r="E335" s="21" t="s">
        <v>4057</v>
      </c>
      <c r="F335" s="21" t="s">
        <v>1117</v>
      </c>
      <c r="G335" s="21" t="s">
        <v>3853</v>
      </c>
      <c r="H335" s="94">
        <v>3834</v>
      </c>
      <c r="I335" s="43">
        <v>3838</v>
      </c>
      <c r="J335" s="43">
        <v>3860</v>
      </c>
      <c r="K335" s="21">
        <v>1</v>
      </c>
      <c r="L335" s="43">
        <v>43659</v>
      </c>
      <c r="M335" s="43">
        <v>43680</v>
      </c>
      <c r="N335" s="43">
        <v>43680</v>
      </c>
      <c r="O335" s="21" t="s">
        <v>3834</v>
      </c>
      <c r="P335" s="194">
        <v>1</v>
      </c>
      <c r="Q335" s="21">
        <v>1</v>
      </c>
      <c r="R335" s="39" t="str">
        <f t="shared" si="83"/>
        <v>-</v>
      </c>
      <c r="S335" s="120">
        <f t="shared" si="79"/>
        <v>770140</v>
      </c>
      <c r="T335" s="123">
        <v>2444832</v>
      </c>
      <c r="U335" s="123">
        <f>165486+1668282</f>
        <v>1833768</v>
      </c>
      <c r="V335" s="123">
        <f t="shared" si="72"/>
        <v>611064</v>
      </c>
      <c r="W335" s="122" t="str">
        <f t="shared" si="69"/>
        <v>1</v>
      </c>
      <c r="X335" s="123">
        <f>35338+136969+Y335+168228</f>
        <v>1674692</v>
      </c>
      <c r="Y335" s="123">
        <f>AB335+647622+306753</f>
        <v>1334157</v>
      </c>
      <c r="Z335" s="123">
        <f t="shared" si="73"/>
        <v>340535</v>
      </c>
      <c r="AA335" s="122" t="str">
        <f t="shared" si="70"/>
        <v>1</v>
      </c>
      <c r="AB335" s="120">
        <f t="shared" si="80"/>
        <v>379782</v>
      </c>
      <c r="AC335" s="123">
        <v>331906</v>
      </c>
      <c r="AD335" s="123">
        <v>47876</v>
      </c>
      <c r="AE335" s="123">
        <v>13702</v>
      </c>
      <c r="AG335" s="151">
        <f t="shared" si="82"/>
        <v>436309</v>
      </c>
      <c r="AH335" s="123">
        <f>599482-702-300-3932</f>
        <v>594548</v>
      </c>
      <c r="AL335" s="123">
        <f>12787+145452</f>
        <v>158239</v>
      </c>
      <c r="AM335" s="123">
        <v>1607946</v>
      </c>
      <c r="AN335" s="123">
        <v>1102548</v>
      </c>
    </row>
    <row r="336" spans="1:40" s="123" customFormat="1" ht="16.2" thickBot="1" x14ac:dyDescent="0.35">
      <c r="A336" s="21">
        <v>49.1</v>
      </c>
      <c r="B336" s="212" t="s">
        <v>191</v>
      </c>
      <c r="C336" s="31" t="str">
        <f>VLOOKUP((CONCATENATE(B336)),ID!$A$2:$D$305,3,0)</f>
        <v>RL049</v>
      </c>
      <c r="D336" s="21">
        <v>0</v>
      </c>
      <c r="E336" s="21" t="s">
        <v>4057</v>
      </c>
      <c r="F336" s="21" t="s">
        <v>1117</v>
      </c>
      <c r="G336" s="21" t="s">
        <v>3853</v>
      </c>
      <c r="H336" s="94">
        <v>4018</v>
      </c>
      <c r="I336" s="43">
        <v>4021</v>
      </c>
      <c r="J336" s="43">
        <v>4042</v>
      </c>
      <c r="K336" s="21">
        <v>1</v>
      </c>
      <c r="L336" s="43">
        <v>4029</v>
      </c>
      <c r="M336" s="43">
        <v>4050</v>
      </c>
      <c r="N336" s="43">
        <v>4050</v>
      </c>
      <c r="O336" s="21" t="s">
        <v>3834</v>
      </c>
      <c r="P336" s="194">
        <v>1</v>
      </c>
      <c r="Q336" s="21">
        <v>1</v>
      </c>
      <c r="R336" s="39" t="str">
        <f t="shared" si="83"/>
        <v>-</v>
      </c>
      <c r="S336" s="120">
        <f t="shared" si="79"/>
        <v>995298</v>
      </c>
      <c r="T336" s="123">
        <v>2574470</v>
      </c>
      <c r="U336" s="123">
        <f>1783994+177760</f>
        <v>1961754</v>
      </c>
      <c r="V336" s="123">
        <f t="shared" si="72"/>
        <v>612716</v>
      </c>
      <c r="W336" s="122" t="str">
        <f t="shared" si="69"/>
        <v>1</v>
      </c>
      <c r="X336" s="123">
        <f>34639+136969+Y336+206520</f>
        <v>1579172</v>
      </c>
      <c r="Y336" s="123">
        <f>AB336+308526+661375</f>
        <v>1201044</v>
      </c>
      <c r="Z336" s="123">
        <f t="shared" si="73"/>
        <v>378128</v>
      </c>
      <c r="AA336" s="122" t="str">
        <f t="shared" si="70"/>
        <v>1</v>
      </c>
      <c r="AB336" s="120">
        <f t="shared" si="80"/>
        <v>231143</v>
      </c>
      <c r="AC336" s="123">
        <v>158836</v>
      </c>
      <c r="AD336" s="123">
        <v>72307</v>
      </c>
      <c r="AE336" s="123">
        <v>9169</v>
      </c>
      <c r="AG336" s="151">
        <f t="shared" si="82"/>
        <v>704418</v>
      </c>
      <c r="AH336" s="123">
        <f>894295-25468-300-702-3964</f>
        <v>863861</v>
      </c>
      <c r="AL336" s="123">
        <f>145452+13991</f>
        <v>159443</v>
      </c>
      <c r="AM336" s="123">
        <v>1891650</v>
      </c>
      <c r="AN336" s="123">
        <f>1028553+149434+142775+9400</f>
        <v>1330162</v>
      </c>
    </row>
    <row r="337" spans="1:40" s="123" customFormat="1" ht="16.2" thickBot="1" x14ac:dyDescent="0.35">
      <c r="A337" s="21">
        <v>49.2</v>
      </c>
      <c r="B337" s="212" t="s">
        <v>191</v>
      </c>
      <c r="C337" s="31" t="str">
        <f>VLOOKUP((CONCATENATE(B337)),ID!$A$2:$D$305,3,0)</f>
        <v>RL049</v>
      </c>
      <c r="D337" s="21">
        <v>0</v>
      </c>
      <c r="E337" s="21" t="s">
        <v>4057</v>
      </c>
      <c r="F337" s="21" t="s">
        <v>1117</v>
      </c>
      <c r="G337" s="21" t="s">
        <v>3853</v>
      </c>
      <c r="H337" s="94">
        <v>4199</v>
      </c>
      <c r="I337" s="43">
        <v>4202</v>
      </c>
      <c r="J337" s="43">
        <v>4219</v>
      </c>
      <c r="K337" s="21">
        <v>1</v>
      </c>
      <c r="L337" s="43">
        <v>4211</v>
      </c>
      <c r="M337" s="43">
        <v>4232</v>
      </c>
      <c r="N337" s="43">
        <v>4232</v>
      </c>
      <c r="O337" s="21" t="s">
        <v>3834</v>
      </c>
      <c r="P337" s="194">
        <v>1</v>
      </c>
      <c r="Q337" s="21">
        <v>1</v>
      </c>
      <c r="R337" s="39" t="str">
        <f t="shared" si="83"/>
        <v>-</v>
      </c>
      <c r="S337" s="120">
        <f t="shared" si="79"/>
        <v>778507</v>
      </c>
      <c r="T337" s="123">
        <v>2438294</v>
      </c>
      <c r="U337" s="123">
        <f>1549580+183721</f>
        <v>1733301</v>
      </c>
      <c r="V337" s="123">
        <f>T337-U337</f>
        <v>704993</v>
      </c>
      <c r="W337" s="122" t="str">
        <f>IF(V337+U337=T337,"1","0")</f>
        <v>1</v>
      </c>
      <c r="X337" s="123">
        <f>35548+148964+Y337+345107</f>
        <v>1659787</v>
      </c>
      <c r="Y337" s="123">
        <f>AB337+314214+668510</f>
        <v>1130168</v>
      </c>
      <c r="Z337" s="123">
        <f t="shared" si="73"/>
        <v>529619</v>
      </c>
      <c r="AA337" s="122" t="str">
        <f t="shared" si="70"/>
        <v>1</v>
      </c>
      <c r="AB337" s="120">
        <f t="shared" si="80"/>
        <v>147444</v>
      </c>
      <c r="AC337" s="123">
        <v>60100</v>
      </c>
      <c r="AD337" s="123">
        <v>87344</v>
      </c>
      <c r="AE337" s="123">
        <v>10125</v>
      </c>
      <c r="AG337" s="151">
        <f t="shared" si="82"/>
        <v>458045</v>
      </c>
      <c r="AH337" s="123">
        <f>632933+1095-3611-300-702</f>
        <v>629415</v>
      </c>
      <c r="AL337" s="123">
        <f>158190+13180</f>
        <v>171370</v>
      </c>
      <c r="AM337" s="123">
        <v>1662068</v>
      </c>
      <c r="AN337" s="123">
        <v>1149280</v>
      </c>
    </row>
    <row r="338" spans="1:40" s="123" customFormat="1" ht="16.2" thickBot="1" x14ac:dyDescent="0.35">
      <c r="A338" s="21">
        <v>49.3</v>
      </c>
      <c r="B338" s="212" t="s">
        <v>191</v>
      </c>
      <c r="C338" s="31" t="str">
        <f>VLOOKUP((CONCATENATE(B338)),ID!$A$2:$D$305,3,0)</f>
        <v>RL049</v>
      </c>
      <c r="D338" s="21">
        <v>0</v>
      </c>
      <c r="E338" s="21" t="s">
        <v>4057</v>
      </c>
      <c r="F338" s="21" t="s">
        <v>1117</v>
      </c>
      <c r="G338" s="21" t="s">
        <v>3853</v>
      </c>
      <c r="H338" s="94">
        <v>4383</v>
      </c>
      <c r="I338" s="43">
        <v>4392</v>
      </c>
      <c r="J338" s="43">
        <v>4408</v>
      </c>
      <c r="K338" s="21">
        <v>1</v>
      </c>
      <c r="L338" s="43">
        <v>4400</v>
      </c>
      <c r="M338" s="43">
        <v>4421</v>
      </c>
      <c r="N338" s="43">
        <v>4421</v>
      </c>
      <c r="O338" s="21" t="s">
        <v>3834</v>
      </c>
      <c r="P338" s="194">
        <v>1</v>
      </c>
      <c r="Q338" s="21">
        <v>1</v>
      </c>
      <c r="R338" s="39" t="str">
        <f t="shared" si="83"/>
        <v>-</v>
      </c>
      <c r="S338" s="120">
        <f t="shared" si="79"/>
        <v>1040753</v>
      </c>
      <c r="T338" s="123">
        <v>2578651</v>
      </c>
      <c r="U338" s="134">
        <f>1660173+191941</f>
        <v>1852114</v>
      </c>
      <c r="V338" s="123">
        <f>T338-U338</f>
        <v>726537</v>
      </c>
      <c r="W338" s="122" t="str">
        <f>IF(V338+U338=T338,"1","0")</f>
        <v>1</v>
      </c>
      <c r="X338" s="123">
        <f>36001+148964+Y338+247752</f>
        <v>1537898</v>
      </c>
      <c r="Y338" s="123">
        <f>AB338+322048+679760</f>
        <v>1105181</v>
      </c>
      <c r="Z338" s="123">
        <f t="shared" si="73"/>
        <v>432717</v>
      </c>
      <c r="AA338" s="122" t="str">
        <f t="shared" si="70"/>
        <v>1</v>
      </c>
      <c r="AB338" s="120">
        <f t="shared" si="80"/>
        <v>103373</v>
      </c>
      <c r="AC338" s="123">
        <v>16161</v>
      </c>
      <c r="AD338" s="123">
        <v>87212</v>
      </c>
      <c r="AE338" s="123">
        <v>6205</v>
      </c>
      <c r="AG338" s="151">
        <f t="shared" si="82"/>
        <v>716501</v>
      </c>
      <c r="AH338" s="123">
        <f>893000-4261-300-702</f>
        <v>887737</v>
      </c>
      <c r="AL338" s="123">
        <f>158190+13046</f>
        <v>171236</v>
      </c>
      <c r="AM338" s="123">
        <v>1925084</v>
      </c>
      <c r="AN338" s="123">
        <v>1374384</v>
      </c>
    </row>
    <row r="339" spans="1:40" s="123" customFormat="1" ht="16.2" thickBot="1" x14ac:dyDescent="0.35">
      <c r="A339" s="21">
        <v>49.4</v>
      </c>
      <c r="B339" s="212" t="s">
        <v>191</v>
      </c>
      <c r="C339" s="31" t="str">
        <f>VLOOKUP((CONCATENATE(B339)),ID!$A$2:$D$305,3,0)</f>
        <v>RL049</v>
      </c>
      <c r="D339" s="21">
        <v>0</v>
      </c>
      <c r="E339" s="21" t="s">
        <v>4057</v>
      </c>
      <c r="F339" s="21" t="s">
        <v>1117</v>
      </c>
      <c r="G339" s="21" t="s">
        <v>3853</v>
      </c>
      <c r="H339" s="94">
        <v>4565</v>
      </c>
      <c r="I339" s="43">
        <v>4573</v>
      </c>
      <c r="J339" s="43">
        <v>4590</v>
      </c>
      <c r="K339" s="21">
        <v>1</v>
      </c>
      <c r="L339" s="43">
        <v>4582</v>
      </c>
      <c r="M339" s="43">
        <v>4603</v>
      </c>
      <c r="N339" s="43">
        <v>4603</v>
      </c>
      <c r="O339" s="21" t="s">
        <v>3834</v>
      </c>
      <c r="P339" s="194">
        <v>1</v>
      </c>
      <c r="Q339" s="21">
        <v>1</v>
      </c>
      <c r="R339" s="39" t="str">
        <f t="shared" si="83"/>
        <v>-</v>
      </c>
      <c r="S339" s="120">
        <f t="shared" si="79"/>
        <v>714282</v>
      </c>
      <c r="T339" s="123">
        <v>2213341</v>
      </c>
      <c r="U339" s="123">
        <f>185605+1243121</f>
        <v>1428726</v>
      </c>
      <c r="V339" s="123">
        <f t="shared" si="72"/>
        <v>784615</v>
      </c>
      <c r="W339" s="122" t="str">
        <f t="shared" si="69"/>
        <v>1</v>
      </c>
      <c r="X339" s="123">
        <f>37010+148964+Y339+205700</f>
        <v>1499059</v>
      </c>
      <c r="Y339" s="123">
        <f>327386+686910+93089</f>
        <v>1107385</v>
      </c>
      <c r="Z339" s="123">
        <f t="shared" si="73"/>
        <v>391674</v>
      </c>
      <c r="AA339" s="122" t="str">
        <f t="shared" si="70"/>
        <v>1</v>
      </c>
      <c r="AB339" s="120">
        <f t="shared" si="80"/>
        <v>93089</v>
      </c>
      <c r="AC339" s="123">
        <v>0</v>
      </c>
      <c r="AD339" s="123">
        <v>93089</v>
      </c>
      <c r="AE339" s="123">
        <v>102551</v>
      </c>
      <c r="AG339" s="151">
        <f t="shared" si="82"/>
        <v>383805</v>
      </c>
      <c r="AH339" s="123">
        <f>599790-38548-702-300-4085</f>
        <v>556155</v>
      </c>
      <c r="AL339" s="123">
        <f>158190+14160</f>
        <v>172350</v>
      </c>
      <c r="AM339" s="123">
        <v>1581979</v>
      </c>
      <c r="AN339" s="123">
        <v>1112592</v>
      </c>
    </row>
    <row r="340" spans="1:40" s="123" customFormat="1" ht="16.2" thickBot="1" x14ac:dyDescent="0.35">
      <c r="A340" s="21"/>
      <c r="B340" s="212" t="s">
        <v>191</v>
      </c>
      <c r="C340" s="31" t="str">
        <f>VLOOKUP((CONCATENATE(B340)),ID!$A$2:$D$305,3,0)</f>
        <v>RL049</v>
      </c>
      <c r="D340" s="21">
        <v>0</v>
      </c>
      <c r="E340" s="21" t="s">
        <v>4057</v>
      </c>
      <c r="F340" s="21" t="s">
        <v>1117</v>
      </c>
      <c r="G340" s="21" t="s">
        <v>3853</v>
      </c>
      <c r="H340" s="94">
        <v>4749</v>
      </c>
      <c r="I340" s="43">
        <v>4756</v>
      </c>
      <c r="J340" s="43">
        <v>4772</v>
      </c>
      <c r="K340" s="21">
        <v>1</v>
      </c>
      <c r="L340" s="43">
        <v>4764</v>
      </c>
      <c r="M340" s="43">
        <v>4785</v>
      </c>
      <c r="N340" s="43">
        <v>4785</v>
      </c>
      <c r="O340" s="21" t="s">
        <v>3834</v>
      </c>
      <c r="P340" s="194">
        <v>1</v>
      </c>
      <c r="Q340" s="21">
        <v>1</v>
      </c>
      <c r="R340" s="39" t="str">
        <f t="shared" si="83"/>
        <v>-</v>
      </c>
      <c r="S340" s="120">
        <f t="shared" si="79"/>
        <v>1030135</v>
      </c>
      <c r="T340" s="123">
        <v>2526079</v>
      </c>
      <c r="U340" s="123">
        <f>1155631+138586</f>
        <v>1294217</v>
      </c>
      <c r="V340" s="123">
        <f t="shared" si="72"/>
        <v>1231862</v>
      </c>
      <c r="W340" s="122" t="str">
        <f t="shared" si="69"/>
        <v>1</v>
      </c>
      <c r="X340" s="123">
        <f>36333+150324+Y340+201529</f>
        <v>1495944</v>
      </c>
      <c r="Y340" s="123">
        <f>328207+697184+82367</f>
        <v>1107758</v>
      </c>
      <c r="Z340" s="123">
        <f t="shared" si="73"/>
        <v>388186</v>
      </c>
      <c r="AA340" s="122" t="str">
        <f t="shared" si="70"/>
        <v>1</v>
      </c>
      <c r="AB340" s="120">
        <f t="shared" si="80"/>
        <v>82367</v>
      </c>
      <c r="AC340" s="123">
        <v>0</v>
      </c>
      <c r="AD340" s="123">
        <v>82367</v>
      </c>
      <c r="AE340" s="123">
        <f>235830+225000</f>
        <v>460830</v>
      </c>
      <c r="AG340" s="151">
        <f t="shared" si="82"/>
        <v>716130</v>
      </c>
      <c r="AH340" s="123">
        <f>891941+4641-3763-300-702</f>
        <v>891817</v>
      </c>
      <c r="AL340" s="123">
        <f>158190+17493+4</f>
        <v>175687</v>
      </c>
      <c r="AM340" s="123">
        <v>1959354</v>
      </c>
      <c r="AN340" s="123">
        <v>1406719</v>
      </c>
    </row>
    <row r="341" spans="1:40" s="123" customFormat="1" ht="16.2" thickBot="1" x14ac:dyDescent="0.35">
      <c r="A341" s="21"/>
      <c r="B341" s="212" t="s">
        <v>191</v>
      </c>
      <c r="C341" s="31" t="str">
        <f>VLOOKUP((CONCATENATE(B341)),ID!$A$2:$D$305,3,0)</f>
        <v>RL049</v>
      </c>
      <c r="D341" s="21">
        <v>1</v>
      </c>
      <c r="E341" s="21" t="s">
        <v>4057</v>
      </c>
      <c r="F341" s="21" t="s">
        <v>1117</v>
      </c>
      <c r="G341" s="21" t="s">
        <v>3853</v>
      </c>
      <c r="H341" s="94">
        <v>5114</v>
      </c>
      <c r="I341" s="43">
        <v>5141</v>
      </c>
      <c r="J341" s="43">
        <v>5158</v>
      </c>
      <c r="K341" s="21">
        <v>1</v>
      </c>
      <c r="L341" s="43">
        <v>5149</v>
      </c>
      <c r="M341" s="43">
        <v>5170</v>
      </c>
      <c r="N341" s="43">
        <v>5170</v>
      </c>
      <c r="O341" s="21" t="s">
        <v>3834</v>
      </c>
      <c r="P341" s="194" t="str">
        <f t="shared" si="84"/>
        <v>1</v>
      </c>
      <c r="Q341" s="21">
        <v>1</v>
      </c>
      <c r="R341" s="39" t="str">
        <f t="shared" si="83"/>
        <v>-</v>
      </c>
      <c r="S341" s="120">
        <f t="shared" si="79"/>
        <v>1035600</v>
      </c>
      <c r="T341" s="123">
        <v>2455277</v>
      </c>
      <c r="U341" s="123">
        <f>927242+1016+127528</f>
        <v>1055786</v>
      </c>
      <c r="V341" s="123">
        <f t="shared" si="72"/>
        <v>1399491</v>
      </c>
      <c r="W341" s="122" t="str">
        <f t="shared" si="69"/>
        <v>1</v>
      </c>
      <c r="X341" s="123">
        <f>T341-753183-87955-2310-163232-28920</f>
        <v>1419677</v>
      </c>
      <c r="Y341" s="123">
        <f>4580+708370+335561</f>
        <v>1048511</v>
      </c>
      <c r="Z341" s="123">
        <f t="shared" si="73"/>
        <v>371166</v>
      </c>
      <c r="AA341" s="122" t="str">
        <f t="shared" si="70"/>
        <v>1</v>
      </c>
      <c r="AB341" s="120">
        <f t="shared" si="80"/>
        <v>0</v>
      </c>
      <c r="AC341" s="123">
        <v>0</v>
      </c>
      <c r="AD341" s="123">
        <v>0</v>
      </c>
      <c r="AE341" s="123">
        <v>660583</v>
      </c>
      <c r="AG341" s="151">
        <f t="shared" si="82"/>
        <v>1150997</v>
      </c>
      <c r="AH341" s="123">
        <f>1534911-600-3268-8181</f>
        <v>1522862</v>
      </c>
      <c r="AJ341" s="123">
        <v>432526</v>
      </c>
      <c r="AL341" s="123">
        <f>27637+316381+18375+9472</f>
        <v>371865</v>
      </c>
      <c r="AM341" s="123">
        <v>3722473</v>
      </c>
    </row>
    <row r="342" spans="1:40" s="123" customFormat="1" ht="16.2" thickBot="1" x14ac:dyDescent="0.35">
      <c r="A342" s="21"/>
      <c r="B342" s="212" t="s">
        <v>192</v>
      </c>
      <c r="C342" s="31" t="str">
        <f>VLOOKUP((CONCATENATE(B342)),ID!$A$2:$D$305,3,0)</f>
        <v>RL050</v>
      </c>
      <c r="D342" s="21">
        <v>0</v>
      </c>
      <c r="E342" s="21" t="s">
        <v>4057</v>
      </c>
      <c r="F342" s="21" t="s">
        <v>1117</v>
      </c>
      <c r="G342" s="21" t="s">
        <v>3853</v>
      </c>
      <c r="H342" s="94">
        <v>3653</v>
      </c>
      <c r="I342" s="43">
        <v>3658</v>
      </c>
      <c r="J342" s="43">
        <v>3677</v>
      </c>
      <c r="K342" s="21">
        <v>0</v>
      </c>
      <c r="L342" s="43"/>
      <c r="M342" s="43"/>
      <c r="N342" s="43">
        <v>3684</v>
      </c>
      <c r="O342" s="21" t="s">
        <v>3835</v>
      </c>
      <c r="P342" s="194" t="str">
        <f t="shared" si="84"/>
        <v>1</v>
      </c>
      <c r="Q342" s="21">
        <v>1</v>
      </c>
      <c r="R342" s="39" t="str">
        <f t="shared" si="83"/>
        <v>-</v>
      </c>
      <c r="S342" s="120">
        <f t="shared" si="79"/>
        <v>234092</v>
      </c>
      <c r="T342" s="123">
        <v>784310</v>
      </c>
      <c r="U342" s="123">
        <f>434223+6249</f>
        <v>440472</v>
      </c>
      <c r="V342" s="123">
        <f t="shared" si="72"/>
        <v>343838</v>
      </c>
      <c r="W342" s="122" t="str">
        <f t="shared" si="69"/>
        <v>1</v>
      </c>
      <c r="X342" s="123">
        <f>T342-43590-190502</f>
        <v>550218</v>
      </c>
      <c r="Y342" s="123">
        <f>106037+89589</f>
        <v>195626</v>
      </c>
      <c r="Z342" s="123">
        <f t="shared" si="73"/>
        <v>354592</v>
      </c>
      <c r="AA342" s="122" t="str">
        <f t="shared" si="70"/>
        <v>1</v>
      </c>
      <c r="AB342" s="120">
        <f t="shared" si="80"/>
        <v>106037</v>
      </c>
      <c r="AC342" s="123">
        <v>106037</v>
      </c>
      <c r="AD342" s="123">
        <v>0</v>
      </c>
      <c r="AE342" s="123">
        <v>173066</v>
      </c>
      <c r="AG342" s="151">
        <f t="shared" si="82"/>
        <v>194643</v>
      </c>
      <c r="AH342" s="123">
        <f>435789-760-21706</f>
        <v>413323</v>
      </c>
      <c r="AJ342" s="123">
        <f>4900</f>
        <v>4900</v>
      </c>
      <c r="AL342" s="123">
        <f>245286-4900-21706</f>
        <v>218680</v>
      </c>
    </row>
    <row r="343" spans="1:40" s="123" customFormat="1" ht="16.2" thickBot="1" x14ac:dyDescent="0.35">
      <c r="A343" s="21"/>
      <c r="B343" s="212" t="s">
        <v>192</v>
      </c>
      <c r="C343" s="31" t="str">
        <f>VLOOKUP((CONCATENATE(B343)),ID!$A$2:$D$305,3,0)</f>
        <v>RL050</v>
      </c>
      <c r="D343" s="21">
        <v>0</v>
      </c>
      <c r="E343" s="21" t="s">
        <v>4057</v>
      </c>
      <c r="F343" s="21" t="s">
        <v>1117</v>
      </c>
      <c r="G343" s="21" t="s">
        <v>3853</v>
      </c>
      <c r="H343" s="94">
        <v>3834</v>
      </c>
      <c r="I343" s="43">
        <v>3846</v>
      </c>
      <c r="J343" s="43">
        <v>3855</v>
      </c>
      <c r="K343" s="21">
        <v>0</v>
      </c>
      <c r="L343" s="43"/>
      <c r="M343" s="43"/>
      <c r="N343" s="43">
        <v>3862</v>
      </c>
      <c r="O343" s="21" t="s">
        <v>3835</v>
      </c>
      <c r="P343" s="194" t="str">
        <f t="shared" si="84"/>
        <v>1</v>
      </c>
      <c r="Q343" s="21">
        <v>1</v>
      </c>
      <c r="R343" s="39" t="str">
        <f t="shared" si="83"/>
        <v>-</v>
      </c>
      <c r="S343" s="120">
        <f t="shared" si="79"/>
        <v>149227</v>
      </c>
      <c r="T343" s="123">
        <v>657019</v>
      </c>
      <c r="U343" s="123">
        <f>6249+461754</f>
        <v>468003</v>
      </c>
      <c r="V343" s="123">
        <f t="shared" si="72"/>
        <v>189016</v>
      </c>
      <c r="W343" s="122" t="str">
        <f t="shared" si="69"/>
        <v>1</v>
      </c>
      <c r="X343" s="123">
        <f>T343-43548-105679</f>
        <v>507792</v>
      </c>
      <c r="Y343" s="123">
        <f>94037+92698</f>
        <v>186735</v>
      </c>
      <c r="Z343" s="123">
        <f t="shared" si="73"/>
        <v>321057</v>
      </c>
      <c r="AA343" s="122" t="str">
        <f t="shared" si="70"/>
        <v>1</v>
      </c>
      <c r="AB343" s="120">
        <f t="shared" si="80"/>
        <v>154037</v>
      </c>
      <c r="AC343" s="123">
        <v>94037</v>
      </c>
      <c r="AD343" s="123">
        <v>60000</v>
      </c>
      <c r="AE343" s="123">
        <v>17448</v>
      </c>
      <c r="AG343" s="151">
        <f t="shared" si="82"/>
        <v>71442</v>
      </c>
      <c r="AH343" s="123">
        <f>351353-39137-21691</f>
        <v>290525</v>
      </c>
      <c r="AJ343" s="123">
        <v>4900</v>
      </c>
      <c r="AL343" s="123">
        <f>245674-4900-21691</f>
        <v>219083</v>
      </c>
    </row>
    <row r="344" spans="1:40" s="123" customFormat="1" ht="16.2" thickBot="1" x14ac:dyDescent="0.35">
      <c r="A344" s="21">
        <v>50.1</v>
      </c>
      <c r="B344" s="212" t="s">
        <v>192</v>
      </c>
      <c r="C344" s="31" t="str">
        <f>VLOOKUP((CONCATENATE(B344)),ID!$A$2:$D$305,3,0)</f>
        <v>RL050</v>
      </c>
      <c r="D344" s="21">
        <v>0</v>
      </c>
      <c r="E344" s="21" t="s">
        <v>4057</v>
      </c>
      <c r="F344" s="21" t="s">
        <v>1117</v>
      </c>
      <c r="G344" s="21" t="s">
        <v>3853</v>
      </c>
      <c r="H344" s="94">
        <v>4018</v>
      </c>
      <c r="I344" s="43">
        <v>4029</v>
      </c>
      <c r="J344" s="43">
        <v>4038</v>
      </c>
      <c r="K344" s="21">
        <v>0</v>
      </c>
      <c r="L344" s="21"/>
      <c r="M344" s="21"/>
      <c r="N344" s="43">
        <v>4045</v>
      </c>
      <c r="O344" s="21" t="s">
        <v>3835</v>
      </c>
      <c r="P344" s="194" t="str">
        <f t="shared" si="84"/>
        <v>1</v>
      </c>
      <c r="Q344" s="21">
        <v>1</v>
      </c>
      <c r="R344" s="39" t="str">
        <f t="shared" si="83"/>
        <v>-</v>
      </c>
      <c r="S344" s="120">
        <f t="shared" si="79"/>
        <v>266961</v>
      </c>
      <c r="T344" s="123">
        <v>718541</v>
      </c>
      <c r="U344" s="123">
        <f>411610+6249</f>
        <v>417859</v>
      </c>
      <c r="V344" s="123">
        <f t="shared" si="72"/>
        <v>300682</v>
      </c>
      <c r="W344" s="122" t="str">
        <f t="shared" si="69"/>
        <v>1</v>
      </c>
      <c r="X344" s="123">
        <f>11048+222587+94037+14622+14677+94609</f>
        <v>451580</v>
      </c>
      <c r="Y344" s="123">
        <f>94037+94609</f>
        <v>188646</v>
      </c>
      <c r="Z344" s="123">
        <f t="shared" si="73"/>
        <v>262934</v>
      </c>
      <c r="AA344" s="122" t="str">
        <f t="shared" si="70"/>
        <v>1</v>
      </c>
      <c r="AB344" s="120">
        <f t="shared" si="80"/>
        <v>94037</v>
      </c>
      <c r="AC344" s="123">
        <v>94037</v>
      </c>
      <c r="AD344" s="123">
        <v>0</v>
      </c>
      <c r="AE344" s="123">
        <v>120969</v>
      </c>
      <c r="AG344" s="151">
        <f t="shared" si="82"/>
        <v>223410</v>
      </c>
      <c r="AH344" s="123">
        <f>468549-4768-21500</f>
        <v>442281</v>
      </c>
      <c r="AJ344" s="123">
        <v>4900</v>
      </c>
      <c r="AL344" s="123">
        <f>124285+21817+4824+24427+17361+21310+1970+1761+1116</f>
        <v>218871</v>
      </c>
    </row>
    <row r="345" spans="1:40" s="123" customFormat="1" ht="16.2" thickBot="1" x14ac:dyDescent="0.35">
      <c r="A345" s="21">
        <v>50.2</v>
      </c>
      <c r="B345" s="212" t="s">
        <v>192</v>
      </c>
      <c r="C345" s="31" t="str">
        <f>VLOOKUP((CONCATENATE(B345)),ID!$A$2:$D$305,3,0)</f>
        <v>RL050</v>
      </c>
      <c r="D345" s="21">
        <v>0</v>
      </c>
      <c r="E345" s="21" t="s">
        <v>4057</v>
      </c>
      <c r="F345" s="21" t="s">
        <v>1117</v>
      </c>
      <c r="G345" s="21" t="s">
        <v>3853</v>
      </c>
      <c r="H345" s="94">
        <v>4199</v>
      </c>
      <c r="I345" s="43">
        <v>4211</v>
      </c>
      <c r="J345" s="43">
        <v>4220</v>
      </c>
      <c r="K345" s="21">
        <v>0</v>
      </c>
      <c r="L345" s="21"/>
      <c r="M345" s="21"/>
      <c r="N345" s="43">
        <v>4227</v>
      </c>
      <c r="O345" s="21" t="s">
        <v>3835</v>
      </c>
      <c r="P345" s="194" t="str">
        <f t="shared" si="84"/>
        <v>1</v>
      </c>
      <c r="Q345" s="21">
        <v>1</v>
      </c>
      <c r="R345" s="39" t="str">
        <f t="shared" si="83"/>
        <v>-</v>
      </c>
      <c r="S345" s="120">
        <f t="shared" si="79"/>
        <v>198330</v>
      </c>
      <c r="T345" s="123">
        <v>656504</v>
      </c>
      <c r="U345" s="123">
        <f>410567+6249</f>
        <v>416816</v>
      </c>
      <c r="V345" s="123">
        <f t="shared" si="72"/>
        <v>239688</v>
      </c>
      <c r="W345" s="122" t="str">
        <f t="shared" si="69"/>
        <v>1</v>
      </c>
      <c r="X345" s="123">
        <f>11250+224158+Y345+14845+14965</f>
        <v>458174</v>
      </c>
      <c r="Y345" s="123">
        <f>94037+98919</f>
        <v>192956</v>
      </c>
      <c r="Z345" s="123">
        <f t="shared" si="73"/>
        <v>265218</v>
      </c>
      <c r="AA345" s="122" t="str">
        <f t="shared" si="70"/>
        <v>1</v>
      </c>
      <c r="AB345" s="120">
        <f t="shared" si="80"/>
        <v>94037</v>
      </c>
      <c r="AC345" s="123">
        <v>94037</v>
      </c>
      <c r="AD345" s="123">
        <v>0</v>
      </c>
      <c r="AE345" s="123">
        <v>50920</v>
      </c>
      <c r="AG345" s="151">
        <f t="shared" si="82"/>
        <v>86936</v>
      </c>
      <c r="AH345" s="123">
        <f>401299-71907-21562</f>
        <v>307830</v>
      </c>
      <c r="AJ345" s="123">
        <v>4900</v>
      </c>
      <c r="AL345" s="123">
        <f>247356-21562-4900</f>
        <v>220894</v>
      </c>
    </row>
    <row r="346" spans="1:40" s="123" customFormat="1" ht="16.2" thickBot="1" x14ac:dyDescent="0.35">
      <c r="A346" s="21">
        <v>50.3</v>
      </c>
      <c r="B346" s="212" t="s">
        <v>192</v>
      </c>
      <c r="C346" s="31" t="str">
        <f>VLOOKUP((CONCATENATE(B346)),ID!$A$2:$D$305,3,0)</f>
        <v>RL050</v>
      </c>
      <c r="D346" s="21">
        <v>0</v>
      </c>
      <c r="E346" s="21" t="s">
        <v>4057</v>
      </c>
      <c r="F346" s="21" t="s">
        <v>1117</v>
      </c>
      <c r="G346" s="21" t="s">
        <v>3853</v>
      </c>
      <c r="H346" s="94">
        <v>4383</v>
      </c>
      <c r="I346" s="43">
        <v>4395</v>
      </c>
      <c r="J346" s="43">
        <v>4406</v>
      </c>
      <c r="K346" s="21">
        <v>0</v>
      </c>
      <c r="L346" s="21"/>
      <c r="M346" s="21"/>
      <c r="N346" s="43">
        <v>4413</v>
      </c>
      <c r="O346" s="21" t="s">
        <v>3835</v>
      </c>
      <c r="P346" s="194" t="str">
        <f t="shared" si="84"/>
        <v>1</v>
      </c>
      <c r="Q346" s="21">
        <v>1</v>
      </c>
      <c r="R346" s="39" t="str">
        <f t="shared" si="83"/>
        <v>-</v>
      </c>
      <c r="S346" s="120">
        <f t="shared" si="79"/>
        <v>283704</v>
      </c>
      <c r="T346" s="123">
        <v>740969</v>
      </c>
      <c r="U346" s="123">
        <f>6249+435130</f>
        <v>441379</v>
      </c>
      <c r="V346" s="123">
        <f t="shared" si="72"/>
        <v>299590</v>
      </c>
      <c r="W346" s="122" t="str">
        <f t="shared" ref="W346:W479" si="85">IF(V346+U346=T346,"1","0")</f>
        <v>1</v>
      </c>
      <c r="X346" s="123">
        <f>12980+14847+Y346+224142+11502</f>
        <v>457265</v>
      </c>
      <c r="Y346" s="123">
        <f>100757+93037</f>
        <v>193794</v>
      </c>
      <c r="Z346" s="123">
        <f t="shared" si="73"/>
        <v>263471</v>
      </c>
      <c r="AA346" s="122" t="str">
        <f t="shared" ref="AA346:AA479" si="86">IF(Z346+Y346=X346,"1","0")</f>
        <v>1</v>
      </c>
      <c r="AB346" s="120">
        <f t="shared" si="80"/>
        <v>93037</v>
      </c>
      <c r="AC346" s="123">
        <v>93037</v>
      </c>
      <c r="AD346" s="123">
        <v>0</v>
      </c>
      <c r="AE346" s="123">
        <v>126362</v>
      </c>
      <c r="AG346" s="151">
        <f t="shared" si="82"/>
        <v>240747</v>
      </c>
      <c r="AH346" s="123">
        <f>485142-2577-21711</f>
        <v>460854</v>
      </c>
      <c r="AJ346" s="123">
        <v>4900</v>
      </c>
      <c r="AL346" s="123">
        <f>246718-21711-4900</f>
        <v>220107</v>
      </c>
    </row>
    <row r="347" spans="1:40" s="123" customFormat="1" ht="16.2" thickBot="1" x14ac:dyDescent="0.35">
      <c r="A347" s="21">
        <v>50.4</v>
      </c>
      <c r="B347" s="212" t="s">
        <v>192</v>
      </c>
      <c r="C347" s="31" t="str">
        <f>VLOOKUP((CONCATENATE(B347)),ID!$A$2:$D$305,3,0)</f>
        <v>RL050</v>
      </c>
      <c r="D347" s="21">
        <v>0</v>
      </c>
      <c r="E347" s="21" t="s">
        <v>4057</v>
      </c>
      <c r="F347" s="21" t="s">
        <v>1117</v>
      </c>
      <c r="G347" s="21" t="s">
        <v>3853</v>
      </c>
      <c r="H347" s="94">
        <v>4565</v>
      </c>
      <c r="I347" s="43">
        <v>4578</v>
      </c>
      <c r="J347" s="43">
        <v>4589</v>
      </c>
      <c r="K347" s="21">
        <v>0</v>
      </c>
      <c r="L347" s="21"/>
      <c r="M347" s="21"/>
      <c r="N347" s="43">
        <v>4596</v>
      </c>
      <c r="O347" s="21" t="s">
        <v>3835</v>
      </c>
      <c r="P347" s="194" t="str">
        <f t="shared" si="84"/>
        <v>1</v>
      </c>
      <c r="Q347" s="21">
        <v>1</v>
      </c>
      <c r="R347" s="39" t="str">
        <f t="shared" si="83"/>
        <v>-</v>
      </c>
      <c r="S347" s="120">
        <f t="shared" si="79"/>
        <v>203010</v>
      </c>
      <c r="T347" s="123">
        <v>662287</v>
      </c>
      <c r="U347" s="123">
        <f>469681+6249</f>
        <v>475930</v>
      </c>
      <c r="V347" s="123">
        <f t="shared" si="72"/>
        <v>186357</v>
      </c>
      <c r="W347" s="122" t="str">
        <f t="shared" si="85"/>
        <v>1</v>
      </c>
      <c r="X347" s="123">
        <f>11576+224211+Y347+14947+12572</f>
        <v>459277</v>
      </c>
      <c r="Y347" s="123">
        <f>93037+102934</f>
        <v>195971</v>
      </c>
      <c r="Z347" s="123">
        <f t="shared" si="73"/>
        <v>263306</v>
      </c>
      <c r="AA347" s="122" t="str">
        <f t="shared" si="86"/>
        <v>1</v>
      </c>
      <c r="AB347" s="120">
        <f t="shared" si="80"/>
        <v>93037</v>
      </c>
      <c r="AC347" s="123">
        <v>93037</v>
      </c>
      <c r="AD347" s="123">
        <v>0</v>
      </c>
      <c r="AE347" s="123">
        <v>19360</v>
      </c>
      <c r="AG347" s="151">
        <f t="shared" si="82"/>
        <v>74843</v>
      </c>
      <c r="AH347" s="123">
        <f>403988-87058-21507</f>
        <v>295423</v>
      </c>
      <c r="AJ347" s="123">
        <v>4900</v>
      </c>
      <c r="AL347" s="123">
        <f>246987-21507-4900</f>
        <v>220580</v>
      </c>
    </row>
    <row r="348" spans="1:40" s="123" customFormat="1" ht="16.2" thickBot="1" x14ac:dyDescent="0.35">
      <c r="A348" s="21"/>
      <c r="B348" s="212" t="s">
        <v>192</v>
      </c>
      <c r="C348" s="31" t="str">
        <f>VLOOKUP((CONCATENATE(B348)),ID!$A$2:$D$305,3,0)</f>
        <v>RL050</v>
      </c>
      <c r="D348" s="21">
        <v>0</v>
      </c>
      <c r="E348" s="21" t="s">
        <v>4057</v>
      </c>
      <c r="F348" s="21" t="s">
        <v>1117</v>
      </c>
      <c r="G348" s="21" t="s">
        <v>3853</v>
      </c>
      <c r="H348" s="94">
        <v>4749</v>
      </c>
      <c r="I348" s="43">
        <v>4791</v>
      </c>
      <c r="J348" s="43">
        <v>4772</v>
      </c>
      <c r="K348" s="21">
        <v>0</v>
      </c>
      <c r="L348" s="21"/>
      <c r="M348" s="21"/>
      <c r="N348" s="43">
        <v>4779</v>
      </c>
      <c r="O348" s="21" t="s">
        <v>3835</v>
      </c>
      <c r="P348" s="194" t="str">
        <f t="shared" si="84"/>
        <v>1</v>
      </c>
      <c r="Q348" s="21">
        <v>1</v>
      </c>
      <c r="R348" s="39" t="str">
        <f t="shared" si="83"/>
        <v>-</v>
      </c>
      <c r="S348" s="120">
        <f t="shared" si="79"/>
        <v>286756</v>
      </c>
      <c r="T348" s="123">
        <v>747901</v>
      </c>
      <c r="U348" s="123">
        <f>6249+504084</f>
        <v>510333</v>
      </c>
      <c r="V348" s="123">
        <f t="shared" si="72"/>
        <v>237568</v>
      </c>
      <c r="W348" s="122" t="str">
        <f t="shared" si="85"/>
        <v>1</v>
      </c>
      <c r="X348" s="123">
        <f>T348-46932-239824</f>
        <v>461145</v>
      </c>
      <c r="Y348" s="123">
        <f>105683+93037</f>
        <v>198720</v>
      </c>
      <c r="Z348" s="123">
        <f t="shared" si="73"/>
        <v>262425</v>
      </c>
      <c r="AA348" s="122" t="str">
        <f t="shared" si="86"/>
        <v>1</v>
      </c>
      <c r="AB348" s="120">
        <f t="shared" si="80"/>
        <v>93037</v>
      </c>
      <c r="AC348" s="123">
        <v>93037</v>
      </c>
      <c r="AD348" s="123">
        <v>0</v>
      </c>
      <c r="AE348" s="123">
        <v>60063</v>
      </c>
      <c r="AG348" s="151">
        <f t="shared" si="82"/>
        <v>239091</v>
      </c>
      <c r="AH348" s="123">
        <f>486020-5634-21374</f>
        <v>459012</v>
      </c>
      <c r="AJ348" s="123">
        <v>4900</v>
      </c>
      <c r="AL348" s="123">
        <f>246195-4900-21374</f>
        <v>219921</v>
      </c>
    </row>
    <row r="349" spans="1:40" s="123" customFormat="1" ht="16.2" thickBot="1" x14ac:dyDescent="0.35">
      <c r="A349" s="21"/>
      <c r="B349" s="212" t="s">
        <v>192</v>
      </c>
      <c r="C349" s="31" t="str">
        <f>VLOOKUP((CONCATENATE(B349)),ID!$A$2:$D$305,3,0)</f>
        <v>RL050</v>
      </c>
      <c r="D349" s="21">
        <v>1</v>
      </c>
      <c r="E349" s="21" t="s">
        <v>4057</v>
      </c>
      <c r="F349" s="21" t="s">
        <v>1117</v>
      </c>
      <c r="G349" s="21" t="s">
        <v>3853</v>
      </c>
      <c r="H349" s="94">
        <v>5114</v>
      </c>
      <c r="I349" s="43">
        <v>5124</v>
      </c>
      <c r="J349" s="43">
        <v>5143</v>
      </c>
      <c r="K349" s="21">
        <v>0</v>
      </c>
      <c r="L349" s="21"/>
      <c r="M349" s="21"/>
      <c r="N349" s="43">
        <v>5149</v>
      </c>
      <c r="O349" s="21" t="s">
        <v>3835</v>
      </c>
      <c r="P349" s="194" t="str">
        <f t="shared" si="84"/>
        <v>1</v>
      </c>
      <c r="Q349" s="21">
        <v>1</v>
      </c>
      <c r="R349" s="39" t="str">
        <f t="shared" si="83"/>
        <v>-</v>
      </c>
      <c r="S349" s="120">
        <f t="shared" si="79"/>
        <v>308795</v>
      </c>
      <c r="T349" s="123">
        <v>811040</v>
      </c>
      <c r="U349" s="123">
        <f>6249+610660</f>
        <v>616909</v>
      </c>
      <c r="V349" s="123">
        <f t="shared" si="72"/>
        <v>194131</v>
      </c>
      <c r="W349" s="122" t="str">
        <f t="shared" si="85"/>
        <v>1</v>
      </c>
      <c r="X349" s="123">
        <f>T349-250372-58423</f>
        <v>502245</v>
      </c>
      <c r="Y349" s="123">
        <f>109775+93037</f>
        <v>202812</v>
      </c>
      <c r="Z349" s="123">
        <f t="shared" si="73"/>
        <v>299433</v>
      </c>
      <c r="AA349" s="122" t="str">
        <f t="shared" si="86"/>
        <v>1</v>
      </c>
      <c r="AB349" s="120">
        <f t="shared" si="80"/>
        <v>104037</v>
      </c>
      <c r="AC349" s="123">
        <v>93037</v>
      </c>
      <c r="AD349" s="123">
        <v>11000</v>
      </c>
      <c r="AE349" s="123">
        <v>21851</v>
      </c>
      <c r="AG349" s="151">
        <f t="shared" si="82"/>
        <v>323785</v>
      </c>
      <c r="AH349" s="123">
        <f>816193-526-924-29870-3458-3750</f>
        <v>777665</v>
      </c>
      <c r="AJ349" s="123">
        <v>5504</v>
      </c>
      <c r="AL349" s="123">
        <f>498556-644-29870-3458-5504-3750-924-526</f>
        <v>453880</v>
      </c>
    </row>
    <row r="350" spans="1:40" s="123" customFormat="1" ht="16.2" thickBot="1" x14ac:dyDescent="0.35">
      <c r="A350" s="21"/>
      <c r="B350" s="212" t="s">
        <v>197</v>
      </c>
      <c r="C350" s="31" t="str">
        <f>VLOOKUP((CONCATENATE(B350)),ID!$A$2:$D$305,3,0)</f>
        <v>RL051</v>
      </c>
      <c r="D350" s="21">
        <v>0</v>
      </c>
      <c r="E350" s="21" t="s">
        <v>4057</v>
      </c>
      <c r="F350" s="21" t="s">
        <v>1117</v>
      </c>
      <c r="G350" s="21" t="s">
        <v>3853</v>
      </c>
      <c r="H350" s="94">
        <v>3653</v>
      </c>
      <c r="I350" s="43">
        <v>3667</v>
      </c>
      <c r="J350" s="43">
        <v>3668</v>
      </c>
      <c r="K350" s="21">
        <v>1</v>
      </c>
      <c r="L350" s="43">
        <v>3670</v>
      </c>
      <c r="M350" s="43">
        <v>3687</v>
      </c>
      <c r="N350" s="43">
        <v>3687</v>
      </c>
      <c r="O350" s="21" t="s">
        <v>3836</v>
      </c>
      <c r="P350" s="194">
        <v>1</v>
      </c>
      <c r="Q350" s="21">
        <v>1</v>
      </c>
      <c r="R350" s="39" t="str">
        <f t="shared" si="83"/>
        <v>-</v>
      </c>
      <c r="S350" s="120">
        <f t="shared" si="79"/>
        <v>238302</v>
      </c>
      <c r="T350" s="123">
        <v>322600</v>
      </c>
      <c r="U350" s="123">
        <f>27450+34739</f>
        <v>62189</v>
      </c>
      <c r="V350" s="123">
        <f t="shared" si="72"/>
        <v>260411</v>
      </c>
      <c r="W350" s="122" t="str">
        <f t="shared" si="85"/>
        <v>1</v>
      </c>
      <c r="X350" s="123">
        <f>T350-36309-38124-20005-16659-127205</f>
        <v>84298</v>
      </c>
      <c r="Y350" s="123">
        <v>0</v>
      </c>
      <c r="Z350" s="123">
        <f t="shared" si="73"/>
        <v>84298</v>
      </c>
      <c r="AA350" s="122" t="str">
        <f t="shared" si="86"/>
        <v>1</v>
      </c>
      <c r="AB350" s="120">
        <f t="shared" si="80"/>
        <v>0</v>
      </c>
      <c r="AC350" s="123">
        <v>0</v>
      </c>
      <c r="AD350" s="123">
        <v>0</v>
      </c>
      <c r="AE350" s="123">
        <f>100000+16190</f>
        <v>116190</v>
      </c>
      <c r="AG350" s="151">
        <f t="shared" si="82"/>
        <v>124317</v>
      </c>
      <c r="AH350" s="134">
        <f>156646-4717-2892</f>
        <v>149037</v>
      </c>
      <c r="AL350" s="123">
        <v>24720</v>
      </c>
      <c r="AM350" s="123">
        <v>343830</v>
      </c>
      <c r="AN350" s="123">
        <v>263142</v>
      </c>
    </row>
    <row r="351" spans="1:40" s="123" customFormat="1" ht="16.2" thickBot="1" x14ac:dyDescent="0.35">
      <c r="A351" s="21"/>
      <c r="B351" s="212" t="s">
        <v>197</v>
      </c>
      <c r="C351" s="31" t="str">
        <f>VLOOKUP((CONCATENATE(B351)),ID!$A$2:$D$305,3,0)</f>
        <v>RL051</v>
      </c>
      <c r="D351" s="21">
        <v>0</v>
      </c>
      <c r="E351" s="21" t="s">
        <v>4057</v>
      </c>
      <c r="F351" s="21" t="s">
        <v>1117</v>
      </c>
      <c r="G351" s="21" t="s">
        <v>3853</v>
      </c>
      <c r="H351" s="94">
        <v>3834</v>
      </c>
      <c r="I351" s="43">
        <v>3849</v>
      </c>
      <c r="J351" s="43">
        <v>3860</v>
      </c>
      <c r="K351" s="21">
        <v>1</v>
      </c>
      <c r="L351" s="43">
        <v>3852</v>
      </c>
      <c r="M351" s="43">
        <v>3869</v>
      </c>
      <c r="N351" s="43">
        <v>3869</v>
      </c>
      <c r="O351" s="21" t="s">
        <v>3836</v>
      </c>
      <c r="P351" s="194">
        <v>1</v>
      </c>
      <c r="Q351" s="21">
        <v>1</v>
      </c>
      <c r="R351" s="39" t="str">
        <f t="shared" si="83"/>
        <v>-</v>
      </c>
      <c r="S351" s="120">
        <f>T351-X351</f>
        <v>194639</v>
      </c>
      <c r="T351" s="123">
        <v>279427</v>
      </c>
      <c r="U351" s="123">
        <f>27450+66569</f>
        <v>94019</v>
      </c>
      <c r="V351" s="123">
        <f>T351-U351</f>
        <v>185408</v>
      </c>
      <c r="W351" s="122" t="str">
        <f>IF(V351+U351=T351,"1","0")</f>
        <v>1</v>
      </c>
      <c r="X351" s="123">
        <f>T351-36309-41124-21105-15533-80568</f>
        <v>84788</v>
      </c>
      <c r="Y351" s="123">
        <v>0</v>
      </c>
      <c r="Z351" s="123">
        <f>X351-Y351</f>
        <v>84788</v>
      </c>
      <c r="AA351" s="122" t="str">
        <f>IF(Z351+Y351=X351,"1","0")</f>
        <v>1</v>
      </c>
      <c r="AB351" s="120">
        <f>SUM(AC351+AD351)</f>
        <v>0</v>
      </c>
      <c r="AC351" s="123">
        <v>0</v>
      </c>
      <c r="AD351" s="123">
        <v>0</v>
      </c>
      <c r="AE351" s="123">
        <f>20712+25000</f>
        <v>45712</v>
      </c>
      <c r="AG351" s="151">
        <f>AH351-AL351-AI351</f>
        <v>76556</v>
      </c>
      <c r="AH351" s="134">
        <f>110006-4717-4013</f>
        <v>101276</v>
      </c>
      <c r="AL351" s="123">
        <v>24720</v>
      </c>
      <c r="AM351" s="123">
        <v>290581</v>
      </c>
      <c r="AN351" s="123">
        <v>212197</v>
      </c>
    </row>
    <row r="352" spans="1:40" s="123" customFormat="1" ht="16.2" thickBot="1" x14ac:dyDescent="0.35">
      <c r="A352" s="21">
        <v>51.1</v>
      </c>
      <c r="B352" s="212" t="s">
        <v>197</v>
      </c>
      <c r="C352" s="31" t="str">
        <f>VLOOKUP((CONCATENATE(B352)),ID!$A$2:$D$305,3,0)</f>
        <v>RL051</v>
      </c>
      <c r="D352" s="21">
        <v>0</v>
      </c>
      <c r="E352" s="21" t="s">
        <v>4057</v>
      </c>
      <c r="F352" s="21" t="s">
        <v>1117</v>
      </c>
      <c r="G352" s="21" t="s">
        <v>3853</v>
      </c>
      <c r="H352" s="94">
        <v>4018</v>
      </c>
      <c r="I352" s="43">
        <v>4031</v>
      </c>
      <c r="J352" s="43">
        <v>4042</v>
      </c>
      <c r="K352" s="21">
        <v>1</v>
      </c>
      <c r="L352" s="43">
        <v>4034</v>
      </c>
      <c r="M352" s="43">
        <v>4051</v>
      </c>
      <c r="N352" s="43">
        <v>4051</v>
      </c>
      <c r="O352" s="21" t="s">
        <v>3836</v>
      </c>
      <c r="P352" s="194">
        <v>1</v>
      </c>
      <c r="Q352" s="21">
        <v>1</v>
      </c>
      <c r="R352" s="39" t="str">
        <f t="shared" si="83"/>
        <v>-</v>
      </c>
      <c r="S352" s="120">
        <f t="shared" si="79"/>
        <v>257874</v>
      </c>
      <c r="T352" s="123">
        <v>348530</v>
      </c>
      <c r="U352" s="123">
        <f>84905+27450</f>
        <v>112355</v>
      </c>
      <c r="V352" s="123">
        <f t="shared" si="72"/>
        <v>236175</v>
      </c>
      <c r="W352" s="122" t="str">
        <f t="shared" si="85"/>
        <v>1</v>
      </c>
      <c r="X352" s="123">
        <f>468+24720+6245+23879+35344</f>
        <v>90656</v>
      </c>
      <c r="Y352" s="123">
        <v>0</v>
      </c>
      <c r="Z352" s="123">
        <f t="shared" si="73"/>
        <v>90656</v>
      </c>
      <c r="AA352" s="122" t="str">
        <f t="shared" si="86"/>
        <v>1</v>
      </c>
      <c r="AB352" s="120">
        <f t="shared" si="80"/>
        <v>0</v>
      </c>
      <c r="AC352" s="123">
        <v>0</v>
      </c>
      <c r="AD352" s="123">
        <v>0</v>
      </c>
      <c r="AE352" s="123">
        <f>17046+80000</f>
        <v>97046</v>
      </c>
      <c r="AG352" s="151">
        <f t="shared" si="82"/>
        <v>127487</v>
      </c>
      <c r="AH352" s="123">
        <f>159423-2249-4967</f>
        <v>152207</v>
      </c>
      <c r="AL352" s="123">
        <v>24720</v>
      </c>
      <c r="AM352" s="123">
        <v>362243</v>
      </c>
      <c r="AN352" s="123">
        <v>275449</v>
      </c>
    </row>
    <row r="353" spans="1:40" s="123" customFormat="1" ht="16.2" thickBot="1" x14ac:dyDescent="0.35">
      <c r="A353" s="21">
        <v>51.2</v>
      </c>
      <c r="B353" s="212" t="s">
        <v>197</v>
      </c>
      <c r="C353" s="31" t="str">
        <f>VLOOKUP((CONCATENATE(B353)),ID!$A$2:$D$305,3,0)</f>
        <v>RL051</v>
      </c>
      <c r="D353" s="21">
        <v>0</v>
      </c>
      <c r="E353" s="21" t="s">
        <v>4057</v>
      </c>
      <c r="F353" s="21" t="s">
        <v>1117</v>
      </c>
      <c r="G353" s="21" t="s">
        <v>3853</v>
      </c>
      <c r="H353" s="94">
        <v>4199</v>
      </c>
      <c r="I353" s="43">
        <v>4213</v>
      </c>
      <c r="J353" s="43">
        <v>4224</v>
      </c>
      <c r="K353" s="21">
        <v>1</v>
      </c>
      <c r="L353" s="43">
        <v>4216</v>
      </c>
      <c r="M353" s="43">
        <v>4233</v>
      </c>
      <c r="N353" s="43">
        <v>4233</v>
      </c>
      <c r="O353" s="21" t="s">
        <v>3836</v>
      </c>
      <c r="P353" s="194">
        <v>1</v>
      </c>
      <c r="Q353" s="21">
        <v>1</v>
      </c>
      <c r="R353" s="39" t="str">
        <f t="shared" si="83"/>
        <v>-</v>
      </c>
      <c r="S353" s="120">
        <f t="shared" si="79"/>
        <v>221995</v>
      </c>
      <c r="T353" s="123">
        <v>318166</v>
      </c>
      <c r="U353" s="123">
        <f>124554+27456</f>
        <v>152010</v>
      </c>
      <c r="V353" s="123">
        <f t="shared" si="72"/>
        <v>166156</v>
      </c>
      <c r="W353" s="122" t="str">
        <f t="shared" si="85"/>
        <v>1</v>
      </c>
      <c r="X353" s="123">
        <f>46575+16917+7492+24720+467</f>
        <v>96171</v>
      </c>
      <c r="Y353" s="123">
        <v>0</v>
      </c>
      <c r="Z353" s="123">
        <f t="shared" si="73"/>
        <v>96171</v>
      </c>
      <c r="AA353" s="122" t="str">
        <f t="shared" si="86"/>
        <v>1</v>
      </c>
      <c r="AB353" s="120">
        <f t="shared" si="80"/>
        <v>0</v>
      </c>
      <c r="AC353" s="123">
        <v>0</v>
      </c>
      <c r="AD353" s="123">
        <v>0</v>
      </c>
      <c r="AE353" s="123">
        <f>16501+27450</f>
        <v>43951</v>
      </c>
      <c r="AG353" s="151">
        <f t="shared" si="82"/>
        <v>79828</v>
      </c>
      <c r="AH353" s="123">
        <f>113415-3900-4967</f>
        <v>104548</v>
      </c>
      <c r="AL353" s="123">
        <v>24720</v>
      </c>
      <c r="AM353" s="123">
        <v>312960</v>
      </c>
      <c r="AN353" s="123">
        <v>228244</v>
      </c>
    </row>
    <row r="354" spans="1:40" s="123" customFormat="1" ht="16.2" thickBot="1" x14ac:dyDescent="0.35">
      <c r="A354" s="21">
        <v>51.3</v>
      </c>
      <c r="B354" s="212" t="s">
        <v>197</v>
      </c>
      <c r="C354" s="31" t="str">
        <f>VLOOKUP((CONCATENATE(B354)),ID!$A$2:$D$305,3,0)</f>
        <v>RL051</v>
      </c>
      <c r="D354" s="21">
        <v>0</v>
      </c>
      <c r="E354" s="21" t="s">
        <v>4057</v>
      </c>
      <c r="F354" s="21" t="s">
        <v>1117</v>
      </c>
      <c r="G354" s="21" t="s">
        <v>3853</v>
      </c>
      <c r="H354" s="94">
        <v>4383</v>
      </c>
      <c r="I354" s="43">
        <v>4398</v>
      </c>
      <c r="J354" s="43">
        <v>4406</v>
      </c>
      <c r="K354" s="21">
        <v>1</v>
      </c>
      <c r="L354" s="43">
        <v>4398</v>
      </c>
      <c r="M354" s="43">
        <v>4415</v>
      </c>
      <c r="N354" s="43">
        <v>4415</v>
      </c>
      <c r="O354" s="21" t="s">
        <v>3836</v>
      </c>
      <c r="P354" s="194">
        <v>1</v>
      </c>
      <c r="Q354" s="21">
        <v>1</v>
      </c>
      <c r="R354" s="39" t="str">
        <f t="shared" si="83"/>
        <v>-</v>
      </c>
      <c r="S354" s="120">
        <f t="shared" si="79"/>
        <v>288327</v>
      </c>
      <c r="T354" s="123">
        <v>397353</v>
      </c>
      <c r="U354" s="123">
        <f>149430+27450</f>
        <v>176880</v>
      </c>
      <c r="V354" s="123">
        <f t="shared" si="72"/>
        <v>220473</v>
      </c>
      <c r="W354" s="122" t="str">
        <f t="shared" si="85"/>
        <v>1</v>
      </c>
      <c r="X354" s="123">
        <f>485+26720+6668+26248+48905</f>
        <v>109026</v>
      </c>
      <c r="Y354" s="123">
        <v>0</v>
      </c>
      <c r="Z354" s="123">
        <f t="shared" si="73"/>
        <v>109026</v>
      </c>
      <c r="AA354" s="122" t="str">
        <f t="shared" si="86"/>
        <v>1</v>
      </c>
      <c r="AB354" s="120">
        <f t="shared" si="80"/>
        <v>0</v>
      </c>
      <c r="AC354" s="123">
        <v>0</v>
      </c>
      <c r="AD354" s="123">
        <v>0</v>
      </c>
      <c r="AE354" s="123">
        <f>29465+30000</f>
        <v>59465</v>
      </c>
      <c r="AG354" s="151">
        <f t="shared" si="82"/>
        <v>129401</v>
      </c>
      <c r="AH354" s="123">
        <f>166497-5409-4967</f>
        <v>156121</v>
      </c>
      <c r="AL354" s="123">
        <v>26720</v>
      </c>
      <c r="AM354" s="123">
        <v>378178</v>
      </c>
      <c r="AN354" s="123">
        <v>287283</v>
      </c>
    </row>
    <row r="355" spans="1:40" s="123" customFormat="1" ht="16.2" thickBot="1" x14ac:dyDescent="0.35">
      <c r="A355" s="21">
        <v>51.4</v>
      </c>
      <c r="B355" s="212" t="s">
        <v>197</v>
      </c>
      <c r="C355" s="31" t="str">
        <f>VLOOKUP((CONCATENATE(B355)),ID!$A$2:$D$305,3,0)</f>
        <v>RL051</v>
      </c>
      <c r="D355" s="21">
        <v>0</v>
      </c>
      <c r="E355" s="21" t="s">
        <v>4057</v>
      </c>
      <c r="F355" s="21" t="s">
        <v>1117</v>
      </c>
      <c r="G355" s="21" t="s">
        <v>3853</v>
      </c>
      <c r="H355" s="94">
        <v>4565</v>
      </c>
      <c r="I355" s="43">
        <v>4577</v>
      </c>
      <c r="J355" s="43">
        <v>4588</v>
      </c>
      <c r="K355" s="21">
        <v>1</v>
      </c>
      <c r="L355" s="43">
        <v>4580</v>
      </c>
      <c r="M355" s="43">
        <v>4597</v>
      </c>
      <c r="N355" s="43">
        <v>4597</v>
      </c>
      <c r="O355" s="21" t="s">
        <v>3836</v>
      </c>
      <c r="P355" s="194">
        <v>1</v>
      </c>
      <c r="Q355" s="21">
        <v>1</v>
      </c>
      <c r="R355" s="39" t="str">
        <f t="shared" si="83"/>
        <v>-</v>
      </c>
      <c r="S355" s="120">
        <f t="shared" si="79"/>
        <v>240414</v>
      </c>
      <c r="T355" s="123">
        <v>402423</v>
      </c>
      <c r="U355" s="123">
        <f>27450+188418</f>
        <v>215868</v>
      </c>
      <c r="V355" s="123">
        <f t="shared" si="72"/>
        <v>186555</v>
      </c>
      <c r="W355" s="122" t="str">
        <f t="shared" si="85"/>
        <v>1</v>
      </c>
      <c r="X355" s="123">
        <f>39481+28272+7386+60000+26720+150</f>
        <v>162009</v>
      </c>
      <c r="Y355" s="123">
        <v>0</v>
      </c>
      <c r="Z355" s="123">
        <f t="shared" si="73"/>
        <v>162009</v>
      </c>
      <c r="AA355" s="122" t="str">
        <f t="shared" si="86"/>
        <v>1</v>
      </c>
      <c r="AB355" s="120">
        <f t="shared" si="80"/>
        <v>60000</v>
      </c>
      <c r="AC355" s="123">
        <v>0</v>
      </c>
      <c r="AD355" s="123">
        <v>60000</v>
      </c>
      <c r="AE355" s="123">
        <f>23318</f>
        <v>23318</v>
      </c>
      <c r="AG355" s="151">
        <f t="shared" si="82"/>
        <v>85578</v>
      </c>
      <c r="AH355" s="123">
        <f>131712-14254-4967-46</f>
        <v>112445</v>
      </c>
      <c r="AL355" s="123">
        <f>26720+147</f>
        <v>26867</v>
      </c>
      <c r="AM355" s="123">
        <v>325276</v>
      </c>
      <c r="AN355" s="123">
        <v>235955</v>
      </c>
    </row>
    <row r="356" spans="1:40" s="123" customFormat="1" ht="16.2" thickBot="1" x14ac:dyDescent="0.35">
      <c r="A356" s="21"/>
      <c r="B356" s="212" t="s">
        <v>197</v>
      </c>
      <c r="C356" s="31" t="str">
        <f>VLOOKUP((CONCATENATE(B356)),ID!$A$2:$D$305,3,0)</f>
        <v>RL051</v>
      </c>
      <c r="D356" s="21">
        <v>0</v>
      </c>
      <c r="E356" s="21" t="s">
        <v>4057</v>
      </c>
      <c r="F356" s="21" t="s">
        <v>1117</v>
      </c>
      <c r="G356" s="21" t="s">
        <v>3853</v>
      </c>
      <c r="H356" s="94">
        <v>4749</v>
      </c>
      <c r="I356" s="43"/>
      <c r="J356" s="43"/>
      <c r="K356" s="21"/>
      <c r="L356" s="43"/>
      <c r="M356" s="43"/>
      <c r="N356" s="43"/>
      <c r="O356" s="21"/>
      <c r="P356" s="194" t="str">
        <f t="shared" si="84"/>
        <v>?</v>
      </c>
      <c r="Q356" s="21">
        <v>1</v>
      </c>
      <c r="R356" s="39" t="str">
        <f t="shared" si="83"/>
        <v>-</v>
      </c>
      <c r="S356" s="120">
        <f t="shared" si="79"/>
        <v>0</v>
      </c>
      <c r="W356" s="122"/>
      <c r="AA356" s="122" t="str">
        <f t="shared" si="86"/>
        <v>1</v>
      </c>
      <c r="AB356" s="120">
        <f t="shared" si="80"/>
        <v>0</v>
      </c>
      <c r="AG356" s="151">
        <f t="shared" si="82"/>
        <v>0</v>
      </c>
    </row>
    <row r="357" spans="1:40" s="123" customFormat="1" ht="16.2" thickBot="1" x14ac:dyDescent="0.35">
      <c r="A357" s="21"/>
      <c r="B357" s="212" t="s">
        <v>197</v>
      </c>
      <c r="C357" s="31" t="str">
        <f>VLOOKUP((CONCATENATE(B357)),ID!$A$2:$D$305,3,0)</f>
        <v>RL051</v>
      </c>
      <c r="D357" s="21">
        <v>0</v>
      </c>
      <c r="E357" s="21" t="s">
        <v>4057</v>
      </c>
      <c r="F357" s="21" t="s">
        <v>1117</v>
      </c>
      <c r="G357" s="21" t="s">
        <v>3853</v>
      </c>
      <c r="H357" s="94">
        <v>4930</v>
      </c>
      <c r="I357" s="43"/>
      <c r="J357" s="43"/>
      <c r="K357" s="21"/>
      <c r="L357" s="43"/>
      <c r="M357" s="43"/>
      <c r="N357" s="43"/>
      <c r="O357" s="21"/>
      <c r="P357" s="194" t="str">
        <f t="shared" si="84"/>
        <v>?</v>
      </c>
      <c r="Q357" s="21">
        <v>1</v>
      </c>
      <c r="R357" s="39" t="str">
        <f t="shared" si="83"/>
        <v>-</v>
      </c>
      <c r="S357" s="120">
        <f t="shared" si="79"/>
        <v>0</v>
      </c>
      <c r="W357" s="122"/>
      <c r="AA357" s="122" t="str">
        <f t="shared" si="86"/>
        <v>1</v>
      </c>
      <c r="AB357" s="120">
        <f t="shared" si="80"/>
        <v>0</v>
      </c>
      <c r="AG357" s="151">
        <f t="shared" si="82"/>
        <v>0</v>
      </c>
    </row>
    <row r="358" spans="1:40" s="123" customFormat="1" ht="16.2" thickBot="1" x14ac:dyDescent="0.35">
      <c r="A358" s="21"/>
      <c r="B358" s="212" t="s">
        <v>197</v>
      </c>
      <c r="C358" s="31" t="str">
        <f>VLOOKUP((CONCATENATE(B358)),ID!$A$2:$D$305,3,0)</f>
        <v>RL051</v>
      </c>
      <c r="D358" s="21">
        <v>0</v>
      </c>
      <c r="E358" s="21" t="s">
        <v>4057</v>
      </c>
      <c r="F358" s="21" t="s">
        <v>1117</v>
      </c>
      <c r="G358" s="21" t="s">
        <v>3853</v>
      </c>
      <c r="H358" s="94">
        <v>5114</v>
      </c>
      <c r="I358" s="43"/>
      <c r="J358" s="43"/>
      <c r="K358" s="21"/>
      <c r="L358" s="43"/>
      <c r="M358" s="43"/>
      <c r="N358" s="43"/>
      <c r="O358" s="21"/>
      <c r="P358" s="194" t="str">
        <f t="shared" si="84"/>
        <v>?</v>
      </c>
      <c r="Q358" s="21">
        <v>1</v>
      </c>
      <c r="R358" s="39" t="str">
        <f t="shared" si="83"/>
        <v>-</v>
      </c>
      <c r="S358" s="120">
        <f t="shared" si="79"/>
        <v>0</v>
      </c>
      <c r="W358" s="122"/>
      <c r="AA358" s="122" t="str">
        <f t="shared" si="86"/>
        <v>1</v>
      </c>
      <c r="AB358" s="120">
        <f t="shared" si="80"/>
        <v>0</v>
      </c>
      <c r="AG358" s="151">
        <f t="shared" si="82"/>
        <v>0</v>
      </c>
    </row>
    <row r="359" spans="1:40" s="123" customFormat="1" ht="16.2" thickBot="1" x14ac:dyDescent="0.35">
      <c r="A359" s="21"/>
      <c r="B359" s="212" t="s">
        <v>199</v>
      </c>
      <c r="C359" s="31" t="str">
        <f>VLOOKUP((CONCATENATE(B359)),ID!$A$2:$D$305,3,0)</f>
        <v>RL052</v>
      </c>
      <c r="D359" s="21">
        <v>0</v>
      </c>
      <c r="E359" s="21" t="s">
        <v>4057</v>
      </c>
      <c r="F359" s="21" t="s">
        <v>4062</v>
      </c>
      <c r="G359" s="21" t="s">
        <v>3853</v>
      </c>
      <c r="H359" s="94">
        <v>3653</v>
      </c>
      <c r="I359" s="43">
        <v>3812</v>
      </c>
      <c r="J359" s="43">
        <v>3805</v>
      </c>
      <c r="K359" s="21">
        <v>1</v>
      </c>
      <c r="L359" s="43">
        <v>3805</v>
      </c>
      <c r="M359" s="43">
        <v>3819</v>
      </c>
      <c r="N359" s="43">
        <v>3826</v>
      </c>
      <c r="O359" s="21" t="s">
        <v>4094</v>
      </c>
      <c r="P359" s="194" t="str">
        <f t="shared" si="84"/>
        <v>?</v>
      </c>
      <c r="Q359" s="21">
        <v>1</v>
      </c>
      <c r="R359" s="39" t="str">
        <f t="shared" ref="R359:R384" si="87">IF(Q359=0,"?","-")</f>
        <v>-</v>
      </c>
      <c r="S359" s="120">
        <f t="shared" si="79"/>
        <v>11977</v>
      </c>
      <c r="T359" s="135">
        <v>24626</v>
      </c>
      <c r="U359" s="123">
        <v>23611</v>
      </c>
      <c r="V359" s="123">
        <f t="shared" si="72"/>
        <v>1015</v>
      </c>
      <c r="W359" s="122" t="str">
        <f t="shared" si="85"/>
        <v>1</v>
      </c>
      <c r="X359" s="123">
        <f>T359-11977</f>
        <v>12649</v>
      </c>
      <c r="Z359" s="123">
        <f t="shared" si="73"/>
        <v>12649</v>
      </c>
      <c r="AA359" s="122" t="str">
        <f t="shared" si="86"/>
        <v>1</v>
      </c>
      <c r="AB359" s="120">
        <f t="shared" si="80"/>
        <v>0</v>
      </c>
      <c r="AC359" s="123">
        <v>0</v>
      </c>
      <c r="AD359" s="123">
        <v>0</v>
      </c>
      <c r="AE359" s="123">
        <v>974</v>
      </c>
      <c r="AG359" s="151">
        <f t="shared" si="82"/>
        <v>0</v>
      </c>
    </row>
    <row r="360" spans="1:40" s="123" customFormat="1" ht="16.2" thickBot="1" x14ac:dyDescent="0.35">
      <c r="A360" s="21"/>
      <c r="B360" s="212" t="s">
        <v>199</v>
      </c>
      <c r="C360" s="31" t="str">
        <f>VLOOKUP((CONCATENATE(B360)),ID!$A$2:$D$305,3,0)</f>
        <v>RL052</v>
      </c>
      <c r="D360" s="21">
        <v>0</v>
      </c>
      <c r="E360" s="21" t="s">
        <v>4057</v>
      </c>
      <c r="F360" s="21" t="s">
        <v>4062</v>
      </c>
      <c r="G360" s="21" t="s">
        <v>3853</v>
      </c>
      <c r="H360" s="94">
        <v>3834</v>
      </c>
      <c r="I360" s="43">
        <v>3980</v>
      </c>
      <c r="J360" s="43">
        <v>3973</v>
      </c>
      <c r="K360" s="21">
        <v>1</v>
      </c>
      <c r="L360" s="43">
        <v>3988</v>
      </c>
      <c r="M360" s="43">
        <v>4002</v>
      </c>
      <c r="N360" s="43">
        <v>3994</v>
      </c>
      <c r="O360" s="21" t="s">
        <v>4094</v>
      </c>
      <c r="P360" s="194" t="str">
        <f t="shared" si="84"/>
        <v>1</v>
      </c>
      <c r="Q360" s="21">
        <v>1</v>
      </c>
      <c r="R360" s="39" t="str">
        <f t="shared" si="87"/>
        <v>-</v>
      </c>
      <c r="S360" s="120">
        <f>T360-X360</f>
        <v>50558</v>
      </c>
      <c r="T360" s="199">
        <v>52153</v>
      </c>
      <c r="U360" s="123">
        <f>26605</f>
        <v>26605</v>
      </c>
      <c r="V360" s="123">
        <f>T360-U360</f>
        <v>25548</v>
      </c>
      <c r="W360" s="122" t="str">
        <f>IF(V360+U360=T360,"1","0")</f>
        <v>1</v>
      </c>
      <c r="X360" s="123">
        <f>1262+333</f>
        <v>1595</v>
      </c>
      <c r="Z360" s="123">
        <f>X360-Y360</f>
        <v>1595</v>
      </c>
      <c r="AA360" s="122" t="str">
        <f>IF(Z360+Y360=X360,"1","0")</f>
        <v>1</v>
      </c>
      <c r="AB360" s="120">
        <f>SUM(AC360+AD360)</f>
        <v>0</v>
      </c>
      <c r="AC360" s="123">
        <v>0</v>
      </c>
      <c r="AD360" s="123">
        <v>0</v>
      </c>
      <c r="AE360" s="123">
        <v>24562</v>
      </c>
      <c r="AG360" s="151">
        <f>AH360-AL360-AI360</f>
        <v>119314</v>
      </c>
      <c r="AH360" s="123">
        <f>122470-1662</f>
        <v>120808</v>
      </c>
      <c r="AI360" s="123">
        <v>1392</v>
      </c>
      <c r="AJ360" s="123">
        <v>82395</v>
      </c>
      <c r="AL360" s="123">
        <v>102</v>
      </c>
    </row>
    <row r="361" spans="1:40" s="123" customFormat="1" ht="16.2" thickBot="1" x14ac:dyDescent="0.35">
      <c r="A361" s="21">
        <v>52.1</v>
      </c>
      <c r="B361" s="212" t="s">
        <v>199</v>
      </c>
      <c r="C361" s="31" t="str">
        <f>VLOOKUP((CONCATENATE(B361)),ID!$A$2:$D$305,3,0)</f>
        <v>RL052</v>
      </c>
      <c r="D361" s="21">
        <v>0</v>
      </c>
      <c r="E361" s="21" t="s">
        <v>4057</v>
      </c>
      <c r="F361" s="21" t="s">
        <v>4062</v>
      </c>
      <c r="G361" s="21" t="s">
        <v>3853</v>
      </c>
      <c r="H361" s="94">
        <v>4018</v>
      </c>
      <c r="I361" s="43">
        <v>4162</v>
      </c>
      <c r="J361" s="43">
        <v>4156</v>
      </c>
      <c r="K361" s="21">
        <v>1</v>
      </c>
      <c r="L361" s="43">
        <v>4170</v>
      </c>
      <c r="M361" s="43">
        <v>4184</v>
      </c>
      <c r="N361" s="43">
        <v>4190</v>
      </c>
      <c r="O361" s="21" t="s">
        <v>4094</v>
      </c>
      <c r="P361" s="194" t="str">
        <f t="shared" si="84"/>
        <v>1</v>
      </c>
      <c r="Q361" s="21">
        <v>1</v>
      </c>
      <c r="R361" s="39" t="str">
        <f t="shared" si="87"/>
        <v>-</v>
      </c>
      <c r="S361" s="120">
        <f t="shared" si="79"/>
        <v>30014</v>
      </c>
      <c r="T361" s="135">
        <v>32007</v>
      </c>
      <c r="U361" s="123">
        <f>29628+906</f>
        <v>30534</v>
      </c>
      <c r="V361" s="123">
        <f t="shared" si="72"/>
        <v>1473</v>
      </c>
      <c r="W361" s="122" t="str">
        <f t="shared" si="85"/>
        <v>1</v>
      </c>
      <c r="X361" s="123">
        <f>649+1344</f>
        <v>1993</v>
      </c>
      <c r="Z361" s="123">
        <f t="shared" si="73"/>
        <v>1993</v>
      </c>
      <c r="AA361" s="122" t="str">
        <f t="shared" si="86"/>
        <v>1</v>
      </c>
      <c r="AB361" s="120">
        <f t="shared" si="80"/>
        <v>0</v>
      </c>
      <c r="AC361" s="123">
        <v>0</v>
      </c>
      <c r="AD361" s="123">
        <v>0</v>
      </c>
      <c r="AE361" s="123">
        <v>1445</v>
      </c>
      <c r="AG361" s="151">
        <f t="shared" si="82"/>
        <v>85394</v>
      </c>
      <c r="AH361" s="123">
        <f>109345-23951</f>
        <v>85394</v>
      </c>
      <c r="AJ361" s="123">
        <v>105937</v>
      </c>
    </row>
    <row r="362" spans="1:40" s="123" customFormat="1" ht="16.2" thickBot="1" x14ac:dyDescent="0.35">
      <c r="A362" s="21">
        <v>52.2</v>
      </c>
      <c r="B362" s="212" t="s">
        <v>199</v>
      </c>
      <c r="C362" s="31" t="str">
        <f>VLOOKUP((CONCATENATE(B362)),ID!$A$2:$D$305,3,0)</f>
        <v>RL052</v>
      </c>
      <c r="D362" s="21">
        <v>0</v>
      </c>
      <c r="E362" s="21" t="s">
        <v>4057</v>
      </c>
      <c r="F362" s="21" t="s">
        <v>4062</v>
      </c>
      <c r="G362" s="21" t="s">
        <v>3853</v>
      </c>
      <c r="H362" s="94">
        <v>4199</v>
      </c>
      <c r="I362" s="43">
        <v>4330</v>
      </c>
      <c r="J362" s="43">
        <v>4317</v>
      </c>
      <c r="K362" s="21">
        <v>1</v>
      </c>
      <c r="L362" s="43">
        <v>4353</v>
      </c>
      <c r="M362" s="43">
        <v>4367</v>
      </c>
      <c r="N362" s="43">
        <v>4344</v>
      </c>
      <c r="O362" s="21" t="s">
        <v>4094</v>
      </c>
      <c r="P362" s="194" t="str">
        <f t="shared" si="84"/>
        <v>1</v>
      </c>
      <c r="Q362" s="21">
        <v>1</v>
      </c>
      <c r="R362" s="39" t="str">
        <f t="shared" si="87"/>
        <v>-</v>
      </c>
      <c r="S362" s="120">
        <f t="shared" si="79"/>
        <v>75094</v>
      </c>
      <c r="T362" s="135">
        <v>76886</v>
      </c>
      <c r="U362" s="123">
        <f>29628+906</f>
        <v>30534</v>
      </c>
      <c r="V362" s="123">
        <f t="shared" si="72"/>
        <v>46352</v>
      </c>
      <c r="W362" s="122" t="str">
        <f t="shared" si="85"/>
        <v>1</v>
      </c>
      <c r="X362" s="123">
        <f>324+1468</f>
        <v>1792</v>
      </c>
      <c r="Z362" s="123">
        <f t="shared" si="73"/>
        <v>1792</v>
      </c>
      <c r="AA362" s="122" t="str">
        <f t="shared" si="86"/>
        <v>1</v>
      </c>
      <c r="AB362" s="120">
        <f t="shared" si="80"/>
        <v>0</v>
      </c>
      <c r="AC362" s="123">
        <v>0</v>
      </c>
      <c r="AD362" s="123">
        <v>0</v>
      </c>
      <c r="AE362" s="123">
        <v>46329</v>
      </c>
      <c r="AG362" s="151">
        <f t="shared" si="82"/>
        <v>139246</v>
      </c>
      <c r="AH362" s="123">
        <f>141658-385</f>
        <v>141273</v>
      </c>
      <c r="AI362" s="123">
        <v>1919</v>
      </c>
      <c r="AJ362" s="123">
        <v>94166</v>
      </c>
      <c r="AL362" s="123">
        <v>108</v>
      </c>
    </row>
    <row r="363" spans="1:40" s="123" customFormat="1" ht="16.2" thickBot="1" x14ac:dyDescent="0.35">
      <c r="A363" s="21">
        <v>52.3</v>
      </c>
      <c r="B363" s="212" t="s">
        <v>199</v>
      </c>
      <c r="C363" s="31" t="str">
        <f>VLOOKUP((CONCATENATE(B363)),ID!$A$2:$D$305,3,0)</f>
        <v>RL052</v>
      </c>
      <c r="D363" s="21">
        <v>0</v>
      </c>
      <c r="E363" s="21" t="s">
        <v>4057</v>
      </c>
      <c r="F363" s="21" t="s">
        <v>4062</v>
      </c>
      <c r="G363" s="21" t="s">
        <v>3853</v>
      </c>
      <c r="H363" s="94">
        <v>4383</v>
      </c>
      <c r="I363" s="43">
        <v>4526</v>
      </c>
      <c r="J363" s="43">
        <v>4521</v>
      </c>
      <c r="K363" s="21">
        <v>1</v>
      </c>
      <c r="L363" s="43">
        <v>4536</v>
      </c>
      <c r="M363" s="43">
        <v>4550</v>
      </c>
      <c r="N363" s="43">
        <v>4554</v>
      </c>
      <c r="O363" s="21" t="s">
        <v>4094</v>
      </c>
      <c r="P363" s="194" t="str">
        <f t="shared" si="84"/>
        <v>1</v>
      </c>
      <c r="Q363" s="21">
        <v>1</v>
      </c>
      <c r="R363" s="39" t="str">
        <f t="shared" si="87"/>
        <v>-</v>
      </c>
      <c r="S363" s="120">
        <f t="shared" si="79"/>
        <v>60530</v>
      </c>
      <c r="T363" s="135">
        <v>62274</v>
      </c>
      <c r="U363" s="123">
        <f>30755+906</f>
        <v>31661</v>
      </c>
      <c r="V363" s="123">
        <f t="shared" si="72"/>
        <v>30613</v>
      </c>
      <c r="W363" s="122" t="str">
        <f t="shared" si="85"/>
        <v>1</v>
      </c>
      <c r="X363" s="123">
        <f>1275+469</f>
        <v>1744</v>
      </c>
      <c r="Z363" s="123">
        <f t="shared" si="73"/>
        <v>1744</v>
      </c>
      <c r="AA363" s="122" t="str">
        <f t="shared" si="86"/>
        <v>1</v>
      </c>
      <c r="AB363" s="120">
        <f t="shared" si="80"/>
        <v>0</v>
      </c>
      <c r="AC363" s="123">
        <v>0</v>
      </c>
      <c r="AD363" s="123">
        <v>0</v>
      </c>
      <c r="AE363" s="123">
        <v>30612</v>
      </c>
      <c r="AG363" s="151">
        <f t="shared" si="82"/>
        <v>85490</v>
      </c>
      <c r="AH363" s="123">
        <f>102953-17463</f>
        <v>85490</v>
      </c>
      <c r="AJ363" s="123">
        <v>100052</v>
      </c>
    </row>
    <row r="364" spans="1:40" s="123" customFormat="1" ht="16.2" thickBot="1" x14ac:dyDescent="0.35">
      <c r="A364" s="21">
        <v>52.4</v>
      </c>
      <c r="B364" s="212" t="s">
        <v>199</v>
      </c>
      <c r="C364" s="31" t="str">
        <f>VLOOKUP((CONCATENATE(B364)),ID!$A$2:$D$305,3,0)</f>
        <v>RL052</v>
      </c>
      <c r="D364" s="21">
        <v>0</v>
      </c>
      <c r="E364" s="21" t="s">
        <v>4057</v>
      </c>
      <c r="F364" s="21" t="s">
        <v>4062</v>
      </c>
      <c r="G364" s="21" t="s">
        <v>3853</v>
      </c>
      <c r="H364" s="94">
        <v>4565</v>
      </c>
      <c r="I364" s="43">
        <v>4708</v>
      </c>
      <c r="J364" s="43">
        <v>4701</v>
      </c>
      <c r="K364" s="21">
        <v>1</v>
      </c>
      <c r="L364" s="43">
        <v>4720</v>
      </c>
      <c r="M364" s="43">
        <v>4734</v>
      </c>
      <c r="N364" s="43">
        <v>4722</v>
      </c>
      <c r="O364" s="21" t="s">
        <v>4094</v>
      </c>
      <c r="P364" s="194" t="str">
        <f t="shared" si="84"/>
        <v>1</v>
      </c>
      <c r="Q364" s="21">
        <v>1</v>
      </c>
      <c r="R364" s="39" t="str">
        <f t="shared" si="87"/>
        <v>-</v>
      </c>
      <c r="S364" s="120">
        <f t="shared" si="79"/>
        <v>121820</v>
      </c>
      <c r="T364" s="135">
        <v>123175</v>
      </c>
      <c r="U364" s="123">
        <f>31725+906</f>
        <v>32631</v>
      </c>
      <c r="V364" s="123">
        <f t="shared" si="72"/>
        <v>90544</v>
      </c>
      <c r="W364" s="122" t="str">
        <f t="shared" si="85"/>
        <v>1</v>
      </c>
      <c r="X364" s="123">
        <f>1150+205</f>
        <v>1355</v>
      </c>
      <c r="Z364" s="123">
        <f t="shared" si="73"/>
        <v>1355</v>
      </c>
      <c r="AA364" s="122" t="str">
        <f t="shared" si="86"/>
        <v>1</v>
      </c>
      <c r="AB364" s="120">
        <f t="shared" si="80"/>
        <v>0</v>
      </c>
      <c r="AC364" s="123">
        <v>0</v>
      </c>
      <c r="AD364" s="123">
        <v>0</v>
      </c>
      <c r="AE364" s="123">
        <v>90526</v>
      </c>
      <c r="AG364" s="151">
        <f t="shared" si="82"/>
        <v>155457</v>
      </c>
      <c r="AH364" s="123">
        <f>159838-1773</f>
        <v>158065</v>
      </c>
      <c r="AI364" s="123">
        <v>2608</v>
      </c>
      <c r="AJ364" s="123">
        <v>94166</v>
      </c>
    </row>
    <row r="365" spans="1:40" s="123" customFormat="1" ht="16.2" thickBot="1" x14ac:dyDescent="0.35">
      <c r="A365" s="21"/>
      <c r="B365" s="212" t="s">
        <v>199</v>
      </c>
      <c r="C365" s="31" t="str">
        <f>VLOOKUP((CONCATENATE(B365)),ID!$A$2:$D$305,3,0)</f>
        <v>RL052</v>
      </c>
      <c r="D365" s="21">
        <v>0</v>
      </c>
      <c r="E365" s="21" t="s">
        <v>4057</v>
      </c>
      <c r="F365" s="21" t="s">
        <v>4062</v>
      </c>
      <c r="G365" s="21" t="s">
        <v>3853</v>
      </c>
      <c r="H365" s="94">
        <v>4749</v>
      </c>
      <c r="I365" s="43">
        <v>4876</v>
      </c>
      <c r="J365" s="43">
        <v>4868</v>
      </c>
      <c r="K365" s="21">
        <v>1</v>
      </c>
      <c r="L365" s="43">
        <v>4902</v>
      </c>
      <c r="M365" s="43">
        <v>4916</v>
      </c>
      <c r="N365" s="43">
        <v>4890</v>
      </c>
      <c r="O365" s="21" t="s">
        <v>4094</v>
      </c>
      <c r="P365" s="194" t="str">
        <f t="shared" si="84"/>
        <v>1</v>
      </c>
      <c r="Q365" s="21">
        <v>1</v>
      </c>
      <c r="R365" s="39" t="str">
        <f t="shared" si="87"/>
        <v>-</v>
      </c>
      <c r="S365" s="120">
        <f t="shared" si="79"/>
        <v>102457</v>
      </c>
      <c r="T365" s="135">
        <v>104015</v>
      </c>
      <c r="U365" s="123">
        <f>33675+906</f>
        <v>34581</v>
      </c>
      <c r="V365" s="123">
        <f t="shared" si="72"/>
        <v>69434</v>
      </c>
      <c r="W365" s="122" t="str">
        <f t="shared" si="85"/>
        <v>1</v>
      </c>
      <c r="X365" s="123">
        <f>1136+422</f>
        <v>1558</v>
      </c>
      <c r="Z365" s="123">
        <f t="shared" si="73"/>
        <v>1558</v>
      </c>
      <c r="AA365" s="122" t="str">
        <f t="shared" si="86"/>
        <v>1</v>
      </c>
      <c r="AB365" s="120">
        <f t="shared" si="80"/>
        <v>0</v>
      </c>
      <c r="AC365" s="123">
        <v>0</v>
      </c>
      <c r="AD365" s="123">
        <v>0</v>
      </c>
      <c r="AE365" s="123">
        <v>69392</v>
      </c>
      <c r="AG365" s="151">
        <f t="shared" si="82"/>
        <v>86574</v>
      </c>
      <c r="AH365" s="123">
        <f>110638-24064</f>
        <v>86574</v>
      </c>
      <c r="AJ365" s="123">
        <v>105937</v>
      </c>
    </row>
    <row r="366" spans="1:40" s="123" customFormat="1" ht="16.2" thickBot="1" x14ac:dyDescent="0.35">
      <c r="A366" s="21"/>
      <c r="B366" s="212" t="s">
        <v>199</v>
      </c>
      <c r="C366" s="31" t="str">
        <f>VLOOKUP((CONCATENATE(B366)),ID!$A$2:$D$305,3,0)</f>
        <v>RL052</v>
      </c>
      <c r="D366" s="21">
        <v>0</v>
      </c>
      <c r="E366" s="21" t="s">
        <v>4057</v>
      </c>
      <c r="F366" s="21" t="s">
        <v>4062</v>
      </c>
      <c r="G366" s="21" t="s">
        <v>3853</v>
      </c>
      <c r="H366" s="94">
        <v>4839</v>
      </c>
      <c r="I366" s="43">
        <v>5086</v>
      </c>
      <c r="J366" s="43">
        <v>5065</v>
      </c>
      <c r="K366" s="21">
        <v>1</v>
      </c>
      <c r="L366" s="43">
        <v>5084</v>
      </c>
      <c r="M366" s="43">
        <v>5098</v>
      </c>
      <c r="N366" s="43">
        <v>5100</v>
      </c>
      <c r="O366" s="21" t="s">
        <v>4094</v>
      </c>
      <c r="P366" s="194" t="str">
        <f t="shared" si="84"/>
        <v>1</v>
      </c>
      <c r="Q366" s="21">
        <v>1</v>
      </c>
      <c r="R366" s="39" t="str">
        <f t="shared" si="87"/>
        <v>-</v>
      </c>
      <c r="S366" s="120">
        <f t="shared" si="79"/>
        <v>188076</v>
      </c>
      <c r="T366" s="135">
        <v>189692</v>
      </c>
      <c r="U366" s="123">
        <f>906+65636</f>
        <v>66542</v>
      </c>
      <c r="V366" s="123">
        <f t="shared" si="72"/>
        <v>123150</v>
      </c>
      <c r="W366" s="122" t="str">
        <f t="shared" si="85"/>
        <v>1</v>
      </c>
      <c r="X366" s="123">
        <f>1290+326</f>
        <v>1616</v>
      </c>
      <c r="Z366" s="123">
        <f t="shared" si="73"/>
        <v>1616</v>
      </c>
      <c r="AA366" s="122" t="str">
        <f t="shared" si="86"/>
        <v>1</v>
      </c>
      <c r="AB366" s="120">
        <f t="shared" si="80"/>
        <v>0</v>
      </c>
      <c r="AC366" s="123">
        <v>0</v>
      </c>
      <c r="AD366" s="123">
        <v>0</v>
      </c>
      <c r="AE366" s="123">
        <v>123102</v>
      </c>
      <c r="AG366" s="151">
        <f t="shared" si="82"/>
        <v>81107</v>
      </c>
      <c r="AH366" s="123">
        <f>195036-110449</f>
        <v>84587</v>
      </c>
      <c r="AI366" s="123">
        <v>3480</v>
      </c>
      <c r="AJ366" s="123">
        <v>105937</v>
      </c>
    </row>
    <row r="367" spans="1:40" s="123" customFormat="1" ht="16.2" thickBot="1" x14ac:dyDescent="0.35">
      <c r="A367" s="21"/>
      <c r="B367" s="212" t="s">
        <v>199</v>
      </c>
      <c r="C367" s="31" t="str">
        <f>VLOOKUP((CONCATENATE(B367)),ID!$A$2:$D$305,3,0)</f>
        <v>RL052</v>
      </c>
      <c r="D367" s="21">
        <v>0</v>
      </c>
      <c r="E367" s="21" t="s">
        <v>4057</v>
      </c>
      <c r="F367" s="21" t="s">
        <v>4062</v>
      </c>
      <c r="G367" s="21" t="s">
        <v>3853</v>
      </c>
      <c r="H367" s="94">
        <v>5022</v>
      </c>
      <c r="I367" s="43">
        <v>5263</v>
      </c>
      <c r="J367" s="43">
        <v>5247</v>
      </c>
      <c r="K367" s="21">
        <v>1</v>
      </c>
      <c r="L367" s="43">
        <v>5266</v>
      </c>
      <c r="M367" s="43">
        <v>5280</v>
      </c>
      <c r="N367" s="43">
        <v>5282</v>
      </c>
      <c r="O367" s="21" t="s">
        <v>4094</v>
      </c>
      <c r="P367" s="194" t="str">
        <f t="shared" si="84"/>
        <v>1</v>
      </c>
      <c r="Q367" s="21">
        <v>1</v>
      </c>
      <c r="R367" s="39" t="str">
        <f t="shared" si="87"/>
        <v>-</v>
      </c>
      <c r="S367" s="120">
        <f t="shared" si="79"/>
        <v>168451</v>
      </c>
      <c r="T367" s="135">
        <v>170115</v>
      </c>
      <c r="U367" s="123">
        <f>92942+906</f>
        <v>93848</v>
      </c>
      <c r="V367" s="123">
        <f t="shared" si="72"/>
        <v>76267</v>
      </c>
      <c r="W367" s="122" t="str">
        <f t="shared" si="85"/>
        <v>1</v>
      </c>
      <c r="X367" s="123">
        <f>1381+283</f>
        <v>1664</v>
      </c>
      <c r="Z367" s="123">
        <f t="shared" si="73"/>
        <v>1664</v>
      </c>
      <c r="AA367" s="122" t="str">
        <f t="shared" si="86"/>
        <v>1</v>
      </c>
      <c r="AB367" s="120">
        <f t="shared" si="80"/>
        <v>0</v>
      </c>
      <c r="AC367" s="123">
        <v>0</v>
      </c>
      <c r="AD367" s="123">
        <v>0</v>
      </c>
      <c r="AE367" s="123">
        <v>76245</v>
      </c>
      <c r="AG367" s="151">
        <f t="shared" si="82"/>
        <v>133400</v>
      </c>
      <c r="AH367" s="123">
        <f>201013-67613</f>
        <v>133400</v>
      </c>
      <c r="AJ367" s="123">
        <v>153020</v>
      </c>
    </row>
    <row r="368" spans="1:40" s="123" customFormat="1" ht="16.2" thickBot="1" x14ac:dyDescent="0.35">
      <c r="A368" s="21"/>
      <c r="B368" s="212" t="s">
        <v>199</v>
      </c>
      <c r="C368" s="31" t="str">
        <f>VLOOKUP((CONCATENATE(B368)),ID!$A$2:$D$305,3,0)</f>
        <v>RL052</v>
      </c>
      <c r="D368" s="21">
        <v>0</v>
      </c>
      <c r="E368" s="21" t="s">
        <v>4057</v>
      </c>
      <c r="F368" s="21" t="s">
        <v>4062</v>
      </c>
      <c r="G368" s="21" t="s">
        <v>3853</v>
      </c>
      <c r="H368" s="94">
        <v>5204</v>
      </c>
      <c r="I368" s="43">
        <v>5450</v>
      </c>
      <c r="J368" s="43">
        <v>5416</v>
      </c>
      <c r="K368" s="21">
        <v>1</v>
      </c>
      <c r="L368" s="43">
        <v>5449</v>
      </c>
      <c r="M368" s="43">
        <v>5463</v>
      </c>
      <c r="N368" s="43">
        <v>5464</v>
      </c>
      <c r="O368" s="21" t="s">
        <v>4094</v>
      </c>
      <c r="P368" s="194" t="str">
        <f t="shared" si="84"/>
        <v>1</v>
      </c>
      <c r="Q368" s="21">
        <v>1</v>
      </c>
      <c r="R368" s="39" t="str">
        <f t="shared" si="87"/>
        <v>-</v>
      </c>
      <c r="S368" s="120">
        <f t="shared" si="79"/>
        <v>139850</v>
      </c>
      <c r="T368" s="135">
        <v>143145</v>
      </c>
      <c r="U368" s="123">
        <f>95442</f>
        <v>95442</v>
      </c>
      <c r="V368" s="123">
        <f t="shared" si="72"/>
        <v>47703</v>
      </c>
      <c r="W368" s="122" t="str">
        <f t="shared" si="85"/>
        <v>1</v>
      </c>
      <c r="X368" s="123">
        <f>1343+1952</f>
        <v>3295</v>
      </c>
      <c r="Z368" s="123">
        <f t="shared" si="73"/>
        <v>3295</v>
      </c>
      <c r="AA368" s="122" t="str">
        <f t="shared" si="86"/>
        <v>1</v>
      </c>
      <c r="AB368" s="120">
        <f t="shared" si="80"/>
        <v>0</v>
      </c>
      <c r="AC368" s="123">
        <v>0</v>
      </c>
      <c r="AD368" s="123">
        <v>0</v>
      </c>
      <c r="AE368" s="123">
        <v>46795</v>
      </c>
      <c r="AG368" s="151">
        <f t="shared" si="82"/>
        <v>89108</v>
      </c>
      <c r="AH368" s="123">
        <f>127100-37992</f>
        <v>89108</v>
      </c>
      <c r="AJ368" s="123">
        <v>117708</v>
      </c>
    </row>
    <row r="369" spans="1:40" s="123" customFormat="1" ht="16.2" thickBot="1" x14ac:dyDescent="0.35">
      <c r="A369" s="21"/>
      <c r="B369" s="212" t="s">
        <v>204</v>
      </c>
      <c r="C369" s="31" t="str">
        <f>VLOOKUP((CONCATENATE(B369)),ID!$A$2:$D$305,3,0)</f>
        <v>RL053</v>
      </c>
      <c r="D369" s="21">
        <v>1</v>
      </c>
      <c r="E369" s="21" t="s">
        <v>4057</v>
      </c>
      <c r="F369" s="21" t="s">
        <v>1117</v>
      </c>
      <c r="G369" s="21" t="s">
        <v>3837</v>
      </c>
      <c r="H369" s="88">
        <v>3653</v>
      </c>
      <c r="I369" s="43">
        <v>3944</v>
      </c>
      <c r="J369" s="43">
        <v>3940</v>
      </c>
      <c r="K369" s="21">
        <v>1</v>
      </c>
      <c r="L369" s="43">
        <v>3947</v>
      </c>
      <c r="M369" s="43">
        <v>3954</v>
      </c>
      <c r="N369" s="43">
        <v>3953</v>
      </c>
      <c r="O369" s="27" t="s">
        <v>3800</v>
      </c>
      <c r="P369" s="194">
        <v>0</v>
      </c>
      <c r="Q369" s="21">
        <v>1</v>
      </c>
      <c r="R369" s="39" t="str">
        <f t="shared" si="87"/>
        <v>-</v>
      </c>
      <c r="S369" s="120">
        <f t="shared" si="79"/>
        <v>2432426</v>
      </c>
      <c r="T369" s="123">
        <v>6545248</v>
      </c>
      <c r="U369" s="123">
        <f>5998877+50</f>
        <v>5998927</v>
      </c>
      <c r="V369" s="123">
        <f t="shared" si="72"/>
        <v>546321</v>
      </c>
      <c r="W369" s="122" t="str">
        <f t="shared" si="85"/>
        <v>1</v>
      </c>
      <c r="X369" s="123">
        <f>Y369+Z369</f>
        <v>4112822</v>
      </c>
      <c r="Y369" s="123">
        <v>3880000</v>
      </c>
      <c r="Z369" s="123">
        <f>48166+1017+87500+19162+31576+45401</f>
        <v>232822</v>
      </c>
      <c r="AA369" s="122" t="str">
        <f t="shared" si="86"/>
        <v>1</v>
      </c>
      <c r="AB369" s="120">
        <f t="shared" si="80"/>
        <v>3880000</v>
      </c>
      <c r="AC369" s="123">
        <v>0</v>
      </c>
      <c r="AD369" s="123">
        <f>Y369</f>
        <v>3880000</v>
      </c>
      <c r="AE369" s="123">
        <v>162237</v>
      </c>
      <c r="AG369" s="151">
        <f t="shared" si="82"/>
        <v>-5011</v>
      </c>
      <c r="AH369" s="123">
        <f>138939+AI369</f>
        <v>139070</v>
      </c>
      <c r="AI369" s="123">
        <v>131</v>
      </c>
      <c r="AL369" s="123">
        <v>143950</v>
      </c>
    </row>
    <row r="370" spans="1:40" s="123" customFormat="1" ht="16.2" thickBot="1" x14ac:dyDescent="0.35">
      <c r="A370" s="21">
        <v>53.1</v>
      </c>
      <c r="B370" s="212" t="s">
        <v>204</v>
      </c>
      <c r="C370" s="31" t="str">
        <f>VLOOKUP((CONCATENATE(B370)),ID!$A$2:$D$305,3,0)</f>
        <v>RL053</v>
      </c>
      <c r="D370" s="21">
        <v>1</v>
      </c>
      <c r="E370" s="21" t="s">
        <v>4057</v>
      </c>
      <c r="F370" s="21" t="s">
        <v>1117</v>
      </c>
      <c r="G370" s="21" t="s">
        <v>3837</v>
      </c>
      <c r="H370" s="88">
        <v>4018</v>
      </c>
      <c r="I370" s="43">
        <v>4291</v>
      </c>
      <c r="J370" s="43">
        <v>4289</v>
      </c>
      <c r="K370" s="21">
        <v>1</v>
      </c>
      <c r="L370" s="43">
        <v>4295</v>
      </c>
      <c r="M370" s="43">
        <v>4302</v>
      </c>
      <c r="N370" s="43">
        <v>4300</v>
      </c>
      <c r="O370" s="27" t="s">
        <v>3800</v>
      </c>
      <c r="P370" s="194">
        <v>0</v>
      </c>
      <c r="Q370" s="21">
        <v>1</v>
      </c>
      <c r="R370" s="39" t="str">
        <f t="shared" si="87"/>
        <v>-</v>
      </c>
      <c r="S370" s="120">
        <f t="shared" si="79"/>
        <v>2444267</v>
      </c>
      <c r="T370" s="123">
        <v>6998511</v>
      </c>
      <c r="U370" s="134">
        <f>6001034+92</f>
        <v>6001126</v>
      </c>
      <c r="V370" s="123">
        <f t="shared" si="72"/>
        <v>997385</v>
      </c>
      <c r="W370" s="122" t="str">
        <f t="shared" si="85"/>
        <v>1</v>
      </c>
      <c r="X370" s="123">
        <f>T370-44927-2399340</f>
        <v>4554244</v>
      </c>
      <c r="Y370" s="123">
        <v>3880000</v>
      </c>
      <c r="Z370" s="123">
        <f t="shared" si="73"/>
        <v>674244</v>
      </c>
      <c r="AA370" s="122" t="str">
        <f t="shared" si="86"/>
        <v>1</v>
      </c>
      <c r="AB370" s="120">
        <f t="shared" si="80"/>
        <v>4291522</v>
      </c>
      <c r="AC370" s="123">
        <v>0</v>
      </c>
      <c r="AD370" s="123">
        <f>411522+3880000</f>
        <v>4291522</v>
      </c>
      <c r="AE370" s="123">
        <v>234059</v>
      </c>
      <c r="AG370" s="151">
        <f t="shared" si="82"/>
        <v>11844</v>
      </c>
      <c r="AH370" s="123">
        <f>166815+AI370</f>
        <v>166948</v>
      </c>
      <c r="AI370" s="123">
        <v>133</v>
      </c>
      <c r="AL370" s="123">
        <v>154971</v>
      </c>
    </row>
    <row r="371" spans="1:40" s="123" customFormat="1" ht="16.2" thickBot="1" x14ac:dyDescent="0.35">
      <c r="A371" s="21">
        <v>53.2</v>
      </c>
      <c r="B371" s="212" t="s">
        <v>204</v>
      </c>
      <c r="C371" s="31" t="str">
        <f>VLOOKUP((CONCATENATE(B371)),ID!$A$2:$D$305,3,0)</f>
        <v>RL053</v>
      </c>
      <c r="D371" s="21">
        <v>1</v>
      </c>
      <c r="E371" s="21" t="s">
        <v>4057</v>
      </c>
      <c r="F371" s="21" t="s">
        <v>1117</v>
      </c>
      <c r="G371" s="21" t="s">
        <v>3837</v>
      </c>
      <c r="H371" s="88">
        <v>4383</v>
      </c>
      <c r="I371" s="43">
        <v>4576</v>
      </c>
      <c r="J371" s="43">
        <v>4559</v>
      </c>
      <c r="K371" s="21">
        <v>1</v>
      </c>
      <c r="L371" s="43">
        <v>4575</v>
      </c>
      <c r="M371" s="43">
        <v>4589</v>
      </c>
      <c r="N371" s="43">
        <v>4588</v>
      </c>
      <c r="O371" s="27" t="s">
        <v>3800</v>
      </c>
      <c r="P371" s="194">
        <v>1</v>
      </c>
      <c r="Q371" s="21">
        <v>1</v>
      </c>
      <c r="R371" s="39" t="str">
        <f t="shared" si="87"/>
        <v>-</v>
      </c>
      <c r="S371" s="120">
        <f t="shared" si="79"/>
        <v>2493463</v>
      </c>
      <c r="T371" s="123">
        <v>7332001</v>
      </c>
      <c r="U371" s="123">
        <f>6001061+169926+92</f>
        <v>6171079</v>
      </c>
      <c r="V371" s="123">
        <f t="shared" ref="V371:V506" si="88">T371-U371</f>
        <v>1160922</v>
      </c>
      <c r="W371" s="122" t="str">
        <f t="shared" si="85"/>
        <v>1</v>
      </c>
      <c r="X371" s="123">
        <f>T371-2399349-13737-80377</f>
        <v>4838538</v>
      </c>
      <c r="Y371" s="123">
        <f>AB371</f>
        <v>4663498</v>
      </c>
      <c r="Z371" s="123">
        <f t="shared" si="73"/>
        <v>175040</v>
      </c>
      <c r="AA371" s="122" t="str">
        <f t="shared" si="86"/>
        <v>1</v>
      </c>
      <c r="AB371" s="120">
        <f t="shared" si="80"/>
        <v>4663498</v>
      </c>
      <c r="AC371" s="123">
        <v>0</v>
      </c>
      <c r="AD371" s="123">
        <f>3880000+783498</f>
        <v>4663498</v>
      </c>
      <c r="AE371" s="123">
        <v>32306</v>
      </c>
      <c r="AG371" s="151">
        <f t="shared" si="82"/>
        <v>35449</v>
      </c>
      <c r="AH371" s="123">
        <f>190649+AI371</f>
        <v>190782</v>
      </c>
      <c r="AI371" s="123">
        <v>133</v>
      </c>
      <c r="AL371" s="123">
        <v>155200</v>
      </c>
    </row>
    <row r="372" spans="1:40" s="123" customFormat="1" ht="16.2" thickBot="1" x14ac:dyDescent="0.35">
      <c r="A372" s="21"/>
      <c r="B372" s="212" t="s">
        <v>204</v>
      </c>
      <c r="C372" s="31" t="str">
        <f>VLOOKUP((CONCATENATE(B372)),ID!$A$2:$D$305,3,0)</f>
        <v>RL053</v>
      </c>
      <c r="D372" s="21">
        <v>1</v>
      </c>
      <c r="E372" s="21" t="s">
        <v>4057</v>
      </c>
      <c r="F372" s="21" t="s">
        <v>1117</v>
      </c>
      <c r="G372" s="21" t="s">
        <v>3837</v>
      </c>
      <c r="H372" s="88">
        <v>4749</v>
      </c>
      <c r="I372" s="43">
        <v>4940</v>
      </c>
      <c r="J372" s="43">
        <v>4939</v>
      </c>
      <c r="K372" s="21">
        <v>1</v>
      </c>
      <c r="L372" s="43">
        <v>4941</v>
      </c>
      <c r="M372" s="43">
        <v>4954</v>
      </c>
      <c r="N372" s="43">
        <v>4953</v>
      </c>
      <c r="O372" s="27" t="s">
        <v>3800</v>
      </c>
      <c r="P372" s="194">
        <v>1</v>
      </c>
      <c r="Q372" s="21">
        <v>1</v>
      </c>
      <c r="R372" s="39" t="str">
        <f t="shared" si="87"/>
        <v>-</v>
      </c>
      <c r="S372" s="120">
        <f t="shared" si="79"/>
        <v>2444267</v>
      </c>
      <c r="T372" s="123">
        <v>7987115</v>
      </c>
      <c r="U372" s="123">
        <f>6455972+92</f>
        <v>6456064</v>
      </c>
      <c r="V372" s="123">
        <f t="shared" si="88"/>
        <v>1531051</v>
      </c>
      <c r="W372" s="122" t="str">
        <f t="shared" si="85"/>
        <v>1</v>
      </c>
      <c r="X372" s="123">
        <f>T372-2399340-44927</f>
        <v>5542848</v>
      </c>
      <c r="Y372" s="123">
        <f>AB372</f>
        <v>4551399</v>
      </c>
      <c r="Z372" s="123">
        <f t="shared" si="73"/>
        <v>991449</v>
      </c>
      <c r="AA372" s="122" t="str">
        <f t="shared" si="86"/>
        <v>1</v>
      </c>
      <c r="AB372" s="120">
        <f t="shared" si="80"/>
        <v>4551399</v>
      </c>
      <c r="AC372" s="123">
        <v>0</v>
      </c>
      <c r="AD372" s="123">
        <f>3880000+372399+299000</f>
        <v>4551399</v>
      </c>
      <c r="AE372" s="123">
        <v>43523</v>
      </c>
      <c r="AG372" s="151">
        <f t="shared" si="82"/>
        <v>44661</v>
      </c>
      <c r="AH372" s="123">
        <f>199861+15971+AI372</f>
        <v>215972</v>
      </c>
      <c r="AI372" s="123">
        <v>140</v>
      </c>
      <c r="AL372" s="123">
        <f>155200+15971</f>
        <v>171171</v>
      </c>
    </row>
    <row r="373" spans="1:40" s="123" customFormat="1" ht="16.2" thickBot="1" x14ac:dyDescent="0.35">
      <c r="A373" s="21"/>
      <c r="B373" s="212" t="s">
        <v>204</v>
      </c>
      <c r="C373" s="31" t="str">
        <f>VLOOKUP((CONCATENATE(B373)),ID!$A$2:$D$305,3,0)</f>
        <v>RL053</v>
      </c>
      <c r="D373" s="21">
        <v>1</v>
      </c>
      <c r="E373" s="21" t="s">
        <v>4057</v>
      </c>
      <c r="F373" s="21" t="s">
        <v>1117</v>
      </c>
      <c r="G373" s="21" t="s">
        <v>3837</v>
      </c>
      <c r="H373" s="88">
        <v>5114</v>
      </c>
      <c r="I373" s="43">
        <v>5316</v>
      </c>
      <c r="J373" s="43">
        <v>5316</v>
      </c>
      <c r="K373" s="21">
        <v>1</v>
      </c>
      <c r="L373" s="43">
        <v>5317</v>
      </c>
      <c r="M373" s="43">
        <v>5326</v>
      </c>
      <c r="N373" s="43">
        <v>5325</v>
      </c>
      <c r="O373" s="27" t="s">
        <v>3800</v>
      </c>
      <c r="P373" s="194">
        <v>1</v>
      </c>
      <c r="Q373" s="21">
        <v>1</v>
      </c>
      <c r="R373" s="39" t="str">
        <f t="shared" si="87"/>
        <v>-</v>
      </c>
      <c r="S373" s="120">
        <f t="shared" si="79"/>
        <v>2523280</v>
      </c>
      <c r="T373" s="123">
        <v>8841102</v>
      </c>
      <c r="U373" s="123">
        <f>6737376+152</f>
        <v>6737528</v>
      </c>
      <c r="V373" s="123">
        <f t="shared" si="88"/>
        <v>2103574</v>
      </c>
      <c r="W373" s="122" t="str">
        <f t="shared" si="85"/>
        <v>1</v>
      </c>
      <c r="X373" s="123">
        <f>T373-123940-2399340</f>
        <v>6317822</v>
      </c>
      <c r="Y373" s="123">
        <f>AB373</f>
        <v>5917345</v>
      </c>
      <c r="Z373" s="123">
        <f>X373-Y373</f>
        <v>400477</v>
      </c>
      <c r="AA373" s="122" t="str">
        <f t="shared" si="86"/>
        <v>1</v>
      </c>
      <c r="AB373" s="120">
        <f t="shared" si="80"/>
        <v>5917345</v>
      </c>
      <c r="AC373" s="123">
        <v>0</v>
      </c>
      <c r="AD373" s="123">
        <f>4480000+260000+1177345</f>
        <v>5917345</v>
      </c>
      <c r="AE373" s="123">
        <v>28953</v>
      </c>
      <c r="AG373" s="151">
        <f t="shared" si="82"/>
        <v>38902</v>
      </c>
      <c r="AH373" s="123">
        <f>218681+AI373+9806</f>
        <v>234017</v>
      </c>
      <c r="AI373" s="123">
        <v>5530</v>
      </c>
      <c r="AL373" s="123">
        <f>9806+179779</f>
        <v>189585</v>
      </c>
    </row>
    <row r="374" spans="1:40" s="123" customFormat="1" ht="16.2" thickBot="1" x14ac:dyDescent="0.35">
      <c r="A374" s="21"/>
      <c r="B374" s="212" t="s">
        <v>212</v>
      </c>
      <c r="C374" s="31" t="str">
        <f>VLOOKUP((CONCATENATE(B374)),ID!$A$2:$D$305,3,0)</f>
        <v>RL054</v>
      </c>
      <c r="D374" s="21">
        <v>0</v>
      </c>
      <c r="E374" s="21" t="s">
        <v>4057</v>
      </c>
      <c r="F374" s="21" t="s">
        <v>1117</v>
      </c>
      <c r="G374" s="21" t="s">
        <v>3853</v>
      </c>
      <c r="H374" s="94">
        <v>3653</v>
      </c>
      <c r="I374" s="43">
        <v>3700</v>
      </c>
      <c r="J374" s="43">
        <v>3699</v>
      </c>
      <c r="K374" s="21">
        <v>1</v>
      </c>
      <c r="L374" s="43">
        <v>3717</v>
      </c>
      <c r="M374" s="43">
        <v>3723</v>
      </c>
      <c r="N374" s="43">
        <v>3720</v>
      </c>
      <c r="O374" s="21" t="s">
        <v>3838</v>
      </c>
      <c r="P374" s="194">
        <v>0</v>
      </c>
      <c r="Q374" s="21">
        <v>1</v>
      </c>
      <c r="R374" s="39" t="str">
        <f t="shared" si="87"/>
        <v>-</v>
      </c>
      <c r="S374" s="120">
        <f t="shared" si="79"/>
        <v>21974</v>
      </c>
      <c r="T374" s="123">
        <v>43115</v>
      </c>
      <c r="U374" s="123">
        <v>16191</v>
      </c>
      <c r="V374" s="123">
        <f t="shared" si="88"/>
        <v>26924</v>
      </c>
      <c r="W374" s="122" t="str">
        <f t="shared" si="85"/>
        <v>1</v>
      </c>
      <c r="X374" s="123">
        <f>8535+12606</f>
        <v>21141</v>
      </c>
      <c r="Y374" s="123">
        <v>0</v>
      </c>
      <c r="Z374" s="123">
        <f>X374-Y374</f>
        <v>21141</v>
      </c>
      <c r="AA374" s="122" t="str">
        <f t="shared" si="86"/>
        <v>1</v>
      </c>
      <c r="AB374" s="120">
        <f t="shared" si="80"/>
        <v>0</v>
      </c>
      <c r="AC374" s="123">
        <v>0</v>
      </c>
      <c r="AD374" s="123">
        <v>0</v>
      </c>
      <c r="AE374" s="123">
        <v>15133</v>
      </c>
      <c r="AG374" s="151">
        <f t="shared" si="82"/>
        <v>2866</v>
      </c>
      <c r="AH374" s="123">
        <f>36837-2225-2167-16192</f>
        <v>16253</v>
      </c>
      <c r="AL374" s="123">
        <v>13387</v>
      </c>
      <c r="AM374" s="123">
        <v>54363</v>
      </c>
      <c r="AN374" s="123">
        <v>49831</v>
      </c>
    </row>
    <row r="375" spans="1:40" s="123" customFormat="1" ht="16.2" thickBot="1" x14ac:dyDescent="0.35">
      <c r="A375" s="21"/>
      <c r="B375" s="212" t="s">
        <v>212</v>
      </c>
      <c r="C375" s="31" t="str">
        <f>VLOOKUP((CONCATENATE(B375)),ID!$A$2:$D$305,3,0)</f>
        <v>RL054</v>
      </c>
      <c r="D375" s="21">
        <v>0</v>
      </c>
      <c r="E375" s="21" t="s">
        <v>4057</v>
      </c>
      <c r="F375" s="21" t="s">
        <v>1117</v>
      </c>
      <c r="G375" s="21" t="s">
        <v>3853</v>
      </c>
      <c r="H375" s="94">
        <v>3834</v>
      </c>
      <c r="I375" s="43">
        <v>3874</v>
      </c>
      <c r="J375" s="43">
        <v>3874</v>
      </c>
      <c r="K375" s="21">
        <v>1</v>
      </c>
      <c r="L375" s="43">
        <v>3886</v>
      </c>
      <c r="M375" s="43">
        <v>3891</v>
      </c>
      <c r="N375" s="43">
        <v>3891</v>
      </c>
      <c r="O375" s="21" t="s">
        <v>3838</v>
      </c>
      <c r="P375" s="194">
        <v>0</v>
      </c>
      <c r="Q375" s="21">
        <v>1</v>
      </c>
      <c r="R375" s="39" t="str">
        <f t="shared" si="87"/>
        <v>-</v>
      </c>
      <c r="S375" s="120">
        <f t="shared" si="79"/>
        <v>21889</v>
      </c>
      <c r="T375" s="123">
        <v>44915</v>
      </c>
      <c r="U375" s="123">
        <v>11821</v>
      </c>
      <c r="V375" s="123">
        <f t="shared" si="88"/>
        <v>33094</v>
      </c>
      <c r="W375" s="122" t="str">
        <f t="shared" si="85"/>
        <v>1</v>
      </c>
      <c r="X375" s="123">
        <f>10420+12606</f>
        <v>23026</v>
      </c>
      <c r="Y375" s="123">
        <v>0</v>
      </c>
      <c r="Z375" s="123">
        <f>X375-Y375</f>
        <v>23026</v>
      </c>
      <c r="AA375" s="122" t="str">
        <f t="shared" si="86"/>
        <v>1</v>
      </c>
      <c r="AB375" s="120">
        <f t="shared" si="80"/>
        <v>0</v>
      </c>
      <c r="AC375" s="123">
        <v>0</v>
      </c>
      <c r="AD375" s="123">
        <v>0</v>
      </c>
      <c r="AE375" s="123">
        <f>19516+548</f>
        <v>20064</v>
      </c>
      <c r="AG375" s="151">
        <f t="shared" si="82"/>
        <v>3771</v>
      </c>
      <c r="AH375" s="123">
        <f>33375-2186-2209-11822</f>
        <v>17158</v>
      </c>
      <c r="AL375" s="123">
        <v>13387</v>
      </c>
      <c r="AM375" s="123">
        <v>54652</v>
      </c>
      <c r="AN375" s="123">
        <v>50382</v>
      </c>
    </row>
    <row r="376" spans="1:40" s="123" customFormat="1" ht="16.2" thickBot="1" x14ac:dyDescent="0.35">
      <c r="A376" s="21">
        <v>54.1</v>
      </c>
      <c r="B376" s="212" t="s">
        <v>212</v>
      </c>
      <c r="C376" s="31" t="str">
        <f>VLOOKUP((CONCATENATE(B376)),ID!$A$2:$D$305,3,0)</f>
        <v>RL054</v>
      </c>
      <c r="D376" s="21">
        <v>0</v>
      </c>
      <c r="E376" s="21" t="s">
        <v>4057</v>
      </c>
      <c r="F376" s="21" t="s">
        <v>1117</v>
      </c>
      <c r="G376" s="21" t="s">
        <v>3853</v>
      </c>
      <c r="H376" s="94">
        <v>4018</v>
      </c>
      <c r="I376" s="43">
        <v>4063</v>
      </c>
      <c r="J376" s="43">
        <v>4058</v>
      </c>
      <c r="K376" s="21">
        <v>1</v>
      </c>
      <c r="L376" s="43">
        <v>4074</v>
      </c>
      <c r="M376" s="43">
        <v>4079</v>
      </c>
      <c r="N376" s="43">
        <v>4079</v>
      </c>
      <c r="O376" s="21" t="s">
        <v>3838</v>
      </c>
      <c r="P376" s="194">
        <v>0</v>
      </c>
      <c r="Q376" s="21">
        <v>1</v>
      </c>
      <c r="R376" s="39" t="str">
        <f t="shared" si="87"/>
        <v>-</v>
      </c>
      <c r="S376" s="120">
        <f t="shared" si="79"/>
        <v>23840</v>
      </c>
      <c r="T376" s="123">
        <v>43555</v>
      </c>
      <c r="U376" s="123">
        <f>5005+4784</f>
        <v>9789</v>
      </c>
      <c r="V376" s="123">
        <f t="shared" si="88"/>
        <v>33766</v>
      </c>
      <c r="W376" s="122" t="str">
        <f t="shared" si="85"/>
        <v>1</v>
      </c>
      <c r="X376" s="123">
        <f>12606+7109</f>
        <v>19715</v>
      </c>
      <c r="Y376" s="123">
        <v>0</v>
      </c>
      <c r="Z376" s="123">
        <f t="shared" ref="Z376:Z503" si="89">X376-Y376</f>
        <v>19715</v>
      </c>
      <c r="AA376" s="122" t="str">
        <f t="shared" si="86"/>
        <v>1</v>
      </c>
      <c r="AB376" s="120">
        <f t="shared" si="80"/>
        <v>0</v>
      </c>
      <c r="AC376" s="123">
        <v>0</v>
      </c>
      <c r="AD376" s="123">
        <v>0</v>
      </c>
      <c r="AE376" s="123">
        <v>20745</v>
      </c>
      <c r="AG376" s="151">
        <f t="shared" si="82"/>
        <v>7097</v>
      </c>
      <c r="AH376" s="123">
        <f>29929-5005-2315-2125</f>
        <v>20484</v>
      </c>
      <c r="AL376" s="123">
        <f>13387</f>
        <v>13387</v>
      </c>
      <c r="AM376" s="123">
        <v>55418</v>
      </c>
      <c r="AN376" s="123">
        <v>51109</v>
      </c>
    </row>
    <row r="377" spans="1:40" s="123" customFormat="1" ht="16.2" thickBot="1" x14ac:dyDescent="0.35">
      <c r="A377" s="21">
        <v>54.2</v>
      </c>
      <c r="B377" s="212" t="s">
        <v>212</v>
      </c>
      <c r="C377" s="31" t="str">
        <f>VLOOKUP((CONCATENATE(B377)),ID!$A$2:$D$305,3,0)</f>
        <v>RL054</v>
      </c>
      <c r="D377" s="21">
        <v>0</v>
      </c>
      <c r="E377" s="21" t="s">
        <v>4057</v>
      </c>
      <c r="F377" s="21" t="s">
        <v>1117</v>
      </c>
      <c r="G377" s="21" t="s">
        <v>3853</v>
      </c>
      <c r="H377" s="94">
        <v>4199</v>
      </c>
      <c r="I377" s="43">
        <v>4212</v>
      </c>
      <c r="J377" s="43">
        <v>4220</v>
      </c>
      <c r="K377" s="21">
        <v>1</v>
      </c>
      <c r="L377" s="43">
        <v>4221</v>
      </c>
      <c r="M377" s="43">
        <v>4227</v>
      </c>
      <c r="N377" s="43">
        <v>4227</v>
      </c>
      <c r="O377" s="21" t="s">
        <v>3838</v>
      </c>
      <c r="P377" s="194">
        <v>0</v>
      </c>
      <c r="Q377" s="21">
        <v>1</v>
      </c>
      <c r="R377" s="39" t="str">
        <f t="shared" si="87"/>
        <v>-</v>
      </c>
      <c r="S377" s="120">
        <f t="shared" si="79"/>
        <v>27604</v>
      </c>
      <c r="T377" s="123">
        <v>49461</v>
      </c>
      <c r="U377" s="123">
        <f>14784</f>
        <v>14784</v>
      </c>
      <c r="V377" s="123">
        <f t="shared" si="88"/>
        <v>34677</v>
      </c>
      <c r="W377" s="122" t="str">
        <f t="shared" si="85"/>
        <v>1</v>
      </c>
      <c r="X377" s="123">
        <f>9251+12606</f>
        <v>21857</v>
      </c>
      <c r="Y377" s="123">
        <v>0</v>
      </c>
      <c r="Z377" s="123">
        <f t="shared" si="89"/>
        <v>21857</v>
      </c>
      <c r="AA377" s="122" t="str">
        <f t="shared" si="86"/>
        <v>1</v>
      </c>
      <c r="AB377" s="120">
        <f t="shared" si="80"/>
        <v>0</v>
      </c>
      <c r="AC377" s="123">
        <v>0</v>
      </c>
      <c r="AD377" s="123">
        <v>0</v>
      </c>
      <c r="AE377" s="123">
        <v>21202</v>
      </c>
      <c r="AG377" s="151">
        <f t="shared" ref="AG377:AG440" si="90">AH377-AL377-AI377</f>
        <v>9063</v>
      </c>
      <c r="AH377" s="123">
        <f>26929-2354-2125</f>
        <v>22450</v>
      </c>
      <c r="AL377" s="123">
        <f>13387</f>
        <v>13387</v>
      </c>
      <c r="AM377" s="123">
        <v>55796</v>
      </c>
      <c r="AN377" s="123">
        <v>51504</v>
      </c>
    </row>
    <row r="378" spans="1:40" s="123" customFormat="1" ht="16.2" thickBot="1" x14ac:dyDescent="0.35">
      <c r="A378" s="21">
        <v>54.3</v>
      </c>
      <c r="B378" s="212" t="s">
        <v>212</v>
      </c>
      <c r="C378" s="31" t="str">
        <f>VLOOKUP((CONCATENATE(B378)),ID!$A$2:$D$305,3,0)</f>
        <v>RL054</v>
      </c>
      <c r="D378" s="21">
        <v>0</v>
      </c>
      <c r="E378" s="21" t="s">
        <v>4057</v>
      </c>
      <c r="F378" s="21" t="s">
        <v>1117</v>
      </c>
      <c r="G378" s="21" t="s">
        <v>3853</v>
      </c>
      <c r="H378" s="94">
        <v>4383</v>
      </c>
      <c r="I378" s="43">
        <v>4409</v>
      </c>
      <c r="J378" s="43">
        <v>4409</v>
      </c>
      <c r="K378" s="21">
        <v>1</v>
      </c>
      <c r="L378" s="43">
        <v>4424</v>
      </c>
      <c r="M378" s="43">
        <v>4430</v>
      </c>
      <c r="N378" s="43">
        <v>4430</v>
      </c>
      <c r="O378" s="21" t="s">
        <v>3838</v>
      </c>
      <c r="P378" s="194">
        <v>0</v>
      </c>
      <c r="Q378" s="21">
        <v>1</v>
      </c>
      <c r="R378" s="39" t="str">
        <f t="shared" si="87"/>
        <v>-</v>
      </c>
      <c r="S378" s="120">
        <f t="shared" si="79"/>
        <v>20292</v>
      </c>
      <c r="T378" s="123">
        <v>53117</v>
      </c>
      <c r="U378" s="123">
        <v>14758</v>
      </c>
      <c r="V378" s="123">
        <f t="shared" si="88"/>
        <v>38359</v>
      </c>
      <c r="W378" s="122" t="str">
        <f t="shared" si="85"/>
        <v>1</v>
      </c>
      <c r="X378" s="123">
        <f>6488+888+4391+2823+5629+12606</f>
        <v>32825</v>
      </c>
      <c r="Y378" s="123">
        <v>0</v>
      </c>
      <c r="Z378" s="123">
        <f t="shared" si="89"/>
        <v>32825</v>
      </c>
      <c r="AA378" s="122" t="str">
        <f t="shared" si="86"/>
        <v>1</v>
      </c>
      <c r="AB378" s="120">
        <f t="shared" si="80"/>
        <v>0</v>
      </c>
      <c r="AC378" s="123">
        <v>0</v>
      </c>
      <c r="AD378" s="123">
        <v>0</v>
      </c>
      <c r="AE378" s="123">
        <v>26249</v>
      </c>
      <c r="AG378" s="151">
        <f t="shared" si="90"/>
        <v>-7057</v>
      </c>
      <c r="AH378" s="123">
        <f>23959+160+252-2125-2276</f>
        <v>19970</v>
      </c>
      <c r="AL378" s="123">
        <f>13387+4664+2998+5978</f>
        <v>27027</v>
      </c>
      <c r="AM378" s="123">
        <v>54150</v>
      </c>
      <c r="AN378" s="123">
        <v>50116</v>
      </c>
    </row>
    <row r="379" spans="1:40" s="123" customFormat="1" ht="16.2" thickBot="1" x14ac:dyDescent="0.35">
      <c r="A379" s="21">
        <v>54.4</v>
      </c>
      <c r="B379" s="212" t="s">
        <v>212</v>
      </c>
      <c r="C379" s="31" t="str">
        <f>VLOOKUP((CONCATENATE(B379)),ID!$A$2:$D$305,3,0)</f>
        <v>RL054</v>
      </c>
      <c r="D379" s="21">
        <v>0</v>
      </c>
      <c r="E379" s="21" t="s">
        <v>4057</v>
      </c>
      <c r="F379" s="21" t="s">
        <v>1117</v>
      </c>
      <c r="G379" s="21" t="s">
        <v>3853</v>
      </c>
      <c r="H379" s="94">
        <v>4565</v>
      </c>
      <c r="I379" s="43">
        <v>4577</v>
      </c>
      <c r="J379" s="43">
        <v>4588</v>
      </c>
      <c r="K379" s="21">
        <v>1</v>
      </c>
      <c r="L379" s="43">
        <v>4589</v>
      </c>
      <c r="M379" s="43">
        <v>4595</v>
      </c>
      <c r="N379" s="43">
        <v>4595</v>
      </c>
      <c r="O379" s="21" t="s">
        <v>3838</v>
      </c>
      <c r="P379" s="194">
        <v>0</v>
      </c>
      <c r="Q379" s="21">
        <v>1</v>
      </c>
      <c r="R379" s="39" t="str">
        <f t="shared" si="87"/>
        <v>-</v>
      </c>
      <c r="S379" s="120">
        <f t="shared" si="79"/>
        <v>28158</v>
      </c>
      <c r="T379" s="123">
        <v>52595</v>
      </c>
      <c r="U379" s="123">
        <f>14784</f>
        <v>14784</v>
      </c>
      <c r="V379" s="123">
        <f t="shared" si="88"/>
        <v>37811</v>
      </c>
      <c r="W379" s="122" t="str">
        <f t="shared" si="85"/>
        <v>1</v>
      </c>
      <c r="X379" s="123">
        <f>9407+2424+12606</f>
        <v>24437</v>
      </c>
      <c r="Y379" s="123">
        <v>0</v>
      </c>
      <c r="Z379" s="123">
        <f t="shared" si="89"/>
        <v>24437</v>
      </c>
      <c r="AA379" s="122" t="str">
        <f t="shared" si="86"/>
        <v>1</v>
      </c>
      <c r="AB379" s="120">
        <f t="shared" si="80"/>
        <v>0</v>
      </c>
      <c r="AC379" s="123">
        <v>0</v>
      </c>
      <c r="AD379" s="123">
        <v>0</v>
      </c>
      <c r="AE379" s="123">
        <v>22284</v>
      </c>
      <c r="AG379" s="151">
        <f t="shared" si="90"/>
        <v>9105</v>
      </c>
      <c r="AH379" s="123">
        <f>26751+100+252-2486-2125</f>
        <v>22492</v>
      </c>
      <c r="AL379" s="123">
        <v>13387</v>
      </c>
      <c r="AM379" s="123">
        <v>56274</v>
      </c>
      <c r="AN379" s="123">
        <v>52296</v>
      </c>
    </row>
    <row r="380" spans="1:40" s="123" customFormat="1" ht="16.2" thickBot="1" x14ac:dyDescent="0.35">
      <c r="A380" s="21"/>
      <c r="B380" s="212" t="s">
        <v>212</v>
      </c>
      <c r="C380" s="31" t="str">
        <f>VLOOKUP((CONCATENATE(B380)),ID!$A$2:$D$305,3,0)</f>
        <v>RL054</v>
      </c>
      <c r="D380" s="21">
        <v>0</v>
      </c>
      <c r="E380" s="21" t="s">
        <v>4057</v>
      </c>
      <c r="F380" s="21" t="s">
        <v>1117</v>
      </c>
      <c r="G380" s="21" t="s">
        <v>3853</v>
      </c>
      <c r="H380" s="94">
        <v>4749</v>
      </c>
      <c r="I380" s="43">
        <v>4773</v>
      </c>
      <c r="J380" s="43">
        <v>4780</v>
      </c>
      <c r="K380" s="21">
        <v>1</v>
      </c>
      <c r="L380" s="43">
        <v>4784</v>
      </c>
      <c r="M380" s="43">
        <v>4791</v>
      </c>
      <c r="N380" s="43">
        <v>4791</v>
      </c>
      <c r="O380" s="21" t="s">
        <v>3838</v>
      </c>
      <c r="P380" s="194">
        <v>0</v>
      </c>
      <c r="Q380" s="21">
        <v>1</v>
      </c>
      <c r="R380" s="39" t="str">
        <f t="shared" si="87"/>
        <v>-</v>
      </c>
      <c r="S380" s="120">
        <f t="shared" si="79"/>
        <v>20327</v>
      </c>
      <c r="T380" s="123">
        <v>56697</v>
      </c>
      <c r="U380" s="123">
        <f>14784</f>
        <v>14784</v>
      </c>
      <c r="V380" s="123">
        <f t="shared" si="88"/>
        <v>41913</v>
      </c>
      <c r="W380" s="122" t="str">
        <f t="shared" si="85"/>
        <v>1</v>
      </c>
      <c r="X380" s="123">
        <f>12606+17005+815+5944</f>
        <v>36370</v>
      </c>
      <c r="Y380" s="123">
        <v>0</v>
      </c>
      <c r="Z380" s="123">
        <f t="shared" si="89"/>
        <v>36370</v>
      </c>
      <c r="AA380" s="122" t="str">
        <f t="shared" si="86"/>
        <v>1</v>
      </c>
      <c r="AB380" s="120">
        <f t="shared" si="80"/>
        <v>0</v>
      </c>
      <c r="AC380" s="123">
        <v>0</v>
      </c>
      <c r="AD380" s="123">
        <v>0</v>
      </c>
      <c r="AE380" s="123">
        <v>29707</v>
      </c>
      <c r="AG380" s="151">
        <f t="shared" si="90"/>
        <v>-7105</v>
      </c>
      <c r="AH380" s="123">
        <f>36990-8108-2416-2125</f>
        <v>24341</v>
      </c>
      <c r="AL380" s="123">
        <f>13387+4664+3000+10395</f>
        <v>31446</v>
      </c>
      <c r="AM380" s="123">
        <v>59650</v>
      </c>
      <c r="AN380" s="123">
        <v>55743</v>
      </c>
    </row>
    <row r="381" spans="1:40" s="123" customFormat="1" ht="16.2" thickBot="1" x14ac:dyDescent="0.35">
      <c r="A381" s="21"/>
      <c r="B381" s="212" t="s">
        <v>212</v>
      </c>
      <c r="C381" s="31" t="str">
        <f>VLOOKUP((CONCATENATE(B381)),ID!$A$2:$D$305,3,0)</f>
        <v>RL054</v>
      </c>
      <c r="D381" s="21">
        <v>1</v>
      </c>
      <c r="E381" s="21" t="s">
        <v>4057</v>
      </c>
      <c r="F381" s="21" t="s">
        <v>1117</v>
      </c>
      <c r="G381" s="21" t="s">
        <v>3853</v>
      </c>
      <c r="H381" s="94">
        <v>5114</v>
      </c>
      <c r="I381" s="43">
        <v>5138</v>
      </c>
      <c r="J381" s="43" t="s">
        <v>4095</v>
      </c>
      <c r="K381" s="21">
        <v>1</v>
      </c>
      <c r="L381" s="43">
        <v>5148</v>
      </c>
      <c r="M381" s="43">
        <v>5160</v>
      </c>
      <c r="N381" s="43">
        <v>5155</v>
      </c>
      <c r="O381" s="21" t="s">
        <v>3838</v>
      </c>
      <c r="P381" s="194">
        <v>0</v>
      </c>
      <c r="Q381" s="21">
        <v>1</v>
      </c>
      <c r="R381" s="39" t="str">
        <f t="shared" si="87"/>
        <v>-</v>
      </c>
      <c r="S381" s="120">
        <f t="shared" si="79"/>
        <v>40216</v>
      </c>
      <c r="T381" s="123">
        <v>60264</v>
      </c>
      <c r="U381" s="123">
        <f>14784</f>
        <v>14784</v>
      </c>
      <c r="V381" s="123">
        <f t="shared" si="88"/>
        <v>45480</v>
      </c>
      <c r="W381" s="122" t="str">
        <f t="shared" si="85"/>
        <v>1</v>
      </c>
      <c r="X381" s="123">
        <f>12606+744+769+5929</f>
        <v>20048</v>
      </c>
      <c r="Y381" s="123">
        <v>0</v>
      </c>
      <c r="Z381" s="123">
        <f t="shared" si="89"/>
        <v>20048</v>
      </c>
      <c r="AA381" s="122" t="str">
        <f t="shared" si="86"/>
        <v>1</v>
      </c>
      <c r="AB381" s="120">
        <f t="shared" si="80"/>
        <v>0</v>
      </c>
      <c r="AC381" s="123">
        <v>0</v>
      </c>
      <c r="AD381" s="123">
        <v>0</v>
      </c>
      <c r="AE381" s="123">
        <v>31772</v>
      </c>
      <c r="AG381" s="151">
        <f t="shared" si="90"/>
        <v>22202</v>
      </c>
      <c r="AH381" s="123">
        <f>58345-4251-5117</f>
        <v>48977</v>
      </c>
      <c r="AL381" s="123">
        <f>26775</f>
        <v>26775</v>
      </c>
      <c r="AM381" s="123">
        <v>117329</v>
      </c>
      <c r="AN381" s="123">
        <v>112689</v>
      </c>
    </row>
    <row r="382" spans="1:40" s="123" customFormat="1" ht="16.2" thickBot="1" x14ac:dyDescent="0.35">
      <c r="A382" s="21"/>
      <c r="B382" s="212" t="s">
        <v>215</v>
      </c>
      <c r="C382" s="31" t="str">
        <f>VLOOKUP((CONCATENATE(B382)),ID!$A$2:$D$305,3,0)</f>
        <v>RL055</v>
      </c>
      <c r="D382" s="21">
        <v>0</v>
      </c>
      <c r="E382" s="21" t="s">
        <v>4057</v>
      </c>
      <c r="F382" s="21" t="s">
        <v>4062</v>
      </c>
      <c r="G382" s="21" t="s">
        <v>3853</v>
      </c>
      <c r="H382" s="94">
        <v>3653</v>
      </c>
      <c r="I382" s="43">
        <v>3675</v>
      </c>
      <c r="J382" s="43">
        <v>3681</v>
      </c>
      <c r="K382" s="21">
        <v>1</v>
      </c>
      <c r="L382" s="43">
        <v>3682</v>
      </c>
      <c r="M382" s="43">
        <v>3695</v>
      </c>
      <c r="N382" s="43">
        <v>3693</v>
      </c>
      <c r="O382" s="21" t="s">
        <v>3839</v>
      </c>
      <c r="P382" s="194">
        <v>1</v>
      </c>
      <c r="Q382" s="21">
        <v>1</v>
      </c>
      <c r="R382" s="39" t="str">
        <f t="shared" si="87"/>
        <v>-</v>
      </c>
      <c r="S382" s="120">
        <f t="shared" si="79"/>
        <v>200270</v>
      </c>
      <c r="T382" s="123">
        <v>431850</v>
      </c>
      <c r="U382" s="123">
        <f>45762+12300</f>
        <v>58062</v>
      </c>
      <c r="V382" s="123">
        <f t="shared" si="88"/>
        <v>373788</v>
      </c>
      <c r="W382" s="122" t="str">
        <f t="shared" si="85"/>
        <v>1</v>
      </c>
      <c r="X382" s="123">
        <f>89511+20254+6088+104021+2089+Y382</f>
        <v>231580</v>
      </c>
      <c r="Y382" s="123">
        <v>9617</v>
      </c>
      <c r="Z382" s="123">
        <f t="shared" si="89"/>
        <v>221963</v>
      </c>
      <c r="AA382" s="122" t="str">
        <f t="shared" si="86"/>
        <v>1</v>
      </c>
      <c r="AB382" s="120">
        <f t="shared" si="80"/>
        <v>0</v>
      </c>
      <c r="AC382" s="123">
        <v>0</v>
      </c>
      <c r="AD382" s="123">
        <v>0</v>
      </c>
      <c r="AE382" s="123">
        <f>38432+230000</f>
        <v>268432</v>
      </c>
      <c r="AG382" s="151">
        <f t="shared" si="90"/>
        <v>35587</v>
      </c>
      <c r="AH382" s="123">
        <f>167822-358-149-6317</f>
        <v>160998</v>
      </c>
      <c r="AL382" s="123">
        <f>13833+68829+11000+31749</f>
        <v>125411</v>
      </c>
      <c r="AM382" s="123">
        <v>279611</v>
      </c>
      <c r="AN382" s="123">
        <v>260767</v>
      </c>
    </row>
    <row r="383" spans="1:40" s="123" customFormat="1" ht="16.2" thickBot="1" x14ac:dyDescent="0.35">
      <c r="A383" s="21"/>
      <c r="B383" s="212" t="s">
        <v>215</v>
      </c>
      <c r="C383" s="31" t="str">
        <f>VLOOKUP((CONCATENATE(B383)),ID!$A$2:$D$305,3,0)</f>
        <v>RL055</v>
      </c>
      <c r="D383" s="21">
        <v>0</v>
      </c>
      <c r="E383" s="21" t="s">
        <v>4057</v>
      </c>
      <c r="F383" s="21" t="s">
        <v>4062</v>
      </c>
      <c r="G383" s="21" t="s">
        <v>3853</v>
      </c>
      <c r="H383" s="94">
        <v>3834</v>
      </c>
      <c r="I383" s="43">
        <v>3856</v>
      </c>
      <c r="J383" s="43">
        <v>3868</v>
      </c>
      <c r="K383" s="21">
        <v>1</v>
      </c>
      <c r="L383" s="43">
        <v>3870</v>
      </c>
      <c r="M383" s="43">
        <v>3875</v>
      </c>
      <c r="N383" s="43">
        <v>3875</v>
      </c>
      <c r="O383" s="21" t="s">
        <v>3839</v>
      </c>
      <c r="P383" s="194">
        <v>1</v>
      </c>
      <c r="Q383" s="21">
        <v>1</v>
      </c>
      <c r="R383" s="39" t="str">
        <f t="shared" si="87"/>
        <v>-</v>
      </c>
      <c r="S383" s="120">
        <f t="shared" si="79"/>
        <v>195383</v>
      </c>
      <c r="T383" s="123">
        <v>436808</v>
      </c>
      <c r="U383" s="123">
        <f>45762+22300</f>
        <v>68062</v>
      </c>
      <c r="V383" s="123">
        <f t="shared" si="88"/>
        <v>368746</v>
      </c>
      <c r="W383" s="122" t="str">
        <f t="shared" si="85"/>
        <v>1</v>
      </c>
      <c r="X383" s="123">
        <f>100520+20916+4687+104021+Y383+2114</f>
        <v>241425</v>
      </c>
      <c r="Y383" s="123">
        <v>9167</v>
      </c>
      <c r="Z383" s="123">
        <f t="shared" si="89"/>
        <v>232258</v>
      </c>
      <c r="AA383" s="122" t="str">
        <f t="shared" si="86"/>
        <v>1</v>
      </c>
      <c r="AB383" s="120">
        <f t="shared" si="80"/>
        <v>0</v>
      </c>
      <c r="AC383" s="123">
        <v>0</v>
      </c>
      <c r="AD383" s="123">
        <v>0</v>
      </c>
      <c r="AE383" s="123">
        <f>25766+235000</f>
        <v>260766</v>
      </c>
      <c r="AG383" s="151">
        <f t="shared" si="90"/>
        <v>71338</v>
      </c>
      <c r="AH383" s="123">
        <f>203037-942-151-5678</f>
        <v>196266</v>
      </c>
      <c r="AL383" s="123">
        <f>68829+11000+31749+13350</f>
        <v>124928</v>
      </c>
      <c r="AM383" s="123">
        <v>300046</v>
      </c>
      <c r="AN383" s="123">
        <v>280483</v>
      </c>
    </row>
    <row r="384" spans="1:40" s="123" customFormat="1" ht="16.2" thickBot="1" x14ac:dyDescent="0.35">
      <c r="A384" s="21">
        <v>55.1</v>
      </c>
      <c r="B384" s="212" t="s">
        <v>215</v>
      </c>
      <c r="C384" s="31" t="str">
        <f>VLOOKUP((CONCATENATE(B384)),ID!$A$2:$D$305,3,0)</f>
        <v>RL055</v>
      </c>
      <c r="D384" s="21">
        <v>0</v>
      </c>
      <c r="E384" s="21" t="s">
        <v>4057</v>
      </c>
      <c r="F384" s="21" t="s">
        <v>4062</v>
      </c>
      <c r="G384" s="21" t="s">
        <v>3853</v>
      </c>
      <c r="H384" s="94">
        <v>4018</v>
      </c>
      <c r="I384" s="43">
        <v>4039</v>
      </c>
      <c r="J384" s="43">
        <v>4049</v>
      </c>
      <c r="K384" s="21">
        <v>1</v>
      </c>
      <c r="L384" s="43">
        <v>4050</v>
      </c>
      <c r="M384" s="43">
        <v>4058</v>
      </c>
      <c r="N384" s="43">
        <v>4058</v>
      </c>
      <c r="O384" s="21" t="s">
        <v>3839</v>
      </c>
      <c r="P384" s="194">
        <v>1</v>
      </c>
      <c r="Q384" s="21">
        <v>1</v>
      </c>
      <c r="R384" s="39" t="str">
        <f t="shared" si="87"/>
        <v>-</v>
      </c>
      <c r="S384" s="120">
        <f t="shared" si="79"/>
        <v>149763</v>
      </c>
      <c r="T384" s="123">
        <v>389805</v>
      </c>
      <c r="U384" s="123">
        <f>45762+12300</f>
        <v>58062</v>
      </c>
      <c r="V384" s="123">
        <f t="shared" si="88"/>
        <v>331743</v>
      </c>
      <c r="W384" s="122" t="str">
        <f t="shared" si="85"/>
        <v>1</v>
      </c>
      <c r="X384" s="123">
        <f>2748+104246+5933+16029+101750+Y384</f>
        <v>240042</v>
      </c>
      <c r="Y384" s="123">
        <v>9336</v>
      </c>
      <c r="Z384" s="123">
        <f t="shared" si="89"/>
        <v>230706</v>
      </c>
      <c r="AA384" s="122" t="str">
        <f t="shared" si="86"/>
        <v>1</v>
      </c>
      <c r="AB384" s="120">
        <f t="shared" si="80"/>
        <v>0</v>
      </c>
      <c r="AC384" s="123">
        <v>0</v>
      </c>
      <c r="AD384" s="123">
        <v>0</v>
      </c>
      <c r="AE384" s="123">
        <f>30406+155000</f>
        <v>185406</v>
      </c>
      <c r="AG384" s="151">
        <f t="shared" si="90"/>
        <v>64498</v>
      </c>
      <c r="AH384" s="134">
        <f>204176-154-5474-8527</f>
        <v>190021</v>
      </c>
      <c r="AI384" s="132"/>
      <c r="AJ384" s="132"/>
      <c r="AK384" s="132"/>
      <c r="AL384" s="134">
        <f>540+68829+11000+31749+13405</f>
        <v>125523</v>
      </c>
      <c r="AM384" s="134">
        <v>300805</v>
      </c>
      <c r="AN384" s="134">
        <v>280051</v>
      </c>
    </row>
    <row r="385" spans="1:40" s="123" customFormat="1" ht="16.2" thickBot="1" x14ac:dyDescent="0.35">
      <c r="A385" s="21">
        <v>55.2</v>
      </c>
      <c r="B385" s="212" t="s">
        <v>215</v>
      </c>
      <c r="C385" s="31" t="str">
        <f>VLOOKUP((CONCATENATE(B385)),ID!$A$2:$D$305,3,0)</f>
        <v>RL055</v>
      </c>
      <c r="D385" s="21">
        <v>0</v>
      </c>
      <c r="E385" s="21" t="s">
        <v>4057</v>
      </c>
      <c r="F385" s="21" t="s">
        <v>4062</v>
      </c>
      <c r="G385" s="21" t="s">
        <v>3853</v>
      </c>
      <c r="H385" s="94">
        <v>4199</v>
      </c>
      <c r="I385" s="43">
        <v>4219</v>
      </c>
      <c r="J385" s="43">
        <v>4230</v>
      </c>
      <c r="K385" s="21">
        <v>1</v>
      </c>
      <c r="L385" s="43">
        <v>4227</v>
      </c>
      <c r="M385" s="43">
        <v>4240</v>
      </c>
      <c r="N385" s="43">
        <v>4240</v>
      </c>
      <c r="O385" s="21" t="s">
        <v>3839</v>
      </c>
      <c r="P385" s="194">
        <v>1</v>
      </c>
      <c r="Q385" s="21">
        <v>1</v>
      </c>
      <c r="R385" s="39" t="str">
        <f t="shared" ref="R385:R407" si="91">IF(Q385=0,"?","-")</f>
        <v>-</v>
      </c>
      <c r="S385" s="120">
        <f t="shared" si="79"/>
        <v>137188</v>
      </c>
      <c r="T385" s="123">
        <v>376071</v>
      </c>
      <c r="U385" s="123">
        <f>34823+12500</f>
        <v>47323</v>
      </c>
      <c r="V385" s="123">
        <f t="shared" si="88"/>
        <v>328748</v>
      </c>
      <c r="W385" s="122" t="str">
        <f t="shared" si="85"/>
        <v>1</v>
      </c>
      <c r="X385" s="123">
        <f>2406+104246+5669+20382+96845+Y385</f>
        <v>238883</v>
      </c>
      <c r="Y385" s="123">
        <v>9335</v>
      </c>
      <c r="Z385" s="123">
        <f t="shared" si="89"/>
        <v>229548</v>
      </c>
      <c r="AA385" s="122" t="str">
        <f t="shared" si="86"/>
        <v>1</v>
      </c>
      <c r="AB385" s="120">
        <f t="shared" si="80"/>
        <v>0</v>
      </c>
      <c r="AC385" s="123">
        <v>0</v>
      </c>
      <c r="AD385" s="123">
        <v>0</v>
      </c>
      <c r="AE385" s="123">
        <f>38061+160000</f>
        <v>198061</v>
      </c>
      <c r="AG385" s="151">
        <f t="shared" si="90"/>
        <v>90975</v>
      </c>
      <c r="AH385" s="134">
        <f>225479-2020-5452-149</f>
        <v>217858</v>
      </c>
      <c r="AI385" s="132"/>
      <c r="AJ385" s="132"/>
      <c r="AK385" s="132"/>
      <c r="AL385" s="134">
        <f>31749+11000+68829+13296+2009</f>
        <v>126883</v>
      </c>
      <c r="AM385" s="134">
        <v>327170</v>
      </c>
      <c r="AN385" s="134">
        <v>306427</v>
      </c>
    </row>
    <row r="386" spans="1:40" s="123" customFormat="1" ht="16.2" thickBot="1" x14ac:dyDescent="0.35">
      <c r="A386" s="21">
        <v>55.3</v>
      </c>
      <c r="B386" s="212" t="s">
        <v>215</v>
      </c>
      <c r="C386" s="31" t="str">
        <f>VLOOKUP((CONCATENATE(B386)),ID!$A$2:$D$305,3,0)</f>
        <v>RL055</v>
      </c>
      <c r="D386" s="21">
        <v>0</v>
      </c>
      <c r="E386" s="21" t="s">
        <v>4057</v>
      </c>
      <c r="F386" s="21" t="s">
        <v>4062</v>
      </c>
      <c r="G386" s="21" t="s">
        <v>3853</v>
      </c>
      <c r="H386" s="94">
        <v>4383</v>
      </c>
      <c r="I386" s="43">
        <v>4408</v>
      </c>
      <c r="J386" s="67">
        <v>4405</v>
      </c>
      <c r="K386" s="21">
        <v>1</v>
      </c>
      <c r="L386" s="43">
        <v>4406</v>
      </c>
      <c r="M386" s="43">
        <v>4415</v>
      </c>
      <c r="N386" s="43">
        <v>4415</v>
      </c>
      <c r="O386" s="21" t="s">
        <v>3839</v>
      </c>
      <c r="P386" s="194">
        <v>1</v>
      </c>
      <c r="Q386" s="21">
        <v>1</v>
      </c>
      <c r="R386" s="39" t="str">
        <f t="shared" si="91"/>
        <v>-</v>
      </c>
      <c r="S386" s="120">
        <f t="shared" si="79"/>
        <v>150446</v>
      </c>
      <c r="T386" s="123">
        <v>385776</v>
      </c>
      <c r="U386" s="123">
        <f>85860+12300+45762</f>
        <v>143922</v>
      </c>
      <c r="V386" s="123">
        <f t="shared" si="88"/>
        <v>241854</v>
      </c>
      <c r="W386" s="122" t="str">
        <f t="shared" si="85"/>
        <v>1</v>
      </c>
      <c r="X386" s="123">
        <f>2810+104246+5738+14874+98101+Y386</f>
        <v>235330</v>
      </c>
      <c r="Y386" s="123">
        <v>9561</v>
      </c>
      <c r="Z386" s="123">
        <f t="shared" si="89"/>
        <v>225769</v>
      </c>
      <c r="AA386" s="122" t="str">
        <f t="shared" si="86"/>
        <v>1</v>
      </c>
      <c r="AB386" s="120">
        <f t="shared" si="80"/>
        <v>0</v>
      </c>
      <c r="AC386" s="123">
        <v>0</v>
      </c>
      <c r="AD386" s="123">
        <v>0</v>
      </c>
      <c r="AE386" s="123">
        <f>60189</f>
        <v>60189</v>
      </c>
      <c r="AG386" s="151">
        <f t="shared" si="90"/>
        <v>94725</v>
      </c>
      <c r="AH386" s="123">
        <f>228105-14276-149-5847</f>
        <v>207833</v>
      </c>
      <c r="AL386" s="123">
        <f>1530+68829+11000+31749</f>
        <v>113108</v>
      </c>
      <c r="AM386" s="123">
        <v>315606</v>
      </c>
      <c r="AN386" s="123">
        <v>293481</v>
      </c>
    </row>
    <row r="387" spans="1:40" s="123" customFormat="1" ht="16.2" thickBot="1" x14ac:dyDescent="0.35">
      <c r="A387" s="21">
        <v>55.4</v>
      </c>
      <c r="B387" s="212" t="s">
        <v>215</v>
      </c>
      <c r="C387" s="31" t="str">
        <f>VLOOKUP((CONCATENATE(B387)),ID!$A$2:$D$305,3,0)</f>
        <v>RL055</v>
      </c>
      <c r="D387" s="21">
        <v>0</v>
      </c>
      <c r="E387" s="21" t="s">
        <v>4057</v>
      </c>
      <c r="F387" s="21" t="s">
        <v>4062</v>
      </c>
      <c r="G387" s="21" t="s">
        <v>3853</v>
      </c>
      <c r="H387" s="94">
        <v>4565</v>
      </c>
      <c r="I387" s="43">
        <v>4576</v>
      </c>
      <c r="J387" s="80">
        <v>4587</v>
      </c>
      <c r="K387" s="21">
        <v>1</v>
      </c>
      <c r="L387" s="43">
        <v>4584</v>
      </c>
      <c r="M387" s="43">
        <v>4597</v>
      </c>
      <c r="N387" s="43">
        <v>4597</v>
      </c>
      <c r="O387" s="21" t="s">
        <v>3839</v>
      </c>
      <c r="P387" s="194">
        <v>1</v>
      </c>
      <c r="Q387" s="21">
        <v>1</v>
      </c>
      <c r="R387" s="39" t="str">
        <f t="shared" si="91"/>
        <v>-</v>
      </c>
      <c r="S387" s="120">
        <f t="shared" si="79"/>
        <v>195504</v>
      </c>
      <c r="T387" s="123">
        <v>436948</v>
      </c>
      <c r="U387" s="123">
        <f>16192+12300+38124</f>
        <v>66616</v>
      </c>
      <c r="V387" s="123">
        <f t="shared" si="88"/>
        <v>370332</v>
      </c>
      <c r="W387" s="122" t="str">
        <f t="shared" si="85"/>
        <v>1</v>
      </c>
      <c r="X387" s="123">
        <f>97911+18836+6884+105246+3032+Y387</f>
        <v>241444</v>
      </c>
      <c r="Y387" s="123">
        <v>9535</v>
      </c>
      <c r="Z387" s="123">
        <f t="shared" si="89"/>
        <v>231909</v>
      </c>
      <c r="AA387" s="122" t="str">
        <f t="shared" si="86"/>
        <v>1</v>
      </c>
      <c r="AB387" s="120">
        <f t="shared" si="80"/>
        <v>0</v>
      </c>
      <c r="AC387" s="123">
        <v>0</v>
      </c>
      <c r="AD387" s="123">
        <v>0</v>
      </c>
      <c r="AE387" s="123">
        <f>31655+200400</f>
        <v>232055</v>
      </c>
      <c r="AG387" s="151">
        <f t="shared" si="90"/>
        <v>93081</v>
      </c>
      <c r="AH387" s="123">
        <f>255383-2076-17212-149-15977</f>
        <v>219969</v>
      </c>
      <c r="AL387" s="123">
        <f>31749+12759+68829+13551</f>
        <v>126888</v>
      </c>
      <c r="AM387" s="123">
        <v>344254</v>
      </c>
      <c r="AN387" s="123">
        <v>325434</v>
      </c>
    </row>
    <row r="388" spans="1:40" s="123" customFormat="1" ht="16.2" thickBot="1" x14ac:dyDescent="0.35">
      <c r="A388" s="21"/>
      <c r="B388" s="212" t="s">
        <v>215</v>
      </c>
      <c r="C388" s="31" t="str">
        <f>VLOOKUP((CONCATENATE(B388)),ID!$A$2:$D$305,3,0)</f>
        <v>RL055</v>
      </c>
      <c r="D388" s="21">
        <v>0</v>
      </c>
      <c r="E388" s="21" t="s">
        <v>4057</v>
      </c>
      <c r="F388" s="21" t="s">
        <v>4062</v>
      </c>
      <c r="G388" s="21" t="s">
        <v>3853</v>
      </c>
      <c r="H388" s="94">
        <v>4749</v>
      </c>
      <c r="I388" s="43">
        <v>4763</v>
      </c>
      <c r="J388" s="80">
        <v>4771</v>
      </c>
      <c r="K388" s="21">
        <v>1</v>
      </c>
      <c r="L388" s="43">
        <v>4771</v>
      </c>
      <c r="M388" s="43">
        <v>4780</v>
      </c>
      <c r="N388" s="43">
        <v>4780</v>
      </c>
      <c r="O388" s="21" t="s">
        <v>3839</v>
      </c>
      <c r="P388" s="194">
        <v>1</v>
      </c>
      <c r="Q388" s="21">
        <v>1</v>
      </c>
      <c r="R388" s="39" t="str">
        <f t="shared" si="91"/>
        <v>-</v>
      </c>
      <c r="S388" s="120">
        <f t="shared" si="79"/>
        <v>183631</v>
      </c>
      <c r="T388" s="123">
        <v>444137</v>
      </c>
      <c r="U388" s="123">
        <f>38124+12300+17695</f>
        <v>68119</v>
      </c>
      <c r="V388" s="123">
        <f t="shared" si="88"/>
        <v>376018</v>
      </c>
      <c r="W388" s="122" t="str">
        <f t="shared" si="85"/>
        <v>1</v>
      </c>
      <c r="X388" s="123">
        <f>2741+105246+6779+18346+117631+Y388</f>
        <v>260506</v>
      </c>
      <c r="Y388" s="123">
        <v>9763</v>
      </c>
      <c r="Z388" s="123">
        <f t="shared" si="89"/>
        <v>250743</v>
      </c>
      <c r="AA388" s="122" t="str">
        <f t="shared" si="86"/>
        <v>1</v>
      </c>
      <c r="AB388" s="120">
        <f t="shared" si="80"/>
        <v>0</v>
      </c>
      <c r="AC388" s="123">
        <v>0</v>
      </c>
      <c r="AD388" s="123">
        <v>0</v>
      </c>
      <c r="AE388" s="123">
        <f>205000+19293</f>
        <v>224293</v>
      </c>
      <c r="AG388" s="151">
        <f t="shared" si="90"/>
        <v>89372</v>
      </c>
      <c r="AH388" s="123">
        <f>257284-6326-17107-149-15515</f>
        <v>218187</v>
      </c>
      <c r="AL388" s="123">
        <f>31749+14000+68829+13715+522</f>
        <v>128815</v>
      </c>
      <c r="AM388" s="123">
        <v>346654</v>
      </c>
      <c r="AN388" s="123">
        <v>327235</v>
      </c>
    </row>
    <row r="389" spans="1:40" s="123" customFormat="1" ht="16.2" thickBot="1" x14ac:dyDescent="0.35">
      <c r="A389" s="21"/>
      <c r="B389" s="212" t="s">
        <v>215</v>
      </c>
      <c r="C389" s="31" t="str">
        <f>VLOOKUP((CONCATENATE(B389)),ID!$A$2:$D$305,3,0)</f>
        <v>RL055</v>
      </c>
      <c r="D389" s="21">
        <v>1</v>
      </c>
      <c r="E389" s="21" t="s">
        <v>4057</v>
      </c>
      <c r="F389" s="21" t="s">
        <v>4062</v>
      </c>
      <c r="G389" s="21" t="s">
        <v>3853</v>
      </c>
      <c r="H389" s="94">
        <v>5114</v>
      </c>
      <c r="I389" s="43">
        <v>5148</v>
      </c>
      <c r="J389" s="80">
        <v>5155</v>
      </c>
      <c r="K389" s="21">
        <v>1</v>
      </c>
      <c r="L389" s="43">
        <v>5156</v>
      </c>
      <c r="M389" s="43">
        <v>5164</v>
      </c>
      <c r="N389" s="43">
        <v>5164</v>
      </c>
      <c r="O389" s="21" t="s">
        <v>3839</v>
      </c>
      <c r="P389" s="194">
        <v>1</v>
      </c>
      <c r="Q389" s="21">
        <v>1</v>
      </c>
      <c r="R389" s="39" t="str">
        <f t="shared" si="91"/>
        <v>-</v>
      </c>
      <c r="S389" s="120">
        <f t="shared" si="79"/>
        <v>200193</v>
      </c>
      <c r="T389" s="123">
        <v>425984</v>
      </c>
      <c r="U389" s="123">
        <f>50354+38124+12300</f>
        <v>100778</v>
      </c>
      <c r="V389" s="123">
        <f t="shared" si="88"/>
        <v>325206</v>
      </c>
      <c r="W389" s="122" t="str">
        <f t="shared" si="85"/>
        <v>1</v>
      </c>
      <c r="X389" s="123">
        <f>56065+773+27964+8165+7793+112543+2674+Y389</f>
        <v>225791</v>
      </c>
      <c r="Y389" s="123">
        <v>9814</v>
      </c>
      <c r="Z389" s="123">
        <f t="shared" si="89"/>
        <v>215977</v>
      </c>
      <c r="AA389" s="122" t="str">
        <f t="shared" si="86"/>
        <v>1</v>
      </c>
      <c r="AB389" s="120">
        <f t="shared" si="80"/>
        <v>0</v>
      </c>
      <c r="AC389" s="123">
        <v>0</v>
      </c>
      <c r="AD389" s="123">
        <v>0</v>
      </c>
      <c r="AE389" s="123">
        <v>148249</v>
      </c>
      <c r="AG389" s="151">
        <f t="shared" si="90"/>
        <v>628979</v>
      </c>
      <c r="AH389" s="123">
        <f>923072-3125-5301-402-7619-15563-31737</f>
        <v>859325</v>
      </c>
      <c r="AL389" s="123">
        <f>63499+29188+72691+64968</f>
        <v>230346</v>
      </c>
      <c r="AM389" s="123">
        <v>789662</v>
      </c>
      <c r="AN389" s="123">
        <v>686176</v>
      </c>
    </row>
    <row r="390" spans="1:40" s="123" customFormat="1" ht="16.2" thickBot="1" x14ac:dyDescent="0.35">
      <c r="A390" s="21"/>
      <c r="B390" s="212" t="s">
        <v>217</v>
      </c>
      <c r="C390" s="31" t="str">
        <f>VLOOKUP((CONCATENATE(B390)),ID!$A$2:$D$305,3,0)</f>
        <v>RL056</v>
      </c>
      <c r="D390" s="21">
        <v>0</v>
      </c>
      <c r="E390" s="21" t="s">
        <v>4057</v>
      </c>
      <c r="F390" s="21" t="s">
        <v>1117</v>
      </c>
      <c r="G390" s="21" t="s">
        <v>3853</v>
      </c>
      <c r="H390" s="94">
        <v>3653</v>
      </c>
      <c r="I390" s="43">
        <v>3663</v>
      </c>
      <c r="J390" s="80">
        <v>3671</v>
      </c>
      <c r="K390" s="21">
        <v>0</v>
      </c>
      <c r="L390" s="43"/>
      <c r="M390" s="43"/>
      <c r="N390" s="43">
        <v>3679</v>
      </c>
      <c r="O390" s="21" t="s">
        <v>4096</v>
      </c>
      <c r="P390" s="194">
        <v>1</v>
      </c>
      <c r="Q390" s="21">
        <v>1</v>
      </c>
      <c r="R390" s="39" t="str">
        <f t="shared" si="91"/>
        <v>-</v>
      </c>
      <c r="S390" s="120">
        <f t="shared" si="79"/>
        <v>303599</v>
      </c>
      <c r="T390" s="123">
        <v>552926</v>
      </c>
      <c r="U390" s="123">
        <f>38899+11279+50000</f>
        <v>100178</v>
      </c>
      <c r="V390" s="123">
        <f t="shared" si="88"/>
        <v>452748</v>
      </c>
      <c r="W390" s="122" t="str">
        <f t="shared" si="85"/>
        <v>1</v>
      </c>
      <c r="X390" s="123">
        <f>T390-65975-1708-59109-24456-13254-139097</f>
        <v>249327</v>
      </c>
      <c r="Y390" s="123">
        <f>10507+6257+2096+87640</f>
        <v>106500</v>
      </c>
      <c r="Z390" s="123">
        <f>X390-Y390</f>
        <v>142827</v>
      </c>
      <c r="AA390" s="122" t="str">
        <f t="shared" si="86"/>
        <v>1</v>
      </c>
      <c r="AB390" s="123">
        <f t="shared" si="80"/>
        <v>0</v>
      </c>
      <c r="AC390" s="123">
        <v>0</v>
      </c>
      <c r="AD390" s="123">
        <v>0</v>
      </c>
      <c r="AE390" s="123">
        <v>170069</v>
      </c>
      <c r="AG390" s="151">
        <f t="shared" si="90"/>
        <v>135736</v>
      </c>
      <c r="AH390" s="123">
        <f>139097-3904+543+AL390</f>
        <v>223376</v>
      </c>
      <c r="AL390" s="123">
        <f>85879+1761</f>
        <v>87640</v>
      </c>
      <c r="AM390" s="123">
        <v>390755</v>
      </c>
      <c r="AN390" s="123">
        <v>313121</v>
      </c>
    </row>
    <row r="391" spans="1:40" s="123" customFormat="1" ht="16.2" thickBot="1" x14ac:dyDescent="0.35">
      <c r="A391" s="21"/>
      <c r="B391" s="212" t="s">
        <v>217</v>
      </c>
      <c r="C391" s="31" t="str">
        <f>VLOOKUP((CONCATENATE(B391)),ID!$A$2:$D$305,3,0)</f>
        <v>RL056</v>
      </c>
      <c r="D391" s="21">
        <v>0</v>
      </c>
      <c r="E391" s="21" t="s">
        <v>4057</v>
      </c>
      <c r="F391" s="21" t="s">
        <v>1117</v>
      </c>
      <c r="G391" s="21" t="s">
        <v>3853</v>
      </c>
      <c r="H391" s="94">
        <v>3834</v>
      </c>
      <c r="I391" s="43">
        <v>3846</v>
      </c>
      <c r="J391" s="80">
        <v>3852</v>
      </c>
      <c r="K391" s="21">
        <v>0</v>
      </c>
      <c r="L391" s="43"/>
      <c r="M391" s="43"/>
      <c r="N391" s="43">
        <v>3861</v>
      </c>
      <c r="O391" s="21" t="s">
        <v>4096</v>
      </c>
      <c r="P391" s="194">
        <v>1</v>
      </c>
      <c r="Q391" s="21">
        <v>1</v>
      </c>
      <c r="R391" s="39" t="str">
        <f t="shared" si="91"/>
        <v>-</v>
      </c>
      <c r="S391" s="120">
        <f t="shared" si="79"/>
        <v>355804</v>
      </c>
      <c r="T391" s="123">
        <v>620181</v>
      </c>
      <c r="U391" s="123">
        <f>64941+11279+50000</f>
        <v>126220</v>
      </c>
      <c r="V391" s="123">
        <f t="shared" si="88"/>
        <v>493961</v>
      </c>
      <c r="W391" s="122" t="str">
        <f t="shared" si="85"/>
        <v>1</v>
      </c>
      <c r="X391" s="123">
        <f>T391-146379-65975-32763-1631-70300-25000-13756</f>
        <v>264377</v>
      </c>
      <c r="Y391" s="123">
        <f>90874+2101+6396+13129</f>
        <v>112500</v>
      </c>
      <c r="Z391" s="123">
        <f>X391-Y391</f>
        <v>151877</v>
      </c>
      <c r="AA391" s="122" t="str">
        <f t="shared" si="86"/>
        <v>1</v>
      </c>
      <c r="AB391" s="120">
        <f t="shared" si="80"/>
        <v>0</v>
      </c>
      <c r="AC391" s="123">
        <v>0</v>
      </c>
      <c r="AD391" s="123">
        <v>0</v>
      </c>
      <c r="AE391" s="123">
        <v>230764</v>
      </c>
      <c r="AG391" s="151">
        <f t="shared" si="90"/>
        <v>151000</v>
      </c>
      <c r="AH391" s="123">
        <f>257283-5926-6869-5902</f>
        <v>238586</v>
      </c>
      <c r="AL391" s="123">
        <f>1707+85879</f>
        <v>87586</v>
      </c>
      <c r="AM391" s="123">
        <v>391488</v>
      </c>
      <c r="AN391" s="123">
        <v>313128</v>
      </c>
    </row>
    <row r="392" spans="1:40" s="123" customFormat="1" ht="16.2" thickBot="1" x14ac:dyDescent="0.35">
      <c r="A392" s="21">
        <v>56.1</v>
      </c>
      <c r="B392" s="212" t="s">
        <v>217</v>
      </c>
      <c r="C392" s="31" t="str">
        <f>VLOOKUP((CONCATENATE(B392)),ID!$A$2:$D$305,3,0)</f>
        <v>RL056</v>
      </c>
      <c r="D392" s="21">
        <v>0</v>
      </c>
      <c r="E392" s="21" t="s">
        <v>4057</v>
      </c>
      <c r="F392" s="21" t="s">
        <v>1117</v>
      </c>
      <c r="G392" s="21" t="s">
        <v>3853</v>
      </c>
      <c r="H392" s="94">
        <v>4018</v>
      </c>
      <c r="I392" s="43">
        <v>4025</v>
      </c>
      <c r="J392" s="43">
        <v>4035</v>
      </c>
      <c r="K392" s="21">
        <v>0</v>
      </c>
      <c r="L392" s="21"/>
      <c r="M392" s="21"/>
      <c r="N392" s="43">
        <v>4043</v>
      </c>
      <c r="O392" s="21" t="s">
        <v>4096</v>
      </c>
      <c r="P392" s="194">
        <v>1</v>
      </c>
      <c r="Q392" s="21">
        <v>1</v>
      </c>
      <c r="R392" s="39" t="str">
        <f t="shared" si="91"/>
        <v>-</v>
      </c>
      <c r="S392" s="120">
        <f t="shared" si="79"/>
        <v>359861</v>
      </c>
      <c r="T392" s="123">
        <v>631144</v>
      </c>
      <c r="U392" s="123">
        <f>123648+11279+50000+21587</f>
        <v>206514</v>
      </c>
      <c r="V392" s="123">
        <f t="shared" si="88"/>
        <v>424630</v>
      </c>
      <c r="W392" s="122" t="str">
        <f t="shared" si="85"/>
        <v>1</v>
      </c>
      <c r="X392" s="123">
        <f>1264+78821+8428+67514+91056+1823+6521+15856</f>
        <v>271283</v>
      </c>
      <c r="Y392" s="123">
        <f>91056+1823+6521+15856</f>
        <v>115256</v>
      </c>
      <c r="Z392" s="123">
        <f t="shared" si="89"/>
        <v>156027</v>
      </c>
      <c r="AA392" s="122" t="str">
        <f t="shared" si="86"/>
        <v>1</v>
      </c>
      <c r="AB392" s="120">
        <f t="shared" si="80"/>
        <v>0</v>
      </c>
      <c r="AC392" s="123">
        <v>0</v>
      </c>
      <c r="AD392" s="123">
        <v>0</v>
      </c>
      <c r="AE392" s="123">
        <v>151489</v>
      </c>
      <c r="AG392" s="151">
        <f t="shared" si="90"/>
        <v>161504</v>
      </c>
      <c r="AH392" s="134">
        <f>266927-6043-6056-4605</f>
        <v>250223</v>
      </c>
      <c r="AI392" s="134"/>
      <c r="AJ392" s="134"/>
      <c r="AK392" s="134"/>
      <c r="AL392" s="134">
        <f>85879+1006+1834</f>
        <v>88719</v>
      </c>
      <c r="AM392" s="134">
        <v>403169</v>
      </c>
      <c r="AN392" s="134">
        <v>321859</v>
      </c>
    </row>
    <row r="393" spans="1:40" s="123" customFormat="1" ht="16.2" thickBot="1" x14ac:dyDescent="0.35">
      <c r="A393" s="21">
        <v>56.2</v>
      </c>
      <c r="B393" s="212" t="s">
        <v>217</v>
      </c>
      <c r="C393" s="31" t="str">
        <f>VLOOKUP((CONCATENATE(B393)),ID!$A$2:$D$305,3,0)</f>
        <v>RL056</v>
      </c>
      <c r="D393" s="21">
        <v>0</v>
      </c>
      <c r="E393" s="21" t="s">
        <v>4057</v>
      </c>
      <c r="F393" s="21" t="s">
        <v>1117</v>
      </c>
      <c r="G393" s="21" t="s">
        <v>3853</v>
      </c>
      <c r="H393" s="94">
        <v>4199</v>
      </c>
      <c r="I393" s="43">
        <v>4210</v>
      </c>
      <c r="J393" s="43">
        <v>4216</v>
      </c>
      <c r="K393" s="21">
        <v>0</v>
      </c>
      <c r="L393" s="21"/>
      <c r="M393" s="21"/>
      <c r="N393" s="43">
        <v>4225</v>
      </c>
      <c r="O393" s="21" t="s">
        <v>4096</v>
      </c>
      <c r="P393" s="194">
        <v>1</v>
      </c>
      <c r="Q393" s="21">
        <v>1</v>
      </c>
      <c r="R393" s="39" t="str">
        <f t="shared" si="91"/>
        <v>-</v>
      </c>
      <c r="S393" s="120">
        <f t="shared" si="79"/>
        <v>369810</v>
      </c>
      <c r="T393" s="123">
        <v>641682</v>
      </c>
      <c r="U393" s="123">
        <f>155431+11279+47000+31381</f>
        <v>245091</v>
      </c>
      <c r="V393" s="123">
        <f t="shared" si="88"/>
        <v>396591</v>
      </c>
      <c r="W393" s="122" t="str">
        <f t="shared" si="85"/>
        <v>1</v>
      </c>
      <c r="X393" s="123">
        <f>1299+78821+8781+62178+Y393</f>
        <v>271872</v>
      </c>
      <c r="Y393" s="123">
        <f>18383+6661+2108+93641</f>
        <v>120793</v>
      </c>
      <c r="Z393" s="123">
        <f t="shared" si="89"/>
        <v>151079</v>
      </c>
      <c r="AA393" s="122" t="str">
        <f t="shared" si="86"/>
        <v>1</v>
      </c>
      <c r="AB393" s="120">
        <f t="shared" si="80"/>
        <v>0</v>
      </c>
      <c r="AC393" s="123">
        <v>0</v>
      </c>
      <c r="AD393" s="123">
        <v>0</v>
      </c>
      <c r="AE393" s="123">
        <v>139429</v>
      </c>
      <c r="AG393" s="151">
        <f t="shared" si="90"/>
        <v>162776</v>
      </c>
      <c r="AH393" s="134">
        <f>270920-9498-5663-4907</f>
        <v>250852</v>
      </c>
      <c r="AI393" s="134"/>
      <c r="AJ393" s="134"/>
      <c r="AK393" s="134"/>
      <c r="AL393" s="134">
        <f>85879+457+1740</f>
        <v>88076</v>
      </c>
      <c r="AM393" s="134">
        <v>400735</v>
      </c>
      <c r="AN393" s="134">
        <v>318737</v>
      </c>
    </row>
    <row r="394" spans="1:40" s="123" customFormat="1" ht="16.2" thickBot="1" x14ac:dyDescent="0.35">
      <c r="A394" s="21">
        <v>56.3</v>
      </c>
      <c r="B394" s="212" t="s">
        <v>217</v>
      </c>
      <c r="C394" s="31" t="str">
        <f>VLOOKUP((CONCATENATE(B394)),ID!$A$2:$D$305,3,0)</f>
        <v>RL056</v>
      </c>
      <c r="D394" s="21">
        <v>0</v>
      </c>
      <c r="E394" s="21" t="s">
        <v>4057</v>
      </c>
      <c r="F394" s="21" t="s">
        <v>1117</v>
      </c>
      <c r="G394" s="21" t="s">
        <v>3853</v>
      </c>
      <c r="H394" s="94">
        <v>4383</v>
      </c>
      <c r="I394" s="43">
        <v>4398</v>
      </c>
      <c r="J394" s="43">
        <v>4406</v>
      </c>
      <c r="K394" s="21">
        <v>0</v>
      </c>
      <c r="L394" s="21"/>
      <c r="M394" s="21"/>
      <c r="N394" s="43">
        <v>4414</v>
      </c>
      <c r="O394" s="21" t="s">
        <v>4096</v>
      </c>
      <c r="P394" s="194">
        <v>1</v>
      </c>
      <c r="Q394" s="21">
        <v>1</v>
      </c>
      <c r="R394" s="39" t="str">
        <f t="shared" si="91"/>
        <v>-</v>
      </c>
      <c r="S394" s="120">
        <f t="shared" si="79"/>
        <v>359651</v>
      </c>
      <c r="T394" s="123">
        <v>634141</v>
      </c>
      <c r="U394" s="123">
        <f>224619+56650+40603</f>
        <v>321872</v>
      </c>
      <c r="V394" s="123">
        <f t="shared" si="88"/>
        <v>312269</v>
      </c>
      <c r="W394" s="122" t="str">
        <f t="shared" si="85"/>
        <v>1</v>
      </c>
      <c r="X394" s="123">
        <f>63450+7806+78821+1438+Y394</f>
        <v>274490</v>
      </c>
      <c r="Y394" s="123">
        <f>21457+6786+2484+92248</f>
        <v>122975</v>
      </c>
      <c r="Z394" s="123">
        <f t="shared" si="89"/>
        <v>151515</v>
      </c>
      <c r="AA394" s="122" t="str">
        <f t="shared" si="86"/>
        <v>1</v>
      </c>
      <c r="AB394" s="120">
        <f t="shared" si="80"/>
        <v>0</v>
      </c>
      <c r="AC394" s="123">
        <v>0</v>
      </c>
      <c r="AD394" s="123">
        <v>0</v>
      </c>
      <c r="AE394" s="123">
        <v>47490</v>
      </c>
      <c r="AG394" s="151">
        <f t="shared" si="90"/>
        <v>166119</v>
      </c>
      <c r="AH394" s="123">
        <f>269809-4104-5675-5427</f>
        <v>254603</v>
      </c>
      <c r="AL394" s="123">
        <f>85879+743+1862</f>
        <v>88484</v>
      </c>
      <c r="AM394" s="123">
        <v>396980</v>
      </c>
      <c r="AN394" s="123">
        <v>312746</v>
      </c>
    </row>
    <row r="395" spans="1:40" s="123" customFormat="1" ht="16.2" thickBot="1" x14ac:dyDescent="0.35">
      <c r="A395" s="21">
        <v>56.4</v>
      </c>
      <c r="B395" s="212" t="s">
        <v>217</v>
      </c>
      <c r="C395" s="31" t="str">
        <f>VLOOKUP((CONCATENATE(B395)),ID!$A$2:$D$305,3,0)</f>
        <v>RL056</v>
      </c>
      <c r="D395" s="21">
        <v>0</v>
      </c>
      <c r="E395" s="21" t="s">
        <v>4057</v>
      </c>
      <c r="F395" s="21" t="s">
        <v>1117</v>
      </c>
      <c r="G395" s="21" t="s">
        <v>3853</v>
      </c>
      <c r="H395" s="94">
        <v>4565</v>
      </c>
      <c r="I395" s="43">
        <v>4581</v>
      </c>
      <c r="J395" s="43">
        <v>4588</v>
      </c>
      <c r="K395" s="21">
        <v>0</v>
      </c>
      <c r="L395" s="21"/>
      <c r="M395" s="21"/>
      <c r="N395" s="43">
        <v>4596</v>
      </c>
      <c r="O395" s="21" t="s">
        <v>4096</v>
      </c>
      <c r="P395" s="194">
        <v>1</v>
      </c>
      <c r="Q395" s="21">
        <v>1</v>
      </c>
      <c r="R395" s="39" t="str">
        <f t="shared" si="91"/>
        <v>-</v>
      </c>
      <c r="S395" s="120">
        <f t="shared" si="79"/>
        <v>474069</v>
      </c>
      <c r="T395" s="123">
        <v>751848</v>
      </c>
      <c r="U395" s="123">
        <f>54650+16803</f>
        <v>71453</v>
      </c>
      <c r="V395" s="123">
        <f t="shared" si="88"/>
        <v>680395</v>
      </c>
      <c r="W395" s="122" t="str">
        <f t="shared" si="85"/>
        <v>1</v>
      </c>
      <c r="X395" s="123">
        <f>1368+78821+8263+61108+Y395</f>
        <v>277779</v>
      </c>
      <c r="Y395" s="123">
        <f>94489+2527+6927+24276</f>
        <v>128219</v>
      </c>
      <c r="Z395" s="123">
        <f t="shared" si="89"/>
        <v>149560</v>
      </c>
      <c r="AA395" s="122" t="str">
        <f t="shared" si="86"/>
        <v>1</v>
      </c>
      <c r="AB395" s="120">
        <f t="shared" si="80"/>
        <v>0</v>
      </c>
      <c r="AC395" s="123">
        <v>0</v>
      </c>
      <c r="AD395" s="123">
        <v>0</v>
      </c>
      <c r="AE395" s="123">
        <f>368685</f>
        <v>368685</v>
      </c>
      <c r="AG395" s="151">
        <f t="shared" si="90"/>
        <v>157643</v>
      </c>
      <c r="AH395" s="123">
        <f>265813-9217-5681-5635</f>
        <v>245280</v>
      </c>
      <c r="AL395" s="123">
        <f>85879+1758</f>
        <v>87637</v>
      </c>
      <c r="AM395" s="123">
        <v>391440</v>
      </c>
      <c r="AN395" s="123">
        <v>311623</v>
      </c>
    </row>
    <row r="396" spans="1:40" s="123" customFormat="1" ht="16.2" thickBot="1" x14ac:dyDescent="0.35">
      <c r="A396" s="21"/>
      <c r="B396" s="212" t="s">
        <v>217</v>
      </c>
      <c r="C396" s="31" t="str">
        <f>VLOOKUP((CONCATENATE(B396)),ID!$A$2:$D$305,3,0)</f>
        <v>RL056</v>
      </c>
      <c r="D396" s="21">
        <v>0</v>
      </c>
      <c r="E396" s="21" t="s">
        <v>4057</v>
      </c>
      <c r="F396" s="21" t="s">
        <v>1117</v>
      </c>
      <c r="G396" s="21" t="s">
        <v>3853</v>
      </c>
      <c r="H396" s="94">
        <v>4749</v>
      </c>
      <c r="I396" s="43">
        <v>4760</v>
      </c>
      <c r="J396" s="43">
        <v>4770</v>
      </c>
      <c r="K396" s="21">
        <v>0</v>
      </c>
      <c r="L396" s="21"/>
      <c r="M396" s="21"/>
      <c r="N396" s="43">
        <v>4778</v>
      </c>
      <c r="O396" s="21" t="s">
        <v>4096</v>
      </c>
      <c r="P396" s="194">
        <v>1</v>
      </c>
      <c r="Q396" s="21">
        <v>1</v>
      </c>
      <c r="R396" s="39" t="str">
        <f t="shared" si="91"/>
        <v>-</v>
      </c>
      <c r="S396" s="120">
        <f>T396-X396</f>
        <v>375502</v>
      </c>
      <c r="T396" s="123">
        <v>661984</v>
      </c>
      <c r="U396" s="123">
        <f>54650</f>
        <v>54650</v>
      </c>
      <c r="V396" s="123">
        <f>T396-U396</f>
        <v>607334</v>
      </c>
      <c r="W396" s="122" t="str">
        <f>IF(V396+U396=T396,"1","0")</f>
        <v>1</v>
      </c>
      <c r="X396" s="123">
        <f>1704+78821+8232+67830+Y396</f>
        <v>286482</v>
      </c>
      <c r="Y396" s="123">
        <f>27177+7037+2325+93356</f>
        <v>129895</v>
      </c>
      <c r="Z396" s="123">
        <f>X396-Y396</f>
        <v>156587</v>
      </c>
      <c r="AA396" s="122" t="str">
        <f>IF(Z396+Y396=X396,"1","0")</f>
        <v>1</v>
      </c>
      <c r="AB396" s="120">
        <f>SUM(AC396+AD396)</f>
        <v>0</v>
      </c>
      <c r="AC396" s="123">
        <v>0</v>
      </c>
      <c r="AD396" s="123">
        <v>0</v>
      </c>
      <c r="AE396" s="123">
        <f>120294+200000</f>
        <v>320294</v>
      </c>
      <c r="AG396" s="151">
        <f>AH396-AL396-AI396</f>
        <v>175214</v>
      </c>
      <c r="AH396" s="123">
        <f>277235-4610-4004-5651</f>
        <v>262970</v>
      </c>
      <c r="AL396" s="123">
        <f>85879+1877</f>
        <v>87756</v>
      </c>
      <c r="AM396" s="123">
        <v>402544</v>
      </c>
      <c r="AN396" s="123">
        <v>313192</v>
      </c>
    </row>
    <row r="397" spans="1:40" s="123" customFormat="1" ht="16.2" thickBot="1" x14ac:dyDescent="0.35">
      <c r="A397" s="21"/>
      <c r="B397" s="212" t="s">
        <v>217</v>
      </c>
      <c r="C397" s="31" t="str">
        <f>VLOOKUP((CONCATENATE(B397)),ID!$A$2:$D$305,3,0)</f>
        <v>RL056</v>
      </c>
      <c r="D397" s="21">
        <v>1</v>
      </c>
      <c r="E397" s="21" t="s">
        <v>4057</v>
      </c>
      <c r="F397" s="21" t="s">
        <v>1117</v>
      </c>
      <c r="G397" s="21" t="s">
        <v>3853</v>
      </c>
      <c r="H397" s="94">
        <v>5114</v>
      </c>
      <c r="I397" s="43">
        <v>5141</v>
      </c>
      <c r="J397" s="43">
        <v>5149</v>
      </c>
      <c r="K397" s="21">
        <v>0</v>
      </c>
      <c r="L397" s="21"/>
      <c r="M397" s="21"/>
      <c r="N397" s="43">
        <v>5157</v>
      </c>
      <c r="O397" s="21" t="s">
        <v>4096</v>
      </c>
      <c r="P397" s="194">
        <v>1</v>
      </c>
      <c r="Q397" s="21">
        <v>1</v>
      </c>
      <c r="R397" s="39" t="str">
        <f t="shared" si="91"/>
        <v>-</v>
      </c>
      <c r="S397" s="120">
        <f t="shared" si="79"/>
        <v>357655</v>
      </c>
      <c r="T397" s="123">
        <v>882139</v>
      </c>
      <c r="U397" s="123">
        <f>389485+9656+46170</f>
        <v>445311</v>
      </c>
      <c r="V397" s="123">
        <f>T397-U397</f>
        <v>436828</v>
      </c>
      <c r="W397" s="122" t="str">
        <f>IF(V397+U397=T397,"1","0")</f>
        <v>1</v>
      </c>
      <c r="X397" s="123">
        <f>16177+72470+13125+90308+1276+Y397</f>
        <v>524484</v>
      </c>
      <c r="Y397" s="123">
        <f>193000+94874+32991+7301+2962</f>
        <v>331128</v>
      </c>
      <c r="Z397" s="123">
        <f>X397-Y397</f>
        <v>193356</v>
      </c>
      <c r="AA397" s="122" t="str">
        <f>IF(Z397+Y397=X397,"1","0")</f>
        <v>1</v>
      </c>
      <c r="AB397" s="120">
        <f>SUM(AC397+AD397)</f>
        <v>193000</v>
      </c>
      <c r="AC397" s="123">
        <v>193000</v>
      </c>
      <c r="AD397" s="123">
        <v>0</v>
      </c>
      <c r="AE397" s="123">
        <v>74554</v>
      </c>
      <c r="AG397" s="151">
        <f>AH397-AL397-AI397</f>
        <v>407343</v>
      </c>
      <c r="AH397" s="123">
        <f>649959-9496-336-13797-3891-26623</f>
        <v>595816</v>
      </c>
      <c r="AJ397" s="123">
        <v>190516</v>
      </c>
      <c r="AL397" s="123">
        <f>1149+2000+126044+54674+3891+715</f>
        <v>188473</v>
      </c>
      <c r="AM397" s="123">
        <v>944306</v>
      </c>
      <c r="AN397" s="123">
        <v>675735</v>
      </c>
    </row>
    <row r="398" spans="1:40" s="123" customFormat="1" ht="16.2" thickBot="1" x14ac:dyDescent="0.35">
      <c r="A398" s="21"/>
      <c r="B398" s="212" t="s">
        <v>219</v>
      </c>
      <c r="C398" s="31" t="str">
        <f>VLOOKUP((CONCATENATE(B398)),ID!$A$2:$D$305,3,0)</f>
        <v>RL057</v>
      </c>
      <c r="D398" s="21">
        <v>0</v>
      </c>
      <c r="E398" s="21" t="s">
        <v>4057</v>
      </c>
      <c r="F398" s="21" t="s">
        <v>1117</v>
      </c>
      <c r="G398" s="21" t="s">
        <v>3827</v>
      </c>
      <c r="H398" s="94">
        <v>3653</v>
      </c>
      <c r="I398" s="43">
        <v>3754</v>
      </c>
      <c r="J398" s="43">
        <v>3754</v>
      </c>
      <c r="K398" s="21">
        <v>0</v>
      </c>
      <c r="L398" s="21"/>
      <c r="M398" s="21"/>
      <c r="N398" s="43">
        <v>3764</v>
      </c>
      <c r="O398" s="27" t="s">
        <v>3800</v>
      </c>
      <c r="P398" s="194" t="str">
        <f>IF(AJ398=0,"?","1")</f>
        <v>1</v>
      </c>
      <c r="Q398" s="21">
        <v>1</v>
      </c>
      <c r="R398" s="39" t="str">
        <f t="shared" si="91"/>
        <v>-</v>
      </c>
      <c r="S398" s="120">
        <f t="shared" si="79"/>
        <v>565800</v>
      </c>
      <c r="T398" s="120">
        <v>700592</v>
      </c>
      <c r="U398" s="120">
        <f>100030+827+108121</f>
        <v>208978</v>
      </c>
      <c r="V398" s="120">
        <f>T398-U398</f>
        <v>491614</v>
      </c>
      <c r="W398" s="120" t="str">
        <f>IF(V398+U398=T398,"1","0")</f>
        <v>1</v>
      </c>
      <c r="X398" s="120">
        <f>T398-6264-36967-1513-267-67-116495-404227</f>
        <v>134792</v>
      </c>
      <c r="Y398" s="120">
        <f>AB398</f>
        <v>0</v>
      </c>
      <c r="Z398" s="120">
        <f>X398-Y398</f>
        <v>134792</v>
      </c>
      <c r="AA398" s="122" t="str">
        <f>IF(Z398+Y398=X398,"1","0")</f>
        <v>1</v>
      </c>
      <c r="AB398" s="120">
        <f>AC398+AD398</f>
        <v>0</v>
      </c>
      <c r="AC398" s="123">
        <v>0</v>
      </c>
      <c r="AD398" s="123">
        <v>0</v>
      </c>
      <c r="AE398" s="123">
        <v>247726</v>
      </c>
      <c r="AG398" s="151">
        <f t="shared" si="90"/>
        <v>116495</v>
      </c>
      <c r="AH398" s="123">
        <f>188852</f>
        <v>188852</v>
      </c>
      <c r="AJ398" s="123">
        <f>102164+13281</f>
        <v>115445</v>
      </c>
      <c r="AL398" s="123">
        <f>72357</f>
        <v>72357</v>
      </c>
    </row>
    <row r="399" spans="1:40" s="123" customFormat="1" ht="16.2" thickBot="1" x14ac:dyDescent="0.35">
      <c r="A399" s="21"/>
      <c r="B399" s="212" t="s">
        <v>219</v>
      </c>
      <c r="C399" s="31" t="str">
        <f>VLOOKUP((CONCATENATE(B399)),ID!$A$2:$D$305,3,0)</f>
        <v>RL057</v>
      </c>
      <c r="D399" s="21">
        <v>0</v>
      </c>
      <c r="E399" s="21" t="s">
        <v>4057</v>
      </c>
      <c r="F399" s="21" t="s">
        <v>1117</v>
      </c>
      <c r="G399" s="21" t="s">
        <v>3827</v>
      </c>
      <c r="H399" s="94">
        <v>3834</v>
      </c>
      <c r="I399" s="43">
        <v>3932</v>
      </c>
      <c r="J399" s="43">
        <v>3932</v>
      </c>
      <c r="K399" s="21">
        <v>0</v>
      </c>
      <c r="L399" s="21"/>
      <c r="M399" s="21"/>
      <c r="N399" s="43">
        <v>3946</v>
      </c>
      <c r="O399" s="27" t="s">
        <v>3800</v>
      </c>
      <c r="P399" s="194">
        <v>1</v>
      </c>
      <c r="Q399" s="21">
        <v>1</v>
      </c>
      <c r="R399" s="39" t="str">
        <f t="shared" si="91"/>
        <v>-</v>
      </c>
      <c r="S399" s="120">
        <f t="shared" si="79"/>
        <v>495784</v>
      </c>
      <c r="T399" s="123">
        <v>635579</v>
      </c>
      <c r="U399" s="123">
        <f>100030+827+141741</f>
        <v>242598</v>
      </c>
      <c r="V399" s="123">
        <f>T399-U399</f>
        <v>392981</v>
      </c>
      <c r="W399" s="122" t="str">
        <f>IF(V399+U399=T399,"1","0")</f>
        <v>1</v>
      </c>
      <c r="X399" s="123">
        <f>T399-8374-38031-1542-51-67-142072-305647</f>
        <v>139795</v>
      </c>
      <c r="Y399" s="123">
        <f t="shared" ref="Y399:Y407" si="92">AB399</f>
        <v>0</v>
      </c>
      <c r="Z399" s="123">
        <f>X399-Y399</f>
        <v>139795</v>
      </c>
      <c r="AA399" s="122" t="str">
        <f>IF(Z399+Y399=X399,"1","0")</f>
        <v>1</v>
      </c>
      <c r="AB399" s="120">
        <f>AC399+AD399</f>
        <v>0</v>
      </c>
      <c r="AC399" s="123">
        <v>0</v>
      </c>
      <c r="AD399" s="123">
        <v>0</v>
      </c>
      <c r="AE399" s="123">
        <v>213744</v>
      </c>
      <c r="AG399" s="151">
        <f t="shared" si="90"/>
        <v>142073</v>
      </c>
      <c r="AH399" s="123">
        <f>216489-AK399</f>
        <v>214823</v>
      </c>
      <c r="AJ399" s="123">
        <f>102164+14546</f>
        <v>116710</v>
      </c>
      <c r="AK399" s="123">
        <v>1666</v>
      </c>
      <c r="AL399" s="123">
        <v>72750</v>
      </c>
    </row>
    <row r="400" spans="1:40" s="123" customFormat="1" ht="16.2" thickBot="1" x14ac:dyDescent="0.35">
      <c r="A400" s="21">
        <v>57.1</v>
      </c>
      <c r="B400" s="212" t="s">
        <v>219</v>
      </c>
      <c r="C400" s="31" t="str">
        <f>VLOOKUP((CONCATENATE(B400)),ID!$A$2:$D$305,3,0)</f>
        <v>RL057</v>
      </c>
      <c r="D400" s="21">
        <v>0</v>
      </c>
      <c r="E400" s="21" t="s">
        <v>4057</v>
      </c>
      <c r="F400" s="21" t="s">
        <v>1117</v>
      </c>
      <c r="G400" s="21" t="s">
        <v>3827</v>
      </c>
      <c r="H400" s="94">
        <v>4018</v>
      </c>
      <c r="I400" s="43">
        <v>4114</v>
      </c>
      <c r="J400" s="80">
        <v>4119</v>
      </c>
      <c r="K400" s="21">
        <v>0</v>
      </c>
      <c r="L400" s="21"/>
      <c r="M400" s="21"/>
      <c r="N400" s="43">
        <v>4135</v>
      </c>
      <c r="O400" s="27" t="s">
        <v>3800</v>
      </c>
      <c r="P400" s="194" t="str">
        <f>IF(AJ400=0,"?","1")</f>
        <v>1</v>
      </c>
      <c r="Q400" s="21">
        <v>1</v>
      </c>
      <c r="R400" s="39" t="str">
        <f t="shared" si="91"/>
        <v>-</v>
      </c>
      <c r="S400" s="120">
        <f t="shared" si="79"/>
        <v>391680</v>
      </c>
      <c r="T400" s="123">
        <v>545527</v>
      </c>
      <c r="U400" s="123">
        <f>100000+827+124260</f>
        <v>225087</v>
      </c>
      <c r="V400" s="123">
        <f t="shared" si="88"/>
        <v>320440</v>
      </c>
      <c r="W400" s="122" t="str">
        <f t="shared" si="85"/>
        <v>1</v>
      </c>
      <c r="X400" s="123">
        <f>1991+84564+67292</f>
        <v>153847</v>
      </c>
      <c r="Y400" s="123">
        <f t="shared" si="92"/>
        <v>0</v>
      </c>
      <c r="Z400" s="123">
        <f t="shared" si="89"/>
        <v>153847</v>
      </c>
      <c r="AA400" s="122" t="str">
        <f t="shared" si="86"/>
        <v>1</v>
      </c>
      <c r="AB400" s="120">
        <f t="shared" si="80"/>
        <v>0</v>
      </c>
      <c r="AC400" s="123">
        <v>0</v>
      </c>
      <c r="AD400" s="123">
        <v>0</v>
      </c>
      <c r="AE400" s="123">
        <v>104841</v>
      </c>
      <c r="AG400" s="151">
        <f t="shared" si="90"/>
        <v>141739</v>
      </c>
      <c r="AH400" s="123">
        <f>212409+223+2857-1000</f>
        <v>214489</v>
      </c>
      <c r="AJ400" s="123">
        <f>102164+30358+8455</f>
        <v>140977</v>
      </c>
      <c r="AK400" s="123">
        <v>1000</v>
      </c>
      <c r="AL400" s="123">
        <f>72750</f>
        <v>72750</v>
      </c>
    </row>
    <row r="401" spans="1:40" s="123" customFormat="1" ht="16.2" thickBot="1" x14ac:dyDescent="0.35">
      <c r="A401" s="21">
        <v>57.2</v>
      </c>
      <c r="B401" s="212" t="s">
        <v>219</v>
      </c>
      <c r="C401" s="31" t="str">
        <f>VLOOKUP((CONCATENATE(B401)),ID!$A$2:$D$305,3,0)</f>
        <v>RL057</v>
      </c>
      <c r="D401" s="21">
        <v>0</v>
      </c>
      <c r="E401" s="21" t="s">
        <v>4057</v>
      </c>
      <c r="F401" s="21" t="s">
        <v>1117</v>
      </c>
      <c r="G401" s="21" t="s">
        <v>3827</v>
      </c>
      <c r="H401" s="94">
        <v>4199</v>
      </c>
      <c r="I401" s="43">
        <v>4296</v>
      </c>
      <c r="J401" s="43">
        <v>4296</v>
      </c>
      <c r="K401" s="21">
        <v>0</v>
      </c>
      <c r="L401" s="21"/>
      <c r="M401" s="21"/>
      <c r="N401" s="43">
        <v>4310</v>
      </c>
      <c r="O401" s="27" t="s">
        <v>3800</v>
      </c>
      <c r="P401" s="194">
        <v>1</v>
      </c>
      <c r="Q401" s="21">
        <v>1</v>
      </c>
      <c r="R401" s="39" t="str">
        <f t="shared" si="91"/>
        <v>-</v>
      </c>
      <c r="S401" s="120">
        <f t="shared" si="79"/>
        <v>349013</v>
      </c>
      <c r="T401" s="123">
        <v>492435</v>
      </c>
      <c r="U401" s="123">
        <f>100000+827+159570</f>
        <v>260397</v>
      </c>
      <c r="V401" s="123">
        <f t="shared" si="88"/>
        <v>232038</v>
      </c>
      <c r="W401" s="122" t="str">
        <f t="shared" si="85"/>
        <v>1</v>
      </c>
      <c r="X401" s="123">
        <f>2222+63856+10000+67344</f>
        <v>143422</v>
      </c>
      <c r="Y401" s="123">
        <f t="shared" si="92"/>
        <v>10000</v>
      </c>
      <c r="Z401" s="123">
        <f t="shared" si="89"/>
        <v>133422</v>
      </c>
      <c r="AA401" s="122" t="str">
        <f t="shared" si="86"/>
        <v>1</v>
      </c>
      <c r="AB401" s="120">
        <f t="shared" si="80"/>
        <v>10000</v>
      </c>
      <c r="AC401" s="123">
        <v>10000</v>
      </c>
      <c r="AD401" s="123">
        <v>0</v>
      </c>
      <c r="AE401" s="123">
        <v>35487</v>
      </c>
      <c r="AG401" s="151">
        <f t="shared" si="90"/>
        <v>157990</v>
      </c>
      <c r="AH401" s="123">
        <f>232597-1857</f>
        <v>230740</v>
      </c>
      <c r="AL401" s="123">
        <f>72750</f>
        <v>72750</v>
      </c>
    </row>
    <row r="402" spans="1:40" s="123" customFormat="1" ht="16.2" thickBot="1" x14ac:dyDescent="0.35">
      <c r="A402" s="21">
        <v>57.3</v>
      </c>
      <c r="B402" s="212" t="s">
        <v>219</v>
      </c>
      <c r="C402" s="31" t="str">
        <f>VLOOKUP((CONCATENATE(B402)),ID!$A$2:$D$305,3,0)</f>
        <v>RL057</v>
      </c>
      <c r="D402" s="21">
        <v>0</v>
      </c>
      <c r="E402" s="21" t="s">
        <v>4057</v>
      </c>
      <c r="F402" s="21" t="s">
        <v>1117</v>
      </c>
      <c r="G402" s="21" t="s">
        <v>3827</v>
      </c>
      <c r="H402" s="94">
        <v>4383</v>
      </c>
      <c r="I402" s="43">
        <v>4485</v>
      </c>
      <c r="J402" s="43">
        <v>4485</v>
      </c>
      <c r="K402" s="21">
        <v>0</v>
      </c>
      <c r="L402" s="21"/>
      <c r="M402" s="21"/>
      <c r="N402" s="43">
        <v>4499</v>
      </c>
      <c r="O402" s="27" t="s">
        <v>3800</v>
      </c>
      <c r="P402" s="194">
        <v>1</v>
      </c>
      <c r="Q402" s="21">
        <v>1</v>
      </c>
      <c r="R402" s="39" t="str">
        <f t="shared" si="91"/>
        <v>-</v>
      </c>
      <c r="S402" s="120">
        <f t="shared" si="79"/>
        <v>302043</v>
      </c>
      <c r="T402" s="123">
        <v>529470</v>
      </c>
      <c r="U402" s="123">
        <f>100000+155644+827</f>
        <v>256471</v>
      </c>
      <c r="V402" s="123">
        <f t="shared" si="88"/>
        <v>272999</v>
      </c>
      <c r="W402" s="122" t="str">
        <f t="shared" si="85"/>
        <v>1</v>
      </c>
      <c r="X402" s="123">
        <f>2496+77549+80000+67382</f>
        <v>227427</v>
      </c>
      <c r="Y402" s="123">
        <f t="shared" si="92"/>
        <v>80000</v>
      </c>
      <c r="Z402" s="123">
        <f t="shared" si="89"/>
        <v>147427</v>
      </c>
      <c r="AA402" s="122" t="str">
        <f t="shared" si="86"/>
        <v>1</v>
      </c>
      <c r="AB402" s="120">
        <f t="shared" si="80"/>
        <v>80000</v>
      </c>
      <c r="AC402" s="123">
        <v>80000</v>
      </c>
      <c r="AD402" s="123">
        <v>0</v>
      </c>
      <c r="AE402" s="123">
        <v>91090</v>
      </c>
      <c r="AG402" s="151">
        <f t="shared" si="90"/>
        <v>147556</v>
      </c>
      <c r="AH402" s="123">
        <f>219053+227+1026</f>
        <v>220306</v>
      </c>
      <c r="AL402" s="123">
        <f>72750</f>
        <v>72750</v>
      </c>
    </row>
    <row r="403" spans="1:40" s="123" customFormat="1" ht="16.2" thickBot="1" x14ac:dyDescent="0.35">
      <c r="A403" s="21">
        <v>57.4</v>
      </c>
      <c r="B403" s="212" t="s">
        <v>219</v>
      </c>
      <c r="C403" s="31" t="str">
        <f>VLOOKUP((CONCATENATE(B403)),ID!$A$2:$D$305,3,0)</f>
        <v>RL057</v>
      </c>
      <c r="D403" s="21">
        <v>0</v>
      </c>
      <c r="E403" s="21" t="s">
        <v>4057</v>
      </c>
      <c r="F403" s="21" t="s">
        <v>1117</v>
      </c>
      <c r="G403" s="21" t="s">
        <v>3827</v>
      </c>
      <c r="H403" s="94">
        <v>4565</v>
      </c>
      <c r="I403" s="43">
        <v>4667</v>
      </c>
      <c r="J403" s="80">
        <v>4667</v>
      </c>
      <c r="K403" s="21">
        <v>0</v>
      </c>
      <c r="L403" s="21"/>
      <c r="M403" s="21"/>
      <c r="N403" s="43">
        <v>4681</v>
      </c>
      <c r="O403" s="27" t="s">
        <v>3800</v>
      </c>
      <c r="P403" s="194">
        <v>1</v>
      </c>
      <c r="Q403" s="21">
        <v>1</v>
      </c>
      <c r="R403" s="39" t="str">
        <f t="shared" si="91"/>
        <v>-</v>
      </c>
      <c r="S403" s="120">
        <f t="shared" si="79"/>
        <v>325128</v>
      </c>
      <c r="T403" s="123">
        <v>505633</v>
      </c>
      <c r="U403" s="123">
        <f>100000+827+135971</f>
        <v>236798</v>
      </c>
      <c r="V403" s="123">
        <f t="shared" si="88"/>
        <v>268835</v>
      </c>
      <c r="W403" s="122" t="str">
        <f t="shared" si="85"/>
        <v>1</v>
      </c>
      <c r="X403" s="123">
        <f>2530+85489+25000+67486</f>
        <v>180505</v>
      </c>
      <c r="Y403" s="123">
        <f t="shared" si="92"/>
        <v>25000</v>
      </c>
      <c r="Z403" s="123">
        <f t="shared" si="89"/>
        <v>155505</v>
      </c>
      <c r="AA403" s="122" t="str">
        <f t="shared" si="86"/>
        <v>1</v>
      </c>
      <c r="AB403" s="120">
        <f t="shared" si="80"/>
        <v>25000</v>
      </c>
      <c r="AC403" s="123">
        <v>25000</v>
      </c>
      <c r="AD403" s="123">
        <v>0</v>
      </c>
      <c r="AE403" s="123">
        <v>70216</v>
      </c>
      <c r="AG403" s="151">
        <f t="shared" si="90"/>
        <v>176496</v>
      </c>
      <c r="AH403" s="123">
        <f>249329-83</f>
        <v>249246</v>
      </c>
      <c r="AL403" s="123">
        <f>72750</f>
        <v>72750</v>
      </c>
    </row>
    <row r="404" spans="1:40" s="123" customFormat="1" ht="16.2" thickBot="1" x14ac:dyDescent="0.35">
      <c r="A404" s="21"/>
      <c r="B404" s="212" t="s">
        <v>219</v>
      </c>
      <c r="C404" s="31" t="str">
        <f>VLOOKUP((CONCATENATE(B404)),ID!$A$2:$D$305,3,0)</f>
        <v>RL057</v>
      </c>
      <c r="D404" s="21">
        <v>0</v>
      </c>
      <c r="E404" s="21" t="s">
        <v>4057</v>
      </c>
      <c r="F404" s="21" t="s">
        <v>1117</v>
      </c>
      <c r="G404" s="21" t="s">
        <v>3827</v>
      </c>
      <c r="H404" s="94">
        <v>4749</v>
      </c>
      <c r="I404" s="43">
        <v>4861</v>
      </c>
      <c r="J404" s="80">
        <v>4857</v>
      </c>
      <c r="K404" s="21">
        <v>0</v>
      </c>
      <c r="L404" s="21"/>
      <c r="M404" s="21"/>
      <c r="N404" s="43">
        <v>4870</v>
      </c>
      <c r="O404" s="27" t="s">
        <v>3800</v>
      </c>
      <c r="P404" s="194">
        <v>1</v>
      </c>
      <c r="Q404" s="21">
        <v>1</v>
      </c>
      <c r="R404" s="39" t="str">
        <f t="shared" si="91"/>
        <v>-</v>
      </c>
      <c r="S404" s="120">
        <f t="shared" si="79"/>
        <v>303625</v>
      </c>
      <c r="T404" s="123">
        <v>480155</v>
      </c>
      <c r="U404" s="123">
        <f>100030+229+120723</f>
        <v>220982</v>
      </c>
      <c r="V404" s="123">
        <f t="shared" si="88"/>
        <v>259173</v>
      </c>
      <c r="W404" s="122" t="str">
        <f t="shared" si="85"/>
        <v>1</v>
      </c>
      <c r="X404" s="123">
        <f>2904+106075+67551</f>
        <v>176530</v>
      </c>
      <c r="Y404" s="123">
        <f t="shared" si="92"/>
        <v>0</v>
      </c>
      <c r="Z404" s="123">
        <f t="shared" si="89"/>
        <v>176530</v>
      </c>
      <c r="AA404" s="122" t="str">
        <f t="shared" si="86"/>
        <v>1</v>
      </c>
      <c r="AB404" s="120">
        <f t="shared" si="80"/>
        <v>0</v>
      </c>
      <c r="AC404" s="123">
        <v>0</v>
      </c>
      <c r="AD404" s="123">
        <v>0</v>
      </c>
      <c r="AE404" s="123">
        <v>54385</v>
      </c>
      <c r="AG404" s="151">
        <f t="shared" si="90"/>
        <v>160527</v>
      </c>
      <c r="AH404" s="123">
        <f>233648-371</f>
        <v>233277</v>
      </c>
      <c r="AL404" s="123">
        <v>72750</v>
      </c>
    </row>
    <row r="405" spans="1:40" s="123" customFormat="1" ht="16.2" thickBot="1" x14ac:dyDescent="0.35">
      <c r="A405" s="21"/>
      <c r="B405" s="212" t="s">
        <v>219</v>
      </c>
      <c r="C405" s="31" t="str">
        <f>VLOOKUP((CONCATENATE(B405)),ID!$A$2:$D$305,3,0)</f>
        <v>RL057</v>
      </c>
      <c r="D405" s="21">
        <v>0</v>
      </c>
      <c r="E405" s="21" t="s">
        <v>4057</v>
      </c>
      <c r="F405" s="21" t="s">
        <v>1117</v>
      </c>
      <c r="G405" s="21" t="s">
        <v>3827</v>
      </c>
      <c r="H405" s="94">
        <v>4930</v>
      </c>
      <c r="I405" s="43">
        <v>5038</v>
      </c>
      <c r="J405" s="80">
        <v>5039</v>
      </c>
      <c r="K405" s="21">
        <v>0</v>
      </c>
      <c r="L405" s="21"/>
      <c r="M405" s="21"/>
      <c r="N405" s="43">
        <v>5052</v>
      </c>
      <c r="O405" s="27" t="s">
        <v>3800</v>
      </c>
      <c r="P405" s="194">
        <v>1</v>
      </c>
      <c r="Q405" s="21">
        <v>1</v>
      </c>
      <c r="R405" s="39" t="str">
        <f t="shared" si="91"/>
        <v>-</v>
      </c>
      <c r="S405" s="120">
        <f t="shared" si="79"/>
        <v>289394</v>
      </c>
      <c r="T405" s="123">
        <v>602365</v>
      </c>
      <c r="U405" s="123">
        <f>100030+229+107351</f>
        <v>207610</v>
      </c>
      <c r="V405" s="123">
        <f t="shared" si="88"/>
        <v>394755</v>
      </c>
      <c r="W405" s="122" t="str">
        <f t="shared" si="85"/>
        <v>1</v>
      </c>
      <c r="X405" s="123">
        <f>102000+141089+3415+66467</f>
        <v>312971</v>
      </c>
      <c r="Y405" s="123">
        <f t="shared" si="92"/>
        <v>102000</v>
      </c>
      <c r="Z405" s="123">
        <f t="shared" si="89"/>
        <v>210971</v>
      </c>
      <c r="AA405" s="122" t="str">
        <f t="shared" si="86"/>
        <v>1</v>
      </c>
      <c r="AB405" s="120">
        <f t="shared" si="80"/>
        <v>102000</v>
      </c>
      <c r="AC405" s="123">
        <v>102000</v>
      </c>
      <c r="AD405" s="123">
        <v>0</v>
      </c>
      <c r="AE405" s="123">
        <v>180897</v>
      </c>
      <c r="AG405" s="151">
        <f t="shared" si="90"/>
        <v>160937</v>
      </c>
      <c r="AH405" s="123">
        <f>233878-191</f>
        <v>233687</v>
      </c>
      <c r="AL405" s="123">
        <v>72750</v>
      </c>
    </row>
    <row r="406" spans="1:40" s="123" customFormat="1" ht="16.2" thickBot="1" x14ac:dyDescent="0.35">
      <c r="A406" s="21"/>
      <c r="B406" s="212" t="s">
        <v>219</v>
      </c>
      <c r="C406" s="31" t="str">
        <f>VLOOKUP((CONCATENATE(B406)),ID!$A$2:$D$305,3,0)</f>
        <v>RL057</v>
      </c>
      <c r="D406" s="21">
        <v>0</v>
      </c>
      <c r="E406" s="21" t="s">
        <v>4057</v>
      </c>
      <c r="F406" s="21" t="s">
        <v>1117</v>
      </c>
      <c r="G406" s="21" t="s">
        <v>3827</v>
      </c>
      <c r="H406" s="94">
        <v>5114</v>
      </c>
      <c r="I406" s="43">
        <v>5234</v>
      </c>
      <c r="J406" s="80">
        <v>5236</v>
      </c>
      <c r="K406" s="21">
        <v>0</v>
      </c>
      <c r="L406" s="21"/>
      <c r="M406" s="21"/>
      <c r="N406" s="43">
        <v>5248</v>
      </c>
      <c r="O406" s="27" t="s">
        <v>3800</v>
      </c>
      <c r="P406" s="194">
        <v>0</v>
      </c>
      <c r="Q406" s="21">
        <v>1</v>
      </c>
      <c r="R406" s="39" t="str">
        <f t="shared" si="91"/>
        <v>-</v>
      </c>
      <c r="S406" s="120">
        <f t="shared" si="79"/>
        <v>158469</v>
      </c>
      <c r="T406" s="123">
        <v>471715</v>
      </c>
      <c r="U406" s="123">
        <f>100030+90164</f>
        <v>190194</v>
      </c>
      <c r="V406" s="123">
        <f t="shared" si="88"/>
        <v>281521</v>
      </c>
      <c r="W406" s="122" t="str">
        <f t="shared" si="85"/>
        <v>1</v>
      </c>
      <c r="X406" s="123">
        <f>66415+110000+133512+3319</f>
        <v>313246</v>
      </c>
      <c r="Y406" s="123">
        <f t="shared" si="92"/>
        <v>30000</v>
      </c>
      <c r="Z406" s="123">
        <f t="shared" si="89"/>
        <v>283246</v>
      </c>
      <c r="AA406" s="122" t="str">
        <f t="shared" si="86"/>
        <v>1</v>
      </c>
      <c r="AB406" s="120">
        <f t="shared" si="80"/>
        <v>30000</v>
      </c>
      <c r="AC406" s="123">
        <v>30000</v>
      </c>
      <c r="AD406" s="123">
        <v>0</v>
      </c>
      <c r="AE406" s="123">
        <v>53201</v>
      </c>
      <c r="AG406" s="151">
        <f t="shared" si="90"/>
        <v>76651</v>
      </c>
      <c r="AH406" s="123">
        <f>153823-421</f>
        <v>153402</v>
      </c>
      <c r="AL406" s="123">
        <f>AL405+4001</f>
        <v>76751</v>
      </c>
    </row>
    <row r="407" spans="1:40" s="123" customFormat="1" ht="16.2" thickBot="1" x14ac:dyDescent="0.35">
      <c r="A407" s="21"/>
      <c r="B407" s="212" t="s">
        <v>219</v>
      </c>
      <c r="C407" s="31" t="str">
        <f>VLOOKUP((CONCATENATE(B407)),ID!$A$2:$D$305,3,0)</f>
        <v>RL057</v>
      </c>
      <c r="D407" s="21">
        <v>0</v>
      </c>
      <c r="E407" s="21" t="s">
        <v>4057</v>
      </c>
      <c r="F407" s="21" t="s">
        <v>1117</v>
      </c>
      <c r="G407" s="21" t="s">
        <v>3827</v>
      </c>
      <c r="H407" s="94">
        <v>5295</v>
      </c>
      <c r="I407" s="43">
        <v>5437</v>
      </c>
      <c r="J407" s="80">
        <v>5441</v>
      </c>
      <c r="K407" s="21">
        <v>0</v>
      </c>
      <c r="L407" s="21"/>
      <c r="M407" s="21"/>
      <c r="N407" s="43">
        <v>5451</v>
      </c>
      <c r="O407" s="27" t="s">
        <v>3800</v>
      </c>
      <c r="P407" s="194">
        <v>0</v>
      </c>
      <c r="Q407" s="21">
        <v>1</v>
      </c>
      <c r="R407" s="39" t="str">
        <f t="shared" si="91"/>
        <v>-</v>
      </c>
      <c r="S407" s="120">
        <f t="shared" si="79"/>
        <v>98914</v>
      </c>
      <c r="T407" s="123">
        <v>454663</v>
      </c>
      <c r="U407" s="123">
        <f>6866+100030</f>
        <v>106896</v>
      </c>
      <c r="V407" s="123">
        <f t="shared" si="88"/>
        <v>347767</v>
      </c>
      <c r="W407" s="122" t="str">
        <f t="shared" si="85"/>
        <v>1</v>
      </c>
      <c r="X407" s="123">
        <f>2545+130762+156000+66442</f>
        <v>355749</v>
      </c>
      <c r="Y407" s="123">
        <f t="shared" si="92"/>
        <v>96000</v>
      </c>
      <c r="Z407" s="123">
        <f t="shared" si="89"/>
        <v>259749</v>
      </c>
      <c r="AA407" s="122" t="str">
        <f t="shared" si="86"/>
        <v>1</v>
      </c>
      <c r="AB407" s="120">
        <f t="shared" si="80"/>
        <v>96000</v>
      </c>
      <c r="AC407" s="123">
        <v>96000</v>
      </c>
      <c r="AD407" s="123">
        <v>0</v>
      </c>
      <c r="AE407" s="123">
        <v>95470</v>
      </c>
      <c r="AG407" s="151">
        <f t="shared" si="90"/>
        <v>50714</v>
      </c>
      <c r="AH407" s="123">
        <f>123658</f>
        <v>123658</v>
      </c>
      <c r="AL407" s="123">
        <f>AL405+194</f>
        <v>72944</v>
      </c>
    </row>
    <row r="408" spans="1:40" s="123" customFormat="1" ht="16.2" thickBot="1" x14ac:dyDescent="0.35">
      <c r="A408" s="21"/>
      <c r="B408" s="212" t="s">
        <v>220</v>
      </c>
      <c r="C408" s="31" t="str">
        <f>VLOOKUP((CONCATENATE(B408)),ID!$A$2:$D$305,3,0)</f>
        <v>RL058</v>
      </c>
      <c r="D408" s="21">
        <v>0</v>
      </c>
      <c r="E408" s="21" t="s">
        <v>4057</v>
      </c>
      <c r="F408" s="21" t="s">
        <v>3802</v>
      </c>
      <c r="G408" s="21" t="s">
        <v>3853</v>
      </c>
      <c r="H408" s="94">
        <v>3653</v>
      </c>
      <c r="I408" s="43">
        <v>3657</v>
      </c>
      <c r="J408" s="80">
        <v>3673</v>
      </c>
      <c r="K408" s="21">
        <v>1</v>
      </c>
      <c r="L408" s="43">
        <v>3673</v>
      </c>
      <c r="M408" s="43">
        <v>3694</v>
      </c>
      <c r="N408" s="43">
        <v>3694</v>
      </c>
      <c r="O408" s="21" t="s">
        <v>4097</v>
      </c>
      <c r="P408" s="194">
        <v>1</v>
      </c>
      <c r="Q408" s="21">
        <v>1</v>
      </c>
      <c r="R408" s="39" t="str">
        <f t="shared" ref="R408:R454" si="93">IF(Q408=0,"?","-")</f>
        <v>-</v>
      </c>
      <c r="S408" s="120">
        <f t="shared" si="79"/>
        <v>85609</v>
      </c>
      <c r="T408" s="123">
        <v>131104</v>
      </c>
      <c r="U408" s="123">
        <f>23318+5538</f>
        <v>28856</v>
      </c>
      <c r="V408" s="123">
        <f>T408-U408</f>
        <v>102248</v>
      </c>
      <c r="W408" s="122" t="str">
        <f t="shared" si="85"/>
        <v>1</v>
      </c>
      <c r="X408" s="123">
        <f>14969+27081+3445</f>
        <v>45495</v>
      </c>
      <c r="Y408" s="123">
        <v>0</v>
      </c>
      <c r="Z408" s="123">
        <f t="shared" si="89"/>
        <v>45495</v>
      </c>
      <c r="AA408" s="122" t="str">
        <f t="shared" si="86"/>
        <v>1</v>
      </c>
      <c r="AB408" s="120">
        <f t="shared" si="80"/>
        <v>0</v>
      </c>
      <c r="AC408" s="123">
        <v>0</v>
      </c>
      <c r="AD408" s="123">
        <v>0</v>
      </c>
      <c r="AE408" s="123">
        <v>11037</v>
      </c>
      <c r="AG408" s="151">
        <f t="shared" si="90"/>
        <v>53579</v>
      </c>
      <c r="AH408" s="123">
        <f>128880-16227-939-666</f>
        <v>111048</v>
      </c>
      <c r="AL408" s="123">
        <f>48425+9044</f>
        <v>57469</v>
      </c>
      <c r="AM408" s="123">
        <v>292777</v>
      </c>
      <c r="AN408" s="123">
        <v>127916</v>
      </c>
    </row>
    <row r="409" spans="1:40" s="123" customFormat="1" ht="16.2" thickBot="1" x14ac:dyDescent="0.35">
      <c r="A409" s="21"/>
      <c r="B409" s="212" t="s">
        <v>220</v>
      </c>
      <c r="C409" s="31" t="str">
        <f>VLOOKUP((CONCATENATE(B409)),ID!$A$2:$D$305,3,0)</f>
        <v>RL058</v>
      </c>
      <c r="D409" s="21">
        <v>0</v>
      </c>
      <c r="E409" s="21" t="s">
        <v>4057</v>
      </c>
      <c r="F409" s="21" t="s">
        <v>3802</v>
      </c>
      <c r="G409" s="21" t="s">
        <v>3853</v>
      </c>
      <c r="H409" s="94">
        <v>3834</v>
      </c>
      <c r="I409" s="43">
        <v>3838</v>
      </c>
      <c r="J409" s="80">
        <v>3853</v>
      </c>
      <c r="K409" s="21">
        <v>1</v>
      </c>
      <c r="L409" s="43">
        <v>3848</v>
      </c>
      <c r="M409" s="43">
        <v>3869</v>
      </c>
      <c r="N409" s="43">
        <v>3869</v>
      </c>
      <c r="O409" s="21" t="s">
        <v>4097</v>
      </c>
      <c r="P409" s="194">
        <v>1</v>
      </c>
      <c r="Q409" s="21">
        <v>1</v>
      </c>
      <c r="R409" s="39" t="str">
        <f t="shared" si="93"/>
        <v>-</v>
      </c>
      <c r="S409" s="120">
        <f t="shared" si="79"/>
        <v>96435</v>
      </c>
      <c r="T409" s="123">
        <v>138940</v>
      </c>
      <c r="U409" s="123">
        <f>17947+5538</f>
        <v>23485</v>
      </c>
      <c r="V409" s="123">
        <f>T409-U409</f>
        <v>115455</v>
      </c>
      <c r="W409" s="122" t="str">
        <f t="shared" si="85"/>
        <v>1</v>
      </c>
      <c r="X409" s="123">
        <f>3245+27081+12179</f>
        <v>42505</v>
      </c>
      <c r="Y409" s="123">
        <v>0</v>
      </c>
      <c r="Z409" s="123">
        <f t="shared" si="89"/>
        <v>42505</v>
      </c>
      <c r="AA409" s="122" t="str">
        <f t="shared" si="86"/>
        <v>1</v>
      </c>
      <c r="AB409" s="120">
        <f t="shared" si="80"/>
        <v>0</v>
      </c>
      <c r="AC409" s="123">
        <v>0</v>
      </c>
      <c r="AD409" s="123">
        <v>0</v>
      </c>
      <c r="AE409" s="123">
        <v>23047</v>
      </c>
      <c r="AG409" s="151">
        <f t="shared" si="90"/>
        <v>76803</v>
      </c>
      <c r="AH409" s="123">
        <f>139774-3966-688-848</f>
        <v>134272</v>
      </c>
      <c r="AL409" s="123">
        <f>48425+9044</f>
        <v>57469</v>
      </c>
      <c r="AM409" s="123">
        <v>320426</v>
      </c>
      <c r="AN409" s="123">
        <v>147214</v>
      </c>
    </row>
    <row r="410" spans="1:40" s="123" customFormat="1" ht="16.2" thickBot="1" x14ac:dyDescent="0.35">
      <c r="A410" s="21">
        <v>58.1</v>
      </c>
      <c r="B410" s="212" t="s">
        <v>220</v>
      </c>
      <c r="C410" s="31" t="str">
        <f>VLOOKUP((CONCATENATE(B410)),ID!$A$2:$D$305,3,0)</f>
        <v>RL058</v>
      </c>
      <c r="D410" s="21">
        <v>0</v>
      </c>
      <c r="E410" s="21" t="s">
        <v>4057</v>
      </c>
      <c r="F410" s="21" t="s">
        <v>3802</v>
      </c>
      <c r="G410" s="21" t="s">
        <v>3853</v>
      </c>
      <c r="H410" s="94">
        <v>4018</v>
      </c>
      <c r="I410" s="43">
        <v>4021</v>
      </c>
      <c r="J410" s="43">
        <v>4041</v>
      </c>
      <c r="K410" s="21">
        <v>1</v>
      </c>
      <c r="L410" s="43">
        <v>4037</v>
      </c>
      <c r="M410" s="43">
        <v>4058</v>
      </c>
      <c r="N410" s="43">
        <v>4058</v>
      </c>
      <c r="O410" s="21" t="s">
        <v>4088</v>
      </c>
      <c r="P410" s="194">
        <v>1</v>
      </c>
      <c r="Q410" s="21">
        <v>1</v>
      </c>
      <c r="R410" s="39" t="str">
        <f t="shared" si="93"/>
        <v>-</v>
      </c>
      <c r="S410" s="120">
        <f t="shared" si="79"/>
        <v>110982</v>
      </c>
      <c r="T410" s="123">
        <v>158808</v>
      </c>
      <c r="U410" s="123">
        <f>24026+5538</f>
        <v>29564</v>
      </c>
      <c r="V410" s="123">
        <f t="shared" si="88"/>
        <v>129244</v>
      </c>
      <c r="W410" s="122" t="str">
        <f t="shared" si="85"/>
        <v>1</v>
      </c>
      <c r="X410" s="123">
        <f>16998+27081+3747</f>
        <v>47826</v>
      </c>
      <c r="Y410" s="123">
        <v>0</v>
      </c>
      <c r="Z410" s="123">
        <f t="shared" si="89"/>
        <v>47826</v>
      </c>
      <c r="AA410" s="122" t="str">
        <f t="shared" si="86"/>
        <v>1</v>
      </c>
      <c r="AB410" s="120">
        <f t="shared" si="80"/>
        <v>0</v>
      </c>
      <c r="AC410" s="123">
        <v>0</v>
      </c>
      <c r="AD410" s="123">
        <v>0</v>
      </c>
      <c r="AE410" s="123">
        <v>34871</v>
      </c>
      <c r="AG410" s="151">
        <f t="shared" si="90"/>
        <v>89856</v>
      </c>
      <c r="AH410" s="134">
        <f>154391-5392-986-688</f>
        <v>147325</v>
      </c>
      <c r="AI410" s="134"/>
      <c r="AJ410" s="134"/>
      <c r="AK410" s="134"/>
      <c r="AL410" s="134">
        <f>48425+9044</f>
        <v>57469</v>
      </c>
      <c r="AM410" s="134">
        <v>336200</v>
      </c>
      <c r="AN410" s="134">
        <v>152893</v>
      </c>
    </row>
    <row r="411" spans="1:40" s="123" customFormat="1" ht="16.2" thickBot="1" x14ac:dyDescent="0.35">
      <c r="A411" s="21">
        <v>58.2</v>
      </c>
      <c r="B411" s="212" t="s">
        <v>220</v>
      </c>
      <c r="C411" s="31" t="str">
        <f>VLOOKUP((CONCATENATE(B411)),ID!$A$2:$D$305,3,0)</f>
        <v>RL058</v>
      </c>
      <c r="D411" s="21">
        <v>0</v>
      </c>
      <c r="E411" s="21" t="s">
        <v>4057</v>
      </c>
      <c r="F411" s="21" t="s">
        <v>3802</v>
      </c>
      <c r="G411" s="21" t="s">
        <v>3853</v>
      </c>
      <c r="H411" s="94">
        <v>4199</v>
      </c>
      <c r="I411" s="43">
        <v>4203</v>
      </c>
      <c r="J411" s="43">
        <v>4220</v>
      </c>
      <c r="K411" s="21">
        <v>1</v>
      </c>
      <c r="L411" s="43">
        <v>4219</v>
      </c>
      <c r="M411" s="43">
        <v>4240</v>
      </c>
      <c r="N411" s="43">
        <v>4240</v>
      </c>
      <c r="O411" s="21" t="s">
        <v>3840</v>
      </c>
      <c r="P411" s="194">
        <v>1</v>
      </c>
      <c r="Q411" s="21">
        <v>1</v>
      </c>
      <c r="R411" s="39" t="str">
        <f t="shared" si="93"/>
        <v>-</v>
      </c>
      <c r="S411" s="120">
        <f t="shared" si="79"/>
        <v>98143</v>
      </c>
      <c r="T411" s="123">
        <v>150450</v>
      </c>
      <c r="U411" s="123">
        <f>28730+5538</f>
        <v>34268</v>
      </c>
      <c r="V411" s="123">
        <f t="shared" si="88"/>
        <v>116182</v>
      </c>
      <c r="W411" s="122" t="str">
        <f t="shared" si="85"/>
        <v>1</v>
      </c>
      <c r="X411" s="123">
        <f>3491+27081+21735</f>
        <v>52307</v>
      </c>
      <c r="Y411" s="123">
        <v>0</v>
      </c>
      <c r="Z411" s="123">
        <f t="shared" si="89"/>
        <v>52307</v>
      </c>
      <c r="AA411" s="122" t="str">
        <f t="shared" si="86"/>
        <v>1</v>
      </c>
      <c r="AB411" s="120">
        <f t="shared" si="80"/>
        <v>0</v>
      </c>
      <c r="AC411" s="123">
        <v>0</v>
      </c>
      <c r="AD411" s="123">
        <v>0</v>
      </c>
      <c r="AE411" s="123">
        <v>27773</v>
      </c>
      <c r="AG411" s="151">
        <f t="shared" si="90"/>
        <v>51645</v>
      </c>
      <c r="AH411" s="134">
        <f>130305-19499-930-662-100</f>
        <v>109114</v>
      </c>
      <c r="AI411" s="132"/>
      <c r="AJ411" s="132"/>
      <c r="AK411" s="132"/>
      <c r="AL411" s="134">
        <f>48425+9044</f>
        <v>57469</v>
      </c>
      <c r="AM411" s="134">
        <v>301150</v>
      </c>
      <c r="AN411" s="134">
        <v>128581</v>
      </c>
    </row>
    <row r="412" spans="1:40" s="123" customFormat="1" ht="16.2" thickBot="1" x14ac:dyDescent="0.35">
      <c r="A412" s="21">
        <v>58.3</v>
      </c>
      <c r="B412" s="212" t="s">
        <v>220</v>
      </c>
      <c r="C412" s="31" t="str">
        <f>VLOOKUP((CONCATENATE(B412)),ID!$A$2:$D$305,3,0)</f>
        <v>RL058</v>
      </c>
      <c r="D412" s="21">
        <v>0</v>
      </c>
      <c r="E412" s="21" t="s">
        <v>4057</v>
      </c>
      <c r="F412" s="21" t="s">
        <v>3802</v>
      </c>
      <c r="G412" s="21" t="s">
        <v>3853</v>
      </c>
      <c r="H412" s="94">
        <v>4383</v>
      </c>
      <c r="I412" s="43">
        <v>4385</v>
      </c>
      <c r="J412" s="43">
        <v>4406</v>
      </c>
      <c r="K412" s="21">
        <v>1</v>
      </c>
      <c r="L412" s="43">
        <v>4398</v>
      </c>
      <c r="M412" s="43">
        <v>4422</v>
      </c>
      <c r="N412" s="43">
        <v>4422</v>
      </c>
      <c r="O412" s="21" t="s">
        <v>3840</v>
      </c>
      <c r="P412" s="194">
        <v>1</v>
      </c>
      <c r="Q412" s="21">
        <v>1</v>
      </c>
      <c r="R412" s="39" t="str">
        <f t="shared" si="93"/>
        <v>-</v>
      </c>
      <c r="S412" s="120">
        <f t="shared" ref="S412:S475" si="94">T412-X412</f>
        <v>113481</v>
      </c>
      <c r="T412" s="123">
        <v>206456</v>
      </c>
      <c r="U412" s="123">
        <f>40984+5538</f>
        <v>46522</v>
      </c>
      <c r="V412" s="123">
        <f t="shared" si="88"/>
        <v>159934</v>
      </c>
      <c r="W412" s="122" t="str">
        <f t="shared" si="85"/>
        <v>1</v>
      </c>
      <c r="X412" s="123">
        <f>34382+54816+3777</f>
        <v>92975</v>
      </c>
      <c r="Y412" s="123">
        <v>0</v>
      </c>
      <c r="Z412" s="123">
        <f t="shared" si="89"/>
        <v>92975</v>
      </c>
      <c r="AA412" s="122" t="str">
        <f t="shared" si="86"/>
        <v>1</v>
      </c>
      <c r="AB412" s="120">
        <f t="shared" ref="AB412:AB552" si="95">SUM(AC412+AD412)</f>
        <v>0</v>
      </c>
      <c r="AC412" s="123">
        <v>0</v>
      </c>
      <c r="AD412" s="123">
        <v>0</v>
      </c>
      <c r="AE412" s="123">
        <v>20122</v>
      </c>
      <c r="AG412" s="151">
        <f t="shared" si="90"/>
        <v>79328</v>
      </c>
      <c r="AH412" s="123">
        <f>145196-6660-730-1009</f>
        <v>136797</v>
      </c>
      <c r="AL412" s="123">
        <f>9044+48425</f>
        <v>57469</v>
      </c>
      <c r="AM412" s="123">
        <v>331617</v>
      </c>
      <c r="AN412" s="123">
        <v>114205</v>
      </c>
    </row>
    <row r="413" spans="1:40" s="123" customFormat="1" ht="16.2" thickBot="1" x14ac:dyDescent="0.35">
      <c r="A413" s="21">
        <v>58.4</v>
      </c>
      <c r="B413" s="212" t="s">
        <v>220</v>
      </c>
      <c r="C413" s="31" t="str">
        <f>VLOOKUP((CONCATENATE(B413)),ID!$A$2:$D$305,3,0)</f>
        <v>RL058</v>
      </c>
      <c r="D413" s="21">
        <v>0</v>
      </c>
      <c r="E413" s="21" t="s">
        <v>4057</v>
      </c>
      <c r="F413" s="21" t="s">
        <v>3802</v>
      </c>
      <c r="G413" s="21" t="s">
        <v>3853</v>
      </c>
      <c r="H413" s="94">
        <v>4565</v>
      </c>
      <c r="I413" s="43">
        <v>4567</v>
      </c>
      <c r="J413" s="43">
        <v>4587</v>
      </c>
      <c r="K413" s="21">
        <v>1</v>
      </c>
      <c r="L413" s="43">
        <v>4583</v>
      </c>
      <c r="M413" s="43">
        <v>4604</v>
      </c>
      <c r="N413" s="43">
        <v>4604</v>
      </c>
      <c r="O413" s="21" t="s">
        <v>3840</v>
      </c>
      <c r="P413" s="194">
        <v>1</v>
      </c>
      <c r="Q413" s="21">
        <v>1</v>
      </c>
      <c r="R413" s="39" t="str">
        <f t="shared" si="93"/>
        <v>-</v>
      </c>
      <c r="S413" s="120">
        <f t="shared" si="94"/>
        <v>98029</v>
      </c>
      <c r="T413" s="123">
        <v>196099</v>
      </c>
      <c r="U413" s="123">
        <f>42586+5538</f>
        <v>48124</v>
      </c>
      <c r="V413" s="123">
        <f t="shared" si="88"/>
        <v>147975</v>
      </c>
      <c r="W413" s="122" t="str">
        <f t="shared" si="85"/>
        <v>1</v>
      </c>
      <c r="X413" s="123">
        <f>21087+54816+3633+18534</f>
        <v>98070</v>
      </c>
      <c r="Y413" s="123">
        <v>0</v>
      </c>
      <c r="Z413" s="123">
        <f t="shared" si="89"/>
        <v>98070</v>
      </c>
      <c r="AA413" s="122" t="str">
        <f t="shared" si="86"/>
        <v>1</v>
      </c>
      <c r="AB413" s="120">
        <f t="shared" si="95"/>
        <v>0</v>
      </c>
      <c r="AC413" s="123">
        <v>0</v>
      </c>
      <c r="AD413" s="123">
        <v>0</v>
      </c>
      <c r="AE413" s="123">
        <v>12700</v>
      </c>
      <c r="AG413" s="151">
        <f t="shared" si="90"/>
        <v>49091</v>
      </c>
      <c r="AH413" s="123">
        <f>127483-19444-848-631</f>
        <v>106560</v>
      </c>
      <c r="AL413" s="123">
        <f>48425+9044</f>
        <v>57469</v>
      </c>
      <c r="AM413" s="123">
        <v>303910</v>
      </c>
      <c r="AN413" s="123">
        <v>129997</v>
      </c>
    </row>
    <row r="414" spans="1:40" s="123" customFormat="1" ht="16.2" thickBot="1" x14ac:dyDescent="0.35">
      <c r="A414" s="21"/>
      <c r="B414" s="212" t="s">
        <v>220</v>
      </c>
      <c r="C414" s="31" t="str">
        <f>VLOOKUP((CONCATENATE(B414)),ID!$A$2:$D$305,3,0)</f>
        <v>RL058</v>
      </c>
      <c r="D414" s="21">
        <v>0</v>
      </c>
      <c r="E414" s="21" t="s">
        <v>4057</v>
      </c>
      <c r="F414" s="21" t="s">
        <v>3802</v>
      </c>
      <c r="G414" s="21" t="s">
        <v>3853</v>
      </c>
      <c r="H414" s="94">
        <v>4749</v>
      </c>
      <c r="I414" s="43">
        <v>4758</v>
      </c>
      <c r="J414" s="43">
        <v>4771</v>
      </c>
      <c r="K414" s="21">
        <v>1</v>
      </c>
      <c r="L414" s="43">
        <v>4771</v>
      </c>
      <c r="M414" s="43">
        <v>4799</v>
      </c>
      <c r="N414" s="43">
        <v>4799</v>
      </c>
      <c r="O414" s="21" t="s">
        <v>3840</v>
      </c>
      <c r="P414" s="194">
        <v>1</v>
      </c>
      <c r="Q414" s="21">
        <v>1</v>
      </c>
      <c r="R414" s="39" t="str">
        <f t="shared" si="93"/>
        <v>-</v>
      </c>
      <c r="S414" s="120">
        <f t="shared" si="94"/>
        <v>112806</v>
      </c>
      <c r="T414" s="123">
        <v>191853</v>
      </c>
      <c r="U414" s="123">
        <f>44359+5538</f>
        <v>49897</v>
      </c>
      <c r="V414" s="123">
        <f t="shared" si="88"/>
        <v>141956</v>
      </c>
      <c r="W414" s="122" t="str">
        <f t="shared" si="85"/>
        <v>1</v>
      </c>
      <c r="X414" s="123">
        <f>20779+54816+3452</f>
        <v>79047</v>
      </c>
      <c r="Y414" s="123">
        <v>0</v>
      </c>
      <c r="Z414" s="123">
        <f t="shared" si="89"/>
        <v>79047</v>
      </c>
      <c r="AA414" s="122" t="str">
        <f t="shared" si="86"/>
        <v>1</v>
      </c>
      <c r="AB414" s="120">
        <f t="shared" si="95"/>
        <v>0</v>
      </c>
      <c r="AC414" s="123">
        <v>0</v>
      </c>
      <c r="AD414" s="123">
        <v>0</v>
      </c>
      <c r="AE414" s="123">
        <v>0</v>
      </c>
      <c r="AG414" s="151">
        <f t="shared" si="90"/>
        <v>68810</v>
      </c>
      <c r="AH414" s="123">
        <f>130172-3893</f>
        <v>126279</v>
      </c>
      <c r="AL414" s="123">
        <f>48425+9044</f>
        <v>57469</v>
      </c>
      <c r="AM414" s="123">
        <v>321831</v>
      </c>
      <c r="AN414" s="123">
        <v>150998</v>
      </c>
    </row>
    <row r="415" spans="1:40" s="123" customFormat="1" ht="16.2" thickBot="1" x14ac:dyDescent="0.35">
      <c r="A415" s="21"/>
      <c r="B415" s="212" t="s">
        <v>220</v>
      </c>
      <c r="C415" s="31" t="str">
        <f>VLOOKUP((CONCATENATE(B415)),ID!$A$2:$D$305,3,0)</f>
        <v>RL058</v>
      </c>
      <c r="D415" s="21">
        <v>1</v>
      </c>
      <c r="E415" s="21" t="s">
        <v>4057</v>
      </c>
      <c r="F415" s="21" t="s">
        <v>3802</v>
      </c>
      <c r="G415" s="21" t="s">
        <v>3853</v>
      </c>
      <c r="H415" s="94">
        <v>5114</v>
      </c>
      <c r="I415" s="43">
        <v>5141</v>
      </c>
      <c r="J415" s="43">
        <v>5142</v>
      </c>
      <c r="K415" s="21">
        <v>0</v>
      </c>
      <c r="L415" s="43"/>
      <c r="M415" s="43"/>
      <c r="N415" s="43">
        <v>5164</v>
      </c>
      <c r="O415" s="21" t="s">
        <v>3840</v>
      </c>
      <c r="P415" s="194" t="str">
        <f>IF(AJ415=0,"?","1")</f>
        <v>1</v>
      </c>
      <c r="Q415" s="21">
        <v>1</v>
      </c>
      <c r="R415" s="39" t="str">
        <f t="shared" si="93"/>
        <v>-</v>
      </c>
      <c r="S415" s="120">
        <f t="shared" si="94"/>
        <v>135070</v>
      </c>
      <c r="T415" s="123">
        <v>219053</v>
      </c>
      <c r="U415" s="123">
        <f>47576+5538+11225</f>
        <v>64339</v>
      </c>
      <c r="V415" s="123">
        <f t="shared" si="88"/>
        <v>154714</v>
      </c>
      <c r="W415" s="122" t="str">
        <f t="shared" si="85"/>
        <v>1</v>
      </c>
      <c r="X415" s="123">
        <f>594+3425+13689+284+54816+4731+Y415</f>
        <v>83983</v>
      </c>
      <c r="Y415" s="123">
        <v>6444</v>
      </c>
      <c r="Z415" s="123">
        <f t="shared" si="89"/>
        <v>77539</v>
      </c>
      <c r="AA415" s="122" t="str">
        <f t="shared" si="86"/>
        <v>1</v>
      </c>
      <c r="AB415" s="120">
        <f t="shared" si="95"/>
        <v>21262</v>
      </c>
      <c r="AC415" s="123">
        <v>21262</v>
      </c>
      <c r="AD415" s="123">
        <v>0</v>
      </c>
      <c r="AE415" s="123">
        <v>9640</v>
      </c>
      <c r="AG415" s="151">
        <f t="shared" si="90"/>
        <v>129963</v>
      </c>
      <c r="AH415" s="123">
        <f>251037-433-2022-1348</f>
        <v>247234</v>
      </c>
      <c r="AJ415" s="123">
        <v>52790</v>
      </c>
      <c r="AL415" s="123">
        <f>96850+18089+2332</f>
        <v>117271</v>
      </c>
      <c r="AM415" s="123">
        <v>660190</v>
      </c>
    </row>
    <row r="416" spans="1:40" s="123" customFormat="1" ht="16.2" thickBot="1" x14ac:dyDescent="0.35">
      <c r="A416" s="21"/>
      <c r="B416" s="212" t="s">
        <v>221</v>
      </c>
      <c r="C416" s="31" t="str">
        <f>VLOOKUP((CONCATENATE(B416)),ID!$A$2:$D$305,3,0)</f>
        <v>RL059</v>
      </c>
      <c r="D416" s="21">
        <v>0</v>
      </c>
      <c r="E416" s="21" t="s">
        <v>4057</v>
      </c>
      <c r="F416" s="21" t="s">
        <v>3841</v>
      </c>
      <c r="G416" s="21" t="s">
        <v>3853</v>
      </c>
      <c r="H416" s="94">
        <v>3653</v>
      </c>
      <c r="I416" s="43">
        <v>3685</v>
      </c>
      <c r="J416" s="43">
        <v>3693</v>
      </c>
      <c r="K416" s="21">
        <v>0</v>
      </c>
      <c r="L416" s="43"/>
      <c r="M416" s="43"/>
      <c r="N416" s="43">
        <v>3701</v>
      </c>
      <c r="O416" s="21" t="s">
        <v>3842</v>
      </c>
      <c r="P416" s="194">
        <v>1</v>
      </c>
      <c r="Q416" s="21">
        <v>1</v>
      </c>
      <c r="R416" s="39" t="str">
        <f t="shared" si="93"/>
        <v>-</v>
      </c>
      <c r="S416" s="120">
        <f t="shared" si="94"/>
        <v>2770706</v>
      </c>
      <c r="T416" s="123">
        <v>7023836</v>
      </c>
      <c r="U416" s="123">
        <f>1615265+11000</f>
        <v>1626265</v>
      </c>
      <c r="V416" s="123">
        <f>T416-U416</f>
        <v>5397571</v>
      </c>
      <c r="W416" s="122" t="str">
        <f>IF(V416+U416=T416,"1","0")</f>
        <v>1</v>
      </c>
      <c r="X416" s="123">
        <f>20141+487344+178546+Y416+2221535</f>
        <v>4253130</v>
      </c>
      <c r="Y416" s="123">
        <f>38185+1307379</f>
        <v>1345564</v>
      </c>
      <c r="Z416" s="123">
        <f t="shared" si="89"/>
        <v>2907566</v>
      </c>
      <c r="AA416" s="122" t="str">
        <f t="shared" si="86"/>
        <v>1</v>
      </c>
      <c r="AB416" s="120">
        <f t="shared" si="95"/>
        <v>38185</v>
      </c>
      <c r="AC416" s="123">
        <v>0</v>
      </c>
      <c r="AD416" s="123">
        <v>38185</v>
      </c>
      <c r="AE416" s="123">
        <f>830334+300000</f>
        <v>1130334</v>
      </c>
      <c r="AG416" s="151">
        <f t="shared" si="90"/>
        <v>2154467</v>
      </c>
      <c r="AH416" s="123">
        <f>2751311-24360-40032</f>
        <v>2686919</v>
      </c>
      <c r="AL416" s="123">
        <f>517525+14927</f>
        <v>532452</v>
      </c>
      <c r="AM416" s="123">
        <v>6365095</v>
      </c>
      <c r="AN416" s="123">
        <v>2115703</v>
      </c>
    </row>
    <row r="417" spans="1:40" s="123" customFormat="1" ht="16.2" thickBot="1" x14ac:dyDescent="0.35">
      <c r="A417" s="21"/>
      <c r="B417" s="212" t="s">
        <v>221</v>
      </c>
      <c r="C417" s="31" t="str">
        <f>VLOOKUP((CONCATENATE(B417)),ID!$A$2:$D$305,3,0)</f>
        <v>RL059</v>
      </c>
      <c r="D417" s="21">
        <v>0</v>
      </c>
      <c r="E417" s="21" t="s">
        <v>4057</v>
      </c>
      <c r="F417" s="21" t="s">
        <v>3841</v>
      </c>
      <c r="G417" s="21" t="s">
        <v>3853</v>
      </c>
      <c r="H417" s="94">
        <v>3834</v>
      </c>
      <c r="I417" s="43">
        <v>3860</v>
      </c>
      <c r="J417" s="43">
        <v>3868</v>
      </c>
      <c r="K417" s="21">
        <v>0</v>
      </c>
      <c r="L417" s="43"/>
      <c r="M417" s="43"/>
      <c r="N417" s="43">
        <v>3876</v>
      </c>
      <c r="O417" s="21" t="s">
        <v>3842</v>
      </c>
      <c r="P417" s="194">
        <v>1</v>
      </c>
      <c r="Q417" s="21">
        <v>1</v>
      </c>
      <c r="R417" s="39" t="str">
        <f t="shared" si="93"/>
        <v>-</v>
      </c>
      <c r="S417" s="120">
        <f t="shared" si="94"/>
        <v>2559960</v>
      </c>
      <c r="T417" s="123">
        <v>7102261</v>
      </c>
      <c r="U417" s="123">
        <f>1691386+11009</f>
        <v>1702395</v>
      </c>
      <c r="V417" s="123">
        <f>T417-U417</f>
        <v>5399866</v>
      </c>
      <c r="W417" s="122" t="str">
        <f>IF(V417+U417=T417,"1","0")</f>
        <v>1</v>
      </c>
      <c r="X417" s="123">
        <f>2481317+Y417+172638+487363+21828</f>
        <v>4542301</v>
      </c>
      <c r="Y417" s="123">
        <f>39232+1339923</f>
        <v>1379155</v>
      </c>
      <c r="Z417" s="123">
        <f t="shared" si="89"/>
        <v>3163146</v>
      </c>
      <c r="AA417" s="122" t="str">
        <f t="shared" si="86"/>
        <v>1</v>
      </c>
      <c r="AB417" s="120">
        <f t="shared" si="95"/>
        <v>39232</v>
      </c>
      <c r="AC417" s="123">
        <v>0</v>
      </c>
      <c r="AD417" s="123">
        <v>39232</v>
      </c>
      <c r="AE417" s="123">
        <f>691949+700000</f>
        <v>1391949</v>
      </c>
      <c r="AG417" s="151">
        <f>AH417-AL417-AI417</f>
        <v>1835667</v>
      </c>
      <c r="AH417" s="123">
        <f>2506934-100203-43597</f>
        <v>2363134</v>
      </c>
      <c r="AL417" s="123">
        <f>9910+517557</f>
        <v>527467</v>
      </c>
      <c r="AM417" s="123">
        <v>6030768</v>
      </c>
      <c r="AN417" s="123">
        <v>1852062</v>
      </c>
    </row>
    <row r="418" spans="1:40" s="123" customFormat="1" ht="16.2" thickBot="1" x14ac:dyDescent="0.35">
      <c r="A418" s="21">
        <v>59.1</v>
      </c>
      <c r="B418" s="212" t="s">
        <v>221</v>
      </c>
      <c r="C418" s="31" t="str">
        <f>VLOOKUP((CONCATENATE(B418)),ID!$A$2:$D$305,3,0)</f>
        <v>RL059</v>
      </c>
      <c r="D418" s="21">
        <v>0</v>
      </c>
      <c r="E418" s="21" t="s">
        <v>4057</v>
      </c>
      <c r="F418" s="21" t="s">
        <v>3841</v>
      </c>
      <c r="G418" s="21" t="s">
        <v>3853</v>
      </c>
      <c r="H418" s="94">
        <v>4018</v>
      </c>
      <c r="I418" s="43">
        <v>4049</v>
      </c>
      <c r="J418" s="43">
        <v>4057</v>
      </c>
      <c r="K418" s="21">
        <v>0</v>
      </c>
      <c r="L418" s="21"/>
      <c r="M418" s="21"/>
      <c r="N418" s="43">
        <v>4065</v>
      </c>
      <c r="O418" s="21" t="s">
        <v>3842</v>
      </c>
      <c r="P418" s="194">
        <v>1</v>
      </c>
      <c r="Q418" s="21">
        <v>1</v>
      </c>
      <c r="R418" s="39" t="str">
        <f t="shared" si="93"/>
        <v>-</v>
      </c>
      <c r="S418" s="120">
        <f t="shared" si="94"/>
        <v>3026442</v>
      </c>
      <c r="T418" s="123">
        <v>7790684</v>
      </c>
      <c r="U418" s="123">
        <f>1735606+11009</f>
        <v>1746615</v>
      </c>
      <c r="V418" s="123">
        <f t="shared" si="88"/>
        <v>6044069</v>
      </c>
      <c r="W418" s="122" t="str">
        <f t="shared" si="85"/>
        <v>1</v>
      </c>
      <c r="X418" s="123">
        <f>19523+489341+167434+Y418+2692651</f>
        <v>4764242</v>
      </c>
      <c r="Y418" s="123">
        <f>1371958+23335</f>
        <v>1395293</v>
      </c>
      <c r="Z418" s="123">
        <f t="shared" si="89"/>
        <v>3368949</v>
      </c>
      <c r="AA418" s="122" t="str">
        <f t="shared" si="86"/>
        <v>1</v>
      </c>
      <c r="AB418" s="120">
        <f t="shared" si="95"/>
        <v>23335</v>
      </c>
      <c r="AC418" s="123">
        <v>0</v>
      </c>
      <c r="AD418" s="123">
        <v>23335</v>
      </c>
      <c r="AE418" s="123">
        <f>1100000+942812</f>
        <v>2042812</v>
      </c>
      <c r="AG418" s="151">
        <f t="shared" si="90"/>
        <v>2354921</v>
      </c>
      <c r="AH418" s="123">
        <f>2954109-36123-38942</f>
        <v>2879044</v>
      </c>
      <c r="AL418" s="123">
        <f>517647+6476</f>
        <v>524123</v>
      </c>
      <c r="AM418" s="123">
        <v>6622371</v>
      </c>
      <c r="AN418" s="123">
        <v>2206066</v>
      </c>
    </row>
    <row r="419" spans="1:40" s="123" customFormat="1" ht="16.2" thickBot="1" x14ac:dyDescent="0.35">
      <c r="A419" s="21">
        <v>59.2</v>
      </c>
      <c r="B419" s="212" t="s">
        <v>221</v>
      </c>
      <c r="C419" s="31" t="str">
        <f>VLOOKUP((CONCATENATE(B419)),ID!$A$2:$D$305,3,0)</f>
        <v>RL059</v>
      </c>
      <c r="D419" s="21">
        <v>0</v>
      </c>
      <c r="E419" s="21" t="s">
        <v>4057</v>
      </c>
      <c r="F419" s="21" t="s">
        <v>3841</v>
      </c>
      <c r="G419" s="21" t="s">
        <v>3853</v>
      </c>
      <c r="H419" s="94">
        <v>4199</v>
      </c>
      <c r="I419" s="43">
        <v>4224</v>
      </c>
      <c r="J419" s="43">
        <v>4232</v>
      </c>
      <c r="K419" s="21">
        <v>0</v>
      </c>
      <c r="L419" s="21"/>
      <c r="M419" s="21"/>
      <c r="N419" s="43">
        <v>4240</v>
      </c>
      <c r="O419" s="21" t="s">
        <v>3842</v>
      </c>
      <c r="P419" s="194">
        <v>1</v>
      </c>
      <c r="Q419" s="21">
        <v>1</v>
      </c>
      <c r="R419" s="39" t="str">
        <f t="shared" si="93"/>
        <v>-</v>
      </c>
      <c r="S419" s="120">
        <f t="shared" si="94"/>
        <v>2745382</v>
      </c>
      <c r="T419" s="123">
        <v>7860918</v>
      </c>
      <c r="U419" s="123">
        <f>1675690+11009</f>
        <v>1686699</v>
      </c>
      <c r="V419" s="123">
        <f t="shared" si="88"/>
        <v>6174219</v>
      </c>
      <c r="W419" s="122" t="str">
        <f t="shared" si="85"/>
        <v>1</v>
      </c>
      <c r="X419" s="123">
        <f>2708397+Y419+85649+487571+22282</f>
        <v>5115536</v>
      </c>
      <c r="Y419" s="123">
        <f>236863+1574774</f>
        <v>1811637</v>
      </c>
      <c r="Z419" s="123">
        <f t="shared" si="89"/>
        <v>3303899</v>
      </c>
      <c r="AA419" s="122" t="str">
        <f t="shared" si="86"/>
        <v>1</v>
      </c>
      <c r="AB419" s="120">
        <f t="shared" si="95"/>
        <v>236863</v>
      </c>
      <c r="AC419" s="123">
        <v>0</v>
      </c>
      <c r="AD419" s="123">
        <v>236863</v>
      </c>
      <c r="AE419" s="123">
        <f>1000000+1120617</f>
        <v>2120617</v>
      </c>
      <c r="AG419" s="151">
        <f t="shared" si="90"/>
        <v>1987448</v>
      </c>
      <c r="AH419" s="123">
        <f>2656413-101568-43117</f>
        <v>2511728</v>
      </c>
      <c r="AL419" s="123">
        <f>517819+6461</f>
        <v>524280</v>
      </c>
      <c r="AM419" s="123">
        <v>6218766</v>
      </c>
      <c r="AN419" s="123">
        <v>1902656</v>
      </c>
    </row>
    <row r="420" spans="1:40" s="123" customFormat="1" ht="16.2" thickBot="1" x14ac:dyDescent="0.35">
      <c r="A420" s="21">
        <v>59.3</v>
      </c>
      <c r="B420" s="212" t="s">
        <v>221</v>
      </c>
      <c r="C420" s="31" t="str">
        <f>VLOOKUP((CONCATENATE(B420)),ID!$A$2:$D$305,3,0)</f>
        <v>RL059</v>
      </c>
      <c r="D420" s="21">
        <v>0</v>
      </c>
      <c r="E420" s="21" t="s">
        <v>4057</v>
      </c>
      <c r="F420" s="21" t="s">
        <v>3841</v>
      </c>
      <c r="G420" s="21" t="s">
        <v>3853</v>
      </c>
      <c r="H420" s="94">
        <v>4383</v>
      </c>
      <c r="I420" s="43">
        <v>4413</v>
      </c>
      <c r="J420" s="43">
        <v>4421</v>
      </c>
      <c r="K420" s="21">
        <v>0</v>
      </c>
      <c r="L420" s="21"/>
      <c r="M420" s="21"/>
      <c r="N420" s="43">
        <v>4429</v>
      </c>
      <c r="O420" s="21" t="s">
        <v>3842</v>
      </c>
      <c r="P420" s="194">
        <v>1</v>
      </c>
      <c r="Q420" s="21">
        <v>1</v>
      </c>
      <c r="R420" s="39" t="str">
        <f t="shared" si="93"/>
        <v>-</v>
      </c>
      <c r="S420" s="120">
        <f t="shared" si="94"/>
        <v>3074592</v>
      </c>
      <c r="T420" s="123">
        <v>8538814</v>
      </c>
      <c r="U420" s="123">
        <f>1699662+11009</f>
        <v>1710671</v>
      </c>
      <c r="V420" s="123">
        <f t="shared" si="88"/>
        <v>6828143</v>
      </c>
      <c r="W420" s="122" t="str">
        <f t="shared" si="85"/>
        <v>1</v>
      </c>
      <c r="X420" s="123">
        <f>23500+487587+33380+Y420+2981398</f>
        <v>5464222</v>
      </c>
      <c r="Y420" s="123">
        <f>344843+1593514</f>
        <v>1938357</v>
      </c>
      <c r="Z420" s="123">
        <f t="shared" si="89"/>
        <v>3525865</v>
      </c>
      <c r="AA420" s="122" t="str">
        <f t="shared" si="86"/>
        <v>1</v>
      </c>
      <c r="AB420" s="120">
        <f t="shared" si="95"/>
        <v>344843</v>
      </c>
      <c r="AC420" s="123">
        <v>0</v>
      </c>
      <c r="AD420" s="123">
        <v>344843</v>
      </c>
      <c r="AE420" s="123">
        <f>1140900+1300000</f>
        <v>2440900</v>
      </c>
      <c r="AG420" s="151">
        <f t="shared" si="90"/>
        <v>2358371</v>
      </c>
      <c r="AH420" s="123">
        <f>2959226-41877-38942</f>
        <v>2878407</v>
      </c>
      <c r="AL420" s="123">
        <f>517795+2241</f>
        <v>520036</v>
      </c>
      <c r="AM420" s="123">
        <v>6775835</v>
      </c>
      <c r="AN420" s="123">
        <v>2236848</v>
      </c>
    </row>
    <row r="421" spans="1:40" s="123" customFormat="1" ht="16.2" thickBot="1" x14ac:dyDescent="0.35">
      <c r="A421" s="21">
        <v>59.4</v>
      </c>
      <c r="B421" s="212" t="s">
        <v>221</v>
      </c>
      <c r="C421" s="31" t="str">
        <f>VLOOKUP((CONCATENATE(B421)),ID!$A$2:$D$305,3,0)</f>
        <v>RL059</v>
      </c>
      <c r="D421" s="21">
        <v>0</v>
      </c>
      <c r="E421" s="21" t="s">
        <v>4057</v>
      </c>
      <c r="F421" s="21" t="s">
        <v>3841</v>
      </c>
      <c r="G421" s="21" t="s">
        <v>3853</v>
      </c>
      <c r="H421" s="94">
        <v>4565</v>
      </c>
      <c r="I421" s="43">
        <v>4587</v>
      </c>
      <c r="J421" s="43">
        <v>4596</v>
      </c>
      <c r="K421" s="21">
        <v>0</v>
      </c>
      <c r="L421" s="21"/>
      <c r="M421" s="21"/>
      <c r="N421" s="43">
        <v>4603</v>
      </c>
      <c r="O421" s="21" t="s">
        <v>3842</v>
      </c>
      <c r="P421" s="194">
        <v>1</v>
      </c>
      <c r="Q421" s="21">
        <v>1</v>
      </c>
      <c r="R421" s="39" t="str">
        <f t="shared" si="93"/>
        <v>-</v>
      </c>
      <c r="S421" s="120">
        <f t="shared" si="94"/>
        <v>2642983</v>
      </c>
      <c r="T421" s="123">
        <v>8375823</v>
      </c>
      <c r="U421" s="123">
        <f>2059150+11009</f>
        <v>2070159</v>
      </c>
      <c r="V421" s="123">
        <f t="shared" si="88"/>
        <v>6305664</v>
      </c>
      <c r="W421" s="122" t="str">
        <f t="shared" si="85"/>
        <v>1</v>
      </c>
      <c r="X421" s="123">
        <f>Y421+33084+487625+24013+3223358</f>
        <v>5732840</v>
      </c>
      <c r="Y421" s="123">
        <f>343206+1621554</f>
        <v>1964760</v>
      </c>
      <c r="Z421" s="123">
        <f t="shared" si="89"/>
        <v>3768080</v>
      </c>
      <c r="AA421" s="122" t="str">
        <f t="shared" si="86"/>
        <v>1</v>
      </c>
      <c r="AB421" s="120">
        <f t="shared" si="95"/>
        <v>343206</v>
      </c>
      <c r="AC421" s="123">
        <v>0</v>
      </c>
      <c r="AD421" s="123">
        <v>343206</v>
      </c>
      <c r="AE421" s="123">
        <f>866841+1500000</f>
        <v>2366841</v>
      </c>
      <c r="AG421" s="151">
        <f t="shared" si="90"/>
        <v>1844256</v>
      </c>
      <c r="AH421" s="123">
        <f>2520619-109102-47445</f>
        <v>2364072</v>
      </c>
      <c r="AL421" s="123">
        <f>517836+1980</f>
        <v>519816</v>
      </c>
      <c r="AM421" s="123">
        <v>5982123</v>
      </c>
      <c r="AN421" s="123">
        <v>1888575</v>
      </c>
    </row>
    <row r="422" spans="1:40" s="123" customFormat="1" ht="16.2" thickBot="1" x14ac:dyDescent="0.35">
      <c r="A422" s="21"/>
      <c r="B422" s="212" t="s">
        <v>221</v>
      </c>
      <c r="C422" s="31" t="str">
        <f>VLOOKUP((CONCATENATE(B422)),ID!$A$2:$D$305,3,0)</f>
        <v>RL059</v>
      </c>
      <c r="D422" s="21">
        <v>0</v>
      </c>
      <c r="E422" s="21" t="s">
        <v>4057</v>
      </c>
      <c r="F422" s="21" t="s">
        <v>3841</v>
      </c>
      <c r="G422" s="21" t="s">
        <v>3853</v>
      </c>
      <c r="H422" s="94">
        <v>4749</v>
      </c>
      <c r="I422" s="43">
        <v>4784</v>
      </c>
      <c r="J422" s="43">
        <v>3696</v>
      </c>
      <c r="K422" s="21">
        <v>0</v>
      </c>
      <c r="L422" s="21"/>
      <c r="M422" s="21"/>
      <c r="N422" s="43">
        <v>3704</v>
      </c>
      <c r="O422" s="21" t="s">
        <v>3842</v>
      </c>
      <c r="P422" s="194">
        <v>1</v>
      </c>
      <c r="Q422" s="21">
        <v>1</v>
      </c>
      <c r="R422" s="39" t="str">
        <f t="shared" si="93"/>
        <v>-</v>
      </c>
      <c r="S422" s="120">
        <f t="shared" si="94"/>
        <v>3386647</v>
      </c>
      <c r="T422" s="123">
        <v>9970648</v>
      </c>
      <c r="U422" s="123">
        <f>2588084+11009</f>
        <v>2599093</v>
      </c>
      <c r="V422" s="123">
        <f t="shared" si="88"/>
        <v>7371555</v>
      </c>
      <c r="W422" s="122" t="str">
        <f t="shared" si="85"/>
        <v>1</v>
      </c>
      <c r="X422" s="123">
        <f>3875672+Y422+29026+512872+23655</f>
        <v>6584001</v>
      </c>
      <c r="Y422" s="123">
        <f>1697041+445735</f>
        <v>2142776</v>
      </c>
      <c r="Z422" s="123">
        <f>X422-Y422</f>
        <v>4441225</v>
      </c>
      <c r="AA422" s="122" t="str">
        <f>IF(Z422+Y422=X422,"1","0")</f>
        <v>1</v>
      </c>
      <c r="AB422" s="120">
        <f t="shared" si="95"/>
        <v>445735</v>
      </c>
      <c r="AC422" s="123">
        <v>0</v>
      </c>
      <c r="AD422" s="123">
        <v>445735</v>
      </c>
      <c r="AE422" s="123">
        <f>893662+2000000</f>
        <v>2893662</v>
      </c>
      <c r="AG422" s="151">
        <f t="shared" si="90"/>
        <v>2606369</v>
      </c>
      <c r="AH422" s="123">
        <f>3241027-51051-38942</f>
        <v>3151034</v>
      </c>
      <c r="AL422" s="123">
        <v>544665</v>
      </c>
      <c r="AM422" s="123">
        <v>7134798</v>
      </c>
      <c r="AN422" s="123">
        <v>2326364</v>
      </c>
    </row>
    <row r="423" spans="1:40" s="123" customFormat="1" ht="16.2" thickBot="1" x14ac:dyDescent="0.35">
      <c r="A423" s="21"/>
      <c r="B423" s="212" t="s">
        <v>221</v>
      </c>
      <c r="C423" s="31" t="str">
        <f>VLOOKUP((CONCATENATE(B423)),ID!$A$2:$D$305,3,0)</f>
        <v>RL059</v>
      </c>
      <c r="D423" s="21">
        <v>1</v>
      </c>
      <c r="E423" s="21" t="s">
        <v>4057</v>
      </c>
      <c r="F423" s="21" t="s">
        <v>3841</v>
      </c>
      <c r="G423" s="21" t="s">
        <v>3853</v>
      </c>
      <c r="H423" s="94">
        <v>5114</v>
      </c>
      <c r="I423" s="43">
        <v>5155</v>
      </c>
      <c r="J423" s="43">
        <v>5164</v>
      </c>
      <c r="K423" s="21">
        <v>0</v>
      </c>
      <c r="L423" s="21"/>
      <c r="M423" s="21"/>
      <c r="N423" s="43">
        <v>5171</v>
      </c>
      <c r="O423" s="21" t="s">
        <v>3842</v>
      </c>
      <c r="P423" s="194">
        <v>1</v>
      </c>
      <c r="Q423" s="21">
        <v>1</v>
      </c>
      <c r="R423" s="39" t="str">
        <f t="shared" si="93"/>
        <v>-</v>
      </c>
      <c r="S423" s="120">
        <f t="shared" si="94"/>
        <v>7263857</v>
      </c>
      <c r="T423" s="123">
        <v>11212438</v>
      </c>
      <c r="U423" s="123">
        <f>2965363+27450+11009+418057</f>
        <v>3421879</v>
      </c>
      <c r="V423" s="123">
        <f t="shared" si="88"/>
        <v>7790559</v>
      </c>
      <c r="W423" s="122" t="str">
        <f t="shared" si="85"/>
        <v>1</v>
      </c>
      <c r="X423" s="123">
        <f>123733+76249+790570+1896780+522525+513017+25707</f>
        <v>3948581</v>
      </c>
      <c r="Y423" s="123">
        <v>1896780</v>
      </c>
      <c r="Z423" s="123">
        <f>X423-Y423</f>
        <v>2051801</v>
      </c>
      <c r="AA423" s="122" t="str">
        <f>IF(Z423+Y423=X423,"1","0")</f>
        <v>1</v>
      </c>
      <c r="AB423" s="120">
        <f t="shared" si="95"/>
        <v>0</v>
      </c>
      <c r="AC423" s="123">
        <v>0</v>
      </c>
      <c r="AD423" s="123">
        <v>0</v>
      </c>
      <c r="AE423" s="123">
        <v>2979381</v>
      </c>
      <c r="AG423" s="151">
        <f t="shared" si="90"/>
        <v>4008760</v>
      </c>
      <c r="AH423" s="123">
        <f>15962757-10174036-122887-63620-352-25931-140104-6242-1452787+19712+18000+65492+1089627+68585</f>
        <v>5238214</v>
      </c>
      <c r="AL423" s="123">
        <f>71242+68585+1089627</f>
        <v>1229454</v>
      </c>
      <c r="AM423" s="123">
        <v>15962757</v>
      </c>
    </row>
    <row r="424" spans="1:40" s="123" customFormat="1" ht="16.2" hidden="1" thickBot="1" x14ac:dyDescent="0.35">
      <c r="A424" s="21">
        <v>60.1</v>
      </c>
      <c r="B424" s="212" t="s">
        <v>240</v>
      </c>
      <c r="C424" s="31" t="str">
        <f>VLOOKUP((CONCATENATE(B424)),ID!$A$2:$D$305,3,0)</f>
        <v>RL060</v>
      </c>
      <c r="D424" s="21">
        <v>0</v>
      </c>
      <c r="E424" s="21" t="s">
        <v>4057</v>
      </c>
      <c r="F424" s="21" t="s">
        <v>1117</v>
      </c>
      <c r="G424" s="21" t="s">
        <v>3777</v>
      </c>
      <c r="H424" s="94">
        <v>4018</v>
      </c>
      <c r="I424" s="43">
        <v>4147</v>
      </c>
      <c r="J424" s="43">
        <v>4149</v>
      </c>
      <c r="K424" s="21">
        <v>0</v>
      </c>
      <c r="L424" s="21"/>
      <c r="M424" s="21"/>
      <c r="N424" s="43">
        <v>4161</v>
      </c>
      <c r="O424" s="21" t="s">
        <v>3843</v>
      </c>
      <c r="P424" s="198" t="str">
        <f t="shared" ref="P424:P432" si="96">IF(AJ424=0,"?","1")</f>
        <v>?</v>
      </c>
      <c r="Q424" s="21" t="s">
        <v>4133</v>
      </c>
      <c r="R424" s="39" t="s">
        <v>4075</v>
      </c>
      <c r="S424" s="120">
        <f t="shared" si="94"/>
        <v>362365</v>
      </c>
      <c r="T424" s="132">
        <v>454936</v>
      </c>
      <c r="U424" s="132"/>
      <c r="V424" s="123">
        <f t="shared" si="88"/>
        <v>454936</v>
      </c>
      <c r="W424" s="122" t="str">
        <f t="shared" si="85"/>
        <v>1</v>
      </c>
      <c r="X424" s="132">
        <f>60264+3849+28458</f>
        <v>92571</v>
      </c>
      <c r="Y424" s="132"/>
      <c r="Z424" s="123">
        <f t="shared" si="89"/>
        <v>92571</v>
      </c>
      <c r="AA424" s="122" t="str">
        <f t="shared" si="86"/>
        <v>1</v>
      </c>
      <c r="AB424" s="120">
        <f t="shared" si="95"/>
        <v>0</v>
      </c>
      <c r="AC424" s="132"/>
      <c r="AD424" s="132"/>
      <c r="AE424" s="132"/>
      <c r="AF424" s="132"/>
      <c r="AG424" s="151">
        <f t="shared" si="90"/>
        <v>85605</v>
      </c>
      <c r="AH424" s="200">
        <f>169819-49188-12526</f>
        <v>108105</v>
      </c>
      <c r="AI424" s="200"/>
      <c r="AJ424" s="200"/>
      <c r="AK424" s="200"/>
      <c r="AL424" s="200">
        <v>22500</v>
      </c>
      <c r="AM424" s="132" t="s">
        <v>811</v>
      </c>
      <c r="AN424" s="132"/>
    </row>
    <row r="425" spans="1:40" s="123" customFormat="1" ht="16.2" hidden="1" thickBot="1" x14ac:dyDescent="0.35">
      <c r="A425" s="21">
        <v>60.2</v>
      </c>
      <c r="B425" s="212" t="s">
        <v>240</v>
      </c>
      <c r="C425" s="31" t="str">
        <f>VLOOKUP((CONCATENATE(B425)),ID!$A$2:$D$305,3,0)</f>
        <v>RL060</v>
      </c>
      <c r="D425" s="21">
        <v>0</v>
      </c>
      <c r="E425" s="21" t="s">
        <v>4057</v>
      </c>
      <c r="F425" s="21" t="s">
        <v>1117</v>
      </c>
      <c r="G425" s="21" t="s">
        <v>3777</v>
      </c>
      <c r="H425" s="94">
        <v>4199</v>
      </c>
      <c r="I425" s="43">
        <v>4329</v>
      </c>
      <c r="J425" s="43">
        <v>4330</v>
      </c>
      <c r="K425" s="21">
        <v>0</v>
      </c>
      <c r="L425" s="21"/>
      <c r="M425" s="21"/>
      <c r="N425" s="43">
        <v>4343</v>
      </c>
      <c r="O425" s="21" t="s">
        <v>3843</v>
      </c>
      <c r="P425" s="198" t="str">
        <f t="shared" si="96"/>
        <v>?</v>
      </c>
      <c r="Q425" s="21" t="s">
        <v>4133</v>
      </c>
      <c r="R425" s="39" t="s">
        <v>4075</v>
      </c>
      <c r="S425" s="120">
        <f t="shared" si="94"/>
        <v>0</v>
      </c>
      <c r="V425" s="123">
        <f t="shared" si="88"/>
        <v>0</v>
      </c>
      <c r="W425" s="122" t="str">
        <f t="shared" si="85"/>
        <v>1</v>
      </c>
      <c r="Z425" s="123">
        <f t="shared" si="89"/>
        <v>0</v>
      </c>
      <c r="AA425" s="122" t="str">
        <f t="shared" si="86"/>
        <v>1</v>
      </c>
      <c r="AB425" s="120">
        <f t="shared" si="95"/>
        <v>0</v>
      </c>
      <c r="AG425" s="151">
        <f t="shared" si="90"/>
        <v>122480</v>
      </c>
      <c r="AH425" s="123">
        <f>157272-9669</f>
        <v>147603</v>
      </c>
      <c r="AL425" s="123">
        <f>22623+2500</f>
        <v>25123</v>
      </c>
    </row>
    <row r="426" spans="1:40" s="123" customFormat="1" ht="16.2" hidden="1" thickBot="1" x14ac:dyDescent="0.35">
      <c r="A426" s="21">
        <v>60.3</v>
      </c>
      <c r="B426" s="212" t="s">
        <v>240</v>
      </c>
      <c r="C426" s="31" t="str">
        <f>VLOOKUP((CONCATENATE(B426)),ID!$A$2:$D$305,3,0)</f>
        <v>RL060</v>
      </c>
      <c r="D426" s="21">
        <v>0</v>
      </c>
      <c r="E426" s="21" t="s">
        <v>4057</v>
      </c>
      <c r="F426" s="21" t="s">
        <v>1117</v>
      </c>
      <c r="G426" s="21" t="s">
        <v>3777</v>
      </c>
      <c r="H426" s="94">
        <v>4383</v>
      </c>
      <c r="I426" s="43">
        <v>4511</v>
      </c>
      <c r="J426" s="43">
        <v>4512</v>
      </c>
      <c r="K426" s="21">
        <v>0</v>
      </c>
      <c r="L426" s="21"/>
      <c r="M426" s="21"/>
      <c r="N426" s="43">
        <v>4525</v>
      </c>
      <c r="O426" s="21" t="s">
        <v>3843</v>
      </c>
      <c r="P426" s="198" t="str">
        <f t="shared" si="96"/>
        <v>?</v>
      </c>
      <c r="Q426" s="21" t="s">
        <v>4133</v>
      </c>
      <c r="R426" s="39" t="s">
        <v>4075</v>
      </c>
      <c r="S426" s="120">
        <f t="shared" si="94"/>
        <v>0</v>
      </c>
      <c r="V426" s="123">
        <f t="shared" si="88"/>
        <v>0</v>
      </c>
      <c r="W426" s="122" t="str">
        <f t="shared" si="85"/>
        <v>1</v>
      </c>
      <c r="Z426" s="123">
        <f t="shared" si="89"/>
        <v>0</v>
      </c>
      <c r="AA426" s="122" t="str">
        <f t="shared" si="86"/>
        <v>1</v>
      </c>
      <c r="AB426" s="120">
        <f t="shared" si="95"/>
        <v>0</v>
      </c>
      <c r="AG426" s="151">
        <f t="shared" si="90"/>
        <v>77603</v>
      </c>
      <c r="AH426" s="123">
        <f>21423+90524-8177</f>
        <v>103770</v>
      </c>
      <c r="AL426" s="123">
        <f>23667+2500</f>
        <v>26167</v>
      </c>
    </row>
    <row r="427" spans="1:40" s="123" customFormat="1" ht="16.2" hidden="1" thickBot="1" x14ac:dyDescent="0.35">
      <c r="A427" s="21">
        <v>60.4</v>
      </c>
      <c r="B427" s="212" t="s">
        <v>240</v>
      </c>
      <c r="C427" s="31" t="str">
        <f>VLOOKUP((CONCATENATE(B427)),ID!$A$2:$D$305,3,0)</f>
        <v>RL060</v>
      </c>
      <c r="D427" s="21">
        <v>0</v>
      </c>
      <c r="E427" s="21" t="s">
        <v>4057</v>
      </c>
      <c r="F427" s="21" t="s">
        <v>1117</v>
      </c>
      <c r="G427" s="21" t="s">
        <v>3777</v>
      </c>
      <c r="H427" s="94">
        <v>4565</v>
      </c>
      <c r="I427" s="43">
        <v>4693</v>
      </c>
      <c r="J427" s="43">
        <v>4694</v>
      </c>
      <c r="K427" s="21">
        <v>0</v>
      </c>
      <c r="L427" s="21"/>
      <c r="M427" s="21"/>
      <c r="N427" s="43">
        <v>4707</v>
      </c>
      <c r="O427" s="21" t="s">
        <v>3843</v>
      </c>
      <c r="P427" s="198" t="str">
        <f t="shared" si="96"/>
        <v>?</v>
      </c>
      <c r="Q427" s="21" t="s">
        <v>4133</v>
      </c>
      <c r="R427" s="39" t="s">
        <v>4075</v>
      </c>
      <c r="S427" s="120">
        <f t="shared" si="94"/>
        <v>0</v>
      </c>
      <c r="V427" s="123">
        <f t="shared" si="88"/>
        <v>0</v>
      </c>
      <c r="W427" s="122" t="str">
        <f t="shared" si="85"/>
        <v>1</v>
      </c>
      <c r="Z427" s="123">
        <f t="shared" si="89"/>
        <v>0</v>
      </c>
      <c r="AA427" s="122" t="str">
        <f t="shared" si="86"/>
        <v>1</v>
      </c>
      <c r="AB427" s="120">
        <f t="shared" si="95"/>
        <v>0</v>
      </c>
      <c r="AG427" s="151">
        <f t="shared" si="90"/>
        <v>148922</v>
      </c>
      <c r="AH427" s="123">
        <f>183767</f>
        <v>183767</v>
      </c>
      <c r="AL427" s="123">
        <f>5969+5000+23876</f>
        <v>34845</v>
      </c>
    </row>
    <row r="428" spans="1:40" s="123" customFormat="1" ht="16.2" hidden="1" thickBot="1" x14ac:dyDescent="0.35">
      <c r="A428" s="21"/>
      <c r="B428" s="212" t="s">
        <v>240</v>
      </c>
      <c r="C428" s="31" t="str">
        <f>VLOOKUP((CONCATENATE(B428)),ID!$A$2:$D$305,3,0)</f>
        <v>RL060</v>
      </c>
      <c r="D428" s="21">
        <v>0</v>
      </c>
      <c r="E428" s="21" t="s">
        <v>4057</v>
      </c>
      <c r="F428" s="21" t="s">
        <v>1117</v>
      </c>
      <c r="G428" s="21" t="s">
        <v>3777</v>
      </c>
      <c r="H428" s="94">
        <v>4749</v>
      </c>
      <c r="I428" s="43">
        <v>4861</v>
      </c>
      <c r="J428" s="43">
        <v>4869</v>
      </c>
      <c r="K428" s="21">
        <v>0</v>
      </c>
      <c r="L428" s="21"/>
      <c r="M428" s="21"/>
      <c r="N428" s="43">
        <v>4889</v>
      </c>
      <c r="O428" s="21" t="s">
        <v>3843</v>
      </c>
      <c r="P428" s="198" t="str">
        <f t="shared" si="96"/>
        <v>?</v>
      </c>
      <c r="Q428" s="21" t="s">
        <v>4133</v>
      </c>
      <c r="R428" s="39" t="s">
        <v>4075</v>
      </c>
      <c r="S428" s="120">
        <f t="shared" si="94"/>
        <v>0</v>
      </c>
      <c r="V428" s="123">
        <f t="shared" si="88"/>
        <v>0</v>
      </c>
      <c r="W428" s="122" t="str">
        <f t="shared" si="85"/>
        <v>1</v>
      </c>
      <c r="Z428" s="123">
        <f t="shared" si="89"/>
        <v>0</v>
      </c>
      <c r="AA428" s="122" t="str">
        <f t="shared" ref="AA428:AA434" si="97">IF(Z428+Y428=X428,"1","0")</f>
        <v>1</v>
      </c>
      <c r="AB428" s="120">
        <f t="shared" ref="AB428:AB434" si="98">SUM(AC428+AD428)</f>
        <v>0</v>
      </c>
      <c r="AG428" s="151">
        <f t="shared" si="90"/>
        <v>0</v>
      </c>
    </row>
    <row r="429" spans="1:40" s="123" customFormat="1" ht="16.2" hidden="1" thickBot="1" x14ac:dyDescent="0.35">
      <c r="A429" s="21"/>
      <c r="B429" s="212" t="s">
        <v>240</v>
      </c>
      <c r="C429" s="31" t="str">
        <f>VLOOKUP((CONCATENATE(B429)),ID!$A$2:$D$305,3,0)</f>
        <v>RL060</v>
      </c>
      <c r="D429" s="21">
        <v>0</v>
      </c>
      <c r="E429" s="21" t="s">
        <v>4057</v>
      </c>
      <c r="F429" s="21" t="s">
        <v>1117</v>
      </c>
      <c r="G429" s="21" t="s">
        <v>3777</v>
      </c>
      <c r="H429" s="94">
        <v>4930</v>
      </c>
      <c r="I429" s="43">
        <v>5029</v>
      </c>
      <c r="J429" s="43">
        <v>5030</v>
      </c>
      <c r="K429" s="21">
        <v>0</v>
      </c>
      <c r="L429" s="21"/>
      <c r="M429" s="21"/>
      <c r="N429" s="43">
        <v>5043</v>
      </c>
      <c r="O429" s="21" t="s">
        <v>3843</v>
      </c>
      <c r="P429" s="198" t="str">
        <f t="shared" si="96"/>
        <v>?</v>
      </c>
      <c r="Q429" s="21" t="s">
        <v>4133</v>
      </c>
      <c r="R429" s="39" t="s">
        <v>4075</v>
      </c>
      <c r="S429" s="120">
        <f t="shared" si="94"/>
        <v>0</v>
      </c>
      <c r="V429" s="123">
        <f t="shared" si="88"/>
        <v>0</v>
      </c>
      <c r="W429" s="122" t="str">
        <f t="shared" si="85"/>
        <v>1</v>
      </c>
      <c r="Z429" s="123">
        <f t="shared" si="89"/>
        <v>0</v>
      </c>
      <c r="AA429" s="122" t="str">
        <f t="shared" si="97"/>
        <v>1</v>
      </c>
      <c r="AB429" s="120">
        <f t="shared" si="98"/>
        <v>0</v>
      </c>
      <c r="AG429" s="151">
        <f t="shared" si="90"/>
        <v>0</v>
      </c>
    </row>
    <row r="430" spans="1:40" s="123" customFormat="1" ht="16.2" hidden="1" thickBot="1" x14ac:dyDescent="0.35">
      <c r="A430" s="21"/>
      <c r="B430" s="212" t="s">
        <v>240</v>
      </c>
      <c r="C430" s="31" t="str">
        <f>VLOOKUP((CONCATENATE(B430)),ID!$A$2:$D$305,3,0)</f>
        <v>RL060</v>
      </c>
      <c r="D430" s="21">
        <v>0</v>
      </c>
      <c r="E430" s="21" t="s">
        <v>4057</v>
      </c>
      <c r="F430" s="21" t="s">
        <v>1117</v>
      </c>
      <c r="G430" s="21" t="s">
        <v>3777</v>
      </c>
      <c r="H430" s="94">
        <v>5022</v>
      </c>
      <c r="I430" s="43">
        <v>5197</v>
      </c>
      <c r="J430" s="43">
        <v>5189</v>
      </c>
      <c r="K430" s="21">
        <v>0</v>
      </c>
      <c r="L430" s="21"/>
      <c r="M430" s="21"/>
      <c r="N430" s="43">
        <v>5211</v>
      </c>
      <c r="O430" s="21" t="s">
        <v>3843</v>
      </c>
      <c r="P430" s="198" t="str">
        <f t="shared" si="96"/>
        <v>?</v>
      </c>
      <c r="Q430" s="21" t="s">
        <v>4133</v>
      </c>
      <c r="R430" s="39" t="s">
        <v>4075</v>
      </c>
      <c r="S430" s="120">
        <f t="shared" si="94"/>
        <v>0</v>
      </c>
      <c r="V430" s="123">
        <f t="shared" si="88"/>
        <v>0</v>
      </c>
      <c r="W430" s="122" t="str">
        <f t="shared" si="85"/>
        <v>1</v>
      </c>
      <c r="Z430" s="123">
        <f t="shared" si="89"/>
        <v>0</v>
      </c>
      <c r="AA430" s="122" t="str">
        <f t="shared" si="97"/>
        <v>1</v>
      </c>
      <c r="AB430" s="120">
        <f t="shared" si="98"/>
        <v>0</v>
      </c>
      <c r="AG430" s="151">
        <f t="shared" si="90"/>
        <v>0</v>
      </c>
    </row>
    <row r="431" spans="1:40" s="123" customFormat="1" ht="16.2" hidden="1" thickBot="1" x14ac:dyDescent="0.35">
      <c r="A431" s="21"/>
      <c r="B431" s="212" t="s">
        <v>240</v>
      </c>
      <c r="C431" s="31" t="str">
        <f>VLOOKUP((CONCATENATE(B431)),ID!$A$2:$D$305,3,0)</f>
        <v>RL060</v>
      </c>
      <c r="D431" s="21">
        <v>0</v>
      </c>
      <c r="E431" s="21" t="s">
        <v>4057</v>
      </c>
      <c r="F431" s="21" t="s">
        <v>1117</v>
      </c>
      <c r="G431" s="21" t="s">
        <v>3777</v>
      </c>
      <c r="H431" s="94">
        <v>5204</v>
      </c>
      <c r="I431" s="43">
        <v>5392</v>
      </c>
      <c r="J431" s="43">
        <v>5382</v>
      </c>
      <c r="K431" s="21">
        <v>0</v>
      </c>
      <c r="L431" s="21"/>
      <c r="M431" s="21"/>
      <c r="N431" s="43">
        <v>5407</v>
      </c>
      <c r="O431" s="21" t="s">
        <v>3843</v>
      </c>
      <c r="P431" s="198" t="str">
        <f t="shared" si="96"/>
        <v>?</v>
      </c>
      <c r="Q431" s="21" t="s">
        <v>4133</v>
      </c>
      <c r="R431" s="39" t="s">
        <v>4075</v>
      </c>
      <c r="S431" s="120">
        <f t="shared" si="94"/>
        <v>0</v>
      </c>
      <c r="V431" s="123">
        <f t="shared" si="88"/>
        <v>0</v>
      </c>
      <c r="W431" s="122" t="str">
        <f t="shared" si="85"/>
        <v>1</v>
      </c>
      <c r="Z431" s="123">
        <f t="shared" si="89"/>
        <v>0</v>
      </c>
      <c r="AA431" s="122" t="str">
        <f t="shared" si="97"/>
        <v>1</v>
      </c>
      <c r="AB431" s="120">
        <f t="shared" si="98"/>
        <v>0</v>
      </c>
      <c r="AG431" s="151">
        <f t="shared" si="90"/>
        <v>0</v>
      </c>
    </row>
    <row r="432" spans="1:40" s="123" customFormat="1" ht="16.2" hidden="1" thickBot="1" x14ac:dyDescent="0.35">
      <c r="A432" s="21"/>
      <c r="B432" s="212" t="s">
        <v>240</v>
      </c>
      <c r="C432" s="31" t="str">
        <f>VLOOKUP((CONCATENATE(B432)),ID!$A$2:$D$305,3,0)</f>
        <v>RL060</v>
      </c>
      <c r="D432" s="21">
        <v>0</v>
      </c>
      <c r="E432" s="21" t="s">
        <v>4057</v>
      </c>
      <c r="F432" s="21" t="s">
        <v>1117</v>
      </c>
      <c r="G432" s="21" t="s">
        <v>3777</v>
      </c>
      <c r="H432" s="94">
        <v>5387</v>
      </c>
      <c r="I432" s="47">
        <v>5561</v>
      </c>
      <c r="J432" s="43">
        <v>5562</v>
      </c>
      <c r="K432" s="21">
        <v>0</v>
      </c>
      <c r="L432" s="21"/>
      <c r="M432" s="21"/>
      <c r="N432" s="43">
        <v>5589</v>
      </c>
      <c r="O432" s="21" t="s">
        <v>3843</v>
      </c>
      <c r="P432" s="198" t="str">
        <f t="shared" si="96"/>
        <v>?</v>
      </c>
      <c r="Q432" s="21" t="s">
        <v>4133</v>
      </c>
      <c r="R432" s="39" t="s">
        <v>4075</v>
      </c>
      <c r="S432" s="120">
        <f t="shared" si="94"/>
        <v>0</v>
      </c>
      <c r="V432" s="123">
        <f t="shared" si="88"/>
        <v>0</v>
      </c>
      <c r="W432" s="122" t="str">
        <f t="shared" si="85"/>
        <v>1</v>
      </c>
      <c r="Z432" s="123">
        <f t="shared" si="89"/>
        <v>0</v>
      </c>
      <c r="AA432" s="122" t="str">
        <f t="shared" si="97"/>
        <v>1</v>
      </c>
      <c r="AB432" s="120">
        <f t="shared" si="98"/>
        <v>0</v>
      </c>
      <c r="AG432" s="151">
        <f t="shared" si="90"/>
        <v>0</v>
      </c>
    </row>
    <row r="433" spans="1:40" s="123" customFormat="1" ht="16.2" thickBot="1" x14ac:dyDescent="0.35">
      <c r="A433" s="21"/>
      <c r="B433" s="212" t="s">
        <v>263</v>
      </c>
      <c r="C433" s="31" t="str">
        <f>VLOOKUP((CONCATENATE(B433)),ID!$A$2:$D$305,3,0)</f>
        <v>RL061</v>
      </c>
      <c r="D433" s="21">
        <v>0</v>
      </c>
      <c r="E433" s="21" t="s">
        <v>4057</v>
      </c>
      <c r="F433" s="21" t="s">
        <v>1117</v>
      </c>
      <c r="G433" s="21" t="s">
        <v>3853</v>
      </c>
      <c r="H433" s="94">
        <v>3653</v>
      </c>
      <c r="I433" s="47">
        <v>3680</v>
      </c>
      <c r="J433" s="47">
        <v>3689</v>
      </c>
      <c r="K433" s="21">
        <v>1</v>
      </c>
      <c r="L433" s="43">
        <v>3686</v>
      </c>
      <c r="M433" s="43">
        <v>3700</v>
      </c>
      <c r="N433" s="43">
        <v>3700</v>
      </c>
      <c r="O433" s="21" t="s">
        <v>3844</v>
      </c>
      <c r="P433" s="194">
        <v>1</v>
      </c>
      <c r="Q433" s="170">
        <v>1</v>
      </c>
      <c r="R433" s="39" t="str">
        <f t="shared" si="93"/>
        <v>-</v>
      </c>
      <c r="S433" s="120">
        <f t="shared" si="94"/>
        <v>25115</v>
      </c>
      <c r="T433" s="123">
        <v>85336</v>
      </c>
      <c r="U433" s="123">
        <v>45011</v>
      </c>
      <c r="V433" s="123">
        <f t="shared" si="88"/>
        <v>40325</v>
      </c>
      <c r="W433" s="122" t="str">
        <f t="shared" si="85"/>
        <v>1</v>
      </c>
      <c r="X433" s="123">
        <f>9251+873+49303+794</f>
        <v>60221</v>
      </c>
      <c r="Y433" s="123">
        <v>0</v>
      </c>
      <c r="Z433" s="123">
        <f t="shared" si="89"/>
        <v>60221</v>
      </c>
      <c r="AA433" s="122" t="str">
        <f t="shared" si="97"/>
        <v>1</v>
      </c>
      <c r="AB433" s="120">
        <f t="shared" si="98"/>
        <v>0</v>
      </c>
      <c r="AC433" s="123">
        <v>0</v>
      </c>
      <c r="AD433" s="123">
        <v>0</v>
      </c>
      <c r="AE433" s="123">
        <v>9251</v>
      </c>
      <c r="AG433" s="151">
        <f t="shared" si="90"/>
        <v>23518</v>
      </c>
      <c r="AH433" s="123">
        <f>34310-139-210-1023</f>
        <v>32938</v>
      </c>
      <c r="AL433" s="123">
        <f>9210+210</f>
        <v>9420</v>
      </c>
      <c r="AM433" s="123">
        <v>58237</v>
      </c>
    </row>
    <row r="434" spans="1:40" s="123" customFormat="1" ht="16.2" thickBot="1" x14ac:dyDescent="0.35">
      <c r="A434" s="21"/>
      <c r="B434" s="212" t="s">
        <v>263</v>
      </c>
      <c r="C434" s="31" t="str">
        <f>VLOOKUP((CONCATENATE(B434)),ID!$A$2:$D$305,3,0)</f>
        <v>RL061</v>
      </c>
      <c r="D434" s="21">
        <v>0</v>
      </c>
      <c r="E434" s="21" t="s">
        <v>4057</v>
      </c>
      <c r="F434" s="21" t="s">
        <v>1117</v>
      </c>
      <c r="G434" s="21" t="s">
        <v>3853</v>
      </c>
      <c r="H434" s="94">
        <v>3834</v>
      </c>
      <c r="I434" s="47">
        <v>3860</v>
      </c>
      <c r="J434" s="43">
        <v>3864</v>
      </c>
      <c r="K434" s="21">
        <v>1</v>
      </c>
      <c r="L434" s="43">
        <v>3861</v>
      </c>
      <c r="M434" s="43">
        <v>3875</v>
      </c>
      <c r="N434" s="43">
        <v>3875</v>
      </c>
      <c r="O434" s="21" t="s">
        <v>3844</v>
      </c>
      <c r="P434" s="194">
        <v>1</v>
      </c>
      <c r="Q434" s="170">
        <v>1</v>
      </c>
      <c r="R434" s="39" t="str">
        <f t="shared" si="93"/>
        <v>-</v>
      </c>
      <c r="S434" s="120">
        <f t="shared" si="94"/>
        <v>0</v>
      </c>
      <c r="T434" s="136"/>
      <c r="U434" s="136"/>
      <c r="V434" s="136">
        <f t="shared" si="88"/>
        <v>0</v>
      </c>
      <c r="W434" s="176" t="str">
        <f t="shared" si="85"/>
        <v>1</v>
      </c>
      <c r="X434" s="136"/>
      <c r="Y434" s="136"/>
      <c r="Z434" s="136">
        <f t="shared" si="89"/>
        <v>0</v>
      </c>
      <c r="AA434" s="122" t="str">
        <f t="shared" si="97"/>
        <v>1</v>
      </c>
      <c r="AB434" s="120">
        <f t="shared" si="98"/>
        <v>0</v>
      </c>
      <c r="AG434" s="151">
        <f t="shared" si="90"/>
        <v>26532</v>
      </c>
      <c r="AH434" s="123">
        <f>39736-2360-1176</f>
        <v>36200</v>
      </c>
      <c r="AL434" s="123">
        <f>9210+458</f>
        <v>9668</v>
      </c>
      <c r="AM434" s="123">
        <v>61672</v>
      </c>
    </row>
    <row r="435" spans="1:40" s="123" customFormat="1" ht="16.2" thickBot="1" x14ac:dyDescent="0.35">
      <c r="A435" s="21">
        <v>61.1</v>
      </c>
      <c r="B435" s="212" t="s">
        <v>263</v>
      </c>
      <c r="C435" s="31" t="str">
        <f>VLOOKUP((CONCATENATE(B435)),ID!$A$2:$D$305,3,0)</f>
        <v>RL061</v>
      </c>
      <c r="D435" s="21">
        <v>0</v>
      </c>
      <c r="E435" s="21" t="s">
        <v>4057</v>
      </c>
      <c r="F435" s="21" t="s">
        <v>1117</v>
      </c>
      <c r="G435" s="21" t="s">
        <v>3853</v>
      </c>
      <c r="H435" s="94">
        <v>4018</v>
      </c>
      <c r="I435" s="43">
        <v>4037</v>
      </c>
      <c r="J435" s="43">
        <v>4046</v>
      </c>
      <c r="K435" s="21">
        <v>1</v>
      </c>
      <c r="L435" s="43">
        <v>4043</v>
      </c>
      <c r="M435" s="43">
        <v>4057</v>
      </c>
      <c r="N435" s="43">
        <v>4057</v>
      </c>
      <c r="O435" s="21" t="s">
        <v>3844</v>
      </c>
      <c r="P435" s="194">
        <v>1</v>
      </c>
      <c r="Q435" s="170">
        <v>1</v>
      </c>
      <c r="R435" s="39" t="str">
        <f t="shared" si="93"/>
        <v>-</v>
      </c>
      <c r="S435" s="120">
        <f t="shared" si="94"/>
        <v>30561</v>
      </c>
      <c r="T435" s="123">
        <v>119928</v>
      </c>
      <c r="U435" s="123">
        <v>69255</v>
      </c>
      <c r="V435" s="123">
        <f t="shared" si="88"/>
        <v>50673</v>
      </c>
      <c r="W435" s="122" t="str">
        <f t="shared" si="85"/>
        <v>1</v>
      </c>
      <c r="X435" s="123">
        <f>36656+42742+609+9360</f>
        <v>89367</v>
      </c>
      <c r="Y435" s="123">
        <v>0</v>
      </c>
      <c r="Z435" s="123">
        <f t="shared" si="89"/>
        <v>89367</v>
      </c>
      <c r="AA435" s="122" t="str">
        <f t="shared" si="86"/>
        <v>1</v>
      </c>
      <c r="AB435" s="120">
        <f t="shared" si="95"/>
        <v>0</v>
      </c>
      <c r="AC435" s="123">
        <v>0</v>
      </c>
      <c r="AD435" s="123">
        <v>0</v>
      </c>
      <c r="AE435" s="123">
        <v>9360</v>
      </c>
      <c r="AG435" s="151">
        <f t="shared" si="90"/>
        <v>26581</v>
      </c>
      <c r="AH435" s="123">
        <f>40300-2526-1156</f>
        <v>36618</v>
      </c>
      <c r="AL435" s="123">
        <f>827+9210</f>
        <v>10037</v>
      </c>
      <c r="AM435" s="123">
        <v>67662</v>
      </c>
    </row>
    <row r="436" spans="1:40" s="123" customFormat="1" ht="16.2" thickBot="1" x14ac:dyDescent="0.35">
      <c r="A436" s="21">
        <v>61.2</v>
      </c>
      <c r="B436" s="212" t="s">
        <v>263</v>
      </c>
      <c r="C436" s="31" t="str">
        <f>VLOOKUP((CONCATENATE(B436)),ID!$A$2:$D$305,3,0)</f>
        <v>RL061</v>
      </c>
      <c r="D436" s="21">
        <v>0</v>
      </c>
      <c r="E436" s="21" t="s">
        <v>4057</v>
      </c>
      <c r="F436" s="21" t="s">
        <v>1117</v>
      </c>
      <c r="G436" s="21" t="s">
        <v>3853</v>
      </c>
      <c r="H436" s="94">
        <v>4199</v>
      </c>
      <c r="I436" s="43">
        <v>4224</v>
      </c>
      <c r="J436" s="43">
        <v>4226</v>
      </c>
      <c r="K436" s="21">
        <v>1</v>
      </c>
      <c r="L436" s="43">
        <v>4225</v>
      </c>
      <c r="M436" s="43">
        <v>4239</v>
      </c>
      <c r="N436" s="43">
        <v>4239</v>
      </c>
      <c r="O436" s="21" t="s">
        <v>3844</v>
      </c>
      <c r="P436" s="194">
        <v>1</v>
      </c>
      <c r="Q436" s="170">
        <v>1</v>
      </c>
      <c r="R436" s="39" t="str">
        <f t="shared" si="93"/>
        <v>-</v>
      </c>
      <c r="S436" s="120">
        <f t="shared" si="94"/>
        <v>37244</v>
      </c>
      <c r="T436" s="123">
        <v>139575</v>
      </c>
      <c r="U436" s="123">
        <v>88817</v>
      </c>
      <c r="V436" s="123">
        <f t="shared" si="88"/>
        <v>50758</v>
      </c>
      <c r="W436" s="122" t="str">
        <f t="shared" si="85"/>
        <v>1</v>
      </c>
      <c r="X436" s="123">
        <f>9494+1006+91831</f>
        <v>102331</v>
      </c>
      <c r="Y436" s="123">
        <v>0</v>
      </c>
      <c r="Z436" s="123">
        <f t="shared" si="89"/>
        <v>102331</v>
      </c>
      <c r="AA436" s="122" t="str">
        <f t="shared" si="86"/>
        <v>1</v>
      </c>
      <c r="AB436" s="120">
        <v>0</v>
      </c>
      <c r="AC436" s="123">
        <v>0</v>
      </c>
      <c r="AD436" s="123">
        <v>0</v>
      </c>
      <c r="AE436" s="123">
        <v>9935</v>
      </c>
      <c r="AG436" s="151">
        <f t="shared" si="90"/>
        <v>30664</v>
      </c>
      <c r="AH436" s="123">
        <f>44662-2638-1128</f>
        <v>40896</v>
      </c>
      <c r="AL436" s="123">
        <f>9210+1022</f>
        <v>10232</v>
      </c>
      <c r="AM436" s="123">
        <v>73311</v>
      </c>
    </row>
    <row r="437" spans="1:40" s="123" customFormat="1" ht="16.2" thickBot="1" x14ac:dyDescent="0.35">
      <c r="A437" s="21">
        <v>61.3</v>
      </c>
      <c r="B437" s="212" t="s">
        <v>263</v>
      </c>
      <c r="C437" s="31" t="str">
        <f>VLOOKUP((CONCATENATE(B437)),ID!$A$2:$D$305,3,0)</f>
        <v>RL061</v>
      </c>
      <c r="D437" s="21">
        <v>0</v>
      </c>
      <c r="E437" s="21" t="s">
        <v>4057</v>
      </c>
      <c r="F437" s="21" t="s">
        <v>1117</v>
      </c>
      <c r="G437" s="21" t="s">
        <v>3853</v>
      </c>
      <c r="H437" s="94">
        <v>4383</v>
      </c>
      <c r="I437" s="43">
        <v>4406</v>
      </c>
      <c r="J437" s="43">
        <v>4416</v>
      </c>
      <c r="K437" s="21">
        <v>1</v>
      </c>
      <c r="L437" s="43">
        <v>4414</v>
      </c>
      <c r="M437" s="43">
        <v>4428</v>
      </c>
      <c r="N437" s="43">
        <v>4431</v>
      </c>
      <c r="O437" s="21" t="s">
        <v>3844</v>
      </c>
      <c r="P437" s="194">
        <v>1</v>
      </c>
      <c r="Q437" s="170">
        <v>1</v>
      </c>
      <c r="R437" s="39" t="str">
        <f t="shared" si="93"/>
        <v>-</v>
      </c>
      <c r="S437" s="120">
        <f t="shared" si="94"/>
        <v>38085</v>
      </c>
      <c r="T437" s="123">
        <f>34174+9706+1109+129274+2905+1006</f>
        <v>178174</v>
      </c>
      <c r="U437" s="123">
        <v>116754</v>
      </c>
      <c r="V437" s="123">
        <f t="shared" si="88"/>
        <v>61420</v>
      </c>
      <c r="W437" s="122" t="str">
        <f t="shared" si="85"/>
        <v>1</v>
      </c>
      <c r="X437" s="123">
        <f>9706+1109+129274</f>
        <v>140089</v>
      </c>
      <c r="Y437" s="123">
        <v>0</v>
      </c>
      <c r="Z437" s="123">
        <f t="shared" si="89"/>
        <v>140089</v>
      </c>
      <c r="AA437" s="122" t="str">
        <f t="shared" si="86"/>
        <v>1</v>
      </c>
      <c r="AB437" s="120">
        <f t="shared" si="95"/>
        <v>0</v>
      </c>
      <c r="AC437" s="123">
        <v>0</v>
      </c>
      <c r="AD437" s="123">
        <v>0</v>
      </c>
      <c r="AE437" s="123">
        <v>17366</v>
      </c>
      <c r="AG437" s="151">
        <f t="shared" si="90"/>
        <v>32695</v>
      </c>
      <c r="AH437" s="123">
        <f>47049-2401-1251</f>
        <v>43397</v>
      </c>
      <c r="AL437" s="123">
        <f>9210+1492</f>
        <v>10702</v>
      </c>
      <c r="AM437" s="123">
        <v>71496</v>
      </c>
    </row>
    <row r="438" spans="1:40" s="123" customFormat="1" ht="16.2" thickBot="1" x14ac:dyDescent="0.35">
      <c r="A438" s="21">
        <v>61.4</v>
      </c>
      <c r="B438" s="212" t="s">
        <v>263</v>
      </c>
      <c r="C438" s="31" t="str">
        <f>VLOOKUP((CONCATENATE(B438)),ID!$A$2:$D$305,3,0)</f>
        <v>RL061</v>
      </c>
      <c r="D438" s="21">
        <v>0</v>
      </c>
      <c r="E438" s="21" t="s">
        <v>4057</v>
      </c>
      <c r="F438" s="21" t="s">
        <v>1117</v>
      </c>
      <c r="G438" s="21" t="s">
        <v>3853</v>
      </c>
      <c r="H438" s="94">
        <v>4565</v>
      </c>
      <c r="I438" s="43">
        <v>4590</v>
      </c>
      <c r="J438" s="43">
        <v>4589</v>
      </c>
      <c r="K438" s="21">
        <v>1</v>
      </c>
      <c r="L438" s="43">
        <v>4587</v>
      </c>
      <c r="M438" s="43">
        <v>4598</v>
      </c>
      <c r="N438" s="43">
        <v>4598</v>
      </c>
      <c r="O438" s="21" t="s">
        <v>3844</v>
      </c>
      <c r="P438" s="194">
        <v>1</v>
      </c>
      <c r="Q438" s="170">
        <v>1</v>
      </c>
      <c r="R438" s="39" t="str">
        <f t="shared" si="93"/>
        <v>-</v>
      </c>
      <c r="S438" s="120">
        <f t="shared" si="94"/>
        <v>44406</v>
      </c>
      <c r="T438" s="123">
        <v>206687</v>
      </c>
      <c r="U438" s="123">
        <v>137354</v>
      </c>
      <c r="V438" s="123">
        <f t="shared" si="88"/>
        <v>69333</v>
      </c>
      <c r="W438" s="122" t="str">
        <f t="shared" si="85"/>
        <v>1</v>
      </c>
      <c r="X438" s="123">
        <f>8888+1052+152341</f>
        <v>162281</v>
      </c>
      <c r="Y438" s="123">
        <v>0</v>
      </c>
      <c r="Z438" s="123">
        <f t="shared" si="89"/>
        <v>162281</v>
      </c>
      <c r="AA438" s="122" t="str">
        <f t="shared" si="86"/>
        <v>1</v>
      </c>
      <c r="AB438" s="120">
        <f t="shared" si="95"/>
        <v>0</v>
      </c>
      <c r="AC438" s="123">
        <v>0</v>
      </c>
      <c r="AD438" s="123">
        <v>0</v>
      </c>
      <c r="AE438" s="123">
        <f>8888+8821</f>
        <v>17709</v>
      </c>
      <c r="AG438" s="151">
        <f t="shared" si="90"/>
        <v>38227</v>
      </c>
      <c r="AH438" s="123">
        <f>53126-2117-1440</f>
        <v>49569</v>
      </c>
      <c r="AL438" s="123">
        <f>9210+2132</f>
        <v>11342</v>
      </c>
      <c r="AM438" s="123">
        <v>78381</v>
      </c>
    </row>
    <row r="439" spans="1:40" s="123" customFormat="1" ht="16.2" thickBot="1" x14ac:dyDescent="0.35">
      <c r="A439" s="21"/>
      <c r="B439" s="212" t="s">
        <v>263</v>
      </c>
      <c r="C439" s="31" t="str">
        <f>VLOOKUP((CONCATENATE(B439)),ID!$A$2:$D$305,3,0)</f>
        <v>RL061</v>
      </c>
      <c r="D439" s="21">
        <v>0</v>
      </c>
      <c r="E439" s="21" t="s">
        <v>4057</v>
      </c>
      <c r="F439" s="21" t="s">
        <v>1117</v>
      </c>
      <c r="G439" s="21" t="s">
        <v>3853</v>
      </c>
      <c r="H439" s="94">
        <v>4749</v>
      </c>
      <c r="I439" s="43">
        <v>4777</v>
      </c>
      <c r="J439" s="43">
        <v>4785</v>
      </c>
      <c r="K439" s="21">
        <v>1</v>
      </c>
      <c r="L439" s="43">
        <v>4785</v>
      </c>
      <c r="M439" s="43">
        <v>4799</v>
      </c>
      <c r="N439" s="43">
        <v>4799</v>
      </c>
      <c r="O439" s="21" t="s">
        <v>3844</v>
      </c>
      <c r="P439" s="194">
        <v>1</v>
      </c>
      <c r="Q439" s="170">
        <v>1</v>
      </c>
      <c r="R439" s="39" t="str">
        <f t="shared" si="93"/>
        <v>-</v>
      </c>
      <c r="S439" s="120">
        <f t="shared" si="94"/>
        <v>45561</v>
      </c>
      <c r="T439" s="123">
        <v>208966</v>
      </c>
      <c r="U439" s="123">
        <v>160586</v>
      </c>
      <c r="V439" s="123">
        <f t="shared" si="88"/>
        <v>48380</v>
      </c>
      <c r="W439" s="122" t="str">
        <f t="shared" si="85"/>
        <v>1</v>
      </c>
      <c r="X439" s="123">
        <f>T439-38561-6000-1000</f>
        <v>163405</v>
      </c>
      <c r="Y439" s="123">
        <v>0</v>
      </c>
      <c r="Z439" s="123">
        <f t="shared" si="89"/>
        <v>163405</v>
      </c>
      <c r="AA439" s="122" t="str">
        <f t="shared" si="86"/>
        <v>1</v>
      </c>
      <c r="AB439" s="120">
        <f t="shared" si="95"/>
        <v>0</v>
      </c>
      <c r="AC439" s="123">
        <v>0</v>
      </c>
      <c r="AD439" s="123">
        <v>0</v>
      </c>
      <c r="AE439" s="123">
        <f>10473+8791</f>
        <v>19264</v>
      </c>
      <c r="AG439" s="151">
        <f t="shared" si="90"/>
        <v>38261</v>
      </c>
      <c r="AH439" s="123">
        <f>54623-3156-1448</f>
        <v>50019</v>
      </c>
      <c r="AL439" s="123">
        <f>9210+2548</f>
        <v>11758</v>
      </c>
      <c r="AM439" s="123">
        <v>83612</v>
      </c>
    </row>
    <row r="440" spans="1:40" s="123" customFormat="1" ht="16.2" thickBot="1" x14ac:dyDescent="0.35">
      <c r="A440" s="21"/>
      <c r="B440" s="212" t="s">
        <v>263</v>
      </c>
      <c r="C440" s="31" t="str">
        <f>VLOOKUP((CONCATENATE(B440)),ID!$A$2:$D$305,3,0)</f>
        <v>RL061</v>
      </c>
      <c r="D440" s="21">
        <v>1</v>
      </c>
      <c r="E440" s="21" t="s">
        <v>4057</v>
      </c>
      <c r="F440" s="21" t="s">
        <v>1117</v>
      </c>
      <c r="G440" s="21" t="s">
        <v>3853</v>
      </c>
      <c r="H440" s="94">
        <v>5114</v>
      </c>
      <c r="I440" s="43">
        <v>5142</v>
      </c>
      <c r="J440" s="43">
        <v>5151</v>
      </c>
      <c r="K440" s="21">
        <v>1</v>
      </c>
      <c r="L440" s="43">
        <v>5149</v>
      </c>
      <c r="M440" s="43">
        <v>5163</v>
      </c>
      <c r="N440" s="43">
        <v>5163</v>
      </c>
      <c r="O440" s="21" t="s">
        <v>3844</v>
      </c>
      <c r="P440" s="194">
        <v>1</v>
      </c>
      <c r="Q440" s="170">
        <v>1</v>
      </c>
      <c r="R440" s="39" t="str">
        <f t="shared" si="93"/>
        <v>-</v>
      </c>
      <c r="S440" s="120">
        <f t="shared" si="94"/>
        <v>46670</v>
      </c>
      <c r="T440" s="123">
        <v>310030</v>
      </c>
      <c r="U440" s="123">
        <f>245549</f>
        <v>245549</v>
      </c>
      <c r="V440" s="123">
        <f>T440-U440</f>
        <v>64481</v>
      </c>
      <c r="W440" s="122" t="str">
        <f>IF(V440+U440=T440,"1","0")</f>
        <v>1</v>
      </c>
      <c r="X440" s="123">
        <f>2263+14500+1311+236528+8673+85</f>
        <v>263360</v>
      </c>
      <c r="Y440" s="123">
        <v>0</v>
      </c>
      <c r="Z440" s="123">
        <f t="shared" si="89"/>
        <v>263360</v>
      </c>
      <c r="AA440" s="122" t="str">
        <f t="shared" si="86"/>
        <v>1</v>
      </c>
      <c r="AB440" s="120">
        <f t="shared" si="95"/>
        <v>0</v>
      </c>
      <c r="AC440" s="123">
        <v>0</v>
      </c>
      <c r="AD440" s="123">
        <v>0</v>
      </c>
      <c r="AE440" s="123">
        <v>11202</v>
      </c>
      <c r="AG440" s="151">
        <f t="shared" si="90"/>
        <v>81659</v>
      </c>
      <c r="AH440" s="123">
        <f>115297-5972-2940</f>
        <v>106385</v>
      </c>
      <c r="AL440" s="123">
        <f>18420+6306</f>
        <v>24726</v>
      </c>
      <c r="AM440" s="123">
        <v>118351</v>
      </c>
    </row>
    <row r="441" spans="1:40" s="123" customFormat="1" ht="16.2" thickBot="1" x14ac:dyDescent="0.35">
      <c r="A441" s="21"/>
      <c r="B441" s="212" t="s">
        <v>272</v>
      </c>
      <c r="C441" s="31" t="str">
        <f>VLOOKUP((CONCATENATE(B441)),ID!$A$2:$D$305,3,0)</f>
        <v>RL062</v>
      </c>
      <c r="D441" s="21">
        <v>0</v>
      </c>
      <c r="E441" s="21" t="s">
        <v>4057</v>
      </c>
      <c r="F441" s="21" t="s">
        <v>3845</v>
      </c>
      <c r="G441" s="21" t="s">
        <v>3853</v>
      </c>
      <c r="H441" s="94">
        <v>3653</v>
      </c>
      <c r="I441" s="43">
        <v>3861</v>
      </c>
      <c r="J441" s="43">
        <v>3681</v>
      </c>
      <c r="K441" s="21">
        <v>0</v>
      </c>
      <c r="L441" s="43"/>
      <c r="M441" s="43"/>
      <c r="N441" s="43">
        <v>3695</v>
      </c>
      <c r="O441" s="21" t="s">
        <v>3846</v>
      </c>
      <c r="P441" s="194">
        <v>1</v>
      </c>
      <c r="Q441" s="170">
        <v>1</v>
      </c>
      <c r="R441" s="39" t="str">
        <f t="shared" si="93"/>
        <v>-</v>
      </c>
      <c r="S441" s="120">
        <f t="shared" si="94"/>
        <v>82516</v>
      </c>
      <c r="T441" s="123">
        <v>313265</v>
      </c>
      <c r="U441" s="123">
        <f>199780+946</f>
        <v>200726</v>
      </c>
      <c r="V441" s="123">
        <f>T441-U441</f>
        <v>112539</v>
      </c>
      <c r="W441" s="122" t="str">
        <f>IF(V441+U441=T441,"1","0")</f>
        <v>1</v>
      </c>
      <c r="X441" s="123">
        <f>T441-795-6686-75035</f>
        <v>230749</v>
      </c>
      <c r="Y441" s="123">
        <f>AB441</f>
        <v>152894</v>
      </c>
      <c r="Z441" s="123">
        <f t="shared" si="89"/>
        <v>77855</v>
      </c>
      <c r="AA441" s="122" t="str">
        <f t="shared" si="86"/>
        <v>1</v>
      </c>
      <c r="AB441" s="167">
        <f t="shared" si="95"/>
        <v>152894</v>
      </c>
      <c r="AC441" s="123">
        <v>150569</v>
      </c>
      <c r="AD441" s="123">
        <v>2325</v>
      </c>
      <c r="AE441" s="123">
        <v>21</v>
      </c>
      <c r="AG441" s="151">
        <f t="shared" ref="AG441:AG502" si="99">AH441-AL441-AI441</f>
        <v>57660</v>
      </c>
      <c r="AH441" s="123">
        <f>70895-73-1333</f>
        <v>69489</v>
      </c>
      <c r="AL441" s="123">
        <f>8433+124+3272</f>
        <v>11829</v>
      </c>
      <c r="AM441" s="123">
        <v>180514</v>
      </c>
      <c r="AN441" s="123">
        <v>41589</v>
      </c>
    </row>
    <row r="442" spans="1:40" s="123" customFormat="1" ht="16.2" thickBot="1" x14ac:dyDescent="0.35">
      <c r="A442" s="21"/>
      <c r="B442" s="212" t="s">
        <v>272</v>
      </c>
      <c r="C442" s="31" t="str">
        <f>VLOOKUP((CONCATENATE(B442)),ID!$A$2:$D$305,3,0)</f>
        <v>RL062</v>
      </c>
      <c r="D442" s="21">
        <v>0</v>
      </c>
      <c r="E442" s="21" t="s">
        <v>4057</v>
      </c>
      <c r="F442" s="21" t="s">
        <v>3845</v>
      </c>
      <c r="G442" s="21" t="s">
        <v>3853</v>
      </c>
      <c r="H442" s="94">
        <v>3834</v>
      </c>
      <c r="I442" s="43">
        <v>3852</v>
      </c>
      <c r="J442" s="43">
        <v>3859</v>
      </c>
      <c r="K442" s="21">
        <v>1</v>
      </c>
      <c r="L442" s="43">
        <v>3859</v>
      </c>
      <c r="M442" s="43">
        <v>3870</v>
      </c>
      <c r="N442" s="43">
        <v>3870</v>
      </c>
      <c r="O442" s="21" t="s">
        <v>3846</v>
      </c>
      <c r="P442" s="194">
        <v>1</v>
      </c>
      <c r="Q442" s="170">
        <v>1</v>
      </c>
      <c r="R442" s="39" t="str">
        <f t="shared" si="93"/>
        <v>-</v>
      </c>
      <c r="S442" s="120">
        <f t="shared" si="94"/>
        <v>72637</v>
      </c>
      <c r="T442" s="123">
        <v>327607</v>
      </c>
      <c r="U442" s="123">
        <v>217036</v>
      </c>
      <c r="V442" s="123">
        <f>T442-U442</f>
        <v>110571</v>
      </c>
      <c r="W442" s="122" t="str">
        <f>IF(V442+U442=T442,"1","0")</f>
        <v>1</v>
      </c>
      <c r="X442" s="123">
        <f>T442-823-6295-65519</f>
        <v>254970</v>
      </c>
      <c r="Y442" s="123">
        <f>AB442</f>
        <v>185248</v>
      </c>
      <c r="Z442" s="123">
        <f t="shared" si="89"/>
        <v>69722</v>
      </c>
      <c r="AA442" s="122" t="str">
        <f t="shared" si="86"/>
        <v>1</v>
      </c>
      <c r="AB442" s="167">
        <f t="shared" si="95"/>
        <v>185248</v>
      </c>
      <c r="AC442" s="123">
        <v>182387</v>
      </c>
      <c r="AD442" s="123">
        <v>2861</v>
      </c>
      <c r="AE442" s="123">
        <v>20</v>
      </c>
      <c r="AG442" s="151">
        <f t="shared" si="99"/>
        <v>49480</v>
      </c>
      <c r="AH442" s="123">
        <f>61581-72</f>
        <v>61509</v>
      </c>
      <c r="AL442" s="123">
        <f>8433+131+3465</f>
        <v>12029</v>
      </c>
      <c r="AM442" s="123">
        <v>183648</v>
      </c>
      <c r="AN442" s="123">
        <v>38223</v>
      </c>
    </row>
    <row r="443" spans="1:40" s="167" customFormat="1" ht="16.2" thickBot="1" x14ac:dyDescent="0.35">
      <c r="A443" s="170">
        <v>62.1</v>
      </c>
      <c r="B443" s="219" t="s">
        <v>272</v>
      </c>
      <c r="C443" s="31" t="str">
        <f>VLOOKUP((CONCATENATE(B443)),ID!$A$2:$D$305,3,0)</f>
        <v>RL062</v>
      </c>
      <c r="D443" s="170">
        <v>0</v>
      </c>
      <c r="E443" s="170" t="s">
        <v>4057</v>
      </c>
      <c r="F443" s="170" t="s">
        <v>3845</v>
      </c>
      <c r="G443" s="170" t="s">
        <v>3853</v>
      </c>
      <c r="H443" s="85">
        <v>4018</v>
      </c>
      <c r="I443" s="171">
        <v>4044</v>
      </c>
      <c r="J443" s="171">
        <v>4048</v>
      </c>
      <c r="K443" s="170">
        <v>0</v>
      </c>
      <c r="L443" s="170"/>
      <c r="M443" s="170"/>
      <c r="N443" s="171">
        <v>4059</v>
      </c>
      <c r="O443" s="170" t="s">
        <v>3846</v>
      </c>
      <c r="P443" s="194">
        <v>1</v>
      </c>
      <c r="Q443" s="170">
        <v>1</v>
      </c>
      <c r="R443" s="39" t="str">
        <f t="shared" si="93"/>
        <v>-</v>
      </c>
      <c r="S443" s="120">
        <f t="shared" si="94"/>
        <v>72500</v>
      </c>
      <c r="T443" s="167">
        <v>353290</v>
      </c>
      <c r="U443" s="167">
        <v>240305</v>
      </c>
      <c r="V443" s="167">
        <f t="shared" si="88"/>
        <v>112985</v>
      </c>
      <c r="W443" s="122" t="str">
        <f t="shared" si="85"/>
        <v>1</v>
      </c>
      <c r="X443" s="167">
        <f>772+17716+195290+4933+62079</f>
        <v>280790</v>
      </c>
      <c r="Y443" s="123">
        <f t="shared" ref="Y443:Y448" si="100">AB443</f>
        <v>200223</v>
      </c>
      <c r="Z443" s="167">
        <f t="shared" si="89"/>
        <v>80567</v>
      </c>
      <c r="AA443" s="122" t="str">
        <f t="shared" si="86"/>
        <v>1</v>
      </c>
      <c r="AB443" s="167">
        <f t="shared" si="95"/>
        <v>200223</v>
      </c>
      <c r="AC443" s="167">
        <v>195290</v>
      </c>
      <c r="AD443" s="167">
        <v>4933</v>
      </c>
      <c r="AE443" s="167">
        <v>20</v>
      </c>
      <c r="AG443" s="151">
        <f t="shared" si="99"/>
        <v>57488</v>
      </c>
      <c r="AH443" s="167">
        <f>71588-73-1333</f>
        <v>70182</v>
      </c>
      <c r="AL443" s="167">
        <f>8433+135+4126</f>
        <v>12694</v>
      </c>
      <c r="AM443" s="167">
        <v>187391</v>
      </c>
      <c r="AN443" s="167">
        <v>43476</v>
      </c>
    </row>
    <row r="444" spans="1:40" s="123" customFormat="1" ht="16.2" thickBot="1" x14ac:dyDescent="0.35">
      <c r="A444" s="21">
        <v>62.2</v>
      </c>
      <c r="B444" s="212" t="s">
        <v>272</v>
      </c>
      <c r="C444" s="31" t="str">
        <f>VLOOKUP((CONCATENATE(B444)),ID!$A$2:$D$305,3,0)</f>
        <v>RL062</v>
      </c>
      <c r="D444" s="21">
        <v>0</v>
      </c>
      <c r="E444" s="21" t="s">
        <v>4057</v>
      </c>
      <c r="F444" s="21" t="s">
        <v>3845</v>
      </c>
      <c r="G444" s="21" t="s">
        <v>3853</v>
      </c>
      <c r="H444" s="94">
        <v>4199</v>
      </c>
      <c r="I444" s="43">
        <v>4217</v>
      </c>
      <c r="J444" s="43">
        <v>4221</v>
      </c>
      <c r="K444" s="21">
        <v>0</v>
      </c>
      <c r="L444" s="21"/>
      <c r="M444" s="21"/>
      <c r="N444" s="43">
        <v>4234</v>
      </c>
      <c r="O444" s="21" t="s">
        <v>3846</v>
      </c>
      <c r="P444" s="194">
        <v>1</v>
      </c>
      <c r="Q444" s="21">
        <v>1</v>
      </c>
      <c r="R444" s="39" t="str">
        <f t="shared" si="93"/>
        <v>-</v>
      </c>
      <c r="S444" s="120">
        <f t="shared" si="94"/>
        <v>70326</v>
      </c>
      <c r="T444" s="123">
        <v>358282</v>
      </c>
      <c r="U444" s="123">
        <v>253709</v>
      </c>
      <c r="V444" s="123">
        <f t="shared" si="88"/>
        <v>104573</v>
      </c>
      <c r="W444" s="122" t="str">
        <f t="shared" si="85"/>
        <v>1</v>
      </c>
      <c r="X444" s="123">
        <f>1028+7941+217326+4547+57114</f>
        <v>287956</v>
      </c>
      <c r="Y444" s="123">
        <f t="shared" si="100"/>
        <v>221873</v>
      </c>
      <c r="Z444" s="123">
        <f t="shared" si="89"/>
        <v>66083</v>
      </c>
      <c r="AA444" s="122" t="str">
        <f t="shared" si="86"/>
        <v>1</v>
      </c>
      <c r="AB444" s="120">
        <f t="shared" si="95"/>
        <v>221873</v>
      </c>
      <c r="AC444" s="123">
        <v>217326</v>
      </c>
      <c r="AD444" s="123">
        <v>4547</v>
      </c>
      <c r="AE444" s="123">
        <v>27</v>
      </c>
      <c r="AG444" s="151">
        <f t="shared" si="99"/>
        <v>55456</v>
      </c>
      <c r="AH444" s="123">
        <f>69669-1333-72</f>
        <v>68264</v>
      </c>
      <c r="AL444" s="123">
        <f>8433+174+4201</f>
        <v>12808</v>
      </c>
      <c r="AM444" s="123">
        <v>191382</v>
      </c>
      <c r="AN444" s="123">
        <v>42229</v>
      </c>
    </row>
    <row r="445" spans="1:40" s="123" customFormat="1" ht="16.2" thickBot="1" x14ac:dyDescent="0.35">
      <c r="A445" s="21">
        <v>62.3</v>
      </c>
      <c r="B445" s="212" t="s">
        <v>272</v>
      </c>
      <c r="C445" s="31" t="str">
        <f>VLOOKUP((CONCATENATE(B445)),ID!$A$2:$D$305,3,0)</f>
        <v>RL062</v>
      </c>
      <c r="D445" s="21">
        <v>0</v>
      </c>
      <c r="E445" s="21" t="s">
        <v>4057</v>
      </c>
      <c r="F445" s="21" t="s">
        <v>3845</v>
      </c>
      <c r="G445" s="21" t="s">
        <v>3853</v>
      </c>
      <c r="H445" s="94">
        <v>4383</v>
      </c>
      <c r="I445" s="43">
        <v>4403</v>
      </c>
      <c r="J445" s="43">
        <v>4410</v>
      </c>
      <c r="K445" s="21">
        <v>1</v>
      </c>
      <c r="L445" s="43">
        <v>4410</v>
      </c>
      <c r="M445" s="43">
        <v>4423</v>
      </c>
      <c r="N445" s="43">
        <v>4423</v>
      </c>
      <c r="O445" s="21" t="s">
        <v>3846</v>
      </c>
      <c r="P445" s="194">
        <v>1</v>
      </c>
      <c r="Q445" s="21">
        <v>1</v>
      </c>
      <c r="R445" s="39" t="str">
        <f t="shared" si="93"/>
        <v>-</v>
      </c>
      <c r="S445" s="120">
        <f t="shared" si="94"/>
        <v>68907</v>
      </c>
      <c r="T445" s="123">
        <v>189505</v>
      </c>
      <c r="U445" s="123">
        <v>72196</v>
      </c>
      <c r="V445" s="123">
        <f t="shared" si="88"/>
        <v>117309</v>
      </c>
      <c r="W445" s="122" t="str">
        <f t="shared" si="85"/>
        <v>1</v>
      </c>
      <c r="X445" s="123">
        <f>883+17021+37792+5363+58706+833</f>
        <v>120598</v>
      </c>
      <c r="Y445" s="123">
        <f t="shared" si="100"/>
        <v>43155</v>
      </c>
      <c r="Z445" s="123">
        <f t="shared" si="89"/>
        <v>77443</v>
      </c>
      <c r="AA445" s="122" t="str">
        <f t="shared" si="86"/>
        <v>1</v>
      </c>
      <c r="AB445" s="120">
        <f t="shared" si="95"/>
        <v>43155</v>
      </c>
      <c r="AC445" s="123">
        <v>37792</v>
      </c>
      <c r="AD445" s="123">
        <v>5363</v>
      </c>
      <c r="AE445" s="123">
        <v>19</v>
      </c>
      <c r="AG445" s="151">
        <f t="shared" si="99"/>
        <v>55097</v>
      </c>
      <c r="AH445" s="123">
        <f>67469+58-1333-73</f>
        <v>66121</v>
      </c>
      <c r="AL445" s="123">
        <f>8433+2591</f>
        <v>11024</v>
      </c>
      <c r="AM445" s="123">
        <v>182916</v>
      </c>
      <c r="AN445" s="123">
        <f>38077+5282+332</f>
        <v>43691</v>
      </c>
    </row>
    <row r="446" spans="1:40" s="123" customFormat="1" ht="16.2" thickBot="1" x14ac:dyDescent="0.35">
      <c r="A446" s="21">
        <v>62.4</v>
      </c>
      <c r="B446" s="212" t="s">
        <v>272</v>
      </c>
      <c r="C446" s="31" t="str">
        <f>VLOOKUP((CONCATENATE(B446)),ID!$A$2:$D$305,3,0)</f>
        <v>RL062</v>
      </c>
      <c r="D446" s="21">
        <v>0</v>
      </c>
      <c r="E446" s="21" t="s">
        <v>4057</v>
      </c>
      <c r="F446" s="21" t="s">
        <v>3845</v>
      </c>
      <c r="G446" s="21" t="s">
        <v>3853</v>
      </c>
      <c r="H446" s="94">
        <v>4565</v>
      </c>
      <c r="I446" s="43">
        <v>4588</v>
      </c>
      <c r="J446" s="43">
        <v>4592</v>
      </c>
      <c r="K446" s="21">
        <v>0</v>
      </c>
      <c r="L446" s="21"/>
      <c r="M446" s="21"/>
      <c r="N446" s="43">
        <v>4605</v>
      </c>
      <c r="O446" s="21" t="s">
        <v>3846</v>
      </c>
      <c r="P446" s="194">
        <v>1</v>
      </c>
      <c r="Q446" s="21">
        <v>1</v>
      </c>
      <c r="R446" s="39" t="str">
        <f t="shared" si="93"/>
        <v>-</v>
      </c>
      <c r="S446" s="120">
        <f t="shared" si="94"/>
        <v>66657</v>
      </c>
      <c r="T446" s="123">
        <v>185942</v>
      </c>
      <c r="U446" s="123">
        <v>78959</v>
      </c>
      <c r="V446" s="123">
        <f t="shared" si="88"/>
        <v>106983</v>
      </c>
      <c r="W446" s="122" t="str">
        <f t="shared" si="85"/>
        <v>1</v>
      </c>
      <c r="X446" s="123">
        <f>897+47024+2034+6879+53654+7942+855</f>
        <v>119285</v>
      </c>
      <c r="Y446" s="123">
        <f t="shared" si="100"/>
        <v>60533</v>
      </c>
      <c r="Z446" s="123">
        <f t="shared" si="89"/>
        <v>58752</v>
      </c>
      <c r="AA446" s="122" t="str">
        <f t="shared" si="86"/>
        <v>1</v>
      </c>
      <c r="AB446" s="120">
        <f t="shared" si="95"/>
        <v>60533</v>
      </c>
      <c r="AC446" s="123">
        <v>53654</v>
      </c>
      <c r="AD446" s="123">
        <v>6879</v>
      </c>
      <c r="AE446" s="123">
        <v>18</v>
      </c>
      <c r="AG446" s="151">
        <f t="shared" si="99"/>
        <v>53613</v>
      </c>
      <c r="AH446" s="123">
        <f>64555-1333-73</f>
        <v>63149</v>
      </c>
      <c r="AL446" s="123">
        <f>8433+98+1005</f>
        <v>9536</v>
      </c>
      <c r="AM446" s="123">
        <v>160752</v>
      </c>
      <c r="AN446" s="123">
        <f>32271+4906+331</f>
        <v>37508</v>
      </c>
    </row>
    <row r="447" spans="1:40" s="123" customFormat="1" ht="16.2" thickBot="1" x14ac:dyDescent="0.35">
      <c r="A447" s="21"/>
      <c r="B447" s="212" t="s">
        <v>272</v>
      </c>
      <c r="C447" s="31" t="str">
        <f>VLOOKUP((CONCATENATE(B447)),ID!$A$2:$D$305,3,0)</f>
        <v>RL062</v>
      </c>
      <c r="D447" s="21">
        <v>0</v>
      </c>
      <c r="E447" s="21" t="s">
        <v>4057</v>
      </c>
      <c r="F447" s="21" t="s">
        <v>3845</v>
      </c>
      <c r="G447" s="21" t="s">
        <v>3853</v>
      </c>
      <c r="H447" s="94">
        <v>4749</v>
      </c>
      <c r="I447" s="43">
        <v>4767</v>
      </c>
      <c r="J447" s="43">
        <v>4774</v>
      </c>
      <c r="K447" s="21">
        <v>1</v>
      </c>
      <c r="L447" s="43">
        <v>4774</v>
      </c>
      <c r="M447" s="43">
        <v>4787</v>
      </c>
      <c r="N447" s="43">
        <v>4787</v>
      </c>
      <c r="O447" s="21" t="s">
        <v>3846</v>
      </c>
      <c r="P447" s="194">
        <v>1</v>
      </c>
      <c r="Q447" s="21">
        <v>1</v>
      </c>
      <c r="R447" s="39" t="str">
        <f t="shared" si="93"/>
        <v>-</v>
      </c>
      <c r="S447" s="120">
        <f t="shared" si="94"/>
        <v>80315</v>
      </c>
      <c r="T447" s="123">
        <v>220077</v>
      </c>
      <c r="U447" s="123">
        <v>97368</v>
      </c>
      <c r="V447" s="123">
        <f t="shared" si="88"/>
        <v>122709</v>
      </c>
      <c r="W447" s="122" t="str">
        <f t="shared" si="85"/>
        <v>1</v>
      </c>
      <c r="X447" s="123">
        <f>T447-918-7145-72252</f>
        <v>139762</v>
      </c>
      <c r="Y447" s="123">
        <f t="shared" si="100"/>
        <v>69740</v>
      </c>
      <c r="Z447" s="123">
        <f>X447-Y447</f>
        <v>70022</v>
      </c>
      <c r="AA447" s="122" t="str">
        <f>IF(Z447+Y447=X447,"1","0")</f>
        <v>1</v>
      </c>
      <c r="AB447" s="120">
        <f t="shared" si="95"/>
        <v>69740</v>
      </c>
      <c r="AC447" s="123">
        <v>59567</v>
      </c>
      <c r="AD447" s="123">
        <v>10173</v>
      </c>
      <c r="AE447" s="123">
        <v>105</v>
      </c>
      <c r="AG447" s="151">
        <f t="shared" si="99"/>
        <v>69480</v>
      </c>
      <c r="AH447" s="123">
        <f>80840-1333-72</f>
        <v>79435</v>
      </c>
      <c r="AL447" s="123">
        <f>8433+131+1391</f>
        <v>9955</v>
      </c>
      <c r="AM447" s="123">
        <v>200010</v>
      </c>
      <c r="AN447" s="123">
        <v>46903</v>
      </c>
    </row>
    <row r="448" spans="1:40" s="123" customFormat="1" ht="16.2" thickBot="1" x14ac:dyDescent="0.35">
      <c r="A448" s="21"/>
      <c r="B448" s="212" t="s">
        <v>272</v>
      </c>
      <c r="C448" s="31" t="str">
        <f>VLOOKUP((CONCATENATE(B448)),ID!$A$2:$D$305,3,0)</f>
        <v>RL062</v>
      </c>
      <c r="D448" s="21">
        <v>1</v>
      </c>
      <c r="E448" s="21" t="s">
        <v>4057</v>
      </c>
      <c r="F448" s="21" t="s">
        <v>3845</v>
      </c>
      <c r="G448" s="21" t="s">
        <v>3853</v>
      </c>
      <c r="H448" s="94">
        <v>5114</v>
      </c>
      <c r="I448" s="43">
        <v>5145</v>
      </c>
      <c r="J448" s="43">
        <v>5155</v>
      </c>
      <c r="K448" s="21">
        <v>1</v>
      </c>
      <c r="L448" s="43">
        <v>5152</v>
      </c>
      <c r="M448" s="43">
        <v>5165</v>
      </c>
      <c r="N448" s="43">
        <v>5165</v>
      </c>
      <c r="O448" s="21" t="s">
        <v>3846</v>
      </c>
      <c r="P448" s="194" t="str">
        <f>IF(AJ448=0,"?","1")</f>
        <v>1</v>
      </c>
      <c r="Q448" s="21">
        <v>1</v>
      </c>
      <c r="R448" s="39" t="str">
        <f t="shared" si="93"/>
        <v>-</v>
      </c>
      <c r="S448" s="120">
        <f t="shared" si="94"/>
        <v>114593</v>
      </c>
      <c r="T448" s="123">
        <v>284905</v>
      </c>
      <c r="U448" s="123">
        <v>148678</v>
      </c>
      <c r="V448" s="123">
        <f t="shared" si="88"/>
        <v>136227</v>
      </c>
      <c r="W448" s="122" t="str">
        <f t="shared" si="85"/>
        <v>1</v>
      </c>
      <c r="X448" s="123">
        <f>284905-86663-20074-7856</f>
        <v>170312</v>
      </c>
      <c r="Y448" s="123">
        <f t="shared" si="100"/>
        <v>124373</v>
      </c>
      <c r="Z448" s="123">
        <f>X448-Y448</f>
        <v>45939</v>
      </c>
      <c r="AA448" s="122" t="str">
        <f>IF(Z448+Y448=X448,"1","0")</f>
        <v>1</v>
      </c>
      <c r="AB448" s="120">
        <f t="shared" si="95"/>
        <v>124373</v>
      </c>
      <c r="AC448" s="123">
        <v>105369</v>
      </c>
      <c r="AD448" s="123">
        <v>19004</v>
      </c>
      <c r="AE448" s="123">
        <v>888</v>
      </c>
      <c r="AG448" s="151">
        <f t="shared" si="99"/>
        <v>135022</v>
      </c>
      <c r="AH448" s="123">
        <f>160429-145-428-2631</f>
        <v>157225</v>
      </c>
      <c r="AJ448" s="123">
        <v>51300</v>
      </c>
      <c r="AL448" s="123">
        <f>16867+5336</f>
        <v>22203</v>
      </c>
      <c r="AM448" s="123">
        <v>396965</v>
      </c>
    </row>
    <row r="449" spans="1:39" s="123" customFormat="1" ht="16.2" thickBot="1" x14ac:dyDescent="0.35">
      <c r="A449" s="21"/>
      <c r="B449" s="212" t="s">
        <v>289</v>
      </c>
      <c r="C449" s="31" t="str">
        <f>VLOOKUP((CONCATENATE(B449)),ID!$A$2:$D$305,3,0)</f>
        <v>RL063</v>
      </c>
      <c r="D449" s="21">
        <v>0</v>
      </c>
      <c r="E449" s="21" t="s">
        <v>4057</v>
      </c>
      <c r="F449" s="21" t="s">
        <v>1117</v>
      </c>
      <c r="G449" s="21" t="s">
        <v>3853</v>
      </c>
      <c r="H449" s="94">
        <v>3653</v>
      </c>
      <c r="I449" s="43">
        <v>3665</v>
      </c>
      <c r="J449" s="43">
        <v>3674</v>
      </c>
      <c r="K449" s="21">
        <v>0</v>
      </c>
      <c r="L449" s="21"/>
      <c r="M449" s="21"/>
      <c r="N449" s="43">
        <v>3684</v>
      </c>
      <c r="O449" s="21" t="s">
        <v>4089</v>
      </c>
      <c r="P449" s="194">
        <v>1</v>
      </c>
      <c r="Q449" s="21">
        <v>1</v>
      </c>
      <c r="R449" s="39" t="str">
        <f t="shared" si="93"/>
        <v>-</v>
      </c>
      <c r="S449" s="120">
        <f t="shared" si="94"/>
        <v>863025</v>
      </c>
      <c r="T449" s="123">
        <v>1659080</v>
      </c>
      <c r="U449" s="123">
        <f>345319+470000+132344</f>
        <v>947663</v>
      </c>
      <c r="V449" s="123">
        <f>T449-U449</f>
        <v>711417</v>
      </c>
      <c r="W449" s="122" t="str">
        <f>IF(V449+U449=T449,"1","0")</f>
        <v>1</v>
      </c>
      <c r="X449" s="123">
        <f>T449-526453-200096-136476</f>
        <v>796055</v>
      </c>
      <c r="Y449" s="123">
        <f>AB449+547040</f>
        <v>548057</v>
      </c>
      <c r="Z449" s="123">
        <f>X449-Y449</f>
        <v>247998</v>
      </c>
      <c r="AA449" s="122" t="str">
        <f>IF(Z449+Y449=X449,"1","0")</f>
        <v>1</v>
      </c>
      <c r="AB449" s="120">
        <f t="shared" si="95"/>
        <v>1017</v>
      </c>
      <c r="AC449" s="123">
        <v>0</v>
      </c>
      <c r="AD449" s="123">
        <v>1017</v>
      </c>
      <c r="AE449" s="123">
        <f>223239+307</f>
        <v>223546</v>
      </c>
      <c r="AG449" s="151">
        <f t="shared" si="99"/>
        <v>517208</v>
      </c>
      <c r="AH449" s="123">
        <f>773355-9247-6500-25566-20500</f>
        <v>711542</v>
      </c>
      <c r="AL449" s="123">
        <f>182600+988+10746</f>
        <v>194334</v>
      </c>
      <c r="AM449" s="123">
        <v>699955</v>
      </c>
    </row>
    <row r="450" spans="1:39" s="123" customFormat="1" ht="16.2" thickBot="1" x14ac:dyDescent="0.35">
      <c r="A450" s="21"/>
      <c r="B450" s="212" t="s">
        <v>289</v>
      </c>
      <c r="C450" s="31" t="str">
        <f>VLOOKUP((CONCATENATE(B450)),ID!$A$2:$D$305,3,0)</f>
        <v>RL063</v>
      </c>
      <c r="D450" s="21">
        <v>0</v>
      </c>
      <c r="E450" s="21" t="s">
        <v>4057</v>
      </c>
      <c r="F450" s="21" t="s">
        <v>1117</v>
      </c>
      <c r="G450" s="21" t="s">
        <v>3853</v>
      </c>
      <c r="H450" s="94">
        <v>3834</v>
      </c>
      <c r="I450" s="43">
        <v>3846</v>
      </c>
      <c r="J450" s="43">
        <v>3854</v>
      </c>
      <c r="K450" s="21">
        <v>0</v>
      </c>
      <c r="L450" s="21"/>
      <c r="M450" s="21"/>
      <c r="N450" s="43">
        <v>3862</v>
      </c>
      <c r="O450" s="21" t="s">
        <v>4089</v>
      </c>
      <c r="P450" s="194">
        <v>1</v>
      </c>
      <c r="Q450" s="21">
        <v>1</v>
      </c>
      <c r="R450" s="39" t="str">
        <f t="shared" si="93"/>
        <v>-</v>
      </c>
      <c r="S450" s="120">
        <f t="shared" si="94"/>
        <v>683832</v>
      </c>
      <c r="T450" s="123">
        <v>1489974</v>
      </c>
      <c r="U450" s="123">
        <f>351303+470000+132421</f>
        <v>953724</v>
      </c>
      <c r="V450" s="123">
        <f>T450-U450</f>
        <v>536250</v>
      </c>
      <c r="W450" s="122" t="str">
        <f>IF(V450+U450=T450,"1","0")</f>
        <v>1</v>
      </c>
      <c r="X450" s="123">
        <f>8726+191253+Y450+56002</f>
        <v>806142</v>
      </c>
      <c r="Y450" s="123">
        <f>AB450+548948</f>
        <v>550161</v>
      </c>
      <c r="Z450" s="123">
        <f>X450-Y450</f>
        <v>255981</v>
      </c>
      <c r="AA450" s="122" t="str">
        <f>IF(Z450+Y450=X450,"1","0")</f>
        <v>1</v>
      </c>
      <c r="AB450" s="120">
        <f t="shared" si="95"/>
        <v>1213</v>
      </c>
      <c r="AC450" s="123">
        <v>0</v>
      </c>
      <c r="AD450" s="123">
        <v>1213</v>
      </c>
      <c r="AE450" s="123">
        <f>49379+313</f>
        <v>49692</v>
      </c>
      <c r="AG450" s="151">
        <f t="shared" si="99"/>
        <v>330497</v>
      </c>
      <c r="AH450" s="123">
        <f>586663-8697-23532-20500-6500</f>
        <v>527434</v>
      </c>
      <c r="AL450" s="123">
        <f>182600+3497+10840</f>
        <v>196937</v>
      </c>
      <c r="AM450" s="123">
        <v>512935</v>
      </c>
    </row>
    <row r="451" spans="1:39" s="123" customFormat="1" ht="16.2" thickBot="1" x14ac:dyDescent="0.35">
      <c r="A451" s="21">
        <v>63.1</v>
      </c>
      <c r="B451" s="212" t="s">
        <v>289</v>
      </c>
      <c r="C451" s="31" t="str">
        <f>VLOOKUP((CONCATENATE(B451)),ID!$A$2:$D$305,3,0)</f>
        <v>RL063</v>
      </c>
      <c r="D451" s="21">
        <v>0</v>
      </c>
      <c r="E451" s="21" t="s">
        <v>4057</v>
      </c>
      <c r="F451" s="21" t="s">
        <v>1117</v>
      </c>
      <c r="G451" s="21" t="s">
        <v>3853</v>
      </c>
      <c r="H451" s="94">
        <v>4018</v>
      </c>
      <c r="I451" s="43">
        <v>4029</v>
      </c>
      <c r="J451" s="43">
        <v>4038</v>
      </c>
      <c r="K451" s="21">
        <v>0</v>
      </c>
      <c r="L451" s="21"/>
      <c r="M451" s="21"/>
      <c r="N451" s="43">
        <v>4045</v>
      </c>
      <c r="O451" s="21" t="s">
        <v>4089</v>
      </c>
      <c r="P451" s="194">
        <v>1</v>
      </c>
      <c r="Q451" s="21">
        <v>1</v>
      </c>
      <c r="R451" s="39" t="str">
        <f t="shared" si="93"/>
        <v>-</v>
      </c>
      <c r="S451" s="120">
        <f t="shared" si="94"/>
        <v>922944</v>
      </c>
      <c r="T451" s="123">
        <v>1724081</v>
      </c>
      <c r="U451" s="123">
        <f>470000+155279+416456</f>
        <v>1041735</v>
      </c>
      <c r="V451" s="123">
        <f t="shared" si="88"/>
        <v>682346</v>
      </c>
      <c r="W451" s="122" t="str">
        <f t="shared" si="85"/>
        <v>1</v>
      </c>
      <c r="X451" s="123">
        <f>11102+191258+Y451+44062</f>
        <v>801137</v>
      </c>
      <c r="Y451" s="123">
        <f>AB451+553603</f>
        <v>554715</v>
      </c>
      <c r="Z451" s="123">
        <f t="shared" si="89"/>
        <v>246422</v>
      </c>
      <c r="AA451" s="122" t="str">
        <f t="shared" si="86"/>
        <v>1</v>
      </c>
      <c r="AB451" s="120">
        <f t="shared" si="95"/>
        <v>1112</v>
      </c>
      <c r="AC451" s="123">
        <v>0</v>
      </c>
      <c r="AD451" s="123">
        <v>1112</v>
      </c>
      <c r="AE451" s="123">
        <v>285306</v>
      </c>
      <c r="AG451" s="151">
        <f t="shared" si="99"/>
        <v>558445</v>
      </c>
      <c r="AH451" s="123">
        <f>826135-20420-6500-25214-20500</f>
        <v>753501</v>
      </c>
      <c r="AL451" s="123">
        <f>182600+1686+10770</f>
        <v>195056</v>
      </c>
      <c r="AM451" s="123">
        <v>742993</v>
      </c>
    </row>
    <row r="452" spans="1:39" s="123" customFormat="1" ht="16.2" thickBot="1" x14ac:dyDescent="0.35">
      <c r="A452" s="21">
        <v>63.2</v>
      </c>
      <c r="B452" s="212" t="s">
        <v>289</v>
      </c>
      <c r="C452" s="31" t="str">
        <f>VLOOKUP((CONCATENATE(B452)),ID!$A$2:$D$305,3,0)</f>
        <v>RL063</v>
      </c>
      <c r="D452" s="21">
        <v>0</v>
      </c>
      <c r="E452" s="21" t="s">
        <v>4057</v>
      </c>
      <c r="F452" s="21" t="s">
        <v>1117</v>
      </c>
      <c r="G452" s="21" t="s">
        <v>3853</v>
      </c>
      <c r="H452" s="94">
        <v>4199</v>
      </c>
      <c r="I452" s="43">
        <v>4211</v>
      </c>
      <c r="J452" s="43">
        <v>4219</v>
      </c>
      <c r="K452" s="21">
        <v>0</v>
      </c>
      <c r="L452" s="21"/>
      <c r="M452" s="21"/>
      <c r="N452" s="43">
        <v>4227</v>
      </c>
      <c r="O452" s="21" t="s">
        <v>4089</v>
      </c>
      <c r="P452" s="194">
        <v>1</v>
      </c>
      <c r="Q452" s="21">
        <v>1</v>
      </c>
      <c r="R452" s="39" t="str">
        <f t="shared" si="93"/>
        <v>-</v>
      </c>
      <c r="S452" s="120">
        <f t="shared" si="94"/>
        <v>648240</v>
      </c>
      <c r="T452" s="123">
        <v>1561074</v>
      </c>
      <c r="U452" s="123">
        <f>407600+470000+196545</f>
        <v>1074145</v>
      </c>
      <c r="V452" s="123">
        <f t="shared" si="88"/>
        <v>486929</v>
      </c>
      <c r="W452" s="122" t="str">
        <f t="shared" si="85"/>
        <v>1</v>
      </c>
      <c r="X452" s="123">
        <f>80729+51889+Y452+191268+14424</f>
        <v>912834</v>
      </c>
      <c r="Y452" s="123">
        <f>559800+14724</f>
        <v>574524</v>
      </c>
      <c r="Z452" s="123">
        <f t="shared" si="89"/>
        <v>338310</v>
      </c>
      <c r="AA452" s="122" t="str">
        <f t="shared" si="86"/>
        <v>1</v>
      </c>
      <c r="AB452" s="120">
        <f t="shared" si="95"/>
        <v>95453</v>
      </c>
      <c r="AC452" s="123">
        <v>0</v>
      </c>
      <c r="AD452" s="123">
        <v>95453</v>
      </c>
      <c r="AE452" s="123">
        <f>22658+829</f>
        <v>23487</v>
      </c>
      <c r="AG452" s="151">
        <f t="shared" si="99"/>
        <v>352492</v>
      </c>
      <c r="AH452" s="123">
        <f>613764-10861-25261-20500-6500</f>
        <v>550642</v>
      </c>
      <c r="AL452" s="123">
        <f>182600+4713+10837</f>
        <v>198150</v>
      </c>
      <c r="AM452" s="123">
        <v>538894</v>
      </c>
    </row>
    <row r="453" spans="1:39" s="123" customFormat="1" ht="16.2" thickBot="1" x14ac:dyDescent="0.35">
      <c r="A453" s="21">
        <v>63.3</v>
      </c>
      <c r="B453" s="212" t="s">
        <v>289</v>
      </c>
      <c r="C453" s="31" t="str">
        <f>VLOOKUP((CONCATENATE(B453)),ID!$A$2:$D$305,3,0)</f>
        <v>RL063</v>
      </c>
      <c r="D453" s="21">
        <v>0</v>
      </c>
      <c r="E453" s="21" t="s">
        <v>4057</v>
      </c>
      <c r="F453" s="21" t="s">
        <v>1117</v>
      </c>
      <c r="G453" s="21" t="s">
        <v>3853</v>
      </c>
      <c r="H453" s="94">
        <v>4383</v>
      </c>
      <c r="I453" s="43">
        <v>4395</v>
      </c>
      <c r="J453" s="43">
        <v>4405</v>
      </c>
      <c r="K453" s="21">
        <v>0</v>
      </c>
      <c r="L453" s="21"/>
      <c r="M453" s="21"/>
      <c r="N453" s="43">
        <v>4413</v>
      </c>
      <c r="O453" s="21" t="s">
        <v>4089</v>
      </c>
      <c r="P453" s="194">
        <v>1</v>
      </c>
      <c r="Q453" s="21">
        <v>1</v>
      </c>
      <c r="R453" s="39" t="str">
        <f t="shared" si="93"/>
        <v>-</v>
      </c>
      <c r="S453" s="120">
        <f t="shared" si="94"/>
        <v>1045460</v>
      </c>
      <c r="T453" s="123">
        <v>1779317</v>
      </c>
      <c r="U453" s="123">
        <f>491154+470000+155636</f>
        <v>1116790</v>
      </c>
      <c r="V453" s="123">
        <f t="shared" si="88"/>
        <v>662527</v>
      </c>
      <c r="W453" s="122" t="str">
        <f t="shared" si="85"/>
        <v>1</v>
      </c>
      <c r="X453" s="123">
        <f>11375+101250+Y453+52470</f>
        <v>733857</v>
      </c>
      <c r="Y453" s="123">
        <f>AB453+557069</f>
        <v>568762</v>
      </c>
      <c r="Z453" s="123">
        <f t="shared" si="89"/>
        <v>165095</v>
      </c>
      <c r="AA453" s="122" t="str">
        <f t="shared" si="86"/>
        <v>1</v>
      </c>
      <c r="AB453" s="120">
        <f t="shared" si="95"/>
        <v>11693</v>
      </c>
      <c r="AC453" s="123">
        <v>0</v>
      </c>
      <c r="AD453" s="123">
        <v>11693</v>
      </c>
      <c r="AE453" s="123">
        <f>214574+813</f>
        <v>215387</v>
      </c>
      <c r="AG453" s="151">
        <f t="shared" si="99"/>
        <v>582365</v>
      </c>
      <c r="AH453" s="123">
        <f>851891-21457-25661-6500-20500</f>
        <v>777773</v>
      </c>
      <c r="AL453" s="123">
        <f>182600+1909+10899</f>
        <v>195408</v>
      </c>
      <c r="AM453" s="123">
        <v>768020</v>
      </c>
    </row>
    <row r="454" spans="1:39" s="123" customFormat="1" ht="16.2" thickBot="1" x14ac:dyDescent="0.35">
      <c r="A454" s="21">
        <v>63.4</v>
      </c>
      <c r="B454" s="212" t="s">
        <v>289</v>
      </c>
      <c r="C454" s="31" t="str">
        <f>VLOOKUP((CONCATENATE(B454)),ID!$A$2:$D$305,3,0)</f>
        <v>RL063</v>
      </c>
      <c r="D454" s="21">
        <v>0</v>
      </c>
      <c r="E454" s="21" t="s">
        <v>4057</v>
      </c>
      <c r="F454" s="21" t="s">
        <v>1117</v>
      </c>
      <c r="G454" s="21" t="s">
        <v>3853</v>
      </c>
      <c r="H454" s="94">
        <v>4565</v>
      </c>
      <c r="I454" s="43">
        <v>4580</v>
      </c>
      <c r="J454" s="43">
        <v>4588</v>
      </c>
      <c r="K454" s="21">
        <v>0</v>
      </c>
      <c r="L454" s="21"/>
      <c r="M454" s="21"/>
      <c r="N454" s="43">
        <v>4596</v>
      </c>
      <c r="O454" s="21" t="s">
        <v>4089</v>
      </c>
      <c r="P454" s="194">
        <v>1</v>
      </c>
      <c r="Q454" s="21">
        <v>1</v>
      </c>
      <c r="R454" s="39" t="str">
        <f t="shared" si="93"/>
        <v>-</v>
      </c>
      <c r="S454" s="120">
        <f t="shared" si="94"/>
        <v>704109</v>
      </c>
      <c r="T454" s="123">
        <v>1613891</v>
      </c>
      <c r="U454" s="123">
        <f>156050+470000+526265</f>
        <v>1152315</v>
      </c>
      <c r="V454" s="123">
        <f t="shared" si="88"/>
        <v>461576</v>
      </c>
      <c r="W454" s="122" t="str">
        <f t="shared" si="85"/>
        <v>1</v>
      </c>
      <c r="X454" s="123">
        <f>11017+191253+Y454+54546+78360</f>
        <v>909782</v>
      </c>
      <c r="Y454" s="123">
        <f>562781+11825</f>
        <v>574606</v>
      </c>
      <c r="Z454" s="123">
        <f t="shared" si="89"/>
        <v>335176</v>
      </c>
      <c r="AA454" s="122" t="str">
        <f t="shared" si="86"/>
        <v>1</v>
      </c>
      <c r="AB454" s="120">
        <f t="shared" si="95"/>
        <v>90185</v>
      </c>
      <c r="AC454" s="123">
        <v>0</v>
      </c>
      <c r="AD454" s="123">
        <v>90185</v>
      </c>
      <c r="AE454" s="123">
        <f>22326+313</f>
        <v>22639</v>
      </c>
      <c r="AG454" s="151">
        <f t="shared" si="99"/>
        <v>337303</v>
      </c>
      <c r="AH454" s="134">
        <f>598053-10695-25535-20500-6500</f>
        <v>534823</v>
      </c>
      <c r="AL454" s="123">
        <f>182600+3991+10929</f>
        <v>197520</v>
      </c>
      <c r="AM454" s="123">
        <v>519690</v>
      </c>
    </row>
    <row r="455" spans="1:39" s="123" customFormat="1" ht="16.2" thickBot="1" x14ac:dyDescent="0.35">
      <c r="A455" s="21"/>
      <c r="B455" s="212" t="s">
        <v>289</v>
      </c>
      <c r="C455" s="31" t="str">
        <f>VLOOKUP((CONCATENATE(B455)),ID!$A$2:$D$305,3,0)</f>
        <v>RL063</v>
      </c>
      <c r="D455" s="21">
        <v>0</v>
      </c>
      <c r="E455" s="21" t="s">
        <v>4057</v>
      </c>
      <c r="F455" s="21" t="s">
        <v>1117</v>
      </c>
      <c r="G455" s="21" t="s">
        <v>3853</v>
      </c>
      <c r="H455" s="94">
        <v>4749</v>
      </c>
      <c r="I455" s="43">
        <v>4760</v>
      </c>
      <c r="J455" s="43">
        <v>4772</v>
      </c>
      <c r="K455" s="21">
        <v>0</v>
      </c>
      <c r="L455" s="21"/>
      <c r="M455" s="21"/>
      <c r="N455" s="43">
        <v>4779</v>
      </c>
      <c r="O455" s="21" t="s">
        <v>4089</v>
      </c>
      <c r="P455" s="194">
        <v>1</v>
      </c>
      <c r="Q455" s="21">
        <v>1</v>
      </c>
      <c r="R455" s="39" t="str">
        <f>IF(Q455=0,"?","-")</f>
        <v>-</v>
      </c>
      <c r="S455" s="120">
        <f t="shared" si="94"/>
        <v>860119</v>
      </c>
      <c r="T455" s="123">
        <v>1784989</v>
      </c>
      <c r="U455" s="123">
        <f>157228+470000+578340</f>
        <v>1205568</v>
      </c>
      <c r="V455" s="123">
        <f>T455-U455</f>
        <v>579421</v>
      </c>
      <c r="W455" s="122" t="str">
        <f>IF(V455+U455=T455,"1","0")</f>
        <v>1</v>
      </c>
      <c r="X455" s="123">
        <f>48177+Y455+290263+11239</f>
        <v>924870</v>
      </c>
      <c r="Y455" s="123">
        <f>AD455+563450</f>
        <v>575191</v>
      </c>
      <c r="Z455" s="123">
        <f t="shared" si="89"/>
        <v>349679</v>
      </c>
      <c r="AA455" s="122" t="str">
        <f>IF(Z455+Y455=X455,"1","0")</f>
        <v>1</v>
      </c>
      <c r="AB455" s="120">
        <f>SUM(AC455+AD455)</f>
        <v>11741</v>
      </c>
      <c r="AC455" s="123">
        <v>0</v>
      </c>
      <c r="AD455" s="123">
        <v>11741</v>
      </c>
      <c r="AE455" s="123">
        <f>323+229800</f>
        <v>230123</v>
      </c>
      <c r="AG455" s="151">
        <f t="shared" si="99"/>
        <v>581149</v>
      </c>
      <c r="AH455" s="134">
        <f>848156-18662-25253-20500-6500</f>
        <v>777241</v>
      </c>
      <c r="AL455" s="123">
        <f>182600+2493+10999</f>
        <v>196092</v>
      </c>
      <c r="AM455" s="123">
        <v>765686</v>
      </c>
    </row>
    <row r="456" spans="1:39" s="123" customFormat="1" ht="16.2" thickBot="1" x14ac:dyDescent="0.35">
      <c r="A456" s="21"/>
      <c r="B456" s="212" t="s">
        <v>289</v>
      </c>
      <c r="C456" s="31" t="str">
        <f>VLOOKUP((CONCATENATE(B456)),ID!$A$2:$D$305,3,0)</f>
        <v>RL063</v>
      </c>
      <c r="D456" s="21">
        <v>1</v>
      </c>
      <c r="E456" s="21" t="s">
        <v>4057</v>
      </c>
      <c r="F456" s="21" t="s">
        <v>1117</v>
      </c>
      <c r="G456" s="21" t="s">
        <v>3853</v>
      </c>
      <c r="H456" s="94">
        <v>5114</v>
      </c>
      <c r="I456" s="43">
        <v>5130</v>
      </c>
      <c r="J456" s="43">
        <v>5142</v>
      </c>
      <c r="K456" s="21">
        <v>0</v>
      </c>
      <c r="L456" s="21"/>
      <c r="M456" s="21"/>
      <c r="N456" s="43">
        <v>5149</v>
      </c>
      <c r="O456" s="21" t="s">
        <v>4089</v>
      </c>
      <c r="P456" s="194" t="str">
        <f t="shared" ref="P456:P513" si="101">IF(AJ456=0,"?","1")</f>
        <v>1</v>
      </c>
      <c r="Q456" s="21">
        <v>1</v>
      </c>
      <c r="R456" s="39" t="str">
        <f>IF(Q456=0,"?","-")</f>
        <v>-</v>
      </c>
      <c r="S456" s="120">
        <f t="shared" si="94"/>
        <v>977138</v>
      </c>
      <c r="T456" s="123">
        <v>1838367</v>
      </c>
      <c r="U456" s="123">
        <f>477498+470000+289000+109864</f>
        <v>1346362</v>
      </c>
      <c r="V456" s="123">
        <f>T456-U456</f>
        <v>492005</v>
      </c>
      <c r="W456" s="122" t="str">
        <f>IF(V456+U456=T456,"1","0")</f>
        <v>1</v>
      </c>
      <c r="X456" s="123">
        <f>11171+191253+28246+Y456+3838+3080+4523</f>
        <v>861229</v>
      </c>
      <c r="Y456" s="123">
        <f>AB456+573164</f>
        <v>619118</v>
      </c>
      <c r="Z456" s="123">
        <f t="shared" si="89"/>
        <v>242111</v>
      </c>
      <c r="AA456" s="122" t="str">
        <f>IF(Z456+Y456=X456,"1","0")</f>
        <v>1</v>
      </c>
      <c r="AB456" s="120">
        <f>SUM(AC456+AD456)</f>
        <v>45954</v>
      </c>
      <c r="AC456" s="123">
        <v>34278</v>
      </c>
      <c r="AD456" s="123">
        <v>11676</v>
      </c>
      <c r="AE456" s="123">
        <v>22782</v>
      </c>
      <c r="AG456" s="151">
        <f t="shared" si="99"/>
        <v>932965</v>
      </c>
      <c r="AH456" s="134">
        <f>1416500-54158-2160-50250-803</f>
        <v>1309129</v>
      </c>
      <c r="AJ456" s="123">
        <v>341894</v>
      </c>
      <c r="AL456" s="123">
        <f>365201+10963</f>
        <v>376164</v>
      </c>
      <c r="AM456" s="123">
        <v>148707</v>
      </c>
    </row>
    <row r="457" spans="1:39" s="123" customFormat="1" ht="16.2" thickBot="1" x14ac:dyDescent="0.35">
      <c r="A457" s="21"/>
      <c r="B457" s="212" t="s">
        <v>290</v>
      </c>
      <c r="C457" s="31" t="str">
        <f>VLOOKUP((CONCATENATE(B457)),ID!$A$2:$D$305,3,0)</f>
        <v>RL064</v>
      </c>
      <c r="D457" s="21">
        <v>0</v>
      </c>
      <c r="E457" s="21" t="s">
        <v>4057</v>
      </c>
      <c r="F457" s="21" t="s">
        <v>4062</v>
      </c>
      <c r="G457" s="21" t="s">
        <v>3777</v>
      </c>
      <c r="H457" s="94">
        <v>3653</v>
      </c>
      <c r="I457" s="43">
        <v>3797</v>
      </c>
      <c r="J457" s="43">
        <v>3794</v>
      </c>
      <c r="K457" s="21">
        <v>1</v>
      </c>
      <c r="L457" s="43">
        <v>3820</v>
      </c>
      <c r="M457" s="43">
        <v>3834</v>
      </c>
      <c r="N457" s="43">
        <v>3825</v>
      </c>
      <c r="O457" s="21" t="s">
        <v>3847</v>
      </c>
      <c r="P457" s="194">
        <v>1</v>
      </c>
      <c r="Q457" s="21">
        <v>0</v>
      </c>
      <c r="R457" s="39" t="s">
        <v>4075</v>
      </c>
      <c r="S457" s="120">
        <f t="shared" si="94"/>
        <v>166945788</v>
      </c>
      <c r="T457" s="123">
        <v>173903059</v>
      </c>
      <c r="U457" s="123">
        <v>124237194</v>
      </c>
      <c r="V457" s="123">
        <f>T457-U457</f>
        <v>49665865</v>
      </c>
      <c r="W457" s="122" t="str">
        <f>IF(V457+U457=T457,"1","0")</f>
        <v>1</v>
      </c>
      <c r="X457" s="123">
        <f>Y457+219987</f>
        <v>6957271</v>
      </c>
      <c r="Y457" s="123">
        <v>6737284</v>
      </c>
      <c r="Z457" s="123">
        <f t="shared" si="89"/>
        <v>219987</v>
      </c>
      <c r="AA457" s="122" t="str">
        <f>IF(Z457+Y457=X457,"1","0")</f>
        <v>1</v>
      </c>
      <c r="AB457" s="120">
        <f>SUM(AC457+AD457)</f>
        <v>6737284</v>
      </c>
      <c r="AC457" s="123">
        <v>0</v>
      </c>
      <c r="AD457" s="123">
        <f>Y457</f>
        <v>6737284</v>
      </c>
      <c r="AE457" s="123">
        <v>33895</v>
      </c>
      <c r="AG457" s="151">
        <f t="shared" si="99"/>
        <v>4830407</v>
      </c>
      <c r="AH457" s="134">
        <v>4830407</v>
      </c>
      <c r="AM457" s="123">
        <v>10666317</v>
      </c>
    </row>
    <row r="458" spans="1:39" s="123" customFormat="1" ht="16.2" thickBot="1" x14ac:dyDescent="0.35">
      <c r="A458" s="21"/>
      <c r="B458" s="212" t="s">
        <v>290</v>
      </c>
      <c r="C458" s="31" t="str">
        <f>VLOOKUP((CONCATENATE(B458)),ID!$A$2:$D$305,3,0)</f>
        <v>RL064</v>
      </c>
      <c r="D458" s="21">
        <v>0</v>
      </c>
      <c r="E458" s="21" t="s">
        <v>4057</v>
      </c>
      <c r="F458" s="21" t="s">
        <v>4062</v>
      </c>
      <c r="G458" s="21" t="s">
        <v>3777</v>
      </c>
      <c r="H458" s="94">
        <v>3834</v>
      </c>
      <c r="I458" s="43">
        <v>3979</v>
      </c>
      <c r="J458" s="43">
        <v>3979</v>
      </c>
      <c r="K458" s="21">
        <v>1</v>
      </c>
      <c r="L458" s="43">
        <v>4004</v>
      </c>
      <c r="M458" s="43">
        <v>4018</v>
      </c>
      <c r="N458" s="43">
        <v>4007</v>
      </c>
      <c r="O458" s="21" t="s">
        <v>3847</v>
      </c>
      <c r="P458" s="194">
        <v>1</v>
      </c>
      <c r="Q458" s="21">
        <v>0</v>
      </c>
      <c r="R458" s="39" t="s">
        <v>4075</v>
      </c>
      <c r="S458" s="120">
        <f t="shared" si="94"/>
        <v>169176203</v>
      </c>
      <c r="T458" s="123">
        <v>176034667</v>
      </c>
      <c r="U458" s="123">
        <f>126497782</f>
        <v>126497782</v>
      </c>
      <c r="V458" s="123">
        <f>T458-U458</f>
        <v>49536885</v>
      </c>
      <c r="W458" s="122" t="str">
        <f>IF(V458+U458=T458,"1","0")</f>
        <v>1</v>
      </c>
      <c r="X458" s="123">
        <f>Y458+121180</f>
        <v>6858464</v>
      </c>
      <c r="Y458" s="123">
        <v>6737284</v>
      </c>
      <c r="Z458" s="123">
        <f t="shared" si="89"/>
        <v>121180</v>
      </c>
      <c r="AA458" s="122" t="str">
        <f>IF(Z458+Y458=X458,"1","0")</f>
        <v>1</v>
      </c>
      <c r="AB458" s="120">
        <f>SUM(AC458+AD458)</f>
        <v>6737284</v>
      </c>
      <c r="AC458" s="123">
        <v>0</v>
      </c>
      <c r="AD458" s="123">
        <f>Y458</f>
        <v>6737284</v>
      </c>
      <c r="AE458" s="123">
        <v>27919</v>
      </c>
      <c r="AG458" s="151">
        <f t="shared" si="99"/>
        <v>5245503</v>
      </c>
      <c r="AH458" s="134">
        <v>5245503</v>
      </c>
      <c r="AM458" s="123">
        <v>11230256</v>
      </c>
    </row>
    <row r="459" spans="1:39" s="123" customFormat="1" ht="16.2" thickBot="1" x14ac:dyDescent="0.35">
      <c r="A459" s="21">
        <v>64.099999999999994</v>
      </c>
      <c r="B459" s="212" t="s">
        <v>290</v>
      </c>
      <c r="C459" s="31" t="str">
        <f>VLOOKUP((CONCATENATE(B459)),ID!$A$2:$D$305,3,0)</f>
        <v>RL064</v>
      </c>
      <c r="D459" s="21">
        <v>0</v>
      </c>
      <c r="E459" s="21" t="s">
        <v>4057</v>
      </c>
      <c r="F459" s="21" t="s">
        <v>4062</v>
      </c>
      <c r="G459" s="21" t="s">
        <v>3777</v>
      </c>
      <c r="H459" s="94">
        <v>4018</v>
      </c>
      <c r="I459" s="43">
        <v>4168</v>
      </c>
      <c r="J459" s="43">
        <v>4164</v>
      </c>
      <c r="K459" s="21">
        <v>1</v>
      </c>
      <c r="L459" s="43">
        <v>4185</v>
      </c>
      <c r="M459" s="43">
        <v>4199</v>
      </c>
      <c r="N459" s="43">
        <v>4190</v>
      </c>
      <c r="O459" s="21" t="s">
        <v>3847</v>
      </c>
      <c r="P459" s="194">
        <v>1</v>
      </c>
      <c r="Q459" s="21">
        <v>0</v>
      </c>
      <c r="R459" s="39" t="s">
        <v>4075</v>
      </c>
      <c r="S459" s="120">
        <f t="shared" si="94"/>
        <v>171377552</v>
      </c>
      <c r="T459" s="123">
        <v>178262122</v>
      </c>
      <c r="U459" s="123">
        <v>128052053</v>
      </c>
      <c r="V459" s="123">
        <f t="shared" si="88"/>
        <v>50210069</v>
      </c>
      <c r="W459" s="122" t="str">
        <f t="shared" si="85"/>
        <v>1</v>
      </c>
      <c r="X459" s="123">
        <f>Y459+147286</f>
        <v>6884570</v>
      </c>
      <c r="Y459" s="123">
        <f t="shared" ref="Y459:Y466" si="102">AB459</f>
        <v>6737284</v>
      </c>
      <c r="Z459" s="123">
        <f t="shared" si="89"/>
        <v>147286</v>
      </c>
      <c r="AA459" s="122" t="str">
        <f t="shared" si="86"/>
        <v>1</v>
      </c>
      <c r="AB459" s="120">
        <f t="shared" si="95"/>
        <v>6737284</v>
      </c>
      <c r="AC459" s="123">
        <v>0</v>
      </c>
      <c r="AD459" s="123">
        <v>6737284</v>
      </c>
      <c r="AE459" s="123">
        <v>16491</v>
      </c>
      <c r="AG459" s="151">
        <f t="shared" si="99"/>
        <v>5086419</v>
      </c>
      <c r="AH459" s="123">
        <f>5086419</f>
        <v>5086419</v>
      </c>
      <c r="AM459" s="123">
        <v>11229334</v>
      </c>
    </row>
    <row r="460" spans="1:39" s="123" customFormat="1" ht="16.2" thickBot="1" x14ac:dyDescent="0.35">
      <c r="A460" s="21">
        <v>64.2</v>
      </c>
      <c r="B460" s="212" t="s">
        <v>290</v>
      </c>
      <c r="C460" s="31" t="str">
        <f>VLOOKUP((CONCATENATE(B460)),ID!$A$2:$D$305,3,0)</f>
        <v>RL064</v>
      </c>
      <c r="D460" s="21">
        <v>0</v>
      </c>
      <c r="E460" s="21" t="s">
        <v>4057</v>
      </c>
      <c r="F460" s="21" t="s">
        <v>4062</v>
      </c>
      <c r="G460" s="21" t="s">
        <v>3777</v>
      </c>
      <c r="H460" s="94">
        <v>4199</v>
      </c>
      <c r="I460" s="43">
        <v>4344</v>
      </c>
      <c r="J460" s="43">
        <v>4336</v>
      </c>
      <c r="K460" s="21">
        <v>1</v>
      </c>
      <c r="L460" s="43">
        <v>4368</v>
      </c>
      <c r="M460" s="43">
        <v>4382</v>
      </c>
      <c r="N460" s="43">
        <v>4358</v>
      </c>
      <c r="O460" s="21" t="s">
        <v>3847</v>
      </c>
      <c r="P460" s="194">
        <v>1</v>
      </c>
      <c r="Q460" s="21">
        <v>0</v>
      </c>
      <c r="R460" s="39" t="s">
        <v>4075</v>
      </c>
      <c r="S460" s="120">
        <f t="shared" si="94"/>
        <v>171963096</v>
      </c>
      <c r="T460" s="123">
        <v>178880811</v>
      </c>
      <c r="U460" s="123">
        <v>129477558</v>
      </c>
      <c r="V460" s="123">
        <f t="shared" si="88"/>
        <v>49403253</v>
      </c>
      <c r="W460" s="122" t="str">
        <f t="shared" si="85"/>
        <v>1</v>
      </c>
      <c r="X460" s="123">
        <f>Y460+180431</f>
        <v>6917715</v>
      </c>
      <c r="Y460" s="123">
        <f t="shared" si="102"/>
        <v>6737284</v>
      </c>
      <c r="Z460" s="123">
        <f t="shared" si="89"/>
        <v>180431</v>
      </c>
      <c r="AA460" s="122" t="str">
        <f t="shared" si="86"/>
        <v>1</v>
      </c>
      <c r="AB460" s="120">
        <f t="shared" si="95"/>
        <v>6737284</v>
      </c>
      <c r="AC460" s="123">
        <v>0</v>
      </c>
      <c r="AD460" s="123">
        <v>6737284</v>
      </c>
      <c r="AE460" s="123">
        <v>65492</v>
      </c>
      <c r="AG460" s="151">
        <f t="shared" si="99"/>
        <v>6430233</v>
      </c>
      <c r="AH460" s="123">
        <f>6430233</f>
        <v>6430233</v>
      </c>
      <c r="AM460" s="123">
        <v>12514612</v>
      </c>
    </row>
    <row r="461" spans="1:39" s="123" customFormat="1" ht="16.2" thickBot="1" x14ac:dyDescent="0.35">
      <c r="A461" s="21">
        <v>64.3</v>
      </c>
      <c r="B461" s="212" t="s">
        <v>290</v>
      </c>
      <c r="C461" s="31" t="str">
        <f>VLOOKUP((CONCATENATE(B461)),ID!$A$2:$D$305,3,0)</f>
        <v>RL064</v>
      </c>
      <c r="D461" s="21">
        <v>0</v>
      </c>
      <c r="E461" s="21" t="s">
        <v>4057</v>
      </c>
      <c r="F461" s="21" t="s">
        <v>4062</v>
      </c>
      <c r="G461" s="21" t="s">
        <v>3777</v>
      </c>
      <c r="H461" s="94">
        <v>4383</v>
      </c>
      <c r="I461" s="43">
        <v>4540</v>
      </c>
      <c r="J461" s="43">
        <v>4521</v>
      </c>
      <c r="K461" s="21">
        <v>1</v>
      </c>
      <c r="L461" s="43">
        <v>4550</v>
      </c>
      <c r="M461" s="43">
        <v>4564</v>
      </c>
      <c r="N461" s="43">
        <v>4554</v>
      </c>
      <c r="O461" s="21" t="s">
        <v>3847</v>
      </c>
      <c r="P461" s="194">
        <v>1</v>
      </c>
      <c r="Q461" s="21">
        <v>0</v>
      </c>
      <c r="R461" s="39" t="s">
        <v>4075</v>
      </c>
      <c r="S461" s="120">
        <f t="shared" si="94"/>
        <v>212430028</v>
      </c>
      <c r="T461" s="123">
        <v>225557731</v>
      </c>
      <c r="U461" s="123">
        <v>223095000</v>
      </c>
      <c r="V461" s="123">
        <f t="shared" si="88"/>
        <v>2462731</v>
      </c>
      <c r="W461" s="122" t="str">
        <f t="shared" si="85"/>
        <v>1</v>
      </c>
      <c r="X461" s="123">
        <f>32703+6720000+6375000</f>
        <v>13127703</v>
      </c>
      <c r="Y461" s="123">
        <f t="shared" si="102"/>
        <v>13095000</v>
      </c>
      <c r="Z461" s="123">
        <f t="shared" si="89"/>
        <v>32703</v>
      </c>
      <c r="AA461" s="122" t="str">
        <f t="shared" si="86"/>
        <v>1</v>
      </c>
      <c r="AB461" s="120">
        <f t="shared" si="95"/>
        <v>13095000</v>
      </c>
      <c r="AC461" s="123">
        <v>0</v>
      </c>
      <c r="AD461" s="123">
        <f>6720000+6375000</f>
        <v>13095000</v>
      </c>
      <c r="AE461" s="123">
        <v>202233</v>
      </c>
      <c r="AG461" s="151">
        <f t="shared" si="99"/>
        <v>6108391</v>
      </c>
      <c r="AH461" s="123">
        <f>6108391</f>
        <v>6108391</v>
      </c>
      <c r="AM461" s="123">
        <v>12477172</v>
      </c>
    </row>
    <row r="462" spans="1:39" s="123" customFormat="1" ht="16.2" thickBot="1" x14ac:dyDescent="0.35">
      <c r="A462" s="21">
        <v>64.400000000000006</v>
      </c>
      <c r="B462" s="212" t="s">
        <v>290</v>
      </c>
      <c r="C462" s="31" t="str">
        <f>VLOOKUP((CONCATENATE(B462)),ID!$A$2:$D$305,3,0)</f>
        <v>RL064</v>
      </c>
      <c r="D462" s="21">
        <v>0</v>
      </c>
      <c r="E462" s="21" t="s">
        <v>4057</v>
      </c>
      <c r="F462" s="21" t="s">
        <v>4062</v>
      </c>
      <c r="G462" s="21" t="s">
        <v>3777</v>
      </c>
      <c r="H462" s="94">
        <v>4565</v>
      </c>
      <c r="I462" s="43">
        <v>4708</v>
      </c>
      <c r="J462" s="43">
        <v>4692</v>
      </c>
      <c r="K462" s="21">
        <v>1</v>
      </c>
      <c r="L462" s="43">
        <v>4735</v>
      </c>
      <c r="M462" s="43">
        <v>4749</v>
      </c>
      <c r="N462" s="43">
        <v>4722</v>
      </c>
      <c r="O462" s="21" t="s">
        <v>3847</v>
      </c>
      <c r="P462" s="194">
        <v>1</v>
      </c>
      <c r="Q462" s="21">
        <v>0</v>
      </c>
      <c r="R462" s="39" t="s">
        <v>4075</v>
      </c>
      <c r="S462" s="120">
        <f t="shared" si="94"/>
        <v>215090041</v>
      </c>
      <c r="T462" s="123">
        <v>228231288</v>
      </c>
      <c r="U462" s="123">
        <v>223095000</v>
      </c>
      <c r="V462" s="123">
        <f t="shared" si="88"/>
        <v>5136288</v>
      </c>
      <c r="W462" s="122" t="str">
        <f t="shared" si="85"/>
        <v>1</v>
      </c>
      <c r="X462" s="123">
        <f>46247+6720000+6375000</f>
        <v>13141247</v>
      </c>
      <c r="Y462" s="123">
        <f t="shared" si="102"/>
        <v>13095000</v>
      </c>
      <c r="Z462" s="123">
        <f t="shared" si="89"/>
        <v>46247</v>
      </c>
      <c r="AA462" s="122" t="str">
        <f t="shared" si="86"/>
        <v>1</v>
      </c>
      <c r="AB462" s="120">
        <f t="shared" si="95"/>
        <v>13095000</v>
      </c>
      <c r="AC462" s="123">
        <v>0</v>
      </c>
      <c r="AD462" s="123">
        <f>6375000+6720000</f>
        <v>13095000</v>
      </c>
      <c r="AE462" s="123">
        <v>36740</v>
      </c>
      <c r="AG462" s="151">
        <f t="shared" si="99"/>
        <v>7299250</v>
      </c>
      <c r="AH462" s="123">
        <v>7299250</v>
      </c>
      <c r="AM462" s="123">
        <v>13772005</v>
      </c>
    </row>
    <row r="463" spans="1:39" s="123" customFormat="1" ht="16.2" thickBot="1" x14ac:dyDescent="0.35">
      <c r="A463" s="21"/>
      <c r="B463" s="212" t="s">
        <v>290</v>
      </c>
      <c r="C463" s="31" t="str">
        <f>VLOOKUP((CONCATENATE(B463)),ID!$A$2:$D$305,3,0)</f>
        <v>RL064</v>
      </c>
      <c r="D463" s="21">
        <v>0</v>
      </c>
      <c r="E463" s="21" t="s">
        <v>4057</v>
      </c>
      <c r="F463" s="21" t="s">
        <v>4062</v>
      </c>
      <c r="G463" s="21" t="s">
        <v>3777</v>
      </c>
      <c r="H463" s="94">
        <v>4749</v>
      </c>
      <c r="I463" s="43">
        <v>5058</v>
      </c>
      <c r="J463" s="43">
        <v>5045</v>
      </c>
      <c r="K463" s="21">
        <v>0</v>
      </c>
      <c r="L463" s="43"/>
      <c r="M463" s="43"/>
      <c r="N463" s="43">
        <v>5072</v>
      </c>
      <c r="O463" s="21" t="s">
        <v>3847</v>
      </c>
      <c r="P463" s="194">
        <v>1</v>
      </c>
      <c r="Q463" s="21">
        <v>0</v>
      </c>
      <c r="R463" s="39" t="s">
        <v>4075</v>
      </c>
      <c r="S463" s="120">
        <f t="shared" si="94"/>
        <v>225078465</v>
      </c>
      <c r="T463" s="123">
        <v>238231288</v>
      </c>
      <c r="U463" s="123">
        <f>223095000+4061864</f>
        <v>227156864</v>
      </c>
      <c r="V463" s="123">
        <f t="shared" si="88"/>
        <v>11074424</v>
      </c>
      <c r="W463" s="122" t="str">
        <f t="shared" si="85"/>
        <v>1</v>
      </c>
      <c r="X463" s="123">
        <f>Y463+57823</f>
        <v>13152823</v>
      </c>
      <c r="Y463" s="123">
        <f t="shared" si="102"/>
        <v>13095000</v>
      </c>
      <c r="Z463" s="123">
        <f t="shared" si="89"/>
        <v>57823</v>
      </c>
      <c r="AA463" s="122" t="str">
        <f t="shared" si="86"/>
        <v>1</v>
      </c>
      <c r="AB463" s="120">
        <f t="shared" si="95"/>
        <v>13095000</v>
      </c>
      <c r="AC463" s="123">
        <v>0</v>
      </c>
      <c r="AD463" s="123">
        <f>6720000+6375000</f>
        <v>13095000</v>
      </c>
      <c r="AE463" s="123">
        <v>38683</v>
      </c>
      <c r="AG463" s="151">
        <f t="shared" si="99"/>
        <v>13292502</v>
      </c>
      <c r="AH463" s="123">
        <v>13292502</v>
      </c>
      <c r="AM463" s="123">
        <v>27084141</v>
      </c>
    </row>
    <row r="464" spans="1:39" s="123" customFormat="1" ht="16.2" thickBot="1" x14ac:dyDescent="0.35">
      <c r="A464" s="21"/>
      <c r="B464" s="212" t="s">
        <v>290</v>
      </c>
      <c r="C464" s="31" t="str">
        <f>VLOOKUP((CONCATENATE(B464)),ID!$A$2:$D$305,3,0)</f>
        <v>RL064</v>
      </c>
      <c r="D464" s="21">
        <v>1</v>
      </c>
      <c r="E464" s="21" t="s">
        <v>4057</v>
      </c>
      <c r="F464" s="21" t="s">
        <v>4062</v>
      </c>
      <c r="G464" s="21" t="s">
        <v>3777</v>
      </c>
      <c r="H464" s="94">
        <v>5203</v>
      </c>
      <c r="I464" s="43">
        <v>5422</v>
      </c>
      <c r="J464" s="43">
        <v>5409</v>
      </c>
      <c r="K464" s="21">
        <v>1</v>
      </c>
      <c r="L464" s="43">
        <v>5100</v>
      </c>
      <c r="M464" s="43">
        <v>5114</v>
      </c>
      <c r="N464" s="43">
        <v>5436</v>
      </c>
      <c r="O464" s="21" t="s">
        <v>3847</v>
      </c>
      <c r="P464" s="194">
        <v>1</v>
      </c>
      <c r="Q464" s="21">
        <v>0</v>
      </c>
      <c r="R464" s="39" t="s">
        <v>4075</v>
      </c>
      <c r="S464" s="120">
        <f t="shared" si="94"/>
        <v>230440154</v>
      </c>
      <c r="T464" s="123">
        <v>243691474</v>
      </c>
      <c r="U464" s="123">
        <v>223095000</v>
      </c>
      <c r="V464" s="123">
        <f t="shared" si="88"/>
        <v>20596474</v>
      </c>
      <c r="W464" s="122" t="str">
        <f t="shared" si="85"/>
        <v>1</v>
      </c>
      <c r="X464" s="123">
        <f>Y464+156320</f>
        <v>13251320</v>
      </c>
      <c r="Y464" s="123">
        <f t="shared" si="102"/>
        <v>13095000</v>
      </c>
      <c r="Z464" s="123">
        <f t="shared" si="89"/>
        <v>156320</v>
      </c>
      <c r="AA464" s="122" t="str">
        <f t="shared" si="86"/>
        <v>1</v>
      </c>
      <c r="AB464" s="120">
        <f t="shared" si="95"/>
        <v>13095000</v>
      </c>
      <c r="AC464" s="123">
        <v>0</v>
      </c>
      <c r="AD464" s="123">
        <f>6720000+6375000</f>
        <v>13095000</v>
      </c>
      <c r="AE464" s="123">
        <v>170486</v>
      </c>
      <c r="AG464" s="151">
        <f t="shared" si="99"/>
        <v>11842128</v>
      </c>
      <c r="AH464" s="123">
        <v>11842128</v>
      </c>
      <c r="AM464" s="123">
        <v>28070001</v>
      </c>
    </row>
    <row r="465" spans="1:40" s="123" customFormat="1" ht="16.2" thickBot="1" x14ac:dyDescent="0.35">
      <c r="A465" s="21"/>
      <c r="B465" s="212" t="s">
        <v>293</v>
      </c>
      <c r="C465" s="31" t="str">
        <f>VLOOKUP((CONCATENATE(B465)),ID!$A$2:$D$305,3,0)</f>
        <v>RL065</v>
      </c>
      <c r="D465" s="21">
        <v>0</v>
      </c>
      <c r="E465" s="21" t="s">
        <v>4057</v>
      </c>
      <c r="F465" s="21" t="s">
        <v>1117</v>
      </c>
      <c r="G465" s="21" t="s">
        <v>3777</v>
      </c>
      <c r="H465" s="94">
        <v>3653</v>
      </c>
      <c r="I465" s="43">
        <v>3797</v>
      </c>
      <c r="J465" s="43">
        <v>3797</v>
      </c>
      <c r="K465" s="21">
        <v>1</v>
      </c>
      <c r="L465" s="43">
        <v>3804</v>
      </c>
      <c r="M465" s="43">
        <v>3817</v>
      </c>
      <c r="N465" s="43">
        <v>3811</v>
      </c>
      <c r="O465" s="21" t="s">
        <v>3848</v>
      </c>
      <c r="P465" s="194">
        <v>1</v>
      </c>
      <c r="Q465" s="21">
        <v>1</v>
      </c>
      <c r="R465" s="39" t="str">
        <f t="shared" ref="R465:R537" si="103">IF(Q465=0,"?","-")</f>
        <v>-</v>
      </c>
      <c r="S465" s="120">
        <f t="shared" si="94"/>
        <v>2644288</v>
      </c>
      <c r="T465" s="123">
        <v>3205189</v>
      </c>
      <c r="U465" s="123">
        <f>316541+2739946</f>
        <v>3056487</v>
      </c>
      <c r="V465" s="123">
        <f>T465-U465</f>
        <v>148702</v>
      </c>
      <c r="W465" s="122" t="str">
        <f t="shared" si="85"/>
        <v>1</v>
      </c>
      <c r="X465" s="123">
        <f>Y465+50708+10193</f>
        <v>560901</v>
      </c>
      <c r="Y465" s="123">
        <f t="shared" si="102"/>
        <v>500000</v>
      </c>
      <c r="Z465" s="123">
        <f>X465-Y465</f>
        <v>60901</v>
      </c>
      <c r="AA465" s="122" t="str">
        <f t="shared" si="86"/>
        <v>1</v>
      </c>
      <c r="AB465" s="120">
        <f t="shared" si="95"/>
        <v>500000</v>
      </c>
      <c r="AC465" s="123">
        <v>0</v>
      </c>
      <c r="AD465" s="123">
        <v>500000</v>
      </c>
      <c r="AG465" s="151">
        <f t="shared" si="99"/>
        <v>56229</v>
      </c>
      <c r="AH465" s="123">
        <f>70097-2365-1602</f>
        <v>66130</v>
      </c>
      <c r="AI465" s="123">
        <v>1151</v>
      </c>
      <c r="AL465" s="123">
        <v>8750</v>
      </c>
    </row>
    <row r="466" spans="1:40" s="123" customFormat="1" ht="16.2" thickBot="1" x14ac:dyDescent="0.35">
      <c r="A466" s="21"/>
      <c r="B466" s="212" t="s">
        <v>293</v>
      </c>
      <c r="C466" s="31" t="str">
        <f>VLOOKUP((CONCATENATE(B466)),ID!$A$2:$D$305,3,0)</f>
        <v>RL065</v>
      </c>
      <c r="D466" s="21">
        <v>0</v>
      </c>
      <c r="E466" s="21" t="s">
        <v>4057</v>
      </c>
      <c r="F466" s="21" t="s">
        <v>1117</v>
      </c>
      <c r="G466" s="21" t="s">
        <v>3777</v>
      </c>
      <c r="H466" s="94">
        <v>3834</v>
      </c>
      <c r="I466" s="43">
        <v>3980</v>
      </c>
      <c r="J466" s="43">
        <v>3979</v>
      </c>
      <c r="K466" s="21">
        <v>1</v>
      </c>
      <c r="L466" s="43">
        <v>3987</v>
      </c>
      <c r="M466" s="43">
        <v>4000</v>
      </c>
      <c r="N466" s="43">
        <v>3994</v>
      </c>
      <c r="O466" s="21" t="s">
        <v>3848</v>
      </c>
      <c r="P466" s="194" t="str">
        <f t="shared" si="101"/>
        <v>1</v>
      </c>
      <c r="Q466" s="21">
        <v>1</v>
      </c>
      <c r="R466" s="39" t="str">
        <f t="shared" si="103"/>
        <v>-</v>
      </c>
      <c r="S466" s="120">
        <f t="shared" si="94"/>
        <v>2644174</v>
      </c>
      <c r="T466" s="123">
        <v>3235340</v>
      </c>
      <c r="U466" s="123">
        <f>165456+2936444</f>
        <v>3101900</v>
      </c>
      <c r="V466" s="123">
        <f>T466-U466</f>
        <v>133440</v>
      </c>
      <c r="W466" s="122" t="str">
        <f t="shared" si="85"/>
        <v>1</v>
      </c>
      <c r="X466" s="123">
        <f>Y466+73902+17264</f>
        <v>591166</v>
      </c>
      <c r="Y466" s="123">
        <f t="shared" si="102"/>
        <v>500000</v>
      </c>
      <c r="Z466" s="123">
        <f>X466-Y466</f>
        <v>91166</v>
      </c>
      <c r="AA466" s="122" t="str">
        <f t="shared" si="86"/>
        <v>1</v>
      </c>
      <c r="AB466" s="120">
        <f t="shared" si="95"/>
        <v>500000</v>
      </c>
      <c r="AC466" s="123">
        <v>0</v>
      </c>
      <c r="AD466" s="123">
        <v>500000</v>
      </c>
      <c r="AE466" s="123">
        <v>3513</v>
      </c>
      <c r="AG466" s="151">
        <f t="shared" si="99"/>
        <v>78353</v>
      </c>
      <c r="AH466" s="123">
        <f>93292-2190-2604</f>
        <v>88498</v>
      </c>
      <c r="AI466" s="123">
        <v>1395</v>
      </c>
      <c r="AJ466" s="123">
        <v>10000</v>
      </c>
      <c r="AL466" s="123">
        <v>8750</v>
      </c>
    </row>
    <row r="467" spans="1:40" s="123" customFormat="1" ht="16.2" thickBot="1" x14ac:dyDescent="0.35">
      <c r="A467" s="21">
        <v>65.099999999999994</v>
      </c>
      <c r="B467" s="212" t="s">
        <v>293</v>
      </c>
      <c r="C467" s="31" t="str">
        <f>VLOOKUP((CONCATENATE(B467)),ID!$A$2:$D$305,3,0)</f>
        <v>RL065</v>
      </c>
      <c r="D467" s="21">
        <v>0</v>
      </c>
      <c r="E467" s="21" t="s">
        <v>4057</v>
      </c>
      <c r="F467" s="21" t="s">
        <v>1117</v>
      </c>
      <c r="G467" s="21" t="s">
        <v>3777</v>
      </c>
      <c r="H467" s="94">
        <v>4018</v>
      </c>
      <c r="I467" s="43">
        <v>4162</v>
      </c>
      <c r="J467" s="43">
        <v>4158</v>
      </c>
      <c r="K467" s="75">
        <v>1</v>
      </c>
      <c r="L467" s="43">
        <v>4169</v>
      </c>
      <c r="M467" s="43">
        <v>4182</v>
      </c>
      <c r="N467" s="43">
        <v>4176</v>
      </c>
      <c r="O467" s="21" t="s">
        <v>3848</v>
      </c>
      <c r="P467" s="194" t="str">
        <f t="shared" si="101"/>
        <v>1</v>
      </c>
      <c r="Q467" s="21">
        <v>1</v>
      </c>
      <c r="R467" s="39" t="str">
        <f t="shared" si="103"/>
        <v>-</v>
      </c>
      <c r="S467" s="120">
        <f t="shared" si="94"/>
        <v>2653709</v>
      </c>
      <c r="T467" s="123">
        <v>3234518</v>
      </c>
      <c r="U467" s="123">
        <f>3066927+55869</f>
        <v>3122796</v>
      </c>
      <c r="V467" s="123">
        <f t="shared" si="88"/>
        <v>111722</v>
      </c>
      <c r="W467" s="122" t="str">
        <f t="shared" si="85"/>
        <v>1</v>
      </c>
      <c r="X467" s="123">
        <f>68553+12256+500000</f>
        <v>580809</v>
      </c>
      <c r="Y467" s="123">
        <f>500000</f>
        <v>500000</v>
      </c>
      <c r="Z467" s="123">
        <f t="shared" si="89"/>
        <v>80809</v>
      </c>
      <c r="AA467" s="122" t="str">
        <f t="shared" si="86"/>
        <v>1</v>
      </c>
      <c r="AB467" s="120">
        <f t="shared" si="95"/>
        <v>500000</v>
      </c>
      <c r="AC467" s="123">
        <v>0</v>
      </c>
      <c r="AD467" s="123">
        <v>500000</v>
      </c>
      <c r="AE467" s="123">
        <f>1540</f>
        <v>1540</v>
      </c>
      <c r="AG467" s="151">
        <f t="shared" si="99"/>
        <v>67391</v>
      </c>
      <c r="AH467" s="123">
        <f>67391+AI467+AL467</f>
        <v>77392</v>
      </c>
      <c r="AI467" s="123">
        <v>1251</v>
      </c>
      <c r="AJ467" s="123">
        <v>10000</v>
      </c>
      <c r="AL467" s="123">
        <v>8750</v>
      </c>
    </row>
    <row r="468" spans="1:40" s="123" customFormat="1" ht="16.2" thickBot="1" x14ac:dyDescent="0.35">
      <c r="A468" s="21">
        <v>65.2</v>
      </c>
      <c r="B468" s="212" t="s">
        <v>293</v>
      </c>
      <c r="C468" s="31" t="str">
        <f>VLOOKUP((CONCATENATE(B468)),ID!$A$2:$D$305,3,0)</f>
        <v>RL065</v>
      </c>
      <c r="D468" s="21">
        <v>0</v>
      </c>
      <c r="E468" s="21" t="s">
        <v>4057</v>
      </c>
      <c r="F468" s="21" t="s">
        <v>1117</v>
      </c>
      <c r="G468" s="21" t="s">
        <v>3777</v>
      </c>
      <c r="H468" s="94">
        <v>4199</v>
      </c>
      <c r="I468" s="43">
        <v>4344</v>
      </c>
      <c r="J468" s="43">
        <v>4344</v>
      </c>
      <c r="K468" s="75">
        <v>1</v>
      </c>
      <c r="L468" s="43">
        <v>4351</v>
      </c>
      <c r="M468" s="43">
        <v>4364</v>
      </c>
      <c r="N468" s="43">
        <v>4358</v>
      </c>
      <c r="O468" s="21" t="s">
        <v>3848</v>
      </c>
      <c r="P468" s="194" t="str">
        <f t="shared" si="101"/>
        <v>1</v>
      </c>
      <c r="Q468" s="21">
        <v>1</v>
      </c>
      <c r="R468" s="39" t="str">
        <f t="shared" si="103"/>
        <v>-</v>
      </c>
      <c r="S468" s="120">
        <f t="shared" si="94"/>
        <v>2863991</v>
      </c>
      <c r="T468" s="123">
        <v>3449041</v>
      </c>
      <c r="U468" s="123">
        <f>3214933+11147</f>
        <v>3226080</v>
      </c>
      <c r="V468" s="123">
        <f t="shared" si="88"/>
        <v>222961</v>
      </c>
      <c r="W468" s="122" t="str">
        <f t="shared" si="85"/>
        <v>1</v>
      </c>
      <c r="X468" s="123">
        <f>9751+75299+500000</f>
        <v>585050</v>
      </c>
      <c r="Y468" s="123">
        <v>500000</v>
      </c>
      <c r="Z468" s="123">
        <f t="shared" si="89"/>
        <v>85050</v>
      </c>
      <c r="AA468" s="122" t="str">
        <f t="shared" si="86"/>
        <v>1</v>
      </c>
      <c r="AB468" s="120">
        <f t="shared" si="95"/>
        <v>500000</v>
      </c>
      <c r="AC468" s="123">
        <v>0</v>
      </c>
      <c r="AD468" s="123">
        <v>500000</v>
      </c>
      <c r="AE468" s="123">
        <f>92070</f>
        <v>92070</v>
      </c>
      <c r="AG468" s="151">
        <f t="shared" si="99"/>
        <v>106630</v>
      </c>
      <c r="AH468" s="123">
        <f>106630+AI468+AL468</f>
        <v>117476</v>
      </c>
      <c r="AI468" s="123">
        <v>2096</v>
      </c>
      <c r="AJ468" s="123">
        <v>60000</v>
      </c>
      <c r="AL468" s="123">
        <v>8750</v>
      </c>
    </row>
    <row r="469" spans="1:40" s="123" customFormat="1" ht="16.2" thickBot="1" x14ac:dyDescent="0.35">
      <c r="A469" s="21">
        <v>65.3</v>
      </c>
      <c r="B469" s="212" t="s">
        <v>293</v>
      </c>
      <c r="C469" s="31" t="str">
        <f>VLOOKUP((CONCATENATE(B469)),ID!$A$2:$D$305,3,0)</f>
        <v>RL065</v>
      </c>
      <c r="D469" s="21">
        <v>0</v>
      </c>
      <c r="E469" s="21" t="s">
        <v>4057</v>
      </c>
      <c r="F469" s="21" t="s">
        <v>1117</v>
      </c>
      <c r="G469" s="21" t="s">
        <v>3777</v>
      </c>
      <c r="H469" s="94">
        <v>4383</v>
      </c>
      <c r="I469" s="43">
        <v>4519</v>
      </c>
      <c r="J469" s="43">
        <v>4519</v>
      </c>
      <c r="K469" s="75">
        <v>1</v>
      </c>
      <c r="L469" s="43">
        <v>4533</v>
      </c>
      <c r="M469" s="43">
        <v>4546</v>
      </c>
      <c r="N469" s="43">
        <v>4545</v>
      </c>
      <c r="O469" s="21" t="s">
        <v>3848</v>
      </c>
      <c r="P469" s="194" t="str">
        <f t="shared" si="101"/>
        <v>1</v>
      </c>
      <c r="Q469" s="21">
        <v>1</v>
      </c>
      <c r="R469" s="39" t="str">
        <f t="shared" si="103"/>
        <v>-</v>
      </c>
      <c r="S469" s="120">
        <f t="shared" si="94"/>
        <v>3496960</v>
      </c>
      <c r="T469" s="123">
        <v>4080261</v>
      </c>
      <c r="U469" s="123">
        <f>3313271+262945</f>
        <v>3576216</v>
      </c>
      <c r="V469" s="123">
        <f t="shared" si="88"/>
        <v>504045</v>
      </c>
      <c r="W469" s="122" t="str">
        <f t="shared" si="85"/>
        <v>1</v>
      </c>
      <c r="X469" s="123">
        <f>75344+7957+500000</f>
        <v>583301</v>
      </c>
      <c r="Y469" s="123">
        <v>500000</v>
      </c>
      <c r="Z469" s="123">
        <f t="shared" si="89"/>
        <v>83301</v>
      </c>
      <c r="AA469" s="122" t="str">
        <f t="shared" si="86"/>
        <v>1</v>
      </c>
      <c r="AB469" s="120">
        <f t="shared" si="95"/>
        <v>500000</v>
      </c>
      <c r="AC469" s="123">
        <v>0</v>
      </c>
      <c r="AD469" s="123">
        <v>500000</v>
      </c>
      <c r="AE469" s="123">
        <v>58467</v>
      </c>
      <c r="AG469" s="151">
        <f t="shared" si="99"/>
        <v>106335</v>
      </c>
      <c r="AH469" s="123">
        <f>106335+AI469+AL469</f>
        <v>117196</v>
      </c>
      <c r="AI469" s="123">
        <v>2111</v>
      </c>
      <c r="AJ469" s="123">
        <v>30000</v>
      </c>
      <c r="AL469" s="123">
        <v>8750</v>
      </c>
    </row>
    <row r="470" spans="1:40" s="123" customFormat="1" ht="16.2" thickBot="1" x14ac:dyDescent="0.35">
      <c r="A470" s="21">
        <v>65.400000000000006</v>
      </c>
      <c r="B470" s="212" t="s">
        <v>293</v>
      </c>
      <c r="C470" s="31" t="str">
        <f>VLOOKUP((CONCATENATE(B470)),ID!$A$2:$D$305,3,0)</f>
        <v>RL065</v>
      </c>
      <c r="D470" s="21">
        <v>0</v>
      </c>
      <c r="E470" s="21" t="s">
        <v>4057</v>
      </c>
      <c r="F470" s="21" t="s">
        <v>1117</v>
      </c>
      <c r="G470" s="21" t="s">
        <v>3777</v>
      </c>
      <c r="H470" s="94">
        <v>4565</v>
      </c>
      <c r="I470" s="43">
        <v>4708</v>
      </c>
      <c r="J470" s="43">
        <v>4708</v>
      </c>
      <c r="K470" s="75">
        <v>1</v>
      </c>
      <c r="L470" s="43">
        <v>4715</v>
      </c>
      <c r="M470" s="43">
        <v>4728</v>
      </c>
      <c r="N470" s="43">
        <v>4722</v>
      </c>
      <c r="O470" s="21" t="s">
        <v>3848</v>
      </c>
      <c r="P470" s="194" t="str">
        <f t="shared" si="101"/>
        <v>1</v>
      </c>
      <c r="Q470" s="21">
        <v>1</v>
      </c>
      <c r="R470" s="39" t="str">
        <f t="shared" si="103"/>
        <v>-</v>
      </c>
      <c r="S470" s="120">
        <f t="shared" si="94"/>
        <v>3502230</v>
      </c>
      <c r="T470" s="123">
        <v>4145118</v>
      </c>
      <c r="U470" s="123">
        <f>3600801+262375</f>
        <v>3863176</v>
      </c>
      <c r="V470" s="123">
        <f t="shared" si="88"/>
        <v>281942</v>
      </c>
      <c r="W470" s="122" t="str">
        <f t="shared" si="85"/>
        <v>1</v>
      </c>
      <c r="X470" s="123">
        <f>124591+18297+500000</f>
        <v>642888</v>
      </c>
      <c r="Y470" s="123">
        <v>500000</v>
      </c>
      <c r="Z470" s="123">
        <f t="shared" si="89"/>
        <v>142888</v>
      </c>
      <c r="AA470" s="122" t="str">
        <f t="shared" si="86"/>
        <v>1</v>
      </c>
      <c r="AB470" s="120">
        <f t="shared" si="95"/>
        <v>500000</v>
      </c>
      <c r="AC470" s="123">
        <v>0</v>
      </c>
      <c r="AD470" s="123">
        <v>500000</v>
      </c>
      <c r="AG470" s="151">
        <f t="shared" si="99"/>
        <v>138049</v>
      </c>
      <c r="AH470" s="123">
        <f>138049+AI470+AL470</f>
        <v>150013</v>
      </c>
      <c r="AI470" s="123">
        <f>836+2378</f>
        <v>3214</v>
      </c>
      <c r="AJ470" s="123">
        <v>30000</v>
      </c>
      <c r="AK470" s="123">
        <v>570</v>
      </c>
      <c r="AL470" s="123">
        <v>8750</v>
      </c>
    </row>
    <row r="471" spans="1:40" s="123" customFormat="1" ht="16.2" thickBot="1" x14ac:dyDescent="0.35">
      <c r="A471" s="21"/>
      <c r="B471" s="212" t="s">
        <v>293</v>
      </c>
      <c r="C471" s="31" t="str">
        <f>VLOOKUP((CONCATENATE(B471)),ID!$A$2:$D$305,3,0)</f>
        <v>RL065</v>
      </c>
      <c r="D471" s="21">
        <v>0</v>
      </c>
      <c r="E471" s="21" t="s">
        <v>4057</v>
      </c>
      <c r="F471" s="21" t="s">
        <v>1117</v>
      </c>
      <c r="G471" s="21" t="s">
        <v>3777</v>
      </c>
      <c r="H471" s="94">
        <v>4749</v>
      </c>
      <c r="I471" s="43">
        <v>4890</v>
      </c>
      <c r="J471" s="43">
        <v>4890</v>
      </c>
      <c r="K471" s="75">
        <v>1</v>
      </c>
      <c r="L471" s="43">
        <v>4897</v>
      </c>
      <c r="M471" s="43">
        <v>4910</v>
      </c>
      <c r="N471" s="43">
        <v>4904</v>
      </c>
      <c r="O471" s="21" t="s">
        <v>3848</v>
      </c>
      <c r="P471" s="194" t="str">
        <f t="shared" si="101"/>
        <v>1</v>
      </c>
      <c r="Q471" s="21">
        <v>1</v>
      </c>
      <c r="R471" s="39" t="str">
        <f t="shared" si="103"/>
        <v>-</v>
      </c>
      <c r="S471" s="120">
        <f t="shared" si="94"/>
        <v>3507619</v>
      </c>
      <c r="T471" s="123">
        <v>4117950</v>
      </c>
      <c r="U471" s="123">
        <f>3808908+161172</f>
        <v>3970080</v>
      </c>
      <c r="V471" s="123">
        <f>T471-U471</f>
        <v>147870</v>
      </c>
      <c r="W471" s="122" t="str">
        <f>IF(V471+U471=T471,"1","0")</f>
        <v>1</v>
      </c>
      <c r="X471" s="123">
        <f>Y471+92876+17455</f>
        <v>610331</v>
      </c>
      <c r="Y471" s="123">
        <f>AB471</f>
        <v>500000</v>
      </c>
      <c r="Z471" s="123">
        <f t="shared" si="89"/>
        <v>110331</v>
      </c>
      <c r="AA471" s="122" t="str">
        <f t="shared" si="86"/>
        <v>1</v>
      </c>
      <c r="AB471" s="120">
        <f t="shared" si="95"/>
        <v>500000</v>
      </c>
      <c r="AC471" s="123">
        <v>0</v>
      </c>
      <c r="AD471" s="123">
        <v>500000</v>
      </c>
      <c r="AE471" s="123">
        <f>9932+29455</f>
        <v>39387</v>
      </c>
      <c r="AG471" s="151">
        <f t="shared" si="99"/>
        <v>106773</v>
      </c>
      <c r="AH471" s="123">
        <f>106773+AI471+AL471</f>
        <v>117618</v>
      </c>
      <c r="AI471" s="123">
        <v>2095</v>
      </c>
      <c r="AJ471" s="123">
        <v>30000</v>
      </c>
      <c r="AL471" s="123">
        <v>8750</v>
      </c>
    </row>
    <row r="472" spans="1:40" s="123" customFormat="1" ht="16.2" thickBot="1" x14ac:dyDescent="0.35">
      <c r="A472" s="21"/>
      <c r="B472" s="212" t="s">
        <v>293</v>
      </c>
      <c r="C472" s="31" t="str">
        <f>VLOOKUP((CONCATENATE(B472)),ID!$A$2:$D$305,3,0)</f>
        <v>RL065</v>
      </c>
      <c r="D472" s="21">
        <v>0</v>
      </c>
      <c r="E472" s="21" t="s">
        <v>4057</v>
      </c>
      <c r="F472" s="21" t="s">
        <v>1117</v>
      </c>
      <c r="G472" s="21" t="s">
        <v>3777</v>
      </c>
      <c r="H472" s="94">
        <v>5022</v>
      </c>
      <c r="I472" s="43">
        <v>5163</v>
      </c>
      <c r="J472" s="43">
        <v>5163</v>
      </c>
      <c r="K472" s="75">
        <v>1</v>
      </c>
      <c r="L472" s="43">
        <v>5170</v>
      </c>
      <c r="M472" s="43">
        <v>5183</v>
      </c>
      <c r="N472" s="43">
        <v>5177</v>
      </c>
      <c r="O472" s="21" t="s">
        <v>3848</v>
      </c>
      <c r="P472" s="194" t="str">
        <f t="shared" si="101"/>
        <v>1</v>
      </c>
      <c r="Q472" s="21">
        <v>1</v>
      </c>
      <c r="R472" s="39" t="str">
        <f t="shared" si="103"/>
        <v>-</v>
      </c>
      <c r="S472" s="120">
        <f t="shared" si="94"/>
        <v>3508425</v>
      </c>
      <c r="T472" s="123">
        <v>4582530</v>
      </c>
      <c r="U472" s="123">
        <f>4035354+204953</f>
        <v>4240307</v>
      </c>
      <c r="V472" s="123">
        <f>T472-U472</f>
        <v>342223</v>
      </c>
      <c r="W472" s="122" t="str">
        <f>IF(V472+U472=T472,"1","0")</f>
        <v>1</v>
      </c>
      <c r="X472" s="123">
        <f>Y472+57052+17053</f>
        <v>1074105</v>
      </c>
      <c r="Y472" s="123">
        <f>AB472</f>
        <v>1000000</v>
      </c>
      <c r="Z472" s="123">
        <f t="shared" si="89"/>
        <v>74105</v>
      </c>
      <c r="AA472" s="122" t="str">
        <f t="shared" si="86"/>
        <v>1</v>
      </c>
      <c r="AB472" s="120">
        <f t="shared" si="95"/>
        <v>1000000</v>
      </c>
      <c r="AC472" s="123">
        <v>0</v>
      </c>
      <c r="AD472" s="123">
        <v>1000000</v>
      </c>
      <c r="AE472" s="123">
        <v>13974</v>
      </c>
      <c r="AG472" s="151">
        <f t="shared" si="99"/>
        <v>170093</v>
      </c>
      <c r="AH472" s="123">
        <f>170093+AI472+AL472</f>
        <v>190835</v>
      </c>
      <c r="AI472" s="123">
        <f>960+3288</f>
        <v>4248</v>
      </c>
      <c r="AJ472" s="123">
        <v>30000</v>
      </c>
      <c r="AL472" s="123">
        <v>16494</v>
      </c>
    </row>
    <row r="473" spans="1:40" s="123" customFormat="1" ht="16.2" thickBot="1" x14ac:dyDescent="0.35">
      <c r="A473" s="21"/>
      <c r="B473" s="212" t="s">
        <v>293</v>
      </c>
      <c r="C473" s="31" t="str">
        <f>VLOOKUP((CONCATENATE(B473)),ID!$A$2:$D$305,3,0)</f>
        <v>RL065</v>
      </c>
      <c r="D473" s="21">
        <v>1</v>
      </c>
      <c r="E473" s="21" t="s">
        <v>4057</v>
      </c>
      <c r="F473" s="21" t="s">
        <v>1117</v>
      </c>
      <c r="G473" s="21" t="s">
        <v>3777</v>
      </c>
      <c r="H473" s="94">
        <v>5387</v>
      </c>
      <c r="I473" s="43">
        <v>5527</v>
      </c>
      <c r="J473" s="43">
        <v>5527</v>
      </c>
      <c r="K473" s="75">
        <v>1</v>
      </c>
      <c r="L473" s="43">
        <v>5534</v>
      </c>
      <c r="M473" s="43">
        <v>5547</v>
      </c>
      <c r="N473" s="43">
        <v>5541</v>
      </c>
      <c r="O473" s="21" t="s">
        <v>3848</v>
      </c>
      <c r="P473" s="194" t="str">
        <f t="shared" si="101"/>
        <v>1</v>
      </c>
      <c r="Q473" s="21">
        <v>1</v>
      </c>
      <c r="R473" s="39" t="str">
        <f t="shared" si="103"/>
        <v>-</v>
      </c>
      <c r="S473" s="120">
        <f t="shared" si="94"/>
        <v>3530552</v>
      </c>
      <c r="T473" s="123">
        <v>4617708</v>
      </c>
      <c r="U473" s="123">
        <f>4123334+334913</f>
        <v>4458247</v>
      </c>
      <c r="V473" s="123">
        <f>T473-U473</f>
        <v>159461</v>
      </c>
      <c r="W473" s="122" t="str">
        <f>IF(V473+U473=T473,"1","0")</f>
        <v>1</v>
      </c>
      <c r="X473" s="123">
        <f>Y473+81897+5259</f>
        <v>1087156</v>
      </c>
      <c r="Y473" s="123">
        <f>AB473</f>
        <v>1000000</v>
      </c>
      <c r="Z473" s="123">
        <f t="shared" si="89"/>
        <v>87156</v>
      </c>
      <c r="AA473" s="122" t="str">
        <f t="shared" si="86"/>
        <v>1</v>
      </c>
      <c r="AB473" s="120">
        <f t="shared" si="95"/>
        <v>1000000</v>
      </c>
      <c r="AC473" s="123">
        <v>0</v>
      </c>
      <c r="AD473" s="123">
        <v>1000000</v>
      </c>
      <c r="AE473" s="123">
        <v>1715</v>
      </c>
      <c r="AG473" s="151">
        <f>AH473-AL473-AI473</f>
        <v>269624</v>
      </c>
      <c r="AH473" s="123">
        <f>269624+AI473+AL473</f>
        <v>311634</v>
      </c>
      <c r="AI473" s="123">
        <f>1709+5015</f>
        <v>6724</v>
      </c>
      <c r="AJ473" s="123">
        <v>30000</v>
      </c>
      <c r="AL473" s="123">
        <v>35286</v>
      </c>
    </row>
    <row r="474" spans="1:40" s="123" customFormat="1" ht="16.2" thickBot="1" x14ac:dyDescent="0.35">
      <c r="A474" s="21"/>
      <c r="B474" s="212" t="s">
        <v>302</v>
      </c>
      <c r="C474" s="31" t="str">
        <f>VLOOKUP((CONCATENATE(B474)),ID!$A$2:$D$305,3,0)</f>
        <v>RL066</v>
      </c>
      <c r="D474" s="21">
        <v>0</v>
      </c>
      <c r="E474" s="21" t="s">
        <v>4057</v>
      </c>
      <c r="F474" s="21" t="s">
        <v>3849</v>
      </c>
      <c r="G474" s="21" t="s">
        <v>3853</v>
      </c>
      <c r="H474" s="94">
        <v>3653</v>
      </c>
      <c r="I474" s="43">
        <v>3653</v>
      </c>
      <c r="J474" s="43">
        <v>3712</v>
      </c>
      <c r="K474" s="75">
        <v>1</v>
      </c>
      <c r="L474" s="43">
        <v>3678</v>
      </c>
      <c r="M474" s="43">
        <v>3692</v>
      </c>
      <c r="N474" s="43">
        <v>3692</v>
      </c>
      <c r="O474" s="21" t="s">
        <v>3850</v>
      </c>
      <c r="P474" s="194">
        <v>1</v>
      </c>
      <c r="Q474" s="21">
        <v>1</v>
      </c>
      <c r="R474" s="39" t="str">
        <f t="shared" si="103"/>
        <v>-</v>
      </c>
      <c r="S474" s="120">
        <f t="shared" si="94"/>
        <v>509893</v>
      </c>
      <c r="T474" s="123">
        <v>868670</v>
      </c>
      <c r="U474" s="123">
        <v>592131</v>
      </c>
      <c r="V474" s="123">
        <f>T474-U474</f>
        <v>276539</v>
      </c>
      <c r="W474" s="122" t="str">
        <f>IF(V474+U474=T474,"1","0")</f>
        <v>1</v>
      </c>
      <c r="X474" s="123">
        <f>29067+12229+Y474+46110+2033</f>
        <v>358777</v>
      </c>
      <c r="Y474" s="123">
        <f>AB474+23944+1099</f>
        <v>269338</v>
      </c>
      <c r="Z474" s="123">
        <f t="shared" si="89"/>
        <v>89439</v>
      </c>
      <c r="AA474" s="122" t="str">
        <f t="shared" si="86"/>
        <v>1</v>
      </c>
      <c r="AB474" s="120">
        <f t="shared" si="95"/>
        <v>244295</v>
      </c>
      <c r="AC474" s="123">
        <v>169517</v>
      </c>
      <c r="AD474" s="123">
        <v>74778</v>
      </c>
      <c r="AE474" s="123">
        <v>3200</v>
      </c>
      <c r="AG474" s="151">
        <f t="shared" si="99"/>
        <v>159444</v>
      </c>
      <c r="AH474" s="123">
        <f>244580-27768-5348-25484-358</f>
        <v>185622</v>
      </c>
      <c r="AL474" s="123">
        <f>22894+3284</f>
        <v>26178</v>
      </c>
      <c r="AM474" s="123">
        <v>489844</v>
      </c>
      <c r="AN474" s="123">
        <v>122117</v>
      </c>
    </row>
    <row r="475" spans="1:40" s="123" customFormat="1" ht="16.2" thickBot="1" x14ac:dyDescent="0.35">
      <c r="A475" s="21"/>
      <c r="B475" s="212" t="s">
        <v>302</v>
      </c>
      <c r="C475" s="31" t="str">
        <f>VLOOKUP((CONCATENATE(B475)),ID!$A$2:$D$305,3,0)</f>
        <v>RL066</v>
      </c>
      <c r="D475" s="21">
        <v>0</v>
      </c>
      <c r="E475" s="21" t="s">
        <v>4057</v>
      </c>
      <c r="F475" s="21" t="s">
        <v>3849</v>
      </c>
      <c r="G475" s="21" t="s">
        <v>3853</v>
      </c>
      <c r="H475" s="94">
        <v>3834</v>
      </c>
      <c r="I475" s="43">
        <v>3842</v>
      </c>
      <c r="J475" s="43">
        <v>3863</v>
      </c>
      <c r="K475" s="75">
        <v>1</v>
      </c>
      <c r="L475" s="43">
        <v>3860</v>
      </c>
      <c r="M475" s="43">
        <v>3874</v>
      </c>
      <c r="N475" s="43">
        <v>3874</v>
      </c>
      <c r="O475" s="21" t="s">
        <v>3850</v>
      </c>
      <c r="P475" s="194">
        <v>1</v>
      </c>
      <c r="Q475" s="21">
        <v>1</v>
      </c>
      <c r="R475" s="39" t="str">
        <f t="shared" si="103"/>
        <v>-</v>
      </c>
      <c r="S475" s="120">
        <f t="shared" si="94"/>
        <v>274296</v>
      </c>
      <c r="T475" s="123">
        <v>892157</v>
      </c>
      <c r="U475" s="123">
        <v>610415</v>
      </c>
      <c r="V475" s="123">
        <f>T475-U475</f>
        <v>281742</v>
      </c>
      <c r="W475" s="122" t="str">
        <f>IF(V475+U475=T475,"1","0")</f>
        <v>1</v>
      </c>
      <c r="X475" s="123">
        <f>AB475+2257+46142+15069+284775</f>
        <v>617861</v>
      </c>
      <c r="Y475" s="123">
        <f>AB475+24461+1223</f>
        <v>295302</v>
      </c>
      <c r="Z475" s="123">
        <f t="shared" si="89"/>
        <v>322559</v>
      </c>
      <c r="AA475" s="122" t="str">
        <f t="shared" si="86"/>
        <v>1</v>
      </c>
      <c r="AB475" s="120">
        <f t="shared" si="95"/>
        <v>269618</v>
      </c>
      <c r="AC475" s="123">
        <v>191431</v>
      </c>
      <c r="AD475" s="123">
        <v>78187</v>
      </c>
      <c r="AE475" s="123">
        <v>3489</v>
      </c>
      <c r="AG475" s="151">
        <f t="shared" si="99"/>
        <v>156204</v>
      </c>
      <c r="AH475" s="123">
        <f>214493+359-25484-358-5822</f>
        <v>183188</v>
      </c>
      <c r="AL475" s="123">
        <f>22894+4090</f>
        <v>26984</v>
      </c>
      <c r="AM475" s="123">
        <v>496540</v>
      </c>
      <c r="AN475" s="123">
        <v>110219</v>
      </c>
    </row>
    <row r="476" spans="1:40" s="123" customFormat="1" ht="16.2" thickBot="1" x14ac:dyDescent="0.35">
      <c r="A476" s="21">
        <v>66.099999999999994</v>
      </c>
      <c r="B476" s="212" t="s">
        <v>302</v>
      </c>
      <c r="C476" s="31" t="str">
        <f>VLOOKUP((CONCATENATE(B476)),ID!$A$2:$D$305,3,0)</f>
        <v>RL066</v>
      </c>
      <c r="D476" s="21">
        <v>0</v>
      </c>
      <c r="E476" s="21" t="s">
        <v>4057</v>
      </c>
      <c r="F476" s="21" t="s">
        <v>3849</v>
      </c>
      <c r="G476" s="21" t="s">
        <v>3853</v>
      </c>
      <c r="H476" s="94">
        <v>4018</v>
      </c>
      <c r="I476" s="43">
        <v>4031</v>
      </c>
      <c r="J476" s="43">
        <v>4045</v>
      </c>
      <c r="K476" s="21">
        <v>1</v>
      </c>
      <c r="L476" s="43">
        <v>4043</v>
      </c>
      <c r="M476" s="43">
        <v>4057</v>
      </c>
      <c r="N476" s="43">
        <v>4057</v>
      </c>
      <c r="O476" s="21" t="s">
        <v>3850</v>
      </c>
      <c r="P476" s="194">
        <v>1</v>
      </c>
      <c r="Q476" s="21">
        <v>1</v>
      </c>
      <c r="R476" s="39" t="str">
        <f t="shared" si="103"/>
        <v>-</v>
      </c>
      <c r="S476" s="120">
        <f t="shared" ref="S476:S537" si="104">T476-X476</f>
        <v>252958</v>
      </c>
      <c r="T476" s="123">
        <v>659863</v>
      </c>
      <c r="U476" s="123">
        <f>310315</f>
        <v>310315</v>
      </c>
      <c r="V476" s="123">
        <f t="shared" si="88"/>
        <v>349548</v>
      </c>
      <c r="W476" s="122" t="str">
        <f t="shared" si="85"/>
        <v>1</v>
      </c>
      <c r="X476" s="123">
        <f>2505+46155+Y476+12261+237055</f>
        <v>406905</v>
      </c>
      <c r="Y476" s="123">
        <f>82246+25365+1318</f>
        <v>108929</v>
      </c>
      <c r="Z476" s="123">
        <f t="shared" si="89"/>
        <v>297976</v>
      </c>
      <c r="AA476" s="122" t="str">
        <f t="shared" si="86"/>
        <v>1</v>
      </c>
      <c r="AB476" s="120">
        <f t="shared" si="95"/>
        <v>82246</v>
      </c>
      <c r="AC476" s="123">
        <v>0</v>
      </c>
      <c r="AD476" s="123">
        <v>82246</v>
      </c>
      <c r="AE476" s="123">
        <v>76542</v>
      </c>
      <c r="AG476" s="151">
        <f t="shared" si="99"/>
        <v>162056</v>
      </c>
      <c r="AH476" s="134">
        <f>245193-28154-5708-25484-358</f>
        <v>185489</v>
      </c>
      <c r="AI476" s="132"/>
      <c r="AJ476" s="132"/>
      <c r="AK476" s="132"/>
      <c r="AL476" s="134">
        <f>22894+539</f>
        <v>23433</v>
      </c>
      <c r="AM476" s="134">
        <v>502656</v>
      </c>
      <c r="AN476" s="123">
        <v>122680</v>
      </c>
    </row>
    <row r="477" spans="1:40" s="123" customFormat="1" ht="16.2" thickBot="1" x14ac:dyDescent="0.35">
      <c r="A477" s="21">
        <v>66.2</v>
      </c>
      <c r="B477" s="212" t="s">
        <v>302</v>
      </c>
      <c r="C477" s="31" t="str">
        <f>VLOOKUP((CONCATENATE(B477)),ID!$A$2:$D$305,3,0)</f>
        <v>RL066</v>
      </c>
      <c r="D477" s="21">
        <v>0</v>
      </c>
      <c r="E477" s="21" t="s">
        <v>4057</v>
      </c>
      <c r="F477" s="21" t="s">
        <v>3849</v>
      </c>
      <c r="G477" s="21" t="s">
        <v>3853</v>
      </c>
      <c r="H477" s="94">
        <v>4199</v>
      </c>
      <c r="I477" s="43">
        <v>4213</v>
      </c>
      <c r="J477" s="43">
        <v>4227</v>
      </c>
      <c r="K477" s="21">
        <v>1</v>
      </c>
      <c r="L477" s="43">
        <v>4225</v>
      </c>
      <c r="M477" s="43">
        <v>4239</v>
      </c>
      <c r="N477" s="43">
        <v>4239</v>
      </c>
      <c r="O477" s="21" t="s">
        <v>3850</v>
      </c>
      <c r="P477" s="194">
        <v>1</v>
      </c>
      <c r="Q477" s="21">
        <v>1</v>
      </c>
      <c r="R477" s="39" t="str">
        <f t="shared" si="103"/>
        <v>-</v>
      </c>
      <c r="S477" s="120">
        <f t="shared" si="104"/>
        <v>243089</v>
      </c>
      <c r="T477" s="123">
        <v>641829</v>
      </c>
      <c r="U477" s="123">
        <v>268272</v>
      </c>
      <c r="V477" s="123">
        <f t="shared" si="88"/>
        <v>373557</v>
      </c>
      <c r="W477" s="122" t="str">
        <f t="shared" si="85"/>
        <v>1</v>
      </c>
      <c r="X477" s="123">
        <f>Y477+2843+46165+11627+229704</f>
        <v>398740</v>
      </c>
      <c r="Y477" s="123">
        <f>AD477+1315+27050</f>
        <v>108401</v>
      </c>
      <c r="Z477" s="123">
        <f t="shared" si="89"/>
        <v>290339</v>
      </c>
      <c r="AA477" s="122" t="str">
        <f t="shared" si="86"/>
        <v>1</v>
      </c>
      <c r="AB477" s="120">
        <f t="shared" si="95"/>
        <v>80036</v>
      </c>
      <c r="AC477" s="123">
        <v>0</v>
      </c>
      <c r="AD477" s="123">
        <v>80036</v>
      </c>
      <c r="AG477" s="151">
        <f t="shared" si="99"/>
        <v>153925</v>
      </c>
      <c r="AH477" s="123">
        <f>236112-27867-5584-25484-358</f>
        <v>176819</v>
      </c>
      <c r="AL477" s="123">
        <f>22894</f>
        <v>22894</v>
      </c>
      <c r="AM477" s="123">
        <v>493356</v>
      </c>
      <c r="AN477" s="123">
        <v>108812</v>
      </c>
    </row>
    <row r="478" spans="1:40" s="123" customFormat="1" ht="16.2" thickBot="1" x14ac:dyDescent="0.35">
      <c r="A478" s="21">
        <v>66.3</v>
      </c>
      <c r="B478" s="212" t="s">
        <v>302</v>
      </c>
      <c r="C478" s="31" t="str">
        <f>VLOOKUP((CONCATENATE(B478)),ID!$A$2:$D$305,3,0)</f>
        <v>RL066</v>
      </c>
      <c r="D478" s="21">
        <v>0</v>
      </c>
      <c r="E478" s="21" t="s">
        <v>4057</v>
      </c>
      <c r="F478" s="21" t="s">
        <v>3849</v>
      </c>
      <c r="G478" s="21" t="s">
        <v>3853</v>
      </c>
      <c r="H478" s="94">
        <v>4383</v>
      </c>
      <c r="I478" s="43">
        <v>4395</v>
      </c>
      <c r="J478" s="43">
        <v>4409</v>
      </c>
      <c r="K478" s="21">
        <v>1</v>
      </c>
      <c r="L478" s="43">
        <v>4407</v>
      </c>
      <c r="M478" s="43">
        <v>4421</v>
      </c>
      <c r="N478" s="43">
        <v>4421</v>
      </c>
      <c r="O478" s="21" t="s">
        <v>3850</v>
      </c>
      <c r="P478" s="194">
        <v>1</v>
      </c>
      <c r="Q478" s="21">
        <v>1</v>
      </c>
      <c r="R478" s="39" t="str">
        <f t="shared" si="103"/>
        <v>-</v>
      </c>
      <c r="S478" s="120">
        <f t="shared" si="104"/>
        <v>229602</v>
      </c>
      <c r="T478" s="123">
        <v>607409</v>
      </c>
      <c r="U478" s="123">
        <f>279122</f>
        <v>279122</v>
      </c>
      <c r="V478" s="123">
        <f t="shared" si="88"/>
        <v>328287</v>
      </c>
      <c r="W478" s="122" t="str">
        <f t="shared" si="85"/>
        <v>1</v>
      </c>
      <c r="X478" s="123">
        <f>2749+46195+Y478+17151+221404</f>
        <v>377807</v>
      </c>
      <c r="Y478" s="123">
        <f>28140+1498+60670</f>
        <v>90308</v>
      </c>
      <c r="Z478" s="123">
        <f t="shared" si="89"/>
        <v>287499</v>
      </c>
      <c r="AA478" s="122" t="str">
        <f t="shared" si="86"/>
        <v>1</v>
      </c>
      <c r="AB478" s="120">
        <f t="shared" si="95"/>
        <v>60670</v>
      </c>
      <c r="AC478" s="123">
        <v>0</v>
      </c>
      <c r="AD478" s="123">
        <v>60670</v>
      </c>
      <c r="AE478" s="123">
        <v>8034</v>
      </c>
      <c r="AG478" s="151">
        <f t="shared" si="99"/>
        <v>153194</v>
      </c>
      <c r="AH478" s="123">
        <f>209186-5798-25484-358</f>
        <v>177546</v>
      </c>
      <c r="AL478" s="123">
        <f>182+1276+22894</f>
        <v>24352</v>
      </c>
      <c r="AM478" s="123">
        <v>499450</v>
      </c>
      <c r="AN478" s="123">
        <v>113684</v>
      </c>
    </row>
    <row r="479" spans="1:40" s="123" customFormat="1" ht="16.2" thickBot="1" x14ac:dyDescent="0.35">
      <c r="A479" s="21">
        <v>66.400000000000006</v>
      </c>
      <c r="B479" s="212" t="s">
        <v>302</v>
      </c>
      <c r="C479" s="31" t="str">
        <f>VLOOKUP((CONCATENATE(B479)),ID!$A$2:$D$305,3,0)</f>
        <v>RL066</v>
      </c>
      <c r="D479" s="21">
        <v>0</v>
      </c>
      <c r="E479" s="21" t="s">
        <v>4057</v>
      </c>
      <c r="F479" s="21" t="s">
        <v>3849</v>
      </c>
      <c r="G479" s="21" t="s">
        <v>3853</v>
      </c>
      <c r="H479" s="94">
        <v>4565</v>
      </c>
      <c r="I479" s="43">
        <v>4577</v>
      </c>
      <c r="J479" s="43">
        <v>4591</v>
      </c>
      <c r="K479" s="21">
        <v>1</v>
      </c>
      <c r="L479" s="43">
        <v>4589</v>
      </c>
      <c r="M479" s="43">
        <v>4603</v>
      </c>
      <c r="N479" s="43">
        <v>4603</v>
      </c>
      <c r="O479" s="21" t="s">
        <v>3850</v>
      </c>
      <c r="P479" s="194">
        <v>1</v>
      </c>
      <c r="Q479" s="21">
        <v>1</v>
      </c>
      <c r="R479" s="39" t="str">
        <f t="shared" si="103"/>
        <v>-</v>
      </c>
      <c r="S479" s="120">
        <f t="shared" si="104"/>
        <v>204502</v>
      </c>
      <c r="T479" s="123">
        <v>648846</v>
      </c>
      <c r="U479" s="123">
        <f>309364</f>
        <v>309364</v>
      </c>
      <c r="V479" s="123">
        <f t="shared" si="88"/>
        <v>339482</v>
      </c>
      <c r="W479" s="122" t="str">
        <f t="shared" si="85"/>
        <v>1</v>
      </c>
      <c r="X479" s="123">
        <f>2638+46247+96314+Y479+12930+214860</f>
        <v>444344</v>
      </c>
      <c r="Y479" s="123">
        <f>41717+28140+1498</f>
        <v>71355</v>
      </c>
      <c r="Z479" s="123">
        <f t="shared" si="89"/>
        <v>372989</v>
      </c>
      <c r="AA479" s="122" t="str">
        <f t="shared" si="86"/>
        <v>1</v>
      </c>
      <c r="AB479" s="120">
        <f t="shared" si="95"/>
        <v>41717</v>
      </c>
      <c r="AC479" s="123">
        <v>0</v>
      </c>
      <c r="AD479" s="123">
        <v>41717</v>
      </c>
      <c r="AE479" s="123">
        <v>4253</v>
      </c>
      <c r="AG479" s="151">
        <f t="shared" si="99"/>
        <v>137992</v>
      </c>
      <c r="AH479" s="123">
        <f>192302+1008-25484-358-5390</f>
        <v>162078</v>
      </c>
      <c r="AL479" s="123">
        <f>22894+1192</f>
        <v>24086</v>
      </c>
      <c r="AM479" s="123">
        <v>453909</v>
      </c>
      <c r="AN479" s="123">
        <v>102454</v>
      </c>
    </row>
    <row r="480" spans="1:40" s="123" customFormat="1" ht="16.2" thickBot="1" x14ac:dyDescent="0.35">
      <c r="A480" s="21"/>
      <c r="B480" s="212" t="s">
        <v>302</v>
      </c>
      <c r="C480" s="31" t="str">
        <f>VLOOKUP((CONCATENATE(B480)),ID!$A$2:$D$305,3,0)</f>
        <v>RL066</v>
      </c>
      <c r="D480" s="21">
        <v>0</v>
      </c>
      <c r="E480" s="21" t="s">
        <v>4057</v>
      </c>
      <c r="F480" s="21" t="s">
        <v>3849</v>
      </c>
      <c r="G480" s="21" t="s">
        <v>3853</v>
      </c>
      <c r="H480" s="94">
        <v>4749</v>
      </c>
      <c r="I480" s="43">
        <v>4759</v>
      </c>
      <c r="J480" s="43">
        <v>4773</v>
      </c>
      <c r="K480" s="21">
        <v>1</v>
      </c>
      <c r="L480" s="43">
        <v>4759</v>
      </c>
      <c r="M480" s="43">
        <v>4785</v>
      </c>
      <c r="N480" s="43">
        <v>4785</v>
      </c>
      <c r="O480" s="21" t="s">
        <v>3850</v>
      </c>
      <c r="P480" s="194">
        <v>1</v>
      </c>
      <c r="Q480" s="21">
        <v>1</v>
      </c>
      <c r="R480" s="39" t="str">
        <f t="shared" si="103"/>
        <v>-</v>
      </c>
      <c r="S480" s="120">
        <f t="shared" si="104"/>
        <v>250370</v>
      </c>
      <c r="T480" s="123">
        <v>681773</v>
      </c>
      <c r="U480" s="123">
        <v>339121</v>
      </c>
      <c r="V480" s="123">
        <f>T480-U480</f>
        <v>342652</v>
      </c>
      <c r="W480" s="122" t="str">
        <f>IF(V480+U480=T480,"1","0")</f>
        <v>1</v>
      </c>
      <c r="X480" s="123">
        <f>3653+46205+Y480+11746+216472</f>
        <v>431403</v>
      </c>
      <c r="Y480" s="123">
        <f>AB480+30892+1526</f>
        <v>153327</v>
      </c>
      <c r="Z480" s="123">
        <f>X480-Y480</f>
        <v>278076</v>
      </c>
      <c r="AA480" s="122" t="str">
        <f>IF(Z480+Y480=X480,"1","0")</f>
        <v>1</v>
      </c>
      <c r="AB480" s="120">
        <f t="shared" si="95"/>
        <v>120909</v>
      </c>
      <c r="AC480" s="123">
        <v>64954</v>
      </c>
      <c r="AD480" s="123">
        <v>55955</v>
      </c>
      <c r="AE480" s="123">
        <v>4200</v>
      </c>
      <c r="AG480" s="151">
        <f t="shared" si="99"/>
        <v>184953</v>
      </c>
      <c r="AH480" s="123">
        <f>241321+1073-6564-25484-358</f>
        <v>209988</v>
      </c>
      <c r="AL480" s="123">
        <f>22894+2141</f>
        <v>25035</v>
      </c>
      <c r="AM480" s="123">
        <v>553515</v>
      </c>
      <c r="AN480" s="123">
        <v>120898</v>
      </c>
    </row>
    <row r="481" spans="1:41" s="123" customFormat="1" ht="16.2" thickBot="1" x14ac:dyDescent="0.35">
      <c r="A481" s="21"/>
      <c r="B481" s="212" t="s">
        <v>302</v>
      </c>
      <c r="C481" s="31" t="str">
        <f>VLOOKUP((CONCATENATE(B481)),ID!$A$2:$D$305,3,0)</f>
        <v>RL066</v>
      </c>
      <c r="D481" s="21">
        <v>1</v>
      </c>
      <c r="E481" s="21" t="s">
        <v>4057</v>
      </c>
      <c r="F481" s="21" t="s">
        <v>3849</v>
      </c>
      <c r="G481" s="21" t="s">
        <v>3853</v>
      </c>
      <c r="H481" s="94">
        <v>5114</v>
      </c>
      <c r="I481" s="43">
        <v>5123</v>
      </c>
      <c r="J481" s="43">
        <v>5144</v>
      </c>
      <c r="K481" s="21">
        <v>1</v>
      </c>
      <c r="L481" s="43">
        <v>5151</v>
      </c>
      <c r="M481" s="43">
        <v>5165</v>
      </c>
      <c r="N481" s="43">
        <v>5165</v>
      </c>
      <c r="O481" s="21" t="s">
        <v>3850</v>
      </c>
      <c r="P481" s="194" t="str">
        <f t="shared" si="101"/>
        <v>1</v>
      </c>
      <c r="Q481" s="21">
        <v>1</v>
      </c>
      <c r="R481" s="39" t="str">
        <f t="shared" si="103"/>
        <v>-</v>
      </c>
      <c r="S481" s="120">
        <f t="shared" si="104"/>
        <v>343610</v>
      </c>
      <c r="T481" s="123">
        <v>713901</v>
      </c>
      <c r="U481" s="123">
        <f>489897</f>
        <v>489897</v>
      </c>
      <c r="V481" s="123">
        <f>T481-U481</f>
        <v>224004</v>
      </c>
      <c r="W481" s="122" t="str">
        <f>IF(V481+U481=T481,"1","0")</f>
        <v>1</v>
      </c>
      <c r="X481" s="123">
        <f>18872+65228+11879+46223+2505+Y481</f>
        <v>370291</v>
      </c>
      <c r="Y481" s="123">
        <f>AB481+897+2000+887+276+31236</f>
        <v>225584</v>
      </c>
      <c r="Z481" s="123">
        <f>X481-Y481</f>
        <v>144707</v>
      </c>
      <c r="AA481" s="122" t="str">
        <f>IF(Z481+Y481=X481,"1","0")</f>
        <v>1</v>
      </c>
      <c r="AB481" s="120">
        <f t="shared" si="95"/>
        <v>190288</v>
      </c>
      <c r="AC481" s="123">
        <v>147499</v>
      </c>
      <c r="AD481" s="123">
        <v>42789</v>
      </c>
      <c r="AE481" s="123">
        <v>3646</v>
      </c>
      <c r="AG481" s="151">
        <f t="shared" si="99"/>
        <v>333226</v>
      </c>
      <c r="AH481" s="123">
        <f>451681-12785-410-50968-717</f>
        <v>386801</v>
      </c>
      <c r="AJ481" s="123">
        <v>165904</v>
      </c>
      <c r="AL481" s="123">
        <f>7787+45788</f>
        <v>53575</v>
      </c>
      <c r="AM481" s="123">
        <v>1095424</v>
      </c>
    </row>
    <row r="482" spans="1:41" s="123" customFormat="1" ht="16.2" thickBot="1" x14ac:dyDescent="0.35">
      <c r="A482" s="21"/>
      <c r="B482" s="212" t="s">
        <v>308</v>
      </c>
      <c r="C482" s="31" t="str">
        <f>VLOOKUP((CONCATENATE(B482)),ID!$A$2:$D$305,3,0)</f>
        <v>RL067</v>
      </c>
      <c r="D482" s="21">
        <v>0</v>
      </c>
      <c r="E482" s="21" t="s">
        <v>4057</v>
      </c>
      <c r="F482" s="21" t="s">
        <v>4062</v>
      </c>
      <c r="G482" s="21" t="s">
        <v>3853</v>
      </c>
      <c r="H482" s="94">
        <v>3653</v>
      </c>
      <c r="I482" s="43">
        <v>3736</v>
      </c>
      <c r="J482" s="43">
        <v>3729</v>
      </c>
      <c r="K482" s="21">
        <v>0</v>
      </c>
      <c r="L482" s="43"/>
      <c r="M482" s="43"/>
      <c r="N482" s="43">
        <v>3764</v>
      </c>
      <c r="O482" s="27" t="s">
        <v>3800</v>
      </c>
      <c r="P482" s="194">
        <v>1</v>
      </c>
      <c r="Q482" s="21">
        <v>1</v>
      </c>
      <c r="R482" s="39" t="str">
        <f t="shared" si="103"/>
        <v>-</v>
      </c>
      <c r="S482" s="120">
        <f t="shared" si="104"/>
        <v>4970286</v>
      </c>
      <c r="T482" s="123">
        <v>14876884</v>
      </c>
      <c r="U482" s="123">
        <f>1398905+135036+12032338+27611</f>
        <v>13593890</v>
      </c>
      <c r="V482" s="123">
        <f>T482-U482</f>
        <v>1282994</v>
      </c>
      <c r="W482" s="122" t="str">
        <f>IF(V482+U482=T482,"1","0")</f>
        <v>1</v>
      </c>
      <c r="X482" s="123">
        <f>Y482+159848</f>
        <v>9906598</v>
      </c>
      <c r="Y482" s="123">
        <f>AB482</f>
        <v>9746750</v>
      </c>
      <c r="Z482" s="123">
        <f>X482-Y482</f>
        <v>159848</v>
      </c>
      <c r="AA482" s="122" t="str">
        <f>IF(Z482+Y482=X482,"1","0")</f>
        <v>1</v>
      </c>
      <c r="AB482" s="120">
        <f t="shared" ref="AB482" si="105">SUM(AC482+AD482)</f>
        <v>9746750</v>
      </c>
      <c r="AC482" s="123">
        <v>4928050</v>
      </c>
      <c r="AD482" s="123">
        <f>3818700+1000000</f>
        <v>4818700</v>
      </c>
      <c r="AE482" s="123">
        <v>118348</v>
      </c>
      <c r="AG482" s="151">
        <f t="shared" si="99"/>
        <v>9868</v>
      </c>
      <c r="AH482" s="123">
        <f>465+AL482+9403</f>
        <v>122163</v>
      </c>
      <c r="AL482" s="123">
        <f>8718+36457+67120</f>
        <v>112295</v>
      </c>
      <c r="AM482" s="123">
        <v>128392</v>
      </c>
      <c r="AO482" s="123">
        <v>500000</v>
      </c>
    </row>
    <row r="483" spans="1:41" s="123" customFormat="1" ht="16.2" thickBot="1" x14ac:dyDescent="0.35">
      <c r="A483" s="21"/>
      <c r="B483" s="212" t="s">
        <v>308</v>
      </c>
      <c r="C483" s="31" t="str">
        <f>VLOOKUP((CONCATENATE(B483)),ID!$A$2:$D$305,3,0)</f>
        <v>RL067</v>
      </c>
      <c r="D483" s="21">
        <v>0</v>
      </c>
      <c r="E483" s="21" t="s">
        <v>4057</v>
      </c>
      <c r="F483" s="21" t="s">
        <v>4062</v>
      </c>
      <c r="G483" s="21" t="s">
        <v>3853</v>
      </c>
      <c r="H483" s="94">
        <v>3834</v>
      </c>
      <c r="I483" s="43">
        <v>3878</v>
      </c>
      <c r="J483" s="43">
        <v>3877</v>
      </c>
      <c r="K483" s="21">
        <v>0</v>
      </c>
      <c r="L483" s="43"/>
      <c r="M483" s="43"/>
      <c r="N483" s="43">
        <v>3917</v>
      </c>
      <c r="O483" s="27" t="s">
        <v>3800</v>
      </c>
      <c r="P483" s="194">
        <v>1</v>
      </c>
      <c r="Q483" s="21">
        <v>1</v>
      </c>
      <c r="R483" s="39" t="str">
        <f t="shared" si="103"/>
        <v>-</v>
      </c>
      <c r="S483" s="120">
        <f t="shared" si="104"/>
        <v>5084279</v>
      </c>
      <c r="T483" s="123">
        <v>14913674</v>
      </c>
      <c r="U483" s="123">
        <f>1452661+148024+1003+12033786</f>
        <v>13635474</v>
      </c>
      <c r="V483" s="123">
        <f>T483-U483</f>
        <v>1278200</v>
      </c>
      <c r="W483" s="122" t="str">
        <f>IF(V483+U483=T483,"1","0")</f>
        <v>1</v>
      </c>
      <c r="X483" s="123">
        <f>Y483+24640+58005</f>
        <v>9829395</v>
      </c>
      <c r="Y483" s="123">
        <f>AB483</f>
        <v>9746750</v>
      </c>
      <c r="Z483" s="123">
        <f>X483-Y483</f>
        <v>82645</v>
      </c>
      <c r="AA483" s="122" t="str">
        <f>IF(Z483+Y483=X483,"1","0")</f>
        <v>1</v>
      </c>
      <c r="AB483" s="120">
        <f t="shared" si="95"/>
        <v>9746750</v>
      </c>
      <c r="AC483" s="123">
        <v>4928050</v>
      </c>
      <c r="AD483" s="123">
        <f>3818700+1000000</f>
        <v>4818700</v>
      </c>
      <c r="AE483" s="123">
        <v>82966</v>
      </c>
      <c r="AG483" s="151">
        <f t="shared" si="99"/>
        <v>1658</v>
      </c>
      <c r="AH483" s="123">
        <f>315+AL483+1343</f>
        <v>141313</v>
      </c>
      <c r="AL483" s="123">
        <f>20000+26458+67120+26077</f>
        <v>139655</v>
      </c>
      <c r="AM483" s="123">
        <v>147614</v>
      </c>
      <c r="AO483" s="123">
        <v>500000</v>
      </c>
    </row>
    <row r="484" spans="1:41" s="123" customFormat="1" ht="16.2" thickBot="1" x14ac:dyDescent="0.35">
      <c r="A484" s="21">
        <v>67.099999999999994</v>
      </c>
      <c r="B484" s="212" t="s">
        <v>308</v>
      </c>
      <c r="C484" s="31" t="str">
        <f>VLOOKUP((CONCATENATE(B484)),ID!$A$2:$D$305,3,0)</f>
        <v>RL067</v>
      </c>
      <c r="D484" s="21">
        <v>0</v>
      </c>
      <c r="E484" s="21" t="s">
        <v>4057</v>
      </c>
      <c r="F484" s="21" t="s">
        <v>4062</v>
      </c>
      <c r="G484" s="21" t="s">
        <v>3853</v>
      </c>
      <c r="H484" s="94">
        <v>4018</v>
      </c>
      <c r="I484" s="43">
        <v>4069</v>
      </c>
      <c r="J484" s="43">
        <v>4066</v>
      </c>
      <c r="K484" s="21">
        <v>0</v>
      </c>
      <c r="L484" s="21"/>
      <c r="M484" s="21"/>
      <c r="N484" s="43">
        <v>4092</v>
      </c>
      <c r="O484" s="27" t="s">
        <v>3800</v>
      </c>
      <c r="P484" s="194">
        <v>1</v>
      </c>
      <c r="Q484" s="21">
        <v>1</v>
      </c>
      <c r="R484" s="39" t="str">
        <f t="shared" si="103"/>
        <v>-</v>
      </c>
      <c r="S484" s="120">
        <f t="shared" si="104"/>
        <v>5050542</v>
      </c>
      <c r="T484" s="123">
        <v>14981297</v>
      </c>
      <c r="U484" s="123">
        <f>12015635+2020+159998+1478467</f>
        <v>13656120</v>
      </c>
      <c r="V484" s="123">
        <f t="shared" si="88"/>
        <v>1325177</v>
      </c>
      <c r="W484" s="122" t="str">
        <f t="shared" ref="W484:W502" si="106">IF(V484+U484=T484,"1","0")</f>
        <v>1</v>
      </c>
      <c r="X484" s="123">
        <f>159365+24640+1000000+4928050+2818700+1000000</f>
        <v>9930755</v>
      </c>
      <c r="Y484" s="123">
        <f>X484-24640-159365</f>
        <v>9746750</v>
      </c>
      <c r="Z484" s="123">
        <f t="shared" si="89"/>
        <v>184005</v>
      </c>
      <c r="AA484" s="122" t="str">
        <f t="shared" ref="AA484:AA635" si="107">IF(Z484+Y484=X484,"1","0")</f>
        <v>1</v>
      </c>
      <c r="AB484" s="120">
        <f t="shared" si="95"/>
        <v>9746750</v>
      </c>
      <c r="AC484" s="123">
        <v>4928050</v>
      </c>
      <c r="AD484" s="123">
        <v>4818700</v>
      </c>
      <c r="AE484" s="123">
        <v>114664</v>
      </c>
      <c r="AG484" s="151">
        <f>AH484-AL484-AI484</f>
        <v>261</v>
      </c>
      <c r="AH484" s="123">
        <f>146019-4580-242</f>
        <v>141197</v>
      </c>
      <c r="AL484" s="123">
        <f>146019-261-242-4580</f>
        <v>140936</v>
      </c>
      <c r="AM484" s="123">
        <f>146019</f>
        <v>146019</v>
      </c>
      <c r="AO484" s="123">
        <v>500000</v>
      </c>
    </row>
    <row r="485" spans="1:41" s="123" customFormat="1" ht="16.2" thickBot="1" x14ac:dyDescent="0.35">
      <c r="A485" s="21">
        <v>67.2</v>
      </c>
      <c r="B485" s="212" t="s">
        <v>308</v>
      </c>
      <c r="C485" s="31" t="str">
        <f>VLOOKUP((CONCATENATE(B485)),ID!$A$2:$D$305,3,0)</f>
        <v>RL067</v>
      </c>
      <c r="D485" s="21">
        <v>0</v>
      </c>
      <c r="E485" s="21" t="s">
        <v>4057</v>
      </c>
      <c r="F485" s="21" t="s">
        <v>4062</v>
      </c>
      <c r="G485" s="21" t="s">
        <v>3853</v>
      </c>
      <c r="H485" s="94">
        <v>4199</v>
      </c>
      <c r="I485" s="43">
        <v>4260</v>
      </c>
      <c r="J485" s="43">
        <v>4252</v>
      </c>
      <c r="K485" s="21">
        <v>0</v>
      </c>
      <c r="L485" s="21"/>
      <c r="M485" s="21"/>
      <c r="N485" s="43">
        <v>4280</v>
      </c>
      <c r="O485" s="27" t="s">
        <v>3800</v>
      </c>
      <c r="P485" s="194">
        <v>1</v>
      </c>
      <c r="Q485" s="21">
        <v>1</v>
      </c>
      <c r="R485" s="39" t="str">
        <f t="shared" si="103"/>
        <v>-</v>
      </c>
      <c r="S485" s="120">
        <f t="shared" si="104"/>
        <v>5063098</v>
      </c>
      <c r="T485" s="123">
        <v>14982289</v>
      </c>
      <c r="U485" s="123">
        <f>1485898+171524+3051+11991917</f>
        <v>13652390</v>
      </c>
      <c r="V485" s="123">
        <f t="shared" si="88"/>
        <v>1329899</v>
      </c>
      <c r="W485" s="122" t="str">
        <f t="shared" si="106"/>
        <v>1</v>
      </c>
      <c r="X485" s="123">
        <f>36960+135481+1000000+4928050+2818700+1000000</f>
        <v>9919191</v>
      </c>
      <c r="Y485" s="123">
        <f>1000000+4928050+2818700+1000000</f>
        <v>9746750</v>
      </c>
      <c r="Z485" s="123">
        <f t="shared" si="89"/>
        <v>172441</v>
      </c>
      <c r="AA485" s="122" t="str">
        <f t="shared" si="107"/>
        <v>1</v>
      </c>
      <c r="AB485" s="120">
        <f t="shared" si="95"/>
        <v>9746750</v>
      </c>
      <c r="AC485" s="123">
        <v>4928050</v>
      </c>
      <c r="AD485" s="123">
        <v>4818700</v>
      </c>
      <c r="AE485" s="123">
        <v>106824</v>
      </c>
      <c r="AG485" s="151">
        <f t="shared" si="99"/>
        <v>249</v>
      </c>
      <c r="AH485" s="123">
        <f>158536-3390-881-870</f>
        <v>153395</v>
      </c>
      <c r="AL485" s="123">
        <f>20000+26548+67349+39249</f>
        <v>153146</v>
      </c>
      <c r="AM485" s="123">
        <v>158536</v>
      </c>
      <c r="AO485" s="123">
        <v>500000</v>
      </c>
    </row>
    <row r="486" spans="1:41" s="123" customFormat="1" ht="16.2" thickBot="1" x14ac:dyDescent="0.35">
      <c r="A486" s="21">
        <v>67.3</v>
      </c>
      <c r="B486" s="212" t="s">
        <v>308</v>
      </c>
      <c r="C486" s="31" t="str">
        <f>VLOOKUP((CONCATENATE(B486)),ID!$A$2:$D$305,3,0)</f>
        <v>RL067</v>
      </c>
      <c r="D486" s="21">
        <v>0</v>
      </c>
      <c r="E486" s="21" t="s">
        <v>4057</v>
      </c>
      <c r="F486" s="21" t="s">
        <v>4062</v>
      </c>
      <c r="G486" s="21" t="s">
        <v>3853</v>
      </c>
      <c r="H486" s="94">
        <v>4383</v>
      </c>
      <c r="I486" s="43">
        <v>4421</v>
      </c>
      <c r="J486" s="43">
        <v>4415</v>
      </c>
      <c r="K486" s="21">
        <v>0</v>
      </c>
      <c r="L486" s="21"/>
      <c r="M486" s="21"/>
      <c r="N486" s="43">
        <v>4436</v>
      </c>
      <c r="O486" s="27" t="s">
        <v>3800</v>
      </c>
      <c r="P486" s="194">
        <v>1</v>
      </c>
      <c r="Q486" s="21">
        <v>1</v>
      </c>
      <c r="R486" s="39" t="str">
        <f t="shared" si="103"/>
        <v>-</v>
      </c>
      <c r="S486" s="120">
        <f t="shared" si="104"/>
        <v>5066387</v>
      </c>
      <c r="T486" s="123">
        <v>13991140</v>
      </c>
      <c r="U486" s="123">
        <f>1489083+174772+3090+10988685</f>
        <v>12655630</v>
      </c>
      <c r="V486" s="123">
        <f t="shared" si="88"/>
        <v>1335510</v>
      </c>
      <c r="W486" s="122" t="str">
        <f t="shared" si="106"/>
        <v>1</v>
      </c>
      <c r="X486" s="123">
        <f>49280+128723+1000000+2818700+4928050</f>
        <v>8924753</v>
      </c>
      <c r="Y486" s="123">
        <f>5928050+2818700</f>
        <v>8746750</v>
      </c>
      <c r="Z486" s="123">
        <f t="shared" si="89"/>
        <v>178003</v>
      </c>
      <c r="AA486" s="122" t="str">
        <f t="shared" si="107"/>
        <v>1</v>
      </c>
      <c r="AB486" s="120">
        <f t="shared" si="95"/>
        <v>8746750</v>
      </c>
      <c r="AC486" s="123">
        <v>4928050</v>
      </c>
      <c r="AD486" s="123">
        <v>3818700</v>
      </c>
      <c r="AE486" s="123">
        <v>95416</v>
      </c>
      <c r="AG486" s="151">
        <f t="shared" si="99"/>
        <v>1684</v>
      </c>
      <c r="AH486" s="123">
        <f>156548-3280-618-870</f>
        <v>151780</v>
      </c>
      <c r="AL486" s="123">
        <f>52333+67349+10414+20000</f>
        <v>150096</v>
      </c>
      <c r="AM486" s="123">
        <v>156548</v>
      </c>
      <c r="AO486" s="123">
        <v>500000</v>
      </c>
    </row>
    <row r="487" spans="1:41" s="123" customFormat="1" ht="16.2" thickBot="1" x14ac:dyDescent="0.35">
      <c r="A487" s="21">
        <v>67.400000000000006</v>
      </c>
      <c r="B487" s="212" t="s">
        <v>308</v>
      </c>
      <c r="C487" s="31" t="str">
        <f>VLOOKUP((CONCATENATE(B487)),ID!$A$2:$D$305,3,0)</f>
        <v>RL067</v>
      </c>
      <c r="D487" s="21">
        <v>0</v>
      </c>
      <c r="E487" s="21" t="s">
        <v>4057</v>
      </c>
      <c r="F487" s="21" t="s">
        <v>4062</v>
      </c>
      <c r="G487" s="21" t="s">
        <v>3853</v>
      </c>
      <c r="H487" s="94">
        <v>4565</v>
      </c>
      <c r="I487" s="43">
        <v>4605</v>
      </c>
      <c r="J487" s="43">
        <v>4597</v>
      </c>
      <c r="K487" s="21">
        <v>0</v>
      </c>
      <c r="L487" s="21"/>
      <c r="M487" s="21"/>
      <c r="N487" s="43">
        <v>4646</v>
      </c>
      <c r="O487" s="27" t="s">
        <v>3800</v>
      </c>
      <c r="P487" s="194">
        <v>1</v>
      </c>
      <c r="Q487" s="21">
        <v>1</v>
      </c>
      <c r="R487" s="39" t="str">
        <f t="shared" si="103"/>
        <v>-</v>
      </c>
      <c r="S487" s="120">
        <f t="shared" si="104"/>
        <v>5051516</v>
      </c>
      <c r="T487" s="123">
        <v>14432546</v>
      </c>
      <c r="U487" s="123">
        <f>13518642</f>
        <v>13518642</v>
      </c>
      <c r="V487" s="123">
        <f t="shared" si="88"/>
        <v>913904</v>
      </c>
      <c r="W487" s="122" t="str">
        <f t="shared" si="106"/>
        <v>1</v>
      </c>
      <c r="X487" s="123">
        <f>122200+35459+201359+6110031+1181981+1730000</f>
        <v>9381030</v>
      </c>
      <c r="Y487" s="123">
        <f>1730000+1181981+6110081</f>
        <v>9022062</v>
      </c>
      <c r="Z487" s="123">
        <f t="shared" si="89"/>
        <v>358968</v>
      </c>
      <c r="AA487" s="122" t="str">
        <f t="shared" si="107"/>
        <v>1</v>
      </c>
      <c r="AB487" s="120">
        <f t="shared" si="95"/>
        <v>9022062</v>
      </c>
      <c r="AC487" s="123">
        <v>0</v>
      </c>
      <c r="AD487" s="123">
        <f>1730000+1181981+6110081</f>
        <v>9022062</v>
      </c>
      <c r="AE487" s="123">
        <v>241911</v>
      </c>
      <c r="AG487" s="151">
        <f t="shared" si="99"/>
        <v>2678</v>
      </c>
      <c r="AH487" s="123">
        <f>215714-3902-459-2110</f>
        <v>209243</v>
      </c>
      <c r="AL487" s="123">
        <f>129770+35459+41336</f>
        <v>206565</v>
      </c>
      <c r="AM487" s="123">
        <v>215714</v>
      </c>
      <c r="AO487" s="123">
        <v>500000</v>
      </c>
    </row>
    <row r="488" spans="1:41" s="123" customFormat="1" ht="16.2" thickBot="1" x14ac:dyDescent="0.35">
      <c r="A488" s="21"/>
      <c r="B488" s="212" t="s">
        <v>308</v>
      </c>
      <c r="C488" s="31" t="str">
        <f>VLOOKUP((CONCATENATE(B488)),ID!$A$2:$D$305,3,0)</f>
        <v>RL067</v>
      </c>
      <c r="D488" s="21">
        <v>0</v>
      </c>
      <c r="E488" s="21" t="s">
        <v>4057</v>
      </c>
      <c r="F488" s="21" t="s">
        <v>4062</v>
      </c>
      <c r="G488" s="21" t="s">
        <v>3853</v>
      </c>
      <c r="H488" s="94">
        <v>4749</v>
      </c>
      <c r="I488" s="43">
        <v>4780</v>
      </c>
      <c r="J488" s="43">
        <v>4785</v>
      </c>
      <c r="K488" s="21">
        <v>0</v>
      </c>
      <c r="L488" s="21"/>
      <c r="M488" s="21"/>
      <c r="N488" s="43">
        <v>4804</v>
      </c>
      <c r="O488" s="27" t="s">
        <v>3800</v>
      </c>
      <c r="P488" s="194">
        <v>1</v>
      </c>
      <c r="Q488" s="21">
        <v>1</v>
      </c>
      <c r="R488" s="39" t="str">
        <f t="shared" si="103"/>
        <v>-</v>
      </c>
      <c r="S488" s="120">
        <f t="shared" si="104"/>
        <v>5060521</v>
      </c>
      <c r="T488" s="123">
        <v>14605490</v>
      </c>
      <c r="U488" s="123">
        <f>13502622+474000+30774</f>
        <v>14007396</v>
      </c>
      <c r="V488" s="123">
        <f>T488-U488</f>
        <v>598094</v>
      </c>
      <c r="W488" s="122" t="str">
        <f>IF(V488+U488=T488,"1","0")</f>
        <v>1</v>
      </c>
      <c r="X488" s="123">
        <f>Y488+172245+38190+195484</f>
        <v>9544969</v>
      </c>
      <c r="Y488" s="123">
        <f>AB488</f>
        <v>9139050</v>
      </c>
      <c r="Z488" s="123">
        <f>X488-Y488</f>
        <v>405919</v>
      </c>
      <c r="AA488" s="122" t="str">
        <f>IF(Z488+Y488=X488,"1","0")</f>
        <v>1</v>
      </c>
      <c r="AB488" s="120">
        <f>SUM(AC488+AD488)</f>
        <v>9139050</v>
      </c>
      <c r="AC488" s="123">
        <v>0</v>
      </c>
      <c r="AD488" s="123">
        <f>1730000+1273000+6136050</f>
        <v>9139050</v>
      </c>
      <c r="AE488" s="123">
        <v>220015</v>
      </c>
      <c r="AG488" s="151">
        <f>AH488-AL488-AI488</f>
        <v>2996</v>
      </c>
      <c r="AH488" s="123">
        <f>281895-3889</f>
        <v>278006</v>
      </c>
      <c r="AL488" s="123">
        <f>195484+38190+41336</f>
        <v>275010</v>
      </c>
      <c r="AM488" s="123">
        <v>281895</v>
      </c>
      <c r="AO488" s="123">
        <v>500000</v>
      </c>
    </row>
    <row r="489" spans="1:41" s="123" customFormat="1" ht="16.2" thickBot="1" x14ac:dyDescent="0.35">
      <c r="A489" s="21"/>
      <c r="B489" s="212" t="s">
        <v>308</v>
      </c>
      <c r="C489" s="31" t="str">
        <f>VLOOKUP((CONCATENATE(B489)),ID!$A$2:$D$305,3,0)</f>
        <v>RL067</v>
      </c>
      <c r="D489" s="21">
        <v>1</v>
      </c>
      <c r="E489" s="21" t="s">
        <v>4057</v>
      </c>
      <c r="F489" s="21" t="s">
        <v>4062</v>
      </c>
      <c r="G489" s="21" t="s">
        <v>3853</v>
      </c>
      <c r="H489" s="94">
        <v>5114</v>
      </c>
      <c r="I489" s="43">
        <v>4799</v>
      </c>
      <c r="J489" s="43">
        <v>4799</v>
      </c>
      <c r="K489" s="21">
        <v>0</v>
      </c>
      <c r="L489" s="21"/>
      <c r="M489" s="21"/>
      <c r="N489" s="43">
        <v>4813</v>
      </c>
      <c r="O489" s="27" t="s">
        <v>3800</v>
      </c>
      <c r="P489" s="194">
        <v>1</v>
      </c>
      <c r="Q489" s="21">
        <v>1</v>
      </c>
      <c r="R489" s="39" t="str">
        <f t="shared" si="103"/>
        <v>-</v>
      </c>
      <c r="S489" s="120">
        <f t="shared" si="104"/>
        <v>5102697</v>
      </c>
      <c r="T489" s="123">
        <v>14859118</v>
      </c>
      <c r="U489" s="123">
        <f>18800+13593696</f>
        <v>13612496</v>
      </c>
      <c r="V489" s="123">
        <f>T489-U489</f>
        <v>1246622</v>
      </c>
      <c r="W489" s="122" t="str">
        <f t="shared" si="106"/>
        <v>1</v>
      </c>
      <c r="X489" s="123">
        <f>T489-5000000-57528-45169</f>
        <v>9756421</v>
      </c>
      <c r="Y489" s="123">
        <f>AD489</f>
        <v>9220050</v>
      </c>
      <c r="Z489" s="123">
        <f>X489-Y489</f>
        <v>536371</v>
      </c>
      <c r="AA489" s="122" t="str">
        <f t="shared" si="107"/>
        <v>1</v>
      </c>
      <c r="AB489" s="120">
        <f>SUM(AC489+AD489)</f>
        <v>9220050</v>
      </c>
      <c r="AC489" s="123">
        <v>0</v>
      </c>
      <c r="AD489" s="123">
        <f>1278000+1806000+6136050</f>
        <v>9220050</v>
      </c>
      <c r="AE489" s="123">
        <v>165786</v>
      </c>
      <c r="AG489" s="151">
        <f t="shared" si="99"/>
        <v>42173</v>
      </c>
      <c r="AH489" s="123">
        <f>629816-8974</f>
        <v>620842</v>
      </c>
      <c r="AL489" s="123">
        <f>632812-45169-8974</f>
        <v>578669</v>
      </c>
      <c r="AM489" s="123">
        <v>629816</v>
      </c>
      <c r="AO489" s="123">
        <v>500000</v>
      </c>
    </row>
    <row r="490" spans="1:41" s="123" customFormat="1" ht="16.2" thickBot="1" x14ac:dyDescent="0.35">
      <c r="A490" s="21"/>
      <c r="B490" s="212" t="s">
        <v>316</v>
      </c>
      <c r="C490" s="31" t="str">
        <f>VLOOKUP((CONCATENATE(B490)),ID!$A$2:$D$305,3,0)</f>
        <v>RL068</v>
      </c>
      <c r="D490" s="21">
        <v>1</v>
      </c>
      <c r="E490" s="21" t="s">
        <v>4057</v>
      </c>
      <c r="F490" s="21" t="s">
        <v>1117</v>
      </c>
      <c r="G490" s="21" t="s">
        <v>3801</v>
      </c>
      <c r="H490" s="94">
        <v>3834</v>
      </c>
      <c r="I490" s="43">
        <v>3934</v>
      </c>
      <c r="J490" s="43">
        <v>3932</v>
      </c>
      <c r="K490" s="21">
        <v>1</v>
      </c>
      <c r="L490" s="43">
        <v>3931</v>
      </c>
      <c r="M490" s="43">
        <v>3943</v>
      </c>
      <c r="N490" s="43">
        <v>3943</v>
      </c>
      <c r="O490" s="27" t="s">
        <v>3800</v>
      </c>
      <c r="P490" s="194" t="str">
        <f t="shared" si="101"/>
        <v>1</v>
      </c>
      <c r="Q490" s="21">
        <v>1</v>
      </c>
      <c r="R490" s="39" t="str">
        <f t="shared" si="103"/>
        <v>-</v>
      </c>
      <c r="S490" s="120">
        <f>T490-X490</f>
        <v>3261270</v>
      </c>
      <c r="T490" s="123">
        <v>3525417</v>
      </c>
      <c r="U490" s="123">
        <f>81657+1773342+24865+617911+55766+152200</f>
        <v>2705741</v>
      </c>
      <c r="V490" s="123">
        <f>T490-U490</f>
        <v>819676</v>
      </c>
      <c r="W490" s="122" t="str">
        <f t="shared" si="106"/>
        <v>1</v>
      </c>
      <c r="X490" s="123">
        <f>139686+124461</f>
        <v>264147</v>
      </c>
      <c r="Y490" s="123">
        <f>AB490</f>
        <v>139686</v>
      </c>
      <c r="Z490" s="123">
        <f>X490-Y490</f>
        <v>124461</v>
      </c>
      <c r="AA490" s="122" t="str">
        <f t="shared" si="107"/>
        <v>1</v>
      </c>
      <c r="AB490" s="120">
        <f>SUM(AC490+AD490)</f>
        <v>139686</v>
      </c>
      <c r="AC490" s="123">
        <v>0</v>
      </c>
      <c r="AD490" s="123">
        <v>139686</v>
      </c>
      <c r="AE490" s="123">
        <v>222434</v>
      </c>
      <c r="AG490" s="151">
        <f>AH490-AL490-AI490</f>
        <v>343816</v>
      </c>
      <c r="AH490" s="123">
        <f>659849-17000-197-3065-4725</f>
        <v>634862</v>
      </c>
      <c r="AI490" s="123">
        <v>8000</v>
      </c>
      <c r="AJ490" s="123">
        <f>38500</f>
        <v>38500</v>
      </c>
      <c r="AL490" s="123">
        <f>19000+71295+141205+51546</f>
        <v>283046</v>
      </c>
      <c r="AM490" s="123">
        <v>1250203</v>
      </c>
      <c r="AN490" s="123">
        <v>328811</v>
      </c>
    </row>
    <row r="491" spans="1:41" s="123" customFormat="1" ht="16.2" thickBot="1" x14ac:dyDescent="0.35">
      <c r="A491" s="21">
        <v>68.099999999999994</v>
      </c>
      <c r="B491" s="212" t="s">
        <v>316</v>
      </c>
      <c r="C491" s="31" t="str">
        <f>VLOOKUP((CONCATENATE(B491)),ID!$A$2:$D$305,3,0)</f>
        <v>RL068</v>
      </c>
      <c r="D491" s="21">
        <v>1</v>
      </c>
      <c r="E491" s="21" t="s">
        <v>4057</v>
      </c>
      <c r="F491" s="21" t="s">
        <v>1117</v>
      </c>
      <c r="G491" s="21" t="s">
        <v>3801</v>
      </c>
      <c r="H491" s="94">
        <v>4199</v>
      </c>
      <c r="I491" s="43">
        <v>4303</v>
      </c>
      <c r="J491" s="43">
        <v>4296</v>
      </c>
      <c r="K491" s="21">
        <v>1</v>
      </c>
      <c r="L491" s="43">
        <v>4300</v>
      </c>
      <c r="M491" s="43">
        <v>4311</v>
      </c>
      <c r="N491" s="43">
        <v>4311</v>
      </c>
      <c r="O491" s="27" t="s">
        <v>3800</v>
      </c>
      <c r="P491" s="194" t="str">
        <f t="shared" si="101"/>
        <v>1</v>
      </c>
      <c r="Q491" s="21">
        <v>1</v>
      </c>
      <c r="R491" s="39" t="str">
        <f t="shared" si="103"/>
        <v>-</v>
      </c>
      <c r="S491" s="120">
        <f t="shared" si="104"/>
        <v>4829119</v>
      </c>
      <c r="T491" s="123">
        <v>5122214</v>
      </c>
      <c r="U491" s="123">
        <f>91657+1773858+1834706+24882+618121</f>
        <v>4343224</v>
      </c>
      <c r="V491" s="123">
        <f t="shared" si="88"/>
        <v>778990</v>
      </c>
      <c r="W491" s="122" t="str">
        <f t="shared" si="106"/>
        <v>1</v>
      </c>
      <c r="X491" s="123">
        <f>125423+137760+29912</f>
        <v>293095</v>
      </c>
      <c r="Y491" s="123">
        <f>AB491</f>
        <v>137760</v>
      </c>
      <c r="Z491" s="123">
        <f t="shared" si="89"/>
        <v>155335</v>
      </c>
      <c r="AA491" s="122" t="str">
        <f t="shared" si="107"/>
        <v>1</v>
      </c>
      <c r="AB491" s="120">
        <f t="shared" si="95"/>
        <v>137760</v>
      </c>
      <c r="AC491" s="123">
        <v>0</v>
      </c>
      <c r="AD491" s="123">
        <v>137760</v>
      </c>
      <c r="AE491" s="123">
        <f>26094</f>
        <v>26094</v>
      </c>
      <c r="AG491" s="151">
        <f t="shared" si="99"/>
        <v>264187</v>
      </c>
      <c r="AH491" s="123">
        <f>579990-4856-111-4725-3065</f>
        <v>567233</v>
      </c>
      <c r="AI491" s="123">
        <f>20000</f>
        <v>20000</v>
      </c>
      <c r="AJ491" s="123">
        <v>38500</v>
      </c>
      <c r="AL491" s="123">
        <f>19000+71295+141205+51546</f>
        <v>283046</v>
      </c>
      <c r="AM491" s="123">
        <v>1224775</v>
      </c>
      <c r="AN491" s="123">
        <v>376060</v>
      </c>
    </row>
    <row r="492" spans="1:41" s="123" customFormat="1" ht="16.2" thickBot="1" x14ac:dyDescent="0.35">
      <c r="A492" s="21">
        <v>68.2</v>
      </c>
      <c r="B492" s="212" t="s">
        <v>316</v>
      </c>
      <c r="C492" s="31" t="str">
        <f>VLOOKUP((CONCATENATE(B492)),ID!$A$2:$D$305,3,0)</f>
        <v>RL068</v>
      </c>
      <c r="D492" s="21">
        <v>1</v>
      </c>
      <c r="E492" s="21" t="s">
        <v>4057</v>
      </c>
      <c r="F492" s="21" t="s">
        <v>1117</v>
      </c>
      <c r="G492" s="21" t="s">
        <v>3801</v>
      </c>
      <c r="H492" s="94">
        <v>4565</v>
      </c>
      <c r="I492" s="43">
        <v>4667</v>
      </c>
      <c r="J492" s="43">
        <v>4664</v>
      </c>
      <c r="K492" s="21">
        <v>1</v>
      </c>
      <c r="L492" s="43">
        <v>4664</v>
      </c>
      <c r="M492" s="43">
        <v>4675</v>
      </c>
      <c r="N492" s="43">
        <v>4675</v>
      </c>
      <c r="O492" s="27" t="s">
        <v>3800</v>
      </c>
      <c r="P492" s="194" t="str">
        <f t="shared" si="101"/>
        <v>1</v>
      </c>
      <c r="Q492" s="21">
        <v>1</v>
      </c>
      <c r="R492" s="39" t="str">
        <f t="shared" si="103"/>
        <v>-</v>
      </c>
      <c r="S492" s="120">
        <f t="shared" si="104"/>
        <v>6429985</v>
      </c>
      <c r="T492" s="123">
        <v>6867408</v>
      </c>
      <c r="U492" s="123">
        <f>101657+1773858+21384+24897+3786252</f>
        <v>5708048</v>
      </c>
      <c r="V492" s="123">
        <f t="shared" si="88"/>
        <v>1159360</v>
      </c>
      <c r="W492" s="122" t="str">
        <f t="shared" si="106"/>
        <v>1</v>
      </c>
      <c r="X492" s="123">
        <f>233805+138015+65603</f>
        <v>437423</v>
      </c>
      <c r="Y492" s="123">
        <f>AB492</f>
        <v>138015</v>
      </c>
      <c r="Z492" s="123">
        <f t="shared" si="89"/>
        <v>299408</v>
      </c>
      <c r="AA492" s="122" t="str">
        <f t="shared" si="107"/>
        <v>1</v>
      </c>
      <c r="AB492" s="120">
        <f t="shared" si="95"/>
        <v>138015</v>
      </c>
      <c r="AC492" s="123">
        <v>0</v>
      </c>
      <c r="AD492" s="123">
        <v>138015</v>
      </c>
      <c r="AE492" s="123">
        <f>230985</f>
        <v>230985</v>
      </c>
      <c r="AG492" s="151">
        <f t="shared" si="99"/>
        <v>514868</v>
      </c>
      <c r="AH492" s="123">
        <f>887932-3042-116-4019-4725</f>
        <v>876030</v>
      </c>
      <c r="AI492" s="123">
        <f>4569+29000</f>
        <v>33569</v>
      </c>
      <c r="AJ492" s="123">
        <v>114027</v>
      </c>
      <c r="AL492" s="123">
        <f>19000+71295+141205+51546+44547</f>
        <v>327593</v>
      </c>
      <c r="AM492" s="123">
        <v>1422097</v>
      </c>
      <c r="AN492" s="123">
        <v>392587</v>
      </c>
    </row>
    <row r="493" spans="1:41" s="123" customFormat="1" ht="16.2" thickBot="1" x14ac:dyDescent="0.35">
      <c r="A493" s="21"/>
      <c r="B493" s="212" t="s">
        <v>316</v>
      </c>
      <c r="C493" s="31" t="str">
        <f>VLOOKUP((CONCATENATE(B493)),ID!$A$2:$D$305,3,0)</f>
        <v>RL068</v>
      </c>
      <c r="D493" s="21">
        <v>1</v>
      </c>
      <c r="E493" s="21" t="s">
        <v>4057</v>
      </c>
      <c r="F493" s="21" t="s">
        <v>1117</v>
      </c>
      <c r="G493" s="21" t="s">
        <v>3801</v>
      </c>
      <c r="H493" s="94">
        <v>4930</v>
      </c>
      <c r="I493" s="43">
        <v>5033</v>
      </c>
      <c r="J493" s="43">
        <v>5031</v>
      </c>
      <c r="K493" s="21">
        <v>1</v>
      </c>
      <c r="L493" s="43">
        <v>5028</v>
      </c>
      <c r="M493" s="43">
        <v>5044</v>
      </c>
      <c r="N493" s="43">
        <v>5044</v>
      </c>
      <c r="O493" s="27" t="s">
        <v>3800</v>
      </c>
      <c r="P493" s="194" t="str">
        <f t="shared" si="101"/>
        <v>1</v>
      </c>
      <c r="Q493" s="21">
        <v>1</v>
      </c>
      <c r="R493" s="39" t="str">
        <f t="shared" si="103"/>
        <v>-</v>
      </c>
      <c r="S493" s="120">
        <f t="shared" si="104"/>
        <v>6452727</v>
      </c>
      <c r="T493" s="123">
        <v>6995614</v>
      </c>
      <c r="U493" s="123">
        <f>111657+1774889+21384+24906+3870321</f>
        <v>5803157</v>
      </c>
      <c r="V493" s="123">
        <f t="shared" si="88"/>
        <v>1192457</v>
      </c>
      <c r="W493" s="122" t="str">
        <f t="shared" si="106"/>
        <v>1</v>
      </c>
      <c r="X493" s="123">
        <f>337754+137805+67328</f>
        <v>542887</v>
      </c>
      <c r="Y493" s="123">
        <f>AB493</f>
        <v>137805</v>
      </c>
      <c r="Z493" s="123">
        <f t="shared" si="89"/>
        <v>405082</v>
      </c>
      <c r="AA493" s="122" t="str">
        <f t="shared" si="107"/>
        <v>1</v>
      </c>
      <c r="AB493" s="120">
        <f t="shared" si="95"/>
        <v>137805</v>
      </c>
      <c r="AC493" s="123">
        <v>0</v>
      </c>
      <c r="AD493" s="123">
        <v>137805</v>
      </c>
      <c r="AE493" s="123">
        <v>166239</v>
      </c>
      <c r="AG493" s="151">
        <f t="shared" si="99"/>
        <v>620562</v>
      </c>
      <c r="AH493" s="123">
        <f>1004658-35618-206-4355-4725</f>
        <v>959754</v>
      </c>
      <c r="AI493" s="123">
        <v>11569</v>
      </c>
      <c r="AJ493" s="123">
        <v>114109</v>
      </c>
      <c r="AL493" s="123">
        <f>19000+71295+141205+51546+44577</f>
        <v>327623</v>
      </c>
      <c r="AM493" s="123">
        <v>1635250</v>
      </c>
      <c r="AN493" s="123">
        <v>444089</v>
      </c>
    </row>
    <row r="494" spans="1:41" s="123" customFormat="1" ht="16.2" thickBot="1" x14ac:dyDescent="0.35">
      <c r="A494" s="21"/>
      <c r="B494" s="212" t="s">
        <v>316</v>
      </c>
      <c r="C494" s="31" t="str">
        <f>VLOOKUP((CONCATENATE(B494)),ID!$A$2:$D$305,3,0)</f>
        <v>RL068</v>
      </c>
      <c r="D494" s="21">
        <v>1</v>
      </c>
      <c r="E494" s="21" t="s">
        <v>4057</v>
      </c>
      <c r="F494" s="21" t="s">
        <v>1117</v>
      </c>
      <c r="G494" s="21" t="s">
        <v>3801</v>
      </c>
      <c r="H494" s="94">
        <v>5295</v>
      </c>
      <c r="I494" s="43">
        <v>5422</v>
      </c>
      <c r="J494" s="43">
        <v>5417</v>
      </c>
      <c r="K494" s="21">
        <v>1</v>
      </c>
      <c r="L494" s="43">
        <v>5420</v>
      </c>
      <c r="M494" s="43">
        <v>5444</v>
      </c>
      <c r="N494" s="43">
        <v>5429</v>
      </c>
      <c r="O494" s="27" t="s">
        <v>3800</v>
      </c>
      <c r="P494" s="194" t="str">
        <f t="shared" si="101"/>
        <v>1</v>
      </c>
      <c r="Q494" s="21">
        <v>1</v>
      </c>
      <c r="R494" s="39" t="str">
        <f t="shared" si="103"/>
        <v>-</v>
      </c>
      <c r="S494" s="120">
        <f t="shared" si="104"/>
        <v>7472518</v>
      </c>
      <c r="T494" s="123">
        <v>8021734</v>
      </c>
      <c r="U494" s="123">
        <f>121657+1776094+21384+24924+49694+5086707</f>
        <v>7080460</v>
      </c>
      <c r="V494" s="123">
        <f t="shared" si="88"/>
        <v>941274</v>
      </c>
      <c r="W494" s="122" t="str">
        <f t="shared" si="106"/>
        <v>1</v>
      </c>
      <c r="X494" s="123">
        <f>333790+137052+78374</f>
        <v>549216</v>
      </c>
      <c r="Y494" s="123">
        <f>AB494</f>
        <v>137052</v>
      </c>
      <c r="Z494" s="123">
        <f t="shared" si="89"/>
        <v>412164</v>
      </c>
      <c r="AA494" s="122" t="str">
        <f t="shared" si="107"/>
        <v>1</v>
      </c>
      <c r="AB494" s="120">
        <f t="shared" si="95"/>
        <v>137052</v>
      </c>
      <c r="AC494" s="123">
        <v>0</v>
      </c>
      <c r="AD494" s="123">
        <v>137052</v>
      </c>
      <c r="AE494" s="123">
        <v>69359</v>
      </c>
      <c r="AG494" s="151">
        <f t="shared" si="99"/>
        <v>592657</v>
      </c>
      <c r="AH494" s="123">
        <f>974664-35000-202-4528-4725</f>
        <v>930209</v>
      </c>
      <c r="AI494" s="123">
        <v>10000</v>
      </c>
      <c r="AJ494" s="123">
        <v>126766</v>
      </c>
      <c r="AL494" s="123">
        <f>19000+71295+141205+51546+44506</f>
        <v>327552</v>
      </c>
      <c r="AM494" s="123">
        <v>1621864</v>
      </c>
      <c r="AN494" s="123">
        <v>437072</v>
      </c>
    </row>
    <row r="495" spans="1:41" s="123" customFormat="1" ht="16.2" thickBot="1" x14ac:dyDescent="0.35">
      <c r="A495" s="21"/>
      <c r="B495" s="212" t="s">
        <v>326</v>
      </c>
      <c r="C495" s="31" t="str">
        <f>VLOOKUP((CONCATENATE(B495)),ID!$A$2:$D$305,3,0)</f>
        <v>RL069</v>
      </c>
      <c r="D495" s="21">
        <v>1</v>
      </c>
      <c r="E495" s="21" t="s">
        <v>4057</v>
      </c>
      <c r="F495" s="21" t="s">
        <v>1117</v>
      </c>
      <c r="G495" s="21" t="s">
        <v>3801</v>
      </c>
      <c r="H495" s="94">
        <v>3834</v>
      </c>
      <c r="I495" s="43">
        <v>3932</v>
      </c>
      <c r="J495" s="43">
        <v>3932</v>
      </c>
      <c r="K495" s="21">
        <v>1</v>
      </c>
      <c r="L495" s="43">
        <v>3939</v>
      </c>
      <c r="M495" s="43">
        <v>3946</v>
      </c>
      <c r="N495" s="43">
        <v>3940</v>
      </c>
      <c r="O495" s="27" t="s">
        <v>3800</v>
      </c>
      <c r="P495" s="194" t="str">
        <f t="shared" si="101"/>
        <v>1</v>
      </c>
      <c r="Q495" s="21">
        <v>1</v>
      </c>
      <c r="R495" s="39" t="str">
        <f t="shared" si="103"/>
        <v>-</v>
      </c>
      <c r="S495" s="120">
        <f t="shared" si="104"/>
        <v>110817</v>
      </c>
      <c r="T495" s="123">
        <v>143905</v>
      </c>
      <c r="U495" s="123">
        <v>53058</v>
      </c>
      <c r="V495" s="123">
        <f t="shared" si="88"/>
        <v>90847</v>
      </c>
      <c r="W495" s="122" t="str">
        <f t="shared" si="106"/>
        <v>1</v>
      </c>
      <c r="X495" s="123">
        <f>24724+5826+Y495</f>
        <v>33088</v>
      </c>
      <c r="Y495" s="123">
        <v>2538</v>
      </c>
      <c r="Z495" s="123">
        <f t="shared" si="89"/>
        <v>30550</v>
      </c>
      <c r="AA495" s="122" t="str">
        <f t="shared" si="107"/>
        <v>1</v>
      </c>
      <c r="AB495" s="120">
        <f t="shared" si="95"/>
        <v>0</v>
      </c>
      <c r="AC495" s="123">
        <v>0</v>
      </c>
      <c r="AD495" s="123">
        <v>0</v>
      </c>
      <c r="AE495" s="123">
        <v>14955</v>
      </c>
      <c r="AG495" s="151">
        <f t="shared" si="99"/>
        <v>74068</v>
      </c>
      <c r="AH495" s="123">
        <f>112007-13650-552</f>
        <v>97805</v>
      </c>
      <c r="AJ495" s="123">
        <v>33000</v>
      </c>
      <c r="AL495" s="123">
        <v>23737</v>
      </c>
      <c r="AM495" s="123">
        <v>250846</v>
      </c>
      <c r="AN495" s="123">
        <v>85246</v>
      </c>
    </row>
    <row r="496" spans="1:41" s="123" customFormat="1" ht="16.2" thickBot="1" x14ac:dyDescent="0.35">
      <c r="A496" s="21">
        <v>69.099999999999994</v>
      </c>
      <c r="B496" s="212" t="s">
        <v>326</v>
      </c>
      <c r="C496" s="31" t="str">
        <f>VLOOKUP((CONCATENATE(B496)),ID!$A$2:$D$305,3,0)</f>
        <v>RL069</v>
      </c>
      <c r="D496" s="21">
        <v>1</v>
      </c>
      <c r="E496" s="21" t="s">
        <v>4057</v>
      </c>
      <c r="F496" s="21" t="s">
        <v>1117</v>
      </c>
      <c r="G496" s="21" t="s">
        <v>3801</v>
      </c>
      <c r="H496" s="94">
        <v>4199</v>
      </c>
      <c r="I496" s="43">
        <v>4303</v>
      </c>
      <c r="J496" s="43">
        <v>4298</v>
      </c>
      <c r="K496" s="21">
        <v>1</v>
      </c>
      <c r="L496" s="43">
        <v>4311</v>
      </c>
      <c r="M496" s="43">
        <v>4317</v>
      </c>
      <c r="N496" s="43">
        <v>4311</v>
      </c>
      <c r="O496" s="27" t="s">
        <v>3800</v>
      </c>
      <c r="P496" s="194" t="str">
        <f t="shared" si="101"/>
        <v>1</v>
      </c>
      <c r="Q496" s="21">
        <v>1</v>
      </c>
      <c r="R496" s="39" t="str">
        <f t="shared" si="103"/>
        <v>-</v>
      </c>
      <c r="S496" s="120">
        <f t="shared" si="104"/>
        <v>130360</v>
      </c>
      <c r="T496" s="123">
        <v>169347</v>
      </c>
      <c r="U496" s="123">
        <v>82837</v>
      </c>
      <c r="V496" s="123">
        <f t="shared" si="88"/>
        <v>86510</v>
      </c>
      <c r="W496" s="122" t="str">
        <f t="shared" si="106"/>
        <v>1</v>
      </c>
      <c r="X496" s="123">
        <f>5826+30171+Y496</f>
        <v>38987</v>
      </c>
      <c r="Y496" s="123">
        <v>2990</v>
      </c>
      <c r="Z496" s="123">
        <f t="shared" si="89"/>
        <v>35997</v>
      </c>
      <c r="AA496" s="122" t="str">
        <f t="shared" si="107"/>
        <v>1</v>
      </c>
      <c r="AB496" s="120">
        <f t="shared" si="95"/>
        <v>0</v>
      </c>
      <c r="AC496" s="123">
        <v>0</v>
      </c>
      <c r="AD496" s="123">
        <v>0</v>
      </c>
      <c r="AE496" s="123">
        <v>5832</v>
      </c>
      <c r="AG496" s="151">
        <f t="shared" si="99"/>
        <v>96962</v>
      </c>
      <c r="AH496" s="134">
        <f>117602-269+4379</f>
        <v>121712</v>
      </c>
      <c r="AJ496" s="123">
        <v>33000</v>
      </c>
      <c r="AL496" s="123">
        <f>24750</f>
        <v>24750</v>
      </c>
      <c r="AM496" s="123">
        <v>263333</v>
      </c>
      <c r="AN496" s="123">
        <v>92895</v>
      </c>
    </row>
    <row r="497" spans="1:41" s="123" customFormat="1" ht="16.2" thickBot="1" x14ac:dyDescent="0.35">
      <c r="A497" s="21">
        <v>69.2</v>
      </c>
      <c r="B497" s="212" t="s">
        <v>326</v>
      </c>
      <c r="C497" s="31" t="str">
        <f>VLOOKUP((CONCATENATE(B497)),ID!$A$2:$D$305,3,0)</f>
        <v>RL069</v>
      </c>
      <c r="D497" s="21">
        <v>1</v>
      </c>
      <c r="E497" s="21" t="s">
        <v>4057</v>
      </c>
      <c r="F497" s="21" t="s">
        <v>1117</v>
      </c>
      <c r="G497" s="21" t="s">
        <v>3801</v>
      </c>
      <c r="H497" s="94">
        <v>4565</v>
      </c>
      <c r="I497" s="43">
        <v>4667</v>
      </c>
      <c r="J497" s="43">
        <v>4664</v>
      </c>
      <c r="K497" s="21">
        <v>1</v>
      </c>
      <c r="L497" s="43">
        <v>4664</v>
      </c>
      <c r="M497" s="43">
        <v>4675</v>
      </c>
      <c r="N497" s="43">
        <v>4675</v>
      </c>
      <c r="O497" s="27" t="s">
        <v>3800</v>
      </c>
      <c r="P497" s="194" t="str">
        <f t="shared" si="101"/>
        <v>1</v>
      </c>
      <c r="Q497" s="21">
        <v>1</v>
      </c>
      <c r="R497" s="39" t="str">
        <f t="shared" si="103"/>
        <v>-</v>
      </c>
      <c r="S497" s="120">
        <f t="shared" si="104"/>
        <v>155480</v>
      </c>
      <c r="T497" s="123">
        <v>202378</v>
      </c>
      <c r="U497" s="123">
        <f>56671+2227</f>
        <v>58898</v>
      </c>
      <c r="V497" s="123">
        <f t="shared" si="88"/>
        <v>143480</v>
      </c>
      <c r="W497" s="122" t="str">
        <f t="shared" si="106"/>
        <v>1</v>
      </c>
      <c r="X497" s="123">
        <f>29531+6250+7601+Y497</f>
        <v>46898</v>
      </c>
      <c r="Y497" s="123">
        <v>3516</v>
      </c>
      <c r="Z497" s="123">
        <f t="shared" si="89"/>
        <v>43382</v>
      </c>
      <c r="AA497" s="122" t="str">
        <f t="shared" si="107"/>
        <v>1</v>
      </c>
      <c r="AB497" s="120">
        <f t="shared" si="95"/>
        <v>0</v>
      </c>
      <c r="AC497" s="123">
        <v>0</v>
      </c>
      <c r="AD497" s="123">
        <v>0</v>
      </c>
      <c r="AE497" s="123">
        <v>18360</v>
      </c>
      <c r="AG497" s="151">
        <f t="shared" si="99"/>
        <v>97319</v>
      </c>
      <c r="AH497" s="123">
        <f>123777+687-550-45</f>
        <v>123869</v>
      </c>
      <c r="AJ497" s="123">
        <v>27500</v>
      </c>
      <c r="AL497" s="123">
        <f>26550</f>
        <v>26550</v>
      </c>
      <c r="AM497" s="123">
        <v>267001</v>
      </c>
      <c r="AN497" s="123">
        <v>87689</v>
      </c>
    </row>
    <row r="498" spans="1:41" s="123" customFormat="1" ht="16.2" thickBot="1" x14ac:dyDescent="0.35">
      <c r="A498" s="21"/>
      <c r="B498" s="212" t="s">
        <v>326</v>
      </c>
      <c r="C498" s="31" t="str">
        <f>VLOOKUP((CONCATENATE(B498)),ID!$A$2:$D$305,3,0)</f>
        <v>RL069</v>
      </c>
      <c r="D498" s="21">
        <v>1</v>
      </c>
      <c r="E498" s="21" t="s">
        <v>4057</v>
      </c>
      <c r="F498" s="21" t="s">
        <v>1117</v>
      </c>
      <c r="G498" s="21" t="s">
        <v>3801</v>
      </c>
      <c r="H498" s="94">
        <v>4930</v>
      </c>
      <c r="I498" s="43">
        <v>5036</v>
      </c>
      <c r="J498" s="43">
        <v>5032</v>
      </c>
      <c r="K498" s="21">
        <v>1</v>
      </c>
      <c r="L498" s="43">
        <v>5044</v>
      </c>
      <c r="M498" s="43">
        <v>5028</v>
      </c>
      <c r="N498" s="43">
        <v>5044</v>
      </c>
      <c r="O498" s="27" t="s">
        <v>3800</v>
      </c>
      <c r="P498" s="194">
        <v>1</v>
      </c>
      <c r="Q498" s="21">
        <v>1</v>
      </c>
      <c r="R498" s="39" t="str">
        <f t="shared" si="103"/>
        <v>-</v>
      </c>
      <c r="S498" s="120">
        <f t="shared" si="104"/>
        <v>207478</v>
      </c>
      <c r="T498" s="123">
        <v>255014</v>
      </c>
      <c r="U498" s="123">
        <v>84683</v>
      </c>
      <c r="V498" s="123">
        <f t="shared" si="88"/>
        <v>170331</v>
      </c>
      <c r="W498" s="122" t="str">
        <f t="shared" si="106"/>
        <v>1</v>
      </c>
      <c r="X498" s="123">
        <f>6250+37581+Y498</f>
        <v>47536</v>
      </c>
      <c r="Y498" s="123">
        <v>3705</v>
      </c>
      <c r="Z498" s="123">
        <f t="shared" si="89"/>
        <v>43831</v>
      </c>
      <c r="AA498" s="122" t="str">
        <f t="shared" si="107"/>
        <v>1</v>
      </c>
      <c r="AB498" s="120">
        <f t="shared" si="95"/>
        <v>0</v>
      </c>
      <c r="AC498" s="123">
        <v>0</v>
      </c>
      <c r="AD498" s="123">
        <v>0</v>
      </c>
      <c r="AE498" s="123">
        <v>17418</v>
      </c>
      <c r="AG498" s="151">
        <f t="shared" si="99"/>
        <v>99842</v>
      </c>
      <c r="AH498" s="123">
        <f>143272-16328-552</f>
        <v>126392</v>
      </c>
      <c r="AJ498" s="123">
        <v>0</v>
      </c>
      <c r="AL498" s="123">
        <v>26550</v>
      </c>
      <c r="AM498" s="123">
        <v>291465</v>
      </c>
      <c r="AN498" s="123">
        <v>89210</v>
      </c>
    </row>
    <row r="499" spans="1:41" s="123" customFormat="1" ht="16.2" thickBot="1" x14ac:dyDescent="0.35">
      <c r="A499" s="21"/>
      <c r="B499" s="212" t="s">
        <v>326</v>
      </c>
      <c r="C499" s="31" t="str">
        <f>VLOOKUP((CONCATENATE(B499)),ID!$A$2:$D$305,3,0)</f>
        <v>RL069</v>
      </c>
      <c r="D499" s="21">
        <v>1</v>
      </c>
      <c r="E499" s="21" t="s">
        <v>4057</v>
      </c>
      <c r="F499" s="21" t="s">
        <v>1117</v>
      </c>
      <c r="G499" s="21" t="s">
        <v>3801</v>
      </c>
      <c r="H499" s="94">
        <v>5295</v>
      </c>
      <c r="I499" s="43">
        <v>5422</v>
      </c>
      <c r="J499" s="43">
        <v>5417</v>
      </c>
      <c r="K499" s="21">
        <v>1</v>
      </c>
      <c r="L499" s="43">
        <v>5416</v>
      </c>
      <c r="M499" s="43">
        <v>5429</v>
      </c>
      <c r="N499" s="43">
        <v>5429</v>
      </c>
      <c r="O499" s="27" t="s">
        <v>3800</v>
      </c>
      <c r="P499" s="194">
        <v>1</v>
      </c>
      <c r="Q499" s="21">
        <v>1</v>
      </c>
      <c r="R499" s="39" t="str">
        <f t="shared" si="103"/>
        <v>-</v>
      </c>
      <c r="S499" s="120">
        <f t="shared" si="104"/>
        <v>197832</v>
      </c>
      <c r="T499" s="123">
        <v>264595</v>
      </c>
      <c r="U499" s="123">
        <v>142105</v>
      </c>
      <c r="V499" s="123">
        <f t="shared" si="88"/>
        <v>122490</v>
      </c>
      <c r="W499" s="122" t="str">
        <f t="shared" si="106"/>
        <v>1</v>
      </c>
      <c r="X499" s="123">
        <f>28124+7561+6250+Y499</f>
        <v>66763</v>
      </c>
      <c r="Y499" s="123">
        <f>AB499+3828</f>
        <v>24828</v>
      </c>
      <c r="Z499" s="123">
        <f t="shared" si="89"/>
        <v>41935</v>
      </c>
      <c r="AA499" s="122" t="str">
        <f t="shared" si="107"/>
        <v>1</v>
      </c>
      <c r="AB499" s="120">
        <f t="shared" si="95"/>
        <v>21000</v>
      </c>
      <c r="AC499" s="123">
        <v>21000</v>
      </c>
      <c r="AD499" s="123">
        <v>0</v>
      </c>
      <c r="AE499" s="123">
        <v>4646</v>
      </c>
      <c r="AG499" s="151">
        <f t="shared" si="99"/>
        <v>86868</v>
      </c>
      <c r="AH499" s="123">
        <f>131473-16703-552</f>
        <v>114218</v>
      </c>
      <c r="AI499" s="123">
        <f>800</f>
        <v>800</v>
      </c>
      <c r="AJ499" s="123">
        <v>0</v>
      </c>
      <c r="AL499" s="123">
        <v>26550</v>
      </c>
      <c r="AM499" s="123">
        <v>297959</v>
      </c>
      <c r="AN499" s="123">
        <v>88064</v>
      </c>
    </row>
    <row r="500" spans="1:41" s="123" customFormat="1" ht="16.2" thickBot="1" x14ac:dyDescent="0.35">
      <c r="A500" s="21"/>
      <c r="B500" s="212" t="s">
        <v>330</v>
      </c>
      <c r="C500" s="31" t="str">
        <f>VLOOKUP((CONCATENATE(B500)),ID!$A$2:$D$305,3,0)</f>
        <v>RL070</v>
      </c>
      <c r="D500" s="21">
        <v>1</v>
      </c>
      <c r="E500" s="21" t="s">
        <v>4057</v>
      </c>
      <c r="F500" s="21" t="s">
        <v>1117</v>
      </c>
      <c r="G500" s="21" t="s">
        <v>3777</v>
      </c>
      <c r="H500" s="88">
        <v>3834</v>
      </c>
      <c r="I500" s="43">
        <v>3958</v>
      </c>
      <c r="J500" s="43">
        <v>3958</v>
      </c>
      <c r="K500" s="21">
        <v>0</v>
      </c>
      <c r="L500" s="43"/>
      <c r="M500" s="43"/>
      <c r="N500" s="43">
        <v>3971</v>
      </c>
      <c r="O500" s="21" t="s">
        <v>3851</v>
      </c>
      <c r="P500" s="194" t="str">
        <f t="shared" si="101"/>
        <v>1</v>
      </c>
      <c r="Q500" s="21">
        <v>1</v>
      </c>
      <c r="R500" s="39" t="str">
        <f t="shared" si="103"/>
        <v>-</v>
      </c>
      <c r="S500" s="120">
        <f t="shared" si="104"/>
        <v>2331879</v>
      </c>
      <c r="T500" s="123">
        <v>2601663</v>
      </c>
      <c r="U500" s="123">
        <f>2374011+157012</f>
        <v>2531023</v>
      </c>
      <c r="V500" s="123">
        <f t="shared" si="88"/>
        <v>70640</v>
      </c>
      <c r="W500" s="122" t="str">
        <f t="shared" si="106"/>
        <v>1</v>
      </c>
      <c r="X500" s="123">
        <f>255555+14229</f>
        <v>269784</v>
      </c>
      <c r="Y500" s="123">
        <v>255555</v>
      </c>
      <c r="Z500" s="123">
        <f t="shared" si="89"/>
        <v>14229</v>
      </c>
      <c r="AA500" s="122" t="str">
        <f t="shared" si="107"/>
        <v>1</v>
      </c>
      <c r="AB500" s="120">
        <f t="shared" si="95"/>
        <v>255555</v>
      </c>
      <c r="AC500" s="123">
        <v>0</v>
      </c>
      <c r="AD500" s="123">
        <v>255555</v>
      </c>
      <c r="AE500" s="123">
        <v>494</v>
      </c>
      <c r="AG500" s="151">
        <f t="shared" si="99"/>
        <v>40896</v>
      </c>
      <c r="AH500" s="123">
        <f>102630-2210-2736-331-78-477</f>
        <v>96798</v>
      </c>
      <c r="AI500" s="123">
        <v>3234</v>
      </c>
      <c r="AJ500" s="123">
        <v>27500</v>
      </c>
      <c r="AL500" s="123">
        <f>37335+15333</f>
        <v>52668</v>
      </c>
      <c r="AM500" s="123">
        <v>102630</v>
      </c>
      <c r="AO500" s="123">
        <v>137500</v>
      </c>
    </row>
    <row r="501" spans="1:41" s="123" customFormat="1" ht="16.2" thickBot="1" x14ac:dyDescent="0.35">
      <c r="A501" s="21">
        <v>70.099999999999994</v>
      </c>
      <c r="B501" s="212" t="s">
        <v>330</v>
      </c>
      <c r="C501" s="31" t="str">
        <f>VLOOKUP((CONCATENATE(B501)),ID!$A$2:$D$305,3,0)</f>
        <v>RL070</v>
      </c>
      <c r="D501" s="21">
        <v>1</v>
      </c>
      <c r="E501" s="21" t="s">
        <v>4057</v>
      </c>
      <c r="F501" s="21" t="s">
        <v>1117</v>
      </c>
      <c r="G501" s="21" t="s">
        <v>3777</v>
      </c>
      <c r="H501" s="88">
        <v>4199</v>
      </c>
      <c r="I501" s="43">
        <v>4360</v>
      </c>
      <c r="J501" s="43">
        <v>4359</v>
      </c>
      <c r="K501" s="21">
        <v>0</v>
      </c>
      <c r="L501" s="21"/>
      <c r="M501" s="21"/>
      <c r="N501" s="43">
        <v>4371</v>
      </c>
      <c r="O501" s="21" t="s">
        <v>3851</v>
      </c>
      <c r="P501" s="194" t="str">
        <f t="shared" si="101"/>
        <v>?</v>
      </c>
      <c r="Q501" s="21">
        <v>1</v>
      </c>
      <c r="R501" s="39" t="str">
        <f t="shared" si="103"/>
        <v>-</v>
      </c>
      <c r="S501" s="120">
        <f t="shared" si="104"/>
        <v>1707238</v>
      </c>
      <c r="T501" s="123">
        <v>2622745</v>
      </c>
      <c r="U501" s="123">
        <f>2374011+183202</f>
        <v>2557213</v>
      </c>
      <c r="V501" s="123">
        <f t="shared" si="88"/>
        <v>65532</v>
      </c>
      <c r="W501" s="122" t="str">
        <f t="shared" si="106"/>
        <v>1</v>
      </c>
      <c r="X501" s="123">
        <f>21469+255500+630511+8027</f>
        <v>915507</v>
      </c>
      <c r="Y501" s="123">
        <f>630511+255500</f>
        <v>886011</v>
      </c>
      <c r="Z501" s="123">
        <f t="shared" si="89"/>
        <v>29496</v>
      </c>
      <c r="AA501" s="122" t="str">
        <f t="shared" si="107"/>
        <v>1</v>
      </c>
      <c r="AB501" s="120">
        <f t="shared" si="95"/>
        <v>886011</v>
      </c>
      <c r="AC501" s="123">
        <v>0</v>
      </c>
      <c r="AD501" s="123">
        <f>630511+255500</f>
        <v>886011</v>
      </c>
      <c r="AE501" s="123">
        <v>1417</v>
      </c>
      <c r="AG501" s="159">
        <f t="shared" si="99"/>
        <v>0</v>
      </c>
      <c r="AH501" s="136"/>
      <c r="AI501" s="136"/>
      <c r="AJ501" s="136"/>
      <c r="AK501" s="136"/>
      <c r="AL501" s="136"/>
      <c r="AO501" s="123">
        <v>137500</v>
      </c>
    </row>
    <row r="502" spans="1:41" s="123" customFormat="1" ht="16.2" thickBot="1" x14ac:dyDescent="0.35">
      <c r="A502" s="21">
        <v>70.2</v>
      </c>
      <c r="B502" s="212" t="s">
        <v>330</v>
      </c>
      <c r="C502" s="31" t="str">
        <f>VLOOKUP((CONCATENATE(B502)),ID!$A$2:$D$305,3,0)</f>
        <v>RL070</v>
      </c>
      <c r="D502" s="21">
        <v>1</v>
      </c>
      <c r="E502" s="21" t="s">
        <v>4057</v>
      </c>
      <c r="F502" s="21" t="s">
        <v>1117</v>
      </c>
      <c r="G502" s="21" t="s">
        <v>3777</v>
      </c>
      <c r="H502" s="88">
        <v>4565</v>
      </c>
      <c r="I502" s="43">
        <v>4688</v>
      </c>
      <c r="J502" s="43">
        <v>4688</v>
      </c>
      <c r="K502" s="21">
        <v>0</v>
      </c>
      <c r="L502" s="21"/>
      <c r="M502" s="21"/>
      <c r="N502" s="43">
        <v>4701</v>
      </c>
      <c r="O502" s="21" t="s">
        <v>3851</v>
      </c>
      <c r="P502" s="194" t="str">
        <f t="shared" si="101"/>
        <v>1</v>
      </c>
      <c r="Q502" s="21">
        <v>1</v>
      </c>
      <c r="R502" s="39" t="str">
        <f t="shared" si="103"/>
        <v>-</v>
      </c>
      <c r="S502" s="120">
        <f t="shared" si="104"/>
        <v>2367612</v>
      </c>
      <c r="T502" s="123">
        <v>2642221</v>
      </c>
      <c r="U502" s="123">
        <f>2374011+210819</f>
        <v>2584830</v>
      </c>
      <c r="V502" s="123">
        <f t="shared" si="88"/>
        <v>57391</v>
      </c>
      <c r="W502" s="122" t="str">
        <f t="shared" si="106"/>
        <v>1</v>
      </c>
      <c r="X502" s="123">
        <f>255500+19109</f>
        <v>274609</v>
      </c>
      <c r="Y502" s="123">
        <v>255500</v>
      </c>
      <c r="Z502" s="123">
        <f t="shared" si="89"/>
        <v>19109</v>
      </c>
      <c r="AA502" s="122" t="str">
        <f t="shared" si="107"/>
        <v>1</v>
      </c>
      <c r="AB502" s="120">
        <f t="shared" si="95"/>
        <v>255500</v>
      </c>
      <c r="AC502" s="123">
        <v>0</v>
      </c>
      <c r="AD502" s="123">
        <v>255500</v>
      </c>
      <c r="AE502" s="123">
        <v>880</v>
      </c>
      <c r="AG502" s="151">
        <f t="shared" si="99"/>
        <v>25894</v>
      </c>
      <c r="AH502" s="123">
        <f>87181-491-1502-78-2798-2210</f>
        <v>80102</v>
      </c>
      <c r="AI502" s="123">
        <v>1543</v>
      </c>
      <c r="AJ502" s="123">
        <v>13750</v>
      </c>
      <c r="AL502" s="123">
        <f>37335+15330</f>
        <v>52665</v>
      </c>
      <c r="AM502" s="123">
        <v>87131</v>
      </c>
      <c r="AO502" s="123">
        <v>137500</v>
      </c>
    </row>
    <row r="503" spans="1:41" s="123" customFormat="1" ht="16.2" thickBot="1" x14ac:dyDescent="0.35">
      <c r="A503" s="21"/>
      <c r="B503" s="212" t="s">
        <v>330</v>
      </c>
      <c r="C503" s="31" t="str">
        <f>VLOOKUP((CONCATENATE(B503)),ID!$A$2:$D$305,3,0)</f>
        <v>RL070</v>
      </c>
      <c r="D503" s="21">
        <v>1</v>
      </c>
      <c r="E503" s="21" t="s">
        <v>4057</v>
      </c>
      <c r="F503" s="21" t="s">
        <v>1117</v>
      </c>
      <c r="G503" s="21" t="s">
        <v>3777</v>
      </c>
      <c r="H503" s="88">
        <v>4930</v>
      </c>
      <c r="I503" s="43">
        <v>5085</v>
      </c>
      <c r="J503" s="43">
        <v>5085</v>
      </c>
      <c r="K503" s="21">
        <v>0</v>
      </c>
      <c r="L503" s="21"/>
      <c r="M503" s="21"/>
      <c r="N503" s="43">
        <v>5099</v>
      </c>
      <c r="O503" s="21" t="s">
        <v>3851</v>
      </c>
      <c r="P503" s="194" t="str">
        <f t="shared" si="101"/>
        <v>1</v>
      </c>
      <c r="Q503" s="21">
        <v>1</v>
      </c>
      <c r="R503" s="39" t="str">
        <f t="shared" si="103"/>
        <v>-</v>
      </c>
      <c r="S503" s="120">
        <f t="shared" si="104"/>
        <v>2406078</v>
      </c>
      <c r="T503" s="123">
        <v>2666997</v>
      </c>
      <c r="U503" s="123">
        <f>2374011+239984</f>
        <v>2613995</v>
      </c>
      <c r="V503" s="123">
        <f>T503-U503</f>
        <v>53002</v>
      </c>
      <c r="W503" s="122" t="str">
        <f>IF(V503+U503=T503,"1","0")</f>
        <v>1</v>
      </c>
      <c r="X503" s="123">
        <f>5419+255500</f>
        <v>260919</v>
      </c>
      <c r="Y503" s="123">
        <v>255500</v>
      </c>
      <c r="Z503" s="123">
        <f t="shared" si="89"/>
        <v>5419</v>
      </c>
      <c r="AA503" s="122" t="str">
        <f t="shared" si="107"/>
        <v>1</v>
      </c>
      <c r="AB503" s="120">
        <f t="shared" si="95"/>
        <v>255500</v>
      </c>
      <c r="AC503" s="123">
        <v>0</v>
      </c>
      <c r="AD503" s="123">
        <f>Y503</f>
        <v>255500</v>
      </c>
      <c r="AE503" s="123">
        <v>858</v>
      </c>
      <c r="AG503" s="151">
        <f t="shared" ref="AG503:AG566" si="108">AH503-AL503-AI503</f>
        <v>141995</v>
      </c>
      <c r="AH503" s="123">
        <f>100977+AI503+AL503+41018</f>
        <v>195176</v>
      </c>
      <c r="AI503" s="123">
        <v>516</v>
      </c>
      <c r="AJ503" s="123">
        <v>13750</v>
      </c>
      <c r="AL503" s="123">
        <f>37335+15330</f>
        <v>52665</v>
      </c>
      <c r="AM503" s="123">
        <v>100977</v>
      </c>
    </row>
    <row r="504" spans="1:41" s="123" customFormat="1" ht="16.2" thickBot="1" x14ac:dyDescent="0.35">
      <c r="A504" s="21"/>
      <c r="B504" s="212" t="s">
        <v>330</v>
      </c>
      <c r="C504" s="31" t="str">
        <f>VLOOKUP((CONCATENATE(B504)),ID!$A$2:$D$305,3,0)</f>
        <v>RL070</v>
      </c>
      <c r="D504" s="21">
        <v>1</v>
      </c>
      <c r="E504" s="21" t="s">
        <v>4057</v>
      </c>
      <c r="F504" s="21" t="s">
        <v>1117</v>
      </c>
      <c r="G504" s="21" t="s">
        <v>3777</v>
      </c>
      <c r="H504" s="88">
        <v>5295</v>
      </c>
      <c r="I504" s="43">
        <v>5455</v>
      </c>
      <c r="J504" s="43">
        <v>5455</v>
      </c>
      <c r="K504" s="21">
        <v>0</v>
      </c>
      <c r="L504" s="21"/>
      <c r="M504" s="21"/>
      <c r="N504" s="43">
        <v>5466</v>
      </c>
      <c r="O504" s="21" t="s">
        <v>3851</v>
      </c>
      <c r="P504" s="194">
        <v>1</v>
      </c>
      <c r="Q504" s="21">
        <v>1</v>
      </c>
      <c r="R504" s="39" t="str">
        <f t="shared" si="103"/>
        <v>-</v>
      </c>
      <c r="S504" s="120">
        <f t="shared" si="104"/>
        <v>1661116</v>
      </c>
      <c r="T504" s="123">
        <v>2769143</v>
      </c>
      <c r="U504" s="123">
        <f>2374011+256759</f>
        <v>2630770</v>
      </c>
      <c r="V504" s="123">
        <f>T504-U504</f>
        <v>138373</v>
      </c>
      <c r="W504" s="122" t="str">
        <f>IF(V504+U504=T504,"1","0")</f>
        <v>1</v>
      </c>
      <c r="X504" s="123">
        <f>746702+255500+70000+5825+30000</f>
        <v>1108027</v>
      </c>
      <c r="Y504" s="123">
        <f>746702+255500</f>
        <v>1002202</v>
      </c>
      <c r="Z504" s="123">
        <f>X504-Y504</f>
        <v>105825</v>
      </c>
      <c r="AA504" s="122" t="str">
        <f>IF(Z504+Y504=X504,"1","0")</f>
        <v>1</v>
      </c>
      <c r="AB504" s="120">
        <f t="shared" si="95"/>
        <v>1032202</v>
      </c>
      <c r="AC504" s="123">
        <v>0</v>
      </c>
      <c r="AD504" s="123">
        <f>30000+Y504</f>
        <v>1032202</v>
      </c>
      <c r="AE504" s="123">
        <v>2885</v>
      </c>
      <c r="AG504" s="151">
        <f t="shared" si="108"/>
        <v>5</v>
      </c>
      <c r="AH504" s="123">
        <f>64434-2210-2711-92-78-763-1500-287</f>
        <v>56793</v>
      </c>
      <c r="AI504" s="123">
        <v>2119</v>
      </c>
      <c r="AL504" s="123">
        <f>37335+15330+739+1265</f>
        <v>54669</v>
      </c>
      <c r="AM504" s="123">
        <f>64434-10186</f>
        <v>54248</v>
      </c>
    </row>
    <row r="505" spans="1:41" s="123" customFormat="1" ht="16.2" thickBot="1" x14ac:dyDescent="0.35">
      <c r="A505" s="21"/>
      <c r="B505" s="212" t="s">
        <v>4</v>
      </c>
      <c r="C505" s="31" t="str">
        <f>VLOOKUP((CONCATENATE(B505)),ID!$A$2:$D$305,3,0)</f>
        <v>IN001</v>
      </c>
      <c r="D505" s="21">
        <v>1</v>
      </c>
      <c r="E505" s="21" t="s">
        <v>341</v>
      </c>
      <c r="F505" s="21" t="s">
        <v>1117</v>
      </c>
      <c r="G505" s="21" t="s">
        <v>3853</v>
      </c>
      <c r="H505" s="88">
        <v>3653</v>
      </c>
      <c r="I505" s="43">
        <v>3742</v>
      </c>
      <c r="J505" s="43">
        <v>3730</v>
      </c>
      <c r="K505" s="21">
        <v>0</v>
      </c>
      <c r="L505" s="21"/>
      <c r="M505" s="21"/>
      <c r="N505" s="43">
        <v>3763</v>
      </c>
      <c r="O505" s="21" t="s">
        <v>3852</v>
      </c>
      <c r="P505" s="194" t="str">
        <f t="shared" si="101"/>
        <v>1</v>
      </c>
      <c r="Q505" s="21">
        <v>1</v>
      </c>
      <c r="R505" s="39" t="str">
        <f t="shared" si="103"/>
        <v>-</v>
      </c>
      <c r="S505" s="120">
        <f t="shared" si="104"/>
        <v>17418617</v>
      </c>
      <c r="T505" s="123">
        <v>17776947</v>
      </c>
      <c r="U505" s="123">
        <f>T505-366681-32425-21628-182420-16870-67231-95512</f>
        <v>16994180</v>
      </c>
      <c r="V505" s="123">
        <f t="shared" si="88"/>
        <v>782767</v>
      </c>
      <c r="W505" s="122" t="str">
        <f t="shared" ref="W505:W568" si="109">IF(V505+U505=T505,"1","0")</f>
        <v>1</v>
      </c>
      <c r="X505" s="123">
        <f>T505-17418617</f>
        <v>358330</v>
      </c>
      <c r="AA505" s="122" t="str">
        <f t="shared" si="107"/>
        <v>0</v>
      </c>
      <c r="AB505" s="120">
        <f t="shared" si="95"/>
        <v>0</v>
      </c>
      <c r="AC505" s="123">
        <v>0</v>
      </c>
      <c r="AD505" s="123">
        <v>0</v>
      </c>
      <c r="AE505" s="123">
        <f>67231+95512</f>
        <v>162743</v>
      </c>
      <c r="AG505" s="151">
        <f t="shared" si="108"/>
        <v>464658</v>
      </c>
      <c r="AH505" s="123">
        <f>1026394-557103</f>
        <v>469291</v>
      </c>
      <c r="AI505" s="123">
        <v>4633</v>
      </c>
      <c r="AJ505" s="123">
        <v>350000</v>
      </c>
      <c r="AO505" s="123">
        <f>250000+450000</f>
        <v>700000</v>
      </c>
    </row>
    <row r="506" spans="1:41" s="123" customFormat="1" ht="16.2" thickBot="1" x14ac:dyDescent="0.35">
      <c r="A506" s="21">
        <v>71.099999999999994</v>
      </c>
      <c r="B506" s="212" t="s">
        <v>4</v>
      </c>
      <c r="C506" s="31" t="str">
        <f>VLOOKUP((CONCATENATE(B506)),ID!$A$2:$D$305,3,0)</f>
        <v>IN001</v>
      </c>
      <c r="D506" s="21">
        <v>1</v>
      </c>
      <c r="E506" s="21" t="s">
        <v>341</v>
      </c>
      <c r="F506" s="21" t="s">
        <v>1117</v>
      </c>
      <c r="G506" s="21" t="s">
        <v>3853</v>
      </c>
      <c r="H506" s="88">
        <v>4018</v>
      </c>
      <c r="I506" s="43">
        <v>4113</v>
      </c>
      <c r="J506" s="43">
        <v>4098</v>
      </c>
      <c r="K506" s="21">
        <v>0</v>
      </c>
      <c r="L506" s="21"/>
      <c r="M506" s="21"/>
      <c r="N506" s="43">
        <v>4134</v>
      </c>
      <c r="O506" s="21" t="s">
        <v>3852</v>
      </c>
      <c r="P506" s="194" t="str">
        <f t="shared" si="101"/>
        <v>1</v>
      </c>
      <c r="Q506" s="21">
        <v>1</v>
      </c>
      <c r="R506" s="39" t="str">
        <f t="shared" si="103"/>
        <v>-</v>
      </c>
      <c r="S506" s="120">
        <f t="shared" si="104"/>
        <v>18061820</v>
      </c>
      <c r="T506" s="123">
        <v>18373498</v>
      </c>
      <c r="U506" s="123">
        <f>T506-125863-176811-9183-185337-22067-33931-5507-375780</f>
        <v>17439019</v>
      </c>
      <c r="V506" s="123">
        <f t="shared" si="88"/>
        <v>934479</v>
      </c>
      <c r="W506" s="122" t="str">
        <f t="shared" si="109"/>
        <v>1</v>
      </c>
      <c r="X506" s="123">
        <f>T506-18061820</f>
        <v>311678</v>
      </c>
      <c r="AA506" s="122" t="str">
        <f t="shared" si="107"/>
        <v>0</v>
      </c>
      <c r="AB506" s="120">
        <f t="shared" si="95"/>
        <v>0</v>
      </c>
      <c r="AC506" s="123">
        <v>0</v>
      </c>
      <c r="AD506" s="123">
        <v>0</v>
      </c>
      <c r="AE506" s="123">
        <f>176811+125863</f>
        <v>302674</v>
      </c>
      <c r="AF506" s="138"/>
      <c r="AG506" s="151">
        <f t="shared" si="108"/>
        <v>485044</v>
      </c>
      <c r="AH506" s="138">
        <f>1172666-671761</f>
        <v>500905</v>
      </c>
      <c r="AI506" s="138">
        <v>15861</v>
      </c>
      <c r="AJ506" s="138">
        <v>350000</v>
      </c>
      <c r="AK506" s="138"/>
      <c r="AL506" s="138"/>
      <c r="AM506" s="138"/>
      <c r="AN506" s="138"/>
      <c r="AO506" s="123">
        <f>250000+450000</f>
        <v>700000</v>
      </c>
    </row>
    <row r="507" spans="1:41" s="123" customFormat="1" ht="16.2" thickBot="1" x14ac:dyDescent="0.35">
      <c r="A507" s="21">
        <v>71.2</v>
      </c>
      <c r="B507" s="212" t="s">
        <v>4</v>
      </c>
      <c r="C507" s="31" t="str">
        <f>VLOOKUP((CONCATENATE(B507)),ID!$A$2:$D$305,3,0)</f>
        <v>IN001</v>
      </c>
      <c r="D507" s="21">
        <v>1</v>
      </c>
      <c r="E507" s="21" t="s">
        <v>341</v>
      </c>
      <c r="F507" s="21" t="s">
        <v>1117</v>
      </c>
      <c r="G507" s="21" t="s">
        <v>3853</v>
      </c>
      <c r="H507" s="88">
        <v>4383</v>
      </c>
      <c r="I507" s="43">
        <v>4470</v>
      </c>
      <c r="J507" s="43">
        <v>4465</v>
      </c>
      <c r="K507" s="21">
        <v>0</v>
      </c>
      <c r="L507" s="21"/>
      <c r="M507" s="21"/>
      <c r="N507" s="43">
        <v>4491</v>
      </c>
      <c r="O507" s="21" t="s">
        <v>3852</v>
      </c>
      <c r="P507" s="194" t="str">
        <f t="shared" si="101"/>
        <v>1</v>
      </c>
      <c r="Q507" s="21">
        <v>1</v>
      </c>
      <c r="R507" s="39" t="str">
        <f t="shared" si="103"/>
        <v>-</v>
      </c>
      <c r="S507" s="120">
        <f t="shared" si="104"/>
        <v>23214398</v>
      </c>
      <c r="T507" s="123">
        <v>23596461</v>
      </c>
      <c r="U507" s="123">
        <f>T507-167533-206824-7301-244568-26058-56471-10864-411240</f>
        <v>22465602</v>
      </c>
      <c r="V507" s="123">
        <f t="shared" ref="V507:V664" si="110">T507-U507</f>
        <v>1130859</v>
      </c>
      <c r="W507" s="122" t="str">
        <f t="shared" si="109"/>
        <v>1</v>
      </c>
      <c r="X507" s="123">
        <f>T507-23214398</f>
        <v>382063</v>
      </c>
      <c r="AA507" s="122" t="str">
        <f t="shared" si="107"/>
        <v>0</v>
      </c>
      <c r="AB507" s="120">
        <f t="shared" si="95"/>
        <v>0</v>
      </c>
      <c r="AC507" s="123">
        <v>0</v>
      </c>
      <c r="AD507" s="123">
        <v>0</v>
      </c>
      <c r="AE507" s="123">
        <f>206824+167533</f>
        <v>374357</v>
      </c>
      <c r="AF507" s="138"/>
      <c r="AG507" s="151">
        <f t="shared" si="108"/>
        <v>419064</v>
      </c>
      <c r="AH507" s="138">
        <f>1224131-786662-2199</f>
        <v>435270</v>
      </c>
      <c r="AI507" s="138">
        <v>16206</v>
      </c>
      <c r="AJ507" s="138">
        <v>395513</v>
      </c>
      <c r="AK507" s="138"/>
      <c r="AL507" s="138"/>
      <c r="AM507" s="138"/>
      <c r="AN507" s="138"/>
      <c r="AO507" s="123">
        <f>250000+450000</f>
        <v>700000</v>
      </c>
    </row>
    <row r="508" spans="1:41" s="123" customFormat="1" ht="16.2" thickBot="1" x14ac:dyDescent="0.35">
      <c r="A508" s="21"/>
      <c r="B508" s="212" t="s">
        <v>4</v>
      </c>
      <c r="C508" s="31" t="str">
        <f>VLOOKUP((CONCATENATE(B508)),ID!$A$2:$D$305,3,0)</f>
        <v>IN001</v>
      </c>
      <c r="D508" s="21">
        <v>1</v>
      </c>
      <c r="E508" s="21" t="s">
        <v>341</v>
      </c>
      <c r="F508" s="21" t="s">
        <v>1117</v>
      </c>
      <c r="G508" s="21" t="s">
        <v>3853</v>
      </c>
      <c r="H508" s="88">
        <v>4749</v>
      </c>
      <c r="I508" s="43">
        <v>4834</v>
      </c>
      <c r="J508" s="43">
        <v>4833</v>
      </c>
      <c r="K508" s="21">
        <v>0</v>
      </c>
      <c r="L508" s="21"/>
      <c r="M508" s="21"/>
      <c r="N508" s="43">
        <v>4855</v>
      </c>
      <c r="O508" s="21" t="s">
        <v>3852</v>
      </c>
      <c r="P508" s="194" t="str">
        <f t="shared" si="101"/>
        <v>1</v>
      </c>
      <c r="Q508" s="21">
        <v>1</v>
      </c>
      <c r="R508" s="39" t="str">
        <f t="shared" si="103"/>
        <v>-</v>
      </c>
      <c r="S508" s="120">
        <f t="shared" si="104"/>
        <v>23690932</v>
      </c>
      <c r="T508" s="123">
        <v>24064079</v>
      </c>
      <c r="U508" s="123">
        <f>T508-AE508-14301-264095-20818-46883-30035-411290</f>
        <v>22953246</v>
      </c>
      <c r="V508" s="123">
        <f t="shared" si="110"/>
        <v>1110833</v>
      </c>
      <c r="W508" s="122" t="str">
        <f t="shared" si="109"/>
        <v>1</v>
      </c>
      <c r="X508" s="123">
        <f>T508-23690932</f>
        <v>373147</v>
      </c>
      <c r="AA508" s="122" t="str">
        <f t="shared" si="107"/>
        <v>0</v>
      </c>
      <c r="AB508" s="120">
        <f t="shared" si="95"/>
        <v>0</v>
      </c>
      <c r="AC508" s="123">
        <v>0</v>
      </c>
      <c r="AD508" s="123">
        <v>0</v>
      </c>
      <c r="AE508" s="123">
        <f>176449+146962</f>
        <v>323411</v>
      </c>
      <c r="AF508" s="138"/>
      <c r="AG508" s="151">
        <f t="shared" si="108"/>
        <v>526715</v>
      </c>
      <c r="AH508" s="138">
        <f>1353302-803612-3500</f>
        <v>546190</v>
      </c>
      <c r="AI508" s="138">
        <v>19475</v>
      </c>
      <c r="AJ508" s="138">
        <v>395514</v>
      </c>
      <c r="AK508" s="138"/>
      <c r="AL508" s="138"/>
      <c r="AM508" s="138"/>
      <c r="AN508" s="138"/>
      <c r="AO508" s="123">
        <f>250000+450000</f>
        <v>700000</v>
      </c>
    </row>
    <row r="509" spans="1:41" s="123" customFormat="1" ht="16.2" thickBot="1" x14ac:dyDescent="0.35">
      <c r="A509" s="21"/>
      <c r="B509" s="212" t="s">
        <v>4</v>
      </c>
      <c r="C509" s="31" t="str">
        <f>VLOOKUP((CONCATENATE(B509)),ID!$A$2:$D$305,3,0)</f>
        <v>IN001</v>
      </c>
      <c r="D509" s="21">
        <v>1</v>
      </c>
      <c r="E509" s="21" t="s">
        <v>341</v>
      </c>
      <c r="F509" s="21" t="s">
        <v>1117</v>
      </c>
      <c r="G509" s="21" t="s">
        <v>3853</v>
      </c>
      <c r="H509" s="88">
        <v>5114</v>
      </c>
      <c r="I509" s="43">
        <v>5197</v>
      </c>
      <c r="J509" s="43">
        <v>5226</v>
      </c>
      <c r="K509" s="21">
        <v>0</v>
      </c>
      <c r="L509" s="21"/>
      <c r="M509" s="21"/>
      <c r="N509" s="43">
        <v>5226</v>
      </c>
      <c r="O509" s="21" t="s">
        <v>3852</v>
      </c>
      <c r="P509" s="194" t="str">
        <f t="shared" si="101"/>
        <v>1</v>
      </c>
      <c r="Q509" s="21">
        <v>1</v>
      </c>
      <c r="R509" s="39" t="str">
        <f t="shared" si="103"/>
        <v>-</v>
      </c>
      <c r="S509" s="120">
        <f t="shared" si="104"/>
        <v>23728608</v>
      </c>
      <c r="T509" s="123">
        <v>24113840</v>
      </c>
      <c r="U509" s="123">
        <f>T509-305810-142892-15774-267487-19245-45232-12181-407620</f>
        <v>22897599</v>
      </c>
      <c r="V509" s="123">
        <f t="shared" si="110"/>
        <v>1216241</v>
      </c>
      <c r="W509" s="122" t="str">
        <f t="shared" si="109"/>
        <v>1</v>
      </c>
      <c r="X509" s="123">
        <f>T509-23728608</f>
        <v>385232</v>
      </c>
      <c r="AA509" s="122" t="str">
        <f t="shared" si="107"/>
        <v>0</v>
      </c>
      <c r="AB509" s="120">
        <f t="shared" si="95"/>
        <v>0</v>
      </c>
      <c r="AC509" s="123">
        <v>0</v>
      </c>
      <c r="AD509" s="123">
        <v>0</v>
      </c>
      <c r="AE509" s="123">
        <f>142892+305810</f>
        <v>448702</v>
      </c>
      <c r="AF509" s="138"/>
      <c r="AG509" s="151">
        <f t="shared" si="108"/>
        <v>708671</v>
      </c>
      <c r="AH509" s="138">
        <f>1618199-882170-10678</f>
        <v>725351</v>
      </c>
      <c r="AI509" s="138">
        <v>16680</v>
      </c>
      <c r="AJ509" s="138">
        <v>395514</v>
      </c>
      <c r="AK509" s="138"/>
      <c r="AL509" s="138"/>
      <c r="AM509" s="138"/>
      <c r="AN509" s="138"/>
      <c r="AO509" s="123">
        <f>250000+450000</f>
        <v>700000</v>
      </c>
    </row>
    <row r="510" spans="1:41" s="123" customFormat="1" ht="16.2" thickBot="1" x14ac:dyDescent="0.35">
      <c r="A510" s="21"/>
      <c r="B510" s="212" t="s">
        <v>22</v>
      </c>
      <c r="C510" s="31" t="str">
        <f>VLOOKUP((CONCATENATE(B510)),ID!$A$2:$D$305,3,0)</f>
        <v>IN002</v>
      </c>
      <c r="D510" s="21">
        <v>1</v>
      </c>
      <c r="E510" s="21" t="s">
        <v>341</v>
      </c>
      <c r="F510" s="21" t="s">
        <v>1117</v>
      </c>
      <c r="G510" s="21" t="s">
        <v>3853</v>
      </c>
      <c r="H510" s="88">
        <v>3653</v>
      </c>
      <c r="I510" s="43">
        <v>3755</v>
      </c>
      <c r="J510" s="43">
        <v>3734</v>
      </c>
      <c r="K510" s="21">
        <v>0</v>
      </c>
      <c r="L510" s="21"/>
      <c r="M510" s="21"/>
      <c r="N510" s="43">
        <v>3772</v>
      </c>
      <c r="O510" s="31" t="s">
        <v>3733</v>
      </c>
      <c r="P510" s="194" t="str">
        <f t="shared" si="101"/>
        <v>1</v>
      </c>
      <c r="Q510" s="21">
        <v>1</v>
      </c>
      <c r="R510" s="39" t="str">
        <f t="shared" si="103"/>
        <v>-</v>
      </c>
      <c r="S510" s="120">
        <f t="shared" si="104"/>
        <v>3319087</v>
      </c>
      <c r="T510" s="123">
        <v>3504807</v>
      </c>
      <c r="U510" s="123">
        <f>2067292+1057437</f>
        <v>3124729</v>
      </c>
      <c r="V510" s="123">
        <f t="shared" si="110"/>
        <v>380078</v>
      </c>
      <c r="W510" s="122" t="str">
        <f t="shared" si="109"/>
        <v>1</v>
      </c>
      <c r="X510" s="123">
        <v>185720</v>
      </c>
      <c r="AA510" s="122" t="str">
        <f t="shared" si="107"/>
        <v>0</v>
      </c>
      <c r="AB510" s="120">
        <f t="shared" si="95"/>
        <v>0</v>
      </c>
      <c r="AC510" s="123">
        <v>0</v>
      </c>
      <c r="AD510" s="123">
        <v>0</v>
      </c>
      <c r="AE510" s="123">
        <v>105064</v>
      </c>
      <c r="AF510" s="138"/>
      <c r="AG510" s="151">
        <f t="shared" si="108"/>
        <v>67537</v>
      </c>
      <c r="AH510" s="138">
        <f>122537-55000</f>
        <v>67537</v>
      </c>
      <c r="AI510" s="138"/>
      <c r="AJ510" s="138">
        <v>22000</v>
      </c>
      <c r="AK510" s="138"/>
      <c r="AL510" s="138"/>
      <c r="AM510" s="138"/>
      <c r="AN510" s="138"/>
      <c r="AO510" s="123">
        <v>220000</v>
      </c>
    </row>
    <row r="511" spans="1:41" s="123" customFormat="1" ht="16.2" thickBot="1" x14ac:dyDescent="0.35">
      <c r="A511" s="21">
        <v>72.099999999999994</v>
      </c>
      <c r="B511" s="212" t="s">
        <v>22</v>
      </c>
      <c r="C511" s="31" t="str">
        <f>VLOOKUP((CONCATENATE(B511)),ID!$A$2:$D$305,3,0)</f>
        <v>IN002</v>
      </c>
      <c r="D511" s="21">
        <v>1</v>
      </c>
      <c r="E511" s="21" t="s">
        <v>341</v>
      </c>
      <c r="F511" s="21" t="s">
        <v>1117</v>
      </c>
      <c r="G511" s="21" t="s">
        <v>3853</v>
      </c>
      <c r="H511" s="88">
        <v>4018</v>
      </c>
      <c r="I511" s="43">
        <v>4119</v>
      </c>
      <c r="J511" s="43">
        <v>4118</v>
      </c>
      <c r="K511" s="21">
        <v>0</v>
      </c>
      <c r="L511" s="21"/>
      <c r="M511" s="21"/>
      <c r="N511" s="43">
        <v>4136</v>
      </c>
      <c r="O511" s="31" t="s">
        <v>3733</v>
      </c>
      <c r="P511" s="194" t="str">
        <f t="shared" si="101"/>
        <v>1</v>
      </c>
      <c r="Q511" s="21">
        <v>1</v>
      </c>
      <c r="R511" s="39" t="str">
        <f t="shared" si="103"/>
        <v>-</v>
      </c>
      <c r="S511" s="120">
        <f t="shared" si="104"/>
        <v>3526693</v>
      </c>
      <c r="T511" s="123">
        <v>3760950</v>
      </c>
      <c r="U511" s="123">
        <v>3278902</v>
      </c>
      <c r="V511" s="123">
        <f t="shared" si="110"/>
        <v>482048</v>
      </c>
      <c r="W511" s="122" t="str">
        <f t="shared" si="109"/>
        <v>1</v>
      </c>
      <c r="X511" s="123">
        <f>T511-3526693</f>
        <v>234257</v>
      </c>
      <c r="AA511" s="122" t="str">
        <f t="shared" si="107"/>
        <v>0</v>
      </c>
      <c r="AB511" s="120">
        <f t="shared" si="95"/>
        <v>0</v>
      </c>
      <c r="AC511" s="123">
        <v>0</v>
      </c>
      <c r="AD511" s="123">
        <v>0</v>
      </c>
      <c r="AE511" s="123">
        <f>84633+43348</f>
        <v>127981</v>
      </c>
      <c r="AG511" s="151">
        <f t="shared" si="108"/>
        <v>79929</v>
      </c>
      <c r="AH511" s="123">
        <f>134929-55000</f>
        <v>79929</v>
      </c>
      <c r="AJ511" s="123">
        <v>22000</v>
      </c>
      <c r="AO511" s="123">
        <v>220000</v>
      </c>
    </row>
    <row r="512" spans="1:41" s="123" customFormat="1" ht="16.2" thickBot="1" x14ac:dyDescent="0.35">
      <c r="A512" s="21">
        <v>72.2</v>
      </c>
      <c r="B512" s="212" t="s">
        <v>22</v>
      </c>
      <c r="C512" s="31" t="str">
        <f>VLOOKUP((CONCATENATE(B512)),ID!$A$2:$D$305,3,0)</f>
        <v>IN002</v>
      </c>
      <c r="D512" s="21">
        <v>1</v>
      </c>
      <c r="E512" s="21" t="s">
        <v>341</v>
      </c>
      <c r="F512" s="21" t="s">
        <v>1117</v>
      </c>
      <c r="G512" s="21" t="s">
        <v>3853</v>
      </c>
      <c r="H512" s="88">
        <v>4383</v>
      </c>
      <c r="I512" s="43">
        <v>4486</v>
      </c>
      <c r="J512" s="43">
        <v>4484</v>
      </c>
      <c r="K512" s="21">
        <v>0</v>
      </c>
      <c r="L512" s="21"/>
      <c r="M512" s="21"/>
      <c r="N512" s="43">
        <v>4503</v>
      </c>
      <c r="O512" s="31" t="s">
        <v>3733</v>
      </c>
      <c r="P512" s="194" t="str">
        <f t="shared" si="101"/>
        <v>1</v>
      </c>
      <c r="Q512" s="21">
        <v>1</v>
      </c>
      <c r="R512" s="39" t="str">
        <f t="shared" si="103"/>
        <v>-</v>
      </c>
      <c r="S512" s="120">
        <f t="shared" si="104"/>
        <v>3730001</v>
      </c>
      <c r="T512" s="123">
        <v>3999943</v>
      </c>
      <c r="U512" s="123">
        <v>3557314</v>
      </c>
      <c r="V512" s="123">
        <f t="shared" si="110"/>
        <v>442629</v>
      </c>
      <c r="W512" s="122" t="str">
        <f t="shared" si="109"/>
        <v>1</v>
      </c>
      <c r="X512" s="123">
        <f>T512-3730001</f>
        <v>269942</v>
      </c>
      <c r="AA512" s="122" t="str">
        <f t="shared" si="107"/>
        <v>0</v>
      </c>
      <c r="AB512" s="120">
        <f t="shared" si="95"/>
        <v>0</v>
      </c>
      <c r="AC512" s="123">
        <v>0</v>
      </c>
      <c r="AD512" s="123">
        <v>0</v>
      </c>
      <c r="AE512" s="123">
        <f>34905+52108</f>
        <v>87013</v>
      </c>
      <c r="AG512" s="151">
        <f t="shared" si="108"/>
        <v>82159</v>
      </c>
      <c r="AH512" s="123">
        <f>148159-66000</f>
        <v>82159</v>
      </c>
      <c r="AJ512" s="123">
        <v>22000</v>
      </c>
      <c r="AO512" s="123">
        <v>220000</v>
      </c>
    </row>
    <row r="513" spans="1:41" s="123" customFormat="1" ht="16.2" thickBot="1" x14ac:dyDescent="0.35">
      <c r="A513" s="21"/>
      <c r="B513" s="212" t="s">
        <v>22</v>
      </c>
      <c r="C513" s="31" t="str">
        <f>VLOOKUP((CONCATENATE(B513)),ID!$A$2:$D$305,3,0)</f>
        <v>IN002</v>
      </c>
      <c r="D513" s="21">
        <v>1</v>
      </c>
      <c r="E513" s="21" t="s">
        <v>341</v>
      </c>
      <c r="F513" s="21" t="s">
        <v>1117</v>
      </c>
      <c r="G513" s="21" t="s">
        <v>3853</v>
      </c>
      <c r="H513" s="88">
        <v>4749</v>
      </c>
      <c r="I513" s="43">
        <v>4847</v>
      </c>
      <c r="J513" s="43">
        <v>4847</v>
      </c>
      <c r="K513" s="21">
        <v>0</v>
      </c>
      <c r="L513" s="21"/>
      <c r="M513" s="21"/>
      <c r="N513" s="43">
        <v>4867</v>
      </c>
      <c r="O513" s="31" t="s">
        <v>3733</v>
      </c>
      <c r="P513" s="194" t="str">
        <f t="shared" si="101"/>
        <v>1</v>
      </c>
      <c r="Q513" s="21">
        <v>1</v>
      </c>
      <c r="R513" s="39" t="str">
        <f t="shared" si="103"/>
        <v>-</v>
      </c>
      <c r="S513" s="120">
        <f t="shared" si="104"/>
        <v>3943950</v>
      </c>
      <c r="T513" s="123">
        <v>4214181</v>
      </c>
      <c r="U513" s="123">
        <v>3729334</v>
      </c>
      <c r="V513" s="123">
        <f t="shared" si="110"/>
        <v>484847</v>
      </c>
      <c r="W513" s="122" t="str">
        <f t="shared" si="109"/>
        <v>1</v>
      </c>
      <c r="X513" s="123">
        <f>T513-3943950</f>
        <v>270231</v>
      </c>
      <c r="AA513" s="122" t="str">
        <f t="shared" si="107"/>
        <v>0</v>
      </c>
      <c r="AB513" s="120">
        <f t="shared" si="95"/>
        <v>0</v>
      </c>
      <c r="AC513" s="123">
        <v>0</v>
      </c>
      <c r="AD513" s="123">
        <v>0</v>
      </c>
      <c r="AE513" s="123">
        <f>58456+54246</f>
        <v>112702</v>
      </c>
      <c r="AG513" s="151">
        <f t="shared" si="108"/>
        <v>172598</v>
      </c>
      <c r="AH513" s="123">
        <f>184125</f>
        <v>184125</v>
      </c>
      <c r="AI513" s="123">
        <v>7566</v>
      </c>
      <c r="AJ513" s="123">
        <v>31075</v>
      </c>
      <c r="AL513" s="123">
        <v>3961</v>
      </c>
      <c r="AO513" s="123">
        <v>220000</v>
      </c>
    </row>
    <row r="514" spans="1:41" s="123" customFormat="1" ht="16.2" thickBot="1" x14ac:dyDescent="0.35">
      <c r="A514" s="21"/>
      <c r="B514" s="212" t="s">
        <v>22</v>
      </c>
      <c r="C514" s="31" t="str">
        <f>VLOOKUP((CONCATENATE(B514)),ID!$A$2:$D$305,3,0)</f>
        <v>IN002</v>
      </c>
      <c r="D514" s="21">
        <v>1</v>
      </c>
      <c r="E514" s="21" t="s">
        <v>341</v>
      </c>
      <c r="F514" s="21" t="s">
        <v>1117</v>
      </c>
      <c r="G514" s="21" t="s">
        <v>3853</v>
      </c>
      <c r="H514" s="88">
        <v>5114</v>
      </c>
      <c r="I514" s="43">
        <v>5211</v>
      </c>
      <c r="J514" s="43">
        <v>5211</v>
      </c>
      <c r="K514" s="21">
        <v>0</v>
      </c>
      <c r="L514" s="21"/>
      <c r="M514" s="21"/>
      <c r="N514" s="43">
        <v>5231</v>
      </c>
      <c r="O514" s="31" t="s">
        <v>3733</v>
      </c>
      <c r="P514" s="194" t="str">
        <f t="shared" ref="P514:P577" si="111">IF(AJ514=0,"?","1")</f>
        <v>1</v>
      </c>
      <c r="Q514" s="21">
        <v>1</v>
      </c>
      <c r="R514" s="39" t="str">
        <f t="shared" si="103"/>
        <v>-</v>
      </c>
      <c r="S514" s="120">
        <f t="shared" si="104"/>
        <v>4186678</v>
      </c>
      <c r="T514" s="123">
        <v>4466474</v>
      </c>
      <c r="U514" s="123">
        <v>3960354</v>
      </c>
      <c r="V514" s="123">
        <f t="shared" si="110"/>
        <v>506120</v>
      </c>
      <c r="W514" s="122" t="str">
        <f t="shared" si="109"/>
        <v>1</v>
      </c>
      <c r="X514" s="123">
        <f>T514-4186678</f>
        <v>279796</v>
      </c>
      <c r="AA514" s="122" t="str">
        <f t="shared" si="107"/>
        <v>0</v>
      </c>
      <c r="AB514" s="120">
        <f t="shared" si="95"/>
        <v>0</v>
      </c>
      <c r="AC514" s="123">
        <v>0</v>
      </c>
      <c r="AD514" s="123">
        <v>0</v>
      </c>
      <c r="AE514" s="123">
        <f>57171+51267</f>
        <v>108438</v>
      </c>
      <c r="AG514" s="151">
        <f t="shared" si="108"/>
        <v>211709</v>
      </c>
      <c r="AH514" s="123">
        <v>223829</v>
      </c>
      <c r="AI514" s="123">
        <v>8160</v>
      </c>
      <c r="AJ514" s="123">
        <v>31075</v>
      </c>
      <c r="AL514" s="123">
        <v>3960</v>
      </c>
      <c r="AO514" s="123">
        <v>220000</v>
      </c>
    </row>
    <row r="515" spans="1:41" s="123" customFormat="1" ht="16.2" thickBot="1" x14ac:dyDescent="0.35">
      <c r="A515" s="21"/>
      <c r="B515" s="212" t="s">
        <v>86</v>
      </c>
      <c r="C515" s="31" t="str">
        <f>VLOOKUP((CONCATENATE(B515)),ID!$A$2:$D$305,3,0)</f>
        <v>IN003</v>
      </c>
      <c r="D515" s="21">
        <v>1</v>
      </c>
      <c r="E515" s="21" t="s">
        <v>341</v>
      </c>
      <c r="F515" s="21" t="s">
        <v>1117</v>
      </c>
      <c r="G515" s="21" t="s">
        <v>3853</v>
      </c>
      <c r="H515" s="88">
        <v>3653</v>
      </c>
      <c r="I515" s="43">
        <v>3762</v>
      </c>
      <c r="J515" s="43">
        <v>3762</v>
      </c>
      <c r="K515" s="21">
        <v>1</v>
      </c>
      <c r="L515" s="43">
        <v>3763</v>
      </c>
      <c r="M515" s="43">
        <v>3776</v>
      </c>
      <c r="N515" s="43">
        <v>3776</v>
      </c>
      <c r="O515" s="21" t="s">
        <v>4099</v>
      </c>
      <c r="P515" s="194" t="str">
        <f t="shared" si="111"/>
        <v>1</v>
      </c>
      <c r="Q515" s="21">
        <v>1</v>
      </c>
      <c r="R515" s="39" t="str">
        <f t="shared" si="103"/>
        <v>-</v>
      </c>
      <c r="S515" s="120">
        <f t="shared" si="104"/>
        <v>18201233</v>
      </c>
      <c r="T515" s="123">
        <v>18986237</v>
      </c>
      <c r="U515" s="123">
        <f>T515-512680-786-40777-15237-84427-361-1507-182446-695741</f>
        <v>17452275</v>
      </c>
      <c r="V515" s="123">
        <f t="shared" si="110"/>
        <v>1533962</v>
      </c>
      <c r="W515" s="122" t="str">
        <f t="shared" si="109"/>
        <v>1</v>
      </c>
      <c r="X515" s="123">
        <f>92828+4205+303884+6000+378087</f>
        <v>785004</v>
      </c>
      <c r="Y515" s="123">
        <f>303884+4205+22395</f>
        <v>330484</v>
      </c>
      <c r="Z515" s="123">
        <f t="shared" ref="Z515:Z571" si="112">X515-Y515</f>
        <v>454520</v>
      </c>
      <c r="AA515" s="122" t="str">
        <f t="shared" si="107"/>
        <v>1</v>
      </c>
      <c r="AB515" s="120">
        <f t="shared" si="95"/>
        <v>0</v>
      </c>
      <c r="AC515" s="123">
        <v>0</v>
      </c>
      <c r="AD515" s="123">
        <v>0</v>
      </c>
      <c r="AE515" s="123">
        <v>512680</v>
      </c>
      <c r="AG515" s="151">
        <f t="shared" si="108"/>
        <v>217783</v>
      </c>
      <c r="AH515" s="123">
        <f>466121-166695-24209-3862-4180</f>
        <v>267175</v>
      </c>
      <c r="AI515" s="123">
        <v>6475</v>
      </c>
      <c r="AJ515" s="123">
        <f>88500*2</f>
        <v>177000</v>
      </c>
      <c r="AL515" s="123">
        <v>42917</v>
      </c>
      <c r="AO515" s="123">
        <v>295000</v>
      </c>
    </row>
    <row r="516" spans="1:41" s="123" customFormat="1" ht="16.2" thickBot="1" x14ac:dyDescent="0.35">
      <c r="A516" s="21">
        <v>73.099999999999994</v>
      </c>
      <c r="B516" s="212" t="s">
        <v>86</v>
      </c>
      <c r="C516" s="31" t="str">
        <f>VLOOKUP((CONCATENATE(B516)),ID!$A$2:$D$305,3,0)</f>
        <v>IN003</v>
      </c>
      <c r="D516" s="21">
        <v>1</v>
      </c>
      <c r="E516" s="21" t="s">
        <v>341</v>
      </c>
      <c r="F516" s="21" t="s">
        <v>1117</v>
      </c>
      <c r="G516" s="21" t="s">
        <v>3853</v>
      </c>
      <c r="H516" s="88">
        <v>4018</v>
      </c>
      <c r="I516" s="43">
        <v>4133</v>
      </c>
      <c r="J516" s="43">
        <v>4133</v>
      </c>
      <c r="K516" s="21">
        <v>1</v>
      </c>
      <c r="L516" s="43">
        <v>4134</v>
      </c>
      <c r="M516" s="43">
        <v>4147</v>
      </c>
      <c r="N516" s="43">
        <v>4147</v>
      </c>
      <c r="O516" s="21" t="s">
        <v>3854</v>
      </c>
      <c r="P516" s="194" t="str">
        <f t="shared" si="111"/>
        <v>1</v>
      </c>
      <c r="Q516" s="21">
        <v>1</v>
      </c>
      <c r="R516" s="39" t="str">
        <f t="shared" si="103"/>
        <v>-</v>
      </c>
      <c r="S516" s="120">
        <f t="shared" si="104"/>
        <v>20746564</v>
      </c>
      <c r="T516" s="123">
        <v>22293656</v>
      </c>
      <c r="U516" s="123">
        <f>T516-633559-835-33512-4330-118475-756-1815-180050-857842-1064675</f>
        <v>19397807</v>
      </c>
      <c r="V516" s="123">
        <f t="shared" si="110"/>
        <v>2895849</v>
      </c>
      <c r="W516" s="122" t="str">
        <f t="shared" si="109"/>
        <v>1</v>
      </c>
      <c r="X516" s="123">
        <f>480058+4071+330887+6000+726076</f>
        <v>1547092</v>
      </c>
      <c r="Y516" s="123">
        <f>330887+115060</f>
        <v>445947</v>
      </c>
      <c r="Z516" s="123">
        <f t="shared" si="112"/>
        <v>1101145</v>
      </c>
      <c r="AA516" s="122" t="str">
        <f t="shared" si="107"/>
        <v>1</v>
      </c>
      <c r="AB516" s="120">
        <f t="shared" si="95"/>
        <v>0</v>
      </c>
      <c r="AC516" s="123">
        <v>0</v>
      </c>
      <c r="AD516" s="123">
        <v>0</v>
      </c>
      <c r="AE516" s="123">
        <v>633559</v>
      </c>
      <c r="AG516" s="151">
        <f t="shared" si="108"/>
        <v>197550</v>
      </c>
      <c r="AH516" s="123">
        <f>747630-177474-16497-270000</f>
        <v>283659</v>
      </c>
      <c r="AI516" s="123">
        <v>10999</v>
      </c>
      <c r="AJ516" s="123">
        <f>103250*2</f>
        <v>206500</v>
      </c>
      <c r="AL516" s="123">
        <v>75110</v>
      </c>
      <c r="AO516" s="123">
        <v>295000</v>
      </c>
    </row>
    <row r="517" spans="1:41" s="123" customFormat="1" ht="16.2" thickBot="1" x14ac:dyDescent="0.35">
      <c r="A517" s="21">
        <v>73.2</v>
      </c>
      <c r="B517" s="212" t="s">
        <v>86</v>
      </c>
      <c r="C517" s="31" t="str">
        <f>VLOOKUP((CONCATENATE(B517)),ID!$A$2:$D$305,3,0)</f>
        <v>IN003</v>
      </c>
      <c r="D517" s="21">
        <v>1</v>
      </c>
      <c r="E517" s="21" t="s">
        <v>341</v>
      </c>
      <c r="F517" s="21" t="s">
        <v>1117</v>
      </c>
      <c r="G517" s="21" t="s">
        <v>3853</v>
      </c>
      <c r="H517" s="88">
        <v>4383</v>
      </c>
      <c r="I517" s="43">
        <v>4504</v>
      </c>
      <c r="J517" s="43">
        <v>4504</v>
      </c>
      <c r="K517" s="21">
        <v>1</v>
      </c>
      <c r="L517" s="43">
        <v>4505</v>
      </c>
      <c r="M517" s="43">
        <v>4518</v>
      </c>
      <c r="N517" s="43">
        <v>4518</v>
      </c>
      <c r="O517" s="21" t="s">
        <v>3854</v>
      </c>
      <c r="P517" s="194" t="str">
        <f t="shared" si="111"/>
        <v>1</v>
      </c>
      <c r="Q517" s="21">
        <v>1</v>
      </c>
      <c r="R517" s="39" t="str">
        <f t="shared" si="103"/>
        <v>-</v>
      </c>
      <c r="S517" s="120">
        <f t="shared" si="104"/>
        <v>21550996</v>
      </c>
      <c r="T517" s="123">
        <v>23162999</v>
      </c>
      <c r="U517" s="123">
        <f>T517-695676-524-40324-6530-165453-1486-236665-972601-865573</f>
        <v>20178167</v>
      </c>
      <c r="V517" s="123">
        <f t="shared" si="110"/>
        <v>2984832</v>
      </c>
      <c r="W517" s="122" t="str">
        <f t="shared" si="109"/>
        <v>1</v>
      </c>
      <c r="X517" s="123">
        <f>828605+783398</f>
        <v>1612003</v>
      </c>
      <c r="Y517" s="123">
        <f>146147+191039+3906+348</f>
        <v>341440</v>
      </c>
      <c r="Z517" s="123">
        <f t="shared" si="112"/>
        <v>1270563</v>
      </c>
      <c r="AA517" s="122" t="str">
        <f t="shared" si="107"/>
        <v>1</v>
      </c>
      <c r="AB517" s="120">
        <f t="shared" si="95"/>
        <v>0</v>
      </c>
      <c r="AC517" s="123">
        <v>0</v>
      </c>
      <c r="AD517" s="123">
        <v>0</v>
      </c>
      <c r="AE517" s="123">
        <v>695676</v>
      </c>
      <c r="AG517" s="151">
        <f t="shared" si="108"/>
        <v>167550</v>
      </c>
      <c r="AH517" s="123">
        <f>747630-177474-16497-300000</f>
        <v>253659</v>
      </c>
      <c r="AI517" s="123">
        <v>10999</v>
      </c>
      <c r="AJ517" s="123">
        <f>103250*2</f>
        <v>206500</v>
      </c>
      <c r="AL517" s="123">
        <v>75110</v>
      </c>
      <c r="AO517" s="123">
        <v>295000</v>
      </c>
    </row>
    <row r="518" spans="1:41" s="123" customFormat="1" ht="16.2" thickBot="1" x14ac:dyDescent="0.35">
      <c r="A518" s="21"/>
      <c r="B518" s="212" t="s">
        <v>86</v>
      </c>
      <c r="C518" s="31" t="str">
        <f>VLOOKUP((CONCATENATE(B518)),ID!$A$2:$D$305,3,0)</f>
        <v>IN003</v>
      </c>
      <c r="D518" s="21">
        <v>1</v>
      </c>
      <c r="E518" s="21" t="s">
        <v>341</v>
      </c>
      <c r="F518" s="21" t="s">
        <v>1117</v>
      </c>
      <c r="G518" s="21" t="s">
        <v>3853</v>
      </c>
      <c r="H518" s="88">
        <v>4749</v>
      </c>
      <c r="I518" s="43">
        <v>4861</v>
      </c>
      <c r="J518" s="43">
        <v>4861</v>
      </c>
      <c r="K518" s="21">
        <v>1</v>
      </c>
      <c r="L518" s="43">
        <v>4862</v>
      </c>
      <c r="M518" s="43">
        <v>4875</v>
      </c>
      <c r="N518" s="43">
        <v>4875</v>
      </c>
      <c r="O518" s="21" t="s">
        <v>4100</v>
      </c>
      <c r="P518" s="194" t="str">
        <f t="shared" si="111"/>
        <v>1</v>
      </c>
      <c r="Q518" s="21">
        <v>1</v>
      </c>
      <c r="R518" s="39" t="str">
        <f t="shared" si="103"/>
        <v>-</v>
      </c>
      <c r="S518" s="120">
        <f t="shared" si="104"/>
        <v>22356038</v>
      </c>
      <c r="T518" s="123">
        <v>23784486</v>
      </c>
      <c r="U518" s="123">
        <f>T518-796568-705-55200-7264-182617-36319-1293-263523-1068510-406380</f>
        <v>20966107</v>
      </c>
      <c r="V518" s="123">
        <f t="shared" si="110"/>
        <v>2818379</v>
      </c>
      <c r="W518" s="122" t="str">
        <f t="shared" si="109"/>
        <v>1</v>
      </c>
      <c r="X518" s="123">
        <f>633264+795184</f>
        <v>1428448</v>
      </c>
      <c r="Y518" s="123">
        <f>414375+8260+1400</f>
        <v>424035</v>
      </c>
      <c r="Z518" s="123">
        <f t="shared" si="112"/>
        <v>1004413</v>
      </c>
      <c r="AA518" s="122" t="str">
        <f t="shared" si="107"/>
        <v>1</v>
      </c>
      <c r="AB518" s="120">
        <f t="shared" si="95"/>
        <v>0</v>
      </c>
      <c r="AC518" s="123">
        <v>0</v>
      </c>
      <c r="AD518" s="123">
        <v>0</v>
      </c>
      <c r="AE518" s="123">
        <v>795568</v>
      </c>
      <c r="AG518" s="151">
        <f t="shared" si="108"/>
        <v>347733</v>
      </c>
      <c r="AH518" s="123">
        <f>1172759-170177-520000-22253</f>
        <v>460329</v>
      </c>
      <c r="AI518" s="123">
        <v>38265</v>
      </c>
      <c r="AJ518" s="123">
        <v>236000</v>
      </c>
      <c r="AL518" s="123">
        <v>74331</v>
      </c>
      <c r="AO518" s="123">
        <v>295000</v>
      </c>
    </row>
    <row r="519" spans="1:41" s="123" customFormat="1" ht="16.2" thickBot="1" x14ac:dyDescent="0.35">
      <c r="A519" s="21"/>
      <c r="B519" s="212" t="s">
        <v>86</v>
      </c>
      <c r="C519" s="31" t="str">
        <f>VLOOKUP((CONCATENATE(B519)),ID!$A$2:$D$305,3,0)</f>
        <v>IN003</v>
      </c>
      <c r="D519" s="21">
        <v>1</v>
      </c>
      <c r="E519" s="21" t="s">
        <v>341</v>
      </c>
      <c r="F519" s="21" t="s">
        <v>1117</v>
      </c>
      <c r="G519" s="21" t="s">
        <v>3853</v>
      </c>
      <c r="H519" s="88">
        <v>5114</v>
      </c>
      <c r="I519" s="43">
        <v>5225</v>
      </c>
      <c r="J519" s="43">
        <v>5225</v>
      </c>
      <c r="K519" s="21">
        <v>1</v>
      </c>
      <c r="L519" s="43">
        <v>5226</v>
      </c>
      <c r="M519" s="43">
        <v>5239</v>
      </c>
      <c r="N519" s="43">
        <v>5239</v>
      </c>
      <c r="O519" s="21" t="s">
        <v>4100</v>
      </c>
      <c r="P519" s="194" t="str">
        <f t="shared" si="111"/>
        <v>1</v>
      </c>
      <c r="Q519" s="21">
        <v>1</v>
      </c>
      <c r="R519" s="39" t="str">
        <f t="shared" si="103"/>
        <v>-</v>
      </c>
      <c r="S519" s="120">
        <f t="shared" si="104"/>
        <v>23345872</v>
      </c>
      <c r="T519" s="123">
        <v>24902252</v>
      </c>
      <c r="U519" s="123">
        <f>T519-770643-686-65230-10128-205617-16960-117156-1137-235275-1219006</f>
        <v>22260414</v>
      </c>
      <c r="V519" s="123">
        <f t="shared" si="110"/>
        <v>2641838</v>
      </c>
      <c r="W519" s="122" t="str">
        <f t="shared" si="109"/>
        <v>1</v>
      </c>
      <c r="X519" s="123">
        <f>864396+691984</f>
        <v>1556380</v>
      </c>
      <c r="Y519" s="123">
        <f>490744+3616</f>
        <v>494360</v>
      </c>
      <c r="Z519" s="123">
        <f t="shared" si="112"/>
        <v>1062020</v>
      </c>
      <c r="AA519" s="122" t="str">
        <f t="shared" si="107"/>
        <v>1</v>
      </c>
      <c r="AB519" s="120">
        <f t="shared" si="95"/>
        <v>0</v>
      </c>
      <c r="AC519" s="123">
        <v>0</v>
      </c>
      <c r="AD519" s="123">
        <v>0</v>
      </c>
      <c r="AE519" s="123">
        <v>770643</v>
      </c>
      <c r="AG519" s="151">
        <f t="shared" si="108"/>
        <v>428938</v>
      </c>
      <c r="AH519" s="123">
        <f>1272356-285675-407868-20000-14890</f>
        <v>543923</v>
      </c>
      <c r="AI519" s="123">
        <v>41569</v>
      </c>
      <c r="AJ519" s="123">
        <v>295000</v>
      </c>
      <c r="AL519" s="123">
        <v>73416</v>
      </c>
      <c r="AO519" s="123">
        <v>295000</v>
      </c>
    </row>
    <row r="520" spans="1:41" s="123" customFormat="1" ht="16.2" thickBot="1" x14ac:dyDescent="0.35">
      <c r="A520" s="21"/>
      <c r="B520" s="212" t="s">
        <v>105</v>
      </c>
      <c r="C520" s="31" t="str">
        <f>VLOOKUP((CONCATENATE(B520)),ID!$A$2:$D$305,3,0)</f>
        <v>IN004</v>
      </c>
      <c r="D520" s="21">
        <v>1</v>
      </c>
      <c r="E520" s="21" t="s">
        <v>341</v>
      </c>
      <c r="F520" s="21" t="s">
        <v>1117</v>
      </c>
      <c r="G520" s="21" t="s">
        <v>3853</v>
      </c>
      <c r="H520" s="88">
        <v>3653</v>
      </c>
      <c r="I520" s="43">
        <v>3734</v>
      </c>
      <c r="J520" s="43">
        <v>3731</v>
      </c>
      <c r="K520" s="21">
        <v>0</v>
      </c>
      <c r="L520" s="43"/>
      <c r="M520" s="43"/>
      <c r="N520" s="43">
        <v>3742</v>
      </c>
      <c r="O520" s="27" t="s">
        <v>3800</v>
      </c>
      <c r="P520" s="194">
        <v>1</v>
      </c>
      <c r="Q520" s="21">
        <v>1</v>
      </c>
      <c r="R520" s="39" t="str">
        <f t="shared" si="103"/>
        <v>-</v>
      </c>
      <c r="S520" s="120">
        <f t="shared" si="104"/>
        <v>2438366</v>
      </c>
      <c r="T520" s="123">
        <v>2537297</v>
      </c>
      <c r="U520" s="123">
        <f>T520-13419-2479-17347-9159-19142-6810</f>
        <v>2468941</v>
      </c>
      <c r="V520" s="123">
        <f t="shared" si="110"/>
        <v>68356</v>
      </c>
      <c r="W520" s="122" t="str">
        <f t="shared" si="109"/>
        <v>1</v>
      </c>
      <c r="X520" s="123">
        <f>Y520+38434+497</f>
        <v>98931</v>
      </c>
      <c r="Y520" s="123">
        <v>60000</v>
      </c>
      <c r="Z520" s="123">
        <f t="shared" si="112"/>
        <v>38931</v>
      </c>
      <c r="AA520" s="122" t="str">
        <f t="shared" si="107"/>
        <v>1</v>
      </c>
      <c r="AB520" s="120">
        <f t="shared" si="95"/>
        <v>60000</v>
      </c>
      <c r="AC520" s="123">
        <v>60000</v>
      </c>
      <c r="AD520" s="123">
        <v>0</v>
      </c>
      <c r="AE520" s="123">
        <v>13419</v>
      </c>
      <c r="AG520" s="151">
        <f t="shared" si="108"/>
        <v>0</v>
      </c>
      <c r="AO520" s="123">
        <v>335735</v>
      </c>
    </row>
    <row r="521" spans="1:41" s="123" customFormat="1" ht="16.2" thickBot="1" x14ac:dyDescent="0.35">
      <c r="A521" s="21">
        <v>74.099999999999994</v>
      </c>
      <c r="B521" s="212" t="s">
        <v>105</v>
      </c>
      <c r="C521" s="31" t="str">
        <f>VLOOKUP((CONCATENATE(B521)),ID!$A$2:$D$305,3,0)</f>
        <v>IN004</v>
      </c>
      <c r="D521" s="21">
        <v>1</v>
      </c>
      <c r="E521" s="21" t="s">
        <v>341</v>
      </c>
      <c r="F521" s="21" t="s">
        <v>1117</v>
      </c>
      <c r="G521" s="21" t="s">
        <v>3853</v>
      </c>
      <c r="H521" s="88">
        <v>4018</v>
      </c>
      <c r="I521" s="43">
        <v>4098</v>
      </c>
      <c r="J521" s="43">
        <v>4095</v>
      </c>
      <c r="K521" s="21">
        <v>0</v>
      </c>
      <c r="L521" s="21"/>
      <c r="M521" s="21"/>
      <c r="N521" s="43">
        <v>4106</v>
      </c>
      <c r="O521" s="27" t="s">
        <v>3800</v>
      </c>
      <c r="P521" s="194">
        <v>1</v>
      </c>
      <c r="Q521" s="21">
        <v>1</v>
      </c>
      <c r="R521" s="39" t="str">
        <f t="shared" si="103"/>
        <v>-</v>
      </c>
      <c r="S521" s="120">
        <f t="shared" si="104"/>
        <v>2379256</v>
      </c>
      <c r="T521" s="123">
        <v>2431165</v>
      </c>
      <c r="U521" s="123">
        <f>T521-339-2370-17200-14851-13718-18814-6579</f>
        <v>2357294</v>
      </c>
      <c r="V521" s="123">
        <f t="shared" si="110"/>
        <v>73871</v>
      </c>
      <c r="W521" s="122" t="str">
        <f t="shared" si="109"/>
        <v>1</v>
      </c>
      <c r="X521" s="123">
        <f>1304+5716+287+44602</f>
        <v>51909</v>
      </c>
      <c r="Y521" s="123">
        <v>0</v>
      </c>
      <c r="Z521" s="123">
        <f t="shared" si="112"/>
        <v>51909</v>
      </c>
      <c r="AA521" s="122" t="str">
        <f t="shared" si="107"/>
        <v>1</v>
      </c>
      <c r="AB521" s="120">
        <f t="shared" si="95"/>
        <v>0</v>
      </c>
      <c r="AC521" s="123">
        <v>0</v>
      </c>
      <c r="AD521" s="123">
        <v>0</v>
      </c>
      <c r="AE521" s="123">
        <v>17200</v>
      </c>
      <c r="AG521" s="151">
        <f t="shared" si="108"/>
        <v>0</v>
      </c>
      <c r="AO521" s="123">
        <v>335735</v>
      </c>
    </row>
    <row r="522" spans="1:41" s="123" customFormat="1" ht="16.2" thickBot="1" x14ac:dyDescent="0.35">
      <c r="A522" s="21">
        <v>74.2</v>
      </c>
      <c r="B522" s="212" t="s">
        <v>105</v>
      </c>
      <c r="C522" s="31" t="str">
        <f>VLOOKUP((CONCATENATE(B522)),ID!$A$2:$D$305,3,0)</f>
        <v>IN004</v>
      </c>
      <c r="D522" s="21">
        <v>1</v>
      </c>
      <c r="E522" s="21" t="s">
        <v>341</v>
      </c>
      <c r="F522" s="21" t="s">
        <v>1117</v>
      </c>
      <c r="G522" s="21" t="s">
        <v>3853</v>
      </c>
      <c r="H522" s="88">
        <v>4383</v>
      </c>
      <c r="I522" s="43">
        <v>4462</v>
      </c>
      <c r="J522" s="43">
        <v>4462</v>
      </c>
      <c r="K522" s="21">
        <v>0</v>
      </c>
      <c r="L522" s="21"/>
      <c r="M522" s="21"/>
      <c r="N522" s="43">
        <v>4470</v>
      </c>
      <c r="O522" s="27" t="s">
        <v>3800</v>
      </c>
      <c r="P522" s="194">
        <v>1</v>
      </c>
      <c r="Q522" s="21">
        <v>1</v>
      </c>
      <c r="R522" s="39" t="str">
        <f t="shared" si="103"/>
        <v>-</v>
      </c>
      <c r="S522" s="120">
        <f t="shared" si="104"/>
        <v>2371652</v>
      </c>
      <c r="T522" s="123">
        <v>2451228</v>
      </c>
      <c r="U522" s="123">
        <f>T522-110-2251-13354-13614-11673-17605-17605</f>
        <v>2375016</v>
      </c>
      <c r="V522" s="123">
        <f t="shared" si="110"/>
        <v>76212</v>
      </c>
      <c r="W522" s="122" t="str">
        <f t="shared" si="109"/>
        <v>1</v>
      </c>
      <c r="X522" s="123">
        <f>38338+452+40723+63</f>
        <v>79576</v>
      </c>
      <c r="Y522" s="123">
        <v>0</v>
      </c>
      <c r="Z522" s="123">
        <f t="shared" si="112"/>
        <v>79576</v>
      </c>
      <c r="AA522" s="122" t="str">
        <f t="shared" si="107"/>
        <v>1</v>
      </c>
      <c r="AB522" s="120">
        <f t="shared" si="95"/>
        <v>0</v>
      </c>
      <c r="AC522" s="123">
        <v>0</v>
      </c>
      <c r="AD522" s="123">
        <v>0</v>
      </c>
      <c r="AE522" s="123">
        <v>13354</v>
      </c>
      <c r="AG522" s="151">
        <f t="shared" si="108"/>
        <v>0</v>
      </c>
      <c r="AO522" s="123">
        <v>335735</v>
      </c>
    </row>
    <row r="523" spans="1:41" s="123" customFormat="1" ht="16.2" thickBot="1" x14ac:dyDescent="0.35">
      <c r="A523" s="21"/>
      <c r="B523" s="212" t="s">
        <v>105</v>
      </c>
      <c r="C523" s="31" t="str">
        <f>VLOOKUP((CONCATENATE(B523)),ID!$A$2:$D$305,3,0)</f>
        <v>IN004</v>
      </c>
      <c r="D523" s="21">
        <v>1</v>
      </c>
      <c r="E523" s="21" t="s">
        <v>341</v>
      </c>
      <c r="F523" s="21" t="s">
        <v>1117</v>
      </c>
      <c r="G523" s="21" t="s">
        <v>3853</v>
      </c>
      <c r="H523" s="88">
        <v>4749</v>
      </c>
      <c r="I523" s="43">
        <v>4826</v>
      </c>
      <c r="J523" s="43">
        <v>4821</v>
      </c>
      <c r="K523" s="21">
        <v>0</v>
      </c>
      <c r="L523" s="21"/>
      <c r="M523" s="21"/>
      <c r="N523" s="43">
        <v>4834</v>
      </c>
      <c r="O523" s="27" t="s">
        <v>3800</v>
      </c>
      <c r="P523" s="194">
        <v>1</v>
      </c>
      <c r="Q523" s="21">
        <v>1</v>
      </c>
      <c r="R523" s="39" t="str">
        <f t="shared" si="103"/>
        <v>-</v>
      </c>
      <c r="S523" s="120">
        <f t="shared" si="104"/>
        <v>2238734</v>
      </c>
      <c r="T523" s="123">
        <v>2328839</v>
      </c>
      <c r="U523" s="123">
        <f>T523-5757-1900-9573-13635-8551-17137-8134</f>
        <v>2264152</v>
      </c>
      <c r="V523" s="123">
        <f t="shared" si="110"/>
        <v>64687</v>
      </c>
      <c r="W523" s="122" t="str">
        <f t="shared" si="109"/>
        <v>1</v>
      </c>
      <c r="X523" s="123">
        <f>21126+292+68687</f>
        <v>90105</v>
      </c>
      <c r="Y523" s="123">
        <v>0</v>
      </c>
      <c r="Z523" s="123">
        <f t="shared" si="112"/>
        <v>90105</v>
      </c>
      <c r="AA523" s="122" t="str">
        <f t="shared" si="107"/>
        <v>1</v>
      </c>
      <c r="AB523" s="120">
        <f t="shared" si="95"/>
        <v>0</v>
      </c>
      <c r="AC523" s="123">
        <v>0</v>
      </c>
      <c r="AD523" s="123">
        <v>0</v>
      </c>
      <c r="AE523" s="123">
        <v>9573</v>
      </c>
      <c r="AG523" s="151">
        <f t="shared" si="108"/>
        <v>0</v>
      </c>
      <c r="AO523" s="123">
        <v>335735</v>
      </c>
    </row>
    <row r="524" spans="1:41" s="123" customFormat="1" ht="16.2" thickBot="1" x14ac:dyDescent="0.35">
      <c r="A524" s="21"/>
      <c r="B524" s="212" t="s">
        <v>105</v>
      </c>
      <c r="C524" s="31" t="str">
        <f>VLOOKUP((CONCATENATE(B524)),ID!$A$2:$D$305,3,0)</f>
        <v>IN004</v>
      </c>
      <c r="D524" s="21">
        <v>1</v>
      </c>
      <c r="E524" s="21" t="s">
        <v>341</v>
      </c>
      <c r="F524" s="21" t="s">
        <v>1117</v>
      </c>
      <c r="G524" s="21" t="s">
        <v>3853</v>
      </c>
      <c r="H524" s="88">
        <v>5114</v>
      </c>
      <c r="I524" s="43"/>
      <c r="J524" s="43">
        <v>5185</v>
      </c>
      <c r="K524" s="21">
        <v>0</v>
      </c>
      <c r="L524" s="21"/>
      <c r="M524" s="21"/>
      <c r="N524" s="43"/>
      <c r="O524" s="27" t="s">
        <v>3800</v>
      </c>
      <c r="P524" s="194">
        <v>1</v>
      </c>
      <c r="Q524" s="21">
        <v>1</v>
      </c>
      <c r="R524" s="39" t="str">
        <f t="shared" si="103"/>
        <v>-</v>
      </c>
      <c r="S524" s="120">
        <f t="shared" si="104"/>
        <v>2229256</v>
      </c>
      <c r="T524" s="123">
        <v>2339256</v>
      </c>
      <c r="U524" s="123">
        <f>T524-200-1799-4882-13812-7074-18148-6999</f>
        <v>2286342</v>
      </c>
      <c r="V524" s="123">
        <f t="shared" si="110"/>
        <v>52914</v>
      </c>
      <c r="W524" s="122" t="str">
        <f t="shared" si="109"/>
        <v>1</v>
      </c>
      <c r="X524" s="123">
        <f>88496+228+21276</f>
        <v>110000</v>
      </c>
      <c r="Y524" s="123">
        <v>0</v>
      </c>
      <c r="Z524" s="123">
        <f t="shared" si="112"/>
        <v>110000</v>
      </c>
      <c r="AA524" s="122" t="str">
        <f t="shared" si="107"/>
        <v>1</v>
      </c>
      <c r="AB524" s="120">
        <f t="shared" si="95"/>
        <v>0</v>
      </c>
      <c r="AC524" s="123">
        <v>0</v>
      </c>
      <c r="AD524" s="123">
        <v>0</v>
      </c>
      <c r="AE524" s="123">
        <v>4882</v>
      </c>
      <c r="AG524" s="151">
        <f t="shared" si="108"/>
        <v>0</v>
      </c>
      <c r="AO524" s="123">
        <v>335735</v>
      </c>
    </row>
    <row r="525" spans="1:41" s="123" customFormat="1" ht="16.2" thickBot="1" x14ac:dyDescent="0.35">
      <c r="A525" s="21"/>
      <c r="B525" s="212" t="s">
        <v>112</v>
      </c>
      <c r="C525" s="31" t="str">
        <f>VLOOKUP((CONCATENATE(B525)),ID!$A$2:$D$305,3,0)</f>
        <v>IN005</v>
      </c>
      <c r="D525" s="21">
        <v>1</v>
      </c>
      <c r="E525" s="21" t="s">
        <v>341</v>
      </c>
      <c r="F525" s="21" t="s">
        <v>1117</v>
      </c>
      <c r="G525" s="21" t="s">
        <v>3853</v>
      </c>
      <c r="H525" s="88">
        <v>3653</v>
      </c>
      <c r="I525" s="43">
        <v>3700</v>
      </c>
      <c r="J525" s="43">
        <v>3700</v>
      </c>
      <c r="K525" s="21">
        <v>1</v>
      </c>
      <c r="L525" s="43">
        <v>3701</v>
      </c>
      <c r="M525" s="43">
        <v>3714</v>
      </c>
      <c r="N525" s="43">
        <v>3714</v>
      </c>
      <c r="O525" s="21" t="s">
        <v>3855</v>
      </c>
      <c r="P525" s="194" t="str">
        <f t="shared" si="111"/>
        <v>1</v>
      </c>
      <c r="Q525" s="21">
        <v>1</v>
      </c>
      <c r="R525" s="39" t="str">
        <f t="shared" si="103"/>
        <v>-</v>
      </c>
      <c r="S525" s="120">
        <f t="shared" si="104"/>
        <v>1647741</v>
      </c>
      <c r="T525" s="123">
        <v>1722245</v>
      </c>
      <c r="U525" s="123">
        <v>1477447</v>
      </c>
      <c r="V525" s="123">
        <f t="shared" si="110"/>
        <v>244798</v>
      </c>
      <c r="W525" s="122" t="str">
        <f t="shared" si="109"/>
        <v>1</v>
      </c>
      <c r="X525" s="123">
        <f>20786+53718</f>
        <v>74504</v>
      </c>
      <c r="Y525" s="123">
        <v>0</v>
      </c>
      <c r="Z525" s="123">
        <f t="shared" si="112"/>
        <v>74504</v>
      </c>
      <c r="AA525" s="122" t="str">
        <f t="shared" si="107"/>
        <v>1</v>
      </c>
      <c r="AB525" s="120">
        <f t="shared" si="95"/>
        <v>0</v>
      </c>
      <c r="AC525" s="123">
        <v>0</v>
      </c>
      <c r="AD525" s="123">
        <v>0</v>
      </c>
      <c r="AE525" s="123">
        <v>36525</v>
      </c>
      <c r="AG525" s="151">
        <f t="shared" si="108"/>
        <v>132665</v>
      </c>
      <c r="AH525" s="123">
        <f>2073925-965475-975573-212+20619</f>
        <v>153284</v>
      </c>
      <c r="AI525" s="123">
        <v>20619</v>
      </c>
      <c r="AJ525" s="123">
        <v>15000</v>
      </c>
      <c r="AK525" s="123">
        <v>212</v>
      </c>
      <c r="AO525" s="123">
        <v>100000</v>
      </c>
    </row>
    <row r="526" spans="1:41" s="123" customFormat="1" ht="16.2" thickBot="1" x14ac:dyDescent="0.35">
      <c r="A526" s="21">
        <v>75.099999999999994</v>
      </c>
      <c r="B526" s="212" t="s">
        <v>112</v>
      </c>
      <c r="C526" s="31" t="str">
        <f>VLOOKUP((CONCATENATE(B526)),ID!$A$2:$D$305,3,0)</f>
        <v>IN005</v>
      </c>
      <c r="D526" s="21">
        <v>1</v>
      </c>
      <c r="E526" s="21" t="s">
        <v>341</v>
      </c>
      <c r="F526" s="21" t="s">
        <v>1117</v>
      </c>
      <c r="G526" s="21" t="s">
        <v>3853</v>
      </c>
      <c r="H526" s="88">
        <v>4018</v>
      </c>
      <c r="I526" s="43">
        <v>4064</v>
      </c>
      <c r="J526" s="43">
        <v>4064</v>
      </c>
      <c r="K526" s="21">
        <v>1</v>
      </c>
      <c r="L526" s="43">
        <v>4065</v>
      </c>
      <c r="M526" s="43">
        <v>4078</v>
      </c>
      <c r="N526" s="43">
        <v>4078</v>
      </c>
      <c r="O526" s="21" t="s">
        <v>3855</v>
      </c>
      <c r="P526" s="194" t="str">
        <f t="shared" si="111"/>
        <v>1</v>
      </c>
      <c r="Q526" s="21">
        <v>1</v>
      </c>
      <c r="R526" s="39" t="str">
        <f t="shared" si="103"/>
        <v>-</v>
      </c>
      <c r="S526" s="120">
        <f t="shared" si="104"/>
        <v>1798617</v>
      </c>
      <c r="T526" s="123">
        <v>1889307</v>
      </c>
      <c r="U526" s="123">
        <v>1618959</v>
      </c>
      <c r="V526" s="123">
        <f t="shared" si="110"/>
        <v>270348</v>
      </c>
      <c r="W526" s="122" t="str">
        <f t="shared" si="109"/>
        <v>1</v>
      </c>
      <c r="X526" s="123">
        <f>71932+18758</f>
        <v>90690</v>
      </c>
      <c r="Z526" s="123">
        <f t="shared" si="112"/>
        <v>90690</v>
      </c>
      <c r="AA526" s="122" t="str">
        <f t="shared" si="107"/>
        <v>1</v>
      </c>
      <c r="AB526" s="120">
        <f t="shared" si="95"/>
        <v>0</v>
      </c>
      <c r="AC526" s="123">
        <v>0</v>
      </c>
      <c r="AD526" s="123">
        <v>0</v>
      </c>
      <c r="AE526" s="123">
        <v>22731</v>
      </c>
      <c r="AG526" s="151">
        <f t="shared" si="108"/>
        <v>182690</v>
      </c>
      <c r="AH526" s="123">
        <f>2363040-1048139-1131992+24860-AK526</f>
        <v>207550</v>
      </c>
      <c r="AI526" s="123">
        <v>24860</v>
      </c>
      <c r="AJ526" s="123">
        <v>15000</v>
      </c>
      <c r="AK526" s="123">
        <v>219</v>
      </c>
      <c r="AO526" s="123">
        <v>100000</v>
      </c>
    </row>
    <row r="527" spans="1:41" s="123" customFormat="1" ht="16.2" thickBot="1" x14ac:dyDescent="0.35">
      <c r="A527" s="21">
        <v>75.2</v>
      </c>
      <c r="B527" s="212" t="s">
        <v>112</v>
      </c>
      <c r="C527" s="31" t="str">
        <f>VLOOKUP((CONCATENATE(B527)),ID!$A$2:$D$305,3,0)</f>
        <v>IN005</v>
      </c>
      <c r="D527" s="21">
        <v>1</v>
      </c>
      <c r="E527" s="21" t="s">
        <v>341</v>
      </c>
      <c r="F527" s="21" t="s">
        <v>1117</v>
      </c>
      <c r="G527" s="21" t="s">
        <v>3853</v>
      </c>
      <c r="H527" s="88">
        <v>4383</v>
      </c>
      <c r="I527" s="43">
        <v>4435</v>
      </c>
      <c r="J527" s="43">
        <v>4435</v>
      </c>
      <c r="K527" s="21">
        <v>1</v>
      </c>
      <c r="L527" s="43">
        <v>4436</v>
      </c>
      <c r="M527" s="43">
        <v>4449</v>
      </c>
      <c r="N527" s="43">
        <v>4449</v>
      </c>
      <c r="O527" s="21" t="s">
        <v>3855</v>
      </c>
      <c r="P527" s="194" t="str">
        <f t="shared" si="111"/>
        <v>1</v>
      </c>
      <c r="Q527" s="21">
        <v>1</v>
      </c>
      <c r="R527" s="39" t="str">
        <f t="shared" si="103"/>
        <v>-</v>
      </c>
      <c r="S527" s="120">
        <f t="shared" si="104"/>
        <v>1931570</v>
      </c>
      <c r="T527" s="123">
        <v>2024194</v>
      </c>
      <c r="U527" s="123">
        <v>1691060</v>
      </c>
      <c r="V527" s="123">
        <f t="shared" si="110"/>
        <v>333134</v>
      </c>
      <c r="W527" s="122" t="str">
        <f t="shared" si="109"/>
        <v>1</v>
      </c>
      <c r="X527" s="123">
        <f>76629+15995</f>
        <v>92624</v>
      </c>
      <c r="Z527" s="123">
        <f t="shared" si="112"/>
        <v>92624</v>
      </c>
      <c r="AA527" s="122" t="str">
        <f t="shared" si="107"/>
        <v>1</v>
      </c>
      <c r="AB527" s="120">
        <f t="shared" si="95"/>
        <v>0</v>
      </c>
      <c r="AC527" s="123">
        <v>0</v>
      </c>
      <c r="AD527" s="123">
        <v>0</v>
      </c>
      <c r="AE527" s="123">
        <v>40715</v>
      </c>
      <c r="AG527" s="151">
        <f t="shared" si="108"/>
        <v>173111</v>
      </c>
      <c r="AH527" s="123">
        <f>2654952-1175828-1305787+AI527-AK527</f>
        <v>201989</v>
      </c>
      <c r="AI527" s="123">
        <v>28878</v>
      </c>
      <c r="AJ527" s="123">
        <v>20000</v>
      </c>
      <c r="AK527" s="123">
        <v>226</v>
      </c>
      <c r="AO527" s="123">
        <v>100000</v>
      </c>
    </row>
    <row r="528" spans="1:41" s="123" customFormat="1" ht="16.2" thickBot="1" x14ac:dyDescent="0.35">
      <c r="A528" s="21"/>
      <c r="B528" s="212" t="s">
        <v>112</v>
      </c>
      <c r="C528" s="31" t="str">
        <f>VLOOKUP((CONCATENATE(B528)),ID!$A$2:$D$305,3,0)</f>
        <v>IN005</v>
      </c>
      <c r="D528" s="21">
        <v>1</v>
      </c>
      <c r="E528" s="21" t="s">
        <v>341</v>
      </c>
      <c r="F528" s="21" t="s">
        <v>1117</v>
      </c>
      <c r="G528" s="21" t="s">
        <v>3853</v>
      </c>
      <c r="H528" s="88">
        <v>4749</v>
      </c>
      <c r="I528" s="43">
        <v>4792</v>
      </c>
      <c r="J528" s="43">
        <v>4799</v>
      </c>
      <c r="K528" s="21">
        <v>1</v>
      </c>
      <c r="L528" s="43">
        <v>4807</v>
      </c>
      <c r="M528" s="43">
        <v>4820</v>
      </c>
      <c r="N528" s="43">
        <v>4820</v>
      </c>
      <c r="O528" s="21" t="s">
        <v>3855</v>
      </c>
      <c r="P528" s="194" t="str">
        <f t="shared" si="111"/>
        <v>1</v>
      </c>
      <c r="Q528" s="21">
        <v>1</v>
      </c>
      <c r="R528" s="39" t="str">
        <f t="shared" si="103"/>
        <v>-</v>
      </c>
      <c r="S528" s="120">
        <f t="shared" si="104"/>
        <v>2135305</v>
      </c>
      <c r="T528" s="123">
        <v>2255069</v>
      </c>
      <c r="U528" s="123">
        <v>1757265</v>
      </c>
      <c r="V528" s="123">
        <f t="shared" si="110"/>
        <v>497804</v>
      </c>
      <c r="W528" s="122" t="str">
        <f t="shared" si="109"/>
        <v>1</v>
      </c>
      <c r="X528" s="123">
        <f>102012+17752</f>
        <v>119764</v>
      </c>
      <c r="Z528" s="123">
        <f t="shared" si="112"/>
        <v>119764</v>
      </c>
      <c r="AA528" s="122" t="str">
        <f t="shared" si="107"/>
        <v>1</v>
      </c>
      <c r="AB528" s="120">
        <f t="shared" si="95"/>
        <v>0</v>
      </c>
      <c r="AC528" s="123">
        <v>0</v>
      </c>
      <c r="AD528" s="123">
        <v>0</v>
      </c>
      <c r="AE528" s="123">
        <v>65946</v>
      </c>
      <c r="AG528" s="151">
        <f t="shared" si="108"/>
        <v>356259</v>
      </c>
      <c r="AH528" s="123">
        <f>3094870-1288939-AK528+AI528-154-1449285</f>
        <v>389527</v>
      </c>
      <c r="AI528" s="123">
        <v>33268</v>
      </c>
      <c r="AJ528" s="123">
        <v>20000</v>
      </c>
      <c r="AK528" s="123">
        <v>233</v>
      </c>
      <c r="AO528" s="123">
        <v>100000</v>
      </c>
    </row>
    <row r="529" spans="1:41" s="123" customFormat="1" ht="16.2" thickBot="1" x14ac:dyDescent="0.35">
      <c r="A529" s="21"/>
      <c r="B529" s="212" t="s">
        <v>112</v>
      </c>
      <c r="C529" s="31" t="str">
        <f>VLOOKUP((CONCATENATE(B529)),ID!$A$2:$D$305,3,0)</f>
        <v>IN005</v>
      </c>
      <c r="D529" s="21">
        <v>1</v>
      </c>
      <c r="E529" s="21" t="s">
        <v>341</v>
      </c>
      <c r="F529" s="21" t="s">
        <v>1117</v>
      </c>
      <c r="G529" s="21" t="s">
        <v>3853</v>
      </c>
      <c r="H529" s="88">
        <v>5114</v>
      </c>
      <c r="I529" s="43">
        <v>5170</v>
      </c>
      <c r="J529" s="43">
        <v>5170</v>
      </c>
      <c r="K529" s="21">
        <v>1</v>
      </c>
      <c r="L529" s="43">
        <v>5171</v>
      </c>
      <c r="M529" s="43">
        <v>5184</v>
      </c>
      <c r="N529" s="43">
        <v>5184</v>
      </c>
      <c r="O529" s="21" t="s">
        <v>3855</v>
      </c>
      <c r="P529" s="194" t="str">
        <f t="shared" si="111"/>
        <v>1</v>
      </c>
      <c r="Q529" s="21">
        <v>1</v>
      </c>
      <c r="R529" s="39" t="str">
        <f t="shared" si="103"/>
        <v>-</v>
      </c>
      <c r="S529" s="120">
        <f t="shared" si="104"/>
        <v>2248876</v>
      </c>
      <c r="T529" s="123">
        <v>2356850</v>
      </c>
      <c r="U529" s="123">
        <v>1869554</v>
      </c>
      <c r="V529" s="123">
        <f t="shared" si="110"/>
        <v>487296</v>
      </c>
      <c r="W529" s="122" t="str">
        <f t="shared" si="109"/>
        <v>1</v>
      </c>
      <c r="X529" s="123">
        <f>19547+88427</f>
        <v>107974</v>
      </c>
      <c r="Z529" s="123">
        <f t="shared" si="112"/>
        <v>107974</v>
      </c>
      <c r="AA529" s="122" t="str">
        <f t="shared" si="107"/>
        <v>1</v>
      </c>
      <c r="AB529" s="120">
        <f t="shared" si="95"/>
        <v>0</v>
      </c>
      <c r="AC529" s="123">
        <v>0</v>
      </c>
      <c r="AD529" s="123">
        <v>0</v>
      </c>
      <c r="AE529" s="123">
        <v>99908</v>
      </c>
      <c r="AG529" s="151">
        <f t="shared" si="108"/>
        <v>156343</v>
      </c>
      <c r="AH529" s="123">
        <f>3295900-1478197-1661360+AI529</f>
        <v>195925</v>
      </c>
      <c r="AI529" s="123">
        <v>39582</v>
      </c>
      <c r="AJ529" s="123">
        <v>25000</v>
      </c>
      <c r="AK529" s="123">
        <v>0</v>
      </c>
      <c r="AO529" s="123">
        <v>100000</v>
      </c>
    </row>
    <row r="530" spans="1:41" s="123" customFormat="1" ht="16.2" thickBot="1" x14ac:dyDescent="0.35">
      <c r="A530" s="21"/>
      <c r="B530" s="212" t="s">
        <v>116</v>
      </c>
      <c r="C530" s="31" t="str">
        <f>VLOOKUP((CONCATENATE(B530)),ID!$A$2:$D$305,3,0)</f>
        <v>IN006</v>
      </c>
      <c r="D530" s="21">
        <v>1</v>
      </c>
      <c r="E530" s="21" t="s">
        <v>341</v>
      </c>
      <c r="F530" s="21" t="s">
        <v>1117</v>
      </c>
      <c r="G530" s="21" t="s">
        <v>3853</v>
      </c>
      <c r="H530" s="88">
        <v>3653</v>
      </c>
      <c r="I530" s="43">
        <v>3702</v>
      </c>
      <c r="J530" s="43">
        <v>3694</v>
      </c>
      <c r="K530" s="21">
        <v>0</v>
      </c>
      <c r="L530" s="43"/>
      <c r="M530" s="43"/>
      <c r="N530" s="43">
        <v>3719</v>
      </c>
      <c r="O530" s="21" t="s">
        <v>4054</v>
      </c>
      <c r="P530" s="194">
        <v>0</v>
      </c>
      <c r="Q530" s="21">
        <v>1</v>
      </c>
      <c r="R530" s="39" t="str">
        <f t="shared" si="103"/>
        <v>-</v>
      </c>
      <c r="S530" s="120">
        <f t="shared" si="104"/>
        <v>4716216</v>
      </c>
      <c r="T530" s="123">
        <v>4791042</v>
      </c>
      <c r="U530" s="123">
        <f>T530-6784-20695-41656</f>
        <v>4721907</v>
      </c>
      <c r="V530" s="123">
        <f t="shared" si="110"/>
        <v>69135</v>
      </c>
      <c r="W530" s="122" t="str">
        <f t="shared" si="109"/>
        <v>1</v>
      </c>
      <c r="X530" s="123">
        <f>T530-4716216</f>
        <v>74826</v>
      </c>
      <c r="Z530" s="123">
        <f t="shared" si="112"/>
        <v>74826</v>
      </c>
      <c r="AA530" s="122" t="str">
        <f t="shared" si="107"/>
        <v>1</v>
      </c>
      <c r="AB530" s="120">
        <f t="shared" si="95"/>
        <v>15000</v>
      </c>
      <c r="AC530" s="123">
        <v>15000</v>
      </c>
      <c r="AD530" s="123">
        <v>0</v>
      </c>
      <c r="AG530" s="151">
        <v>4716216</v>
      </c>
    </row>
    <row r="531" spans="1:41" s="123" customFormat="1" ht="16.2" thickBot="1" x14ac:dyDescent="0.35">
      <c r="A531" s="21">
        <v>76.099999999999994</v>
      </c>
      <c r="B531" s="212" t="s">
        <v>116</v>
      </c>
      <c r="C531" s="31" t="str">
        <f>VLOOKUP((CONCATENATE(B531)),ID!$A$2:$D$305,3,0)</f>
        <v>IN006</v>
      </c>
      <c r="D531" s="21">
        <v>1</v>
      </c>
      <c r="E531" s="21" t="s">
        <v>341</v>
      </c>
      <c r="F531" s="21" t="s">
        <v>1117</v>
      </c>
      <c r="G531" s="21" t="s">
        <v>3853</v>
      </c>
      <c r="H531" s="88">
        <v>4018</v>
      </c>
      <c r="I531" s="43">
        <v>4080</v>
      </c>
      <c r="J531" s="43">
        <v>4065</v>
      </c>
      <c r="K531" s="21">
        <v>0</v>
      </c>
      <c r="L531" s="21"/>
      <c r="M531" s="21"/>
      <c r="N531" s="43">
        <v>4097</v>
      </c>
      <c r="O531" s="21" t="s">
        <v>4054</v>
      </c>
      <c r="P531" s="194">
        <v>1</v>
      </c>
      <c r="Q531" s="21">
        <v>1</v>
      </c>
      <c r="R531" s="39" t="str">
        <f t="shared" si="103"/>
        <v>-</v>
      </c>
      <c r="S531" s="120">
        <f t="shared" si="104"/>
        <v>4752902</v>
      </c>
      <c r="T531" s="123">
        <v>4861457</v>
      </c>
      <c r="U531" s="123">
        <f>T531-5868-17800-38110</f>
        <v>4799679</v>
      </c>
      <c r="V531" s="123">
        <f t="shared" si="110"/>
        <v>61778</v>
      </c>
      <c r="W531" s="122" t="str">
        <f t="shared" si="109"/>
        <v>1</v>
      </c>
      <c r="X531" s="123">
        <f>T531-4752902</f>
        <v>108555</v>
      </c>
      <c r="Z531" s="123">
        <f t="shared" si="112"/>
        <v>108555</v>
      </c>
      <c r="AA531" s="122" t="str">
        <f t="shared" si="107"/>
        <v>1</v>
      </c>
      <c r="AB531" s="120">
        <f t="shared" si="95"/>
        <v>61000</v>
      </c>
      <c r="AC531" s="123">
        <v>61000</v>
      </c>
      <c r="AD531" s="123">
        <v>0</v>
      </c>
      <c r="AG531" s="151">
        <v>4752902</v>
      </c>
      <c r="AH531" s="132"/>
    </row>
    <row r="532" spans="1:41" s="123" customFormat="1" ht="16.2" thickBot="1" x14ac:dyDescent="0.35">
      <c r="A532" s="21">
        <v>76.2</v>
      </c>
      <c r="B532" s="212" t="s">
        <v>116</v>
      </c>
      <c r="C532" s="31" t="str">
        <f>VLOOKUP((CONCATENATE(B532)),ID!$A$2:$D$305,3,0)</f>
        <v>IN006</v>
      </c>
      <c r="D532" s="21">
        <v>1</v>
      </c>
      <c r="E532" s="21" t="s">
        <v>341</v>
      </c>
      <c r="F532" s="21" t="s">
        <v>1117</v>
      </c>
      <c r="G532" s="21" t="s">
        <v>3853</v>
      </c>
      <c r="H532" s="88">
        <v>4383</v>
      </c>
      <c r="I532" s="43">
        <v>4444</v>
      </c>
      <c r="J532" s="43">
        <v>4429</v>
      </c>
      <c r="K532" s="21">
        <v>0</v>
      </c>
      <c r="L532" s="21"/>
      <c r="M532" s="21"/>
      <c r="N532" s="43">
        <v>4461</v>
      </c>
      <c r="O532" s="21" t="s">
        <v>3856</v>
      </c>
      <c r="P532" s="194">
        <v>1</v>
      </c>
      <c r="Q532" s="21">
        <v>1</v>
      </c>
      <c r="R532" s="39" t="str">
        <f t="shared" si="103"/>
        <v>-</v>
      </c>
      <c r="S532" s="120">
        <f t="shared" si="104"/>
        <v>4874492</v>
      </c>
      <c r="T532" s="123">
        <v>4964654</v>
      </c>
      <c r="U532" s="123">
        <f>T532-50280-18478-37709</f>
        <v>4858187</v>
      </c>
      <c r="V532" s="123">
        <f t="shared" si="110"/>
        <v>106467</v>
      </c>
      <c r="W532" s="122" t="str">
        <f t="shared" si="109"/>
        <v>1</v>
      </c>
      <c r="X532" s="123">
        <f>T532-4874492</f>
        <v>90162</v>
      </c>
      <c r="Z532" s="123">
        <f t="shared" si="112"/>
        <v>90162</v>
      </c>
      <c r="AA532" s="122" t="str">
        <f t="shared" si="107"/>
        <v>1</v>
      </c>
      <c r="AB532" s="120">
        <f t="shared" si="95"/>
        <v>0</v>
      </c>
      <c r="AC532" s="123">
        <v>0</v>
      </c>
      <c r="AD532" s="123">
        <v>0</v>
      </c>
      <c r="AG532" s="151">
        <v>4874492</v>
      </c>
    </row>
    <row r="533" spans="1:41" s="123" customFormat="1" ht="16.2" thickBot="1" x14ac:dyDescent="0.35">
      <c r="A533" s="21"/>
      <c r="B533" s="212" t="s">
        <v>116</v>
      </c>
      <c r="C533" s="31" t="str">
        <f>VLOOKUP((CONCATENATE(B533)),ID!$A$2:$D$305,3,0)</f>
        <v>IN006</v>
      </c>
      <c r="D533" s="21">
        <v>1</v>
      </c>
      <c r="E533" s="21" t="s">
        <v>341</v>
      </c>
      <c r="F533" s="21" t="s">
        <v>1117</v>
      </c>
      <c r="G533" s="21" t="s">
        <v>3853</v>
      </c>
      <c r="H533" s="88">
        <v>4749</v>
      </c>
      <c r="I533" s="43">
        <v>4799</v>
      </c>
      <c r="J533" s="43">
        <v>4793</v>
      </c>
      <c r="K533" s="21">
        <v>0</v>
      </c>
      <c r="L533" s="21"/>
      <c r="M533" s="21"/>
      <c r="N533" s="43">
        <v>4818</v>
      </c>
      <c r="O533" s="21" t="s">
        <v>3856</v>
      </c>
      <c r="P533" s="194">
        <v>1</v>
      </c>
      <c r="Q533" s="21">
        <v>1</v>
      </c>
      <c r="R533" s="39" t="str">
        <f t="shared" si="103"/>
        <v>-</v>
      </c>
      <c r="S533" s="120">
        <f t="shared" si="104"/>
        <v>5022634</v>
      </c>
      <c r="T533" s="123">
        <v>5269586</v>
      </c>
      <c r="U533" s="123">
        <f>T533-6819-23288-38990</f>
        <v>5200489</v>
      </c>
      <c r="V533" s="123">
        <f t="shared" si="110"/>
        <v>69097</v>
      </c>
      <c r="W533" s="122" t="str">
        <f t="shared" si="109"/>
        <v>1</v>
      </c>
      <c r="X533" s="123">
        <f>T533-AG533</f>
        <v>246952</v>
      </c>
      <c r="Z533" s="123">
        <f t="shared" si="112"/>
        <v>246952</v>
      </c>
      <c r="AA533" s="122" t="str">
        <f t="shared" si="107"/>
        <v>1</v>
      </c>
      <c r="AB533" s="120">
        <f t="shared" si="95"/>
        <v>190000</v>
      </c>
      <c r="AC533" s="123">
        <v>190000</v>
      </c>
      <c r="AD533" s="123">
        <v>0</v>
      </c>
      <c r="AG533" s="151">
        <v>5022634</v>
      </c>
    </row>
    <row r="534" spans="1:41" s="123" customFormat="1" ht="16.2" thickBot="1" x14ac:dyDescent="0.35">
      <c r="A534" s="21"/>
      <c r="B534" s="212" t="s">
        <v>116</v>
      </c>
      <c r="C534" s="31" t="str">
        <f>VLOOKUP((CONCATENATE(B534)),ID!$A$2:$D$305,3,0)</f>
        <v>IN006</v>
      </c>
      <c r="D534" s="21">
        <v>1</v>
      </c>
      <c r="E534" s="21" t="s">
        <v>341</v>
      </c>
      <c r="F534" s="21" t="s">
        <v>1117</v>
      </c>
      <c r="G534" s="21" t="s">
        <v>3853</v>
      </c>
      <c r="H534" s="88">
        <v>5114</v>
      </c>
      <c r="I534" s="43">
        <v>5165</v>
      </c>
      <c r="J534" s="43">
        <v>5157</v>
      </c>
      <c r="K534" s="21">
        <v>0</v>
      </c>
      <c r="L534" s="21"/>
      <c r="M534" s="21"/>
      <c r="N534" s="43">
        <v>5182</v>
      </c>
      <c r="O534" s="21" t="s">
        <v>3856</v>
      </c>
      <c r="P534" s="194">
        <v>1</v>
      </c>
      <c r="Q534" s="21">
        <v>1</v>
      </c>
      <c r="R534" s="39" t="str">
        <f t="shared" si="103"/>
        <v>-</v>
      </c>
      <c r="S534" s="120">
        <f t="shared" si="104"/>
        <v>5172520</v>
      </c>
      <c r="T534" s="123">
        <v>5282109</v>
      </c>
      <c r="U534" s="123">
        <f>T534-7088-23970-36817</f>
        <v>5214234</v>
      </c>
      <c r="V534" s="123">
        <f t="shared" si="110"/>
        <v>67875</v>
      </c>
      <c r="W534" s="122" t="str">
        <f t="shared" si="109"/>
        <v>1</v>
      </c>
      <c r="X534" s="123">
        <f>T534-AG534</f>
        <v>109589</v>
      </c>
      <c r="Z534" s="123">
        <f t="shared" si="112"/>
        <v>109589</v>
      </c>
      <c r="AA534" s="122" t="str">
        <f t="shared" si="107"/>
        <v>1</v>
      </c>
      <c r="AB534" s="120">
        <f t="shared" si="95"/>
        <v>41000</v>
      </c>
      <c r="AC534" s="123">
        <v>41000</v>
      </c>
      <c r="AD534" s="123">
        <v>0</v>
      </c>
      <c r="AG534" s="151">
        <v>5172520</v>
      </c>
    </row>
    <row r="535" spans="1:41" s="123" customFormat="1" ht="16.2" thickBot="1" x14ac:dyDescent="0.35">
      <c r="A535" s="21"/>
      <c r="B535" s="212" t="s">
        <v>126</v>
      </c>
      <c r="C535" s="31" t="str">
        <f>VLOOKUP((CONCATENATE(B535)),ID!$A$2:$D$305,3,0)</f>
        <v>IN007</v>
      </c>
      <c r="D535" s="21">
        <v>1</v>
      </c>
      <c r="E535" s="21" t="s">
        <v>341</v>
      </c>
      <c r="F535" s="21" t="s">
        <v>1117</v>
      </c>
      <c r="G535" s="21" t="s">
        <v>3853</v>
      </c>
      <c r="H535" s="88">
        <v>3653</v>
      </c>
      <c r="I535" s="43">
        <v>3764</v>
      </c>
      <c r="J535" s="43">
        <v>3764</v>
      </c>
      <c r="K535" s="21">
        <v>1</v>
      </c>
      <c r="L535" s="43">
        <v>3764</v>
      </c>
      <c r="M535" s="43">
        <v>3773</v>
      </c>
      <c r="N535" s="43">
        <v>3773</v>
      </c>
      <c r="O535" s="21" t="s">
        <v>4101</v>
      </c>
      <c r="P535" s="194" t="str">
        <f t="shared" si="111"/>
        <v>1</v>
      </c>
      <c r="Q535" s="21">
        <v>1</v>
      </c>
      <c r="R535" s="39" t="str">
        <f t="shared" si="103"/>
        <v>-</v>
      </c>
      <c r="S535" s="120">
        <f t="shared" si="104"/>
        <v>1047411</v>
      </c>
      <c r="T535" s="123">
        <v>1258185</v>
      </c>
      <c r="U535" s="123">
        <f>915692+26301+20936</f>
        <v>962929</v>
      </c>
      <c r="V535" s="123">
        <f t="shared" si="110"/>
        <v>295256</v>
      </c>
      <c r="W535" s="122" t="str">
        <f t="shared" si="109"/>
        <v>1</v>
      </c>
      <c r="X535" s="123">
        <f>210774</f>
        <v>210774</v>
      </c>
      <c r="Y535" s="123">
        <f>AB535</f>
        <v>121832</v>
      </c>
      <c r="Z535" s="123">
        <f t="shared" si="112"/>
        <v>88942</v>
      </c>
      <c r="AA535" s="122" t="str">
        <f t="shared" si="107"/>
        <v>1</v>
      </c>
      <c r="AB535" s="120">
        <f t="shared" si="95"/>
        <v>121832</v>
      </c>
      <c r="AC535" s="123">
        <v>0</v>
      </c>
      <c r="AD535" s="123">
        <v>121832</v>
      </c>
      <c r="AG535" s="153">
        <f t="shared" si="108"/>
        <v>26454</v>
      </c>
      <c r="AH535" s="138">
        <f>43471-9118-AK535-31</f>
        <v>29954</v>
      </c>
      <c r="AI535" s="138">
        <v>3500</v>
      </c>
      <c r="AJ535" s="138">
        <v>10692</v>
      </c>
      <c r="AK535" s="138">
        <v>4368</v>
      </c>
      <c r="AL535" s="138"/>
      <c r="AM535" s="138"/>
      <c r="AN535" s="138"/>
      <c r="AO535" s="123">
        <v>172586</v>
      </c>
    </row>
    <row r="536" spans="1:41" s="123" customFormat="1" ht="16.2" thickBot="1" x14ac:dyDescent="0.35">
      <c r="A536" s="21">
        <v>77.099999999999994</v>
      </c>
      <c r="B536" s="212" t="s">
        <v>126</v>
      </c>
      <c r="C536" s="31" t="str">
        <f>VLOOKUP((CONCATENATE(B536)),ID!$A$2:$D$305,3,0)</f>
        <v>IN007</v>
      </c>
      <c r="D536" s="21">
        <v>1</v>
      </c>
      <c r="E536" s="21" t="s">
        <v>341</v>
      </c>
      <c r="F536" s="21" t="s">
        <v>1117</v>
      </c>
      <c r="G536" s="21" t="s">
        <v>3853</v>
      </c>
      <c r="H536" s="88">
        <v>4018</v>
      </c>
      <c r="I536" s="43">
        <v>4128</v>
      </c>
      <c r="J536" s="43">
        <v>4128</v>
      </c>
      <c r="K536" s="21">
        <v>1</v>
      </c>
      <c r="L536" s="43">
        <v>4128</v>
      </c>
      <c r="M536" s="43">
        <v>4137</v>
      </c>
      <c r="N536" s="43">
        <v>4137</v>
      </c>
      <c r="O536" s="21" t="s">
        <v>3857</v>
      </c>
      <c r="P536" s="194" t="str">
        <f t="shared" si="111"/>
        <v>1</v>
      </c>
      <c r="Q536" s="21">
        <v>1</v>
      </c>
      <c r="R536" s="39" t="str">
        <f t="shared" si="103"/>
        <v>-</v>
      </c>
      <c r="S536" s="120">
        <f t="shared" si="104"/>
        <v>1239172</v>
      </c>
      <c r="T536" s="123">
        <v>1318679</v>
      </c>
      <c r="U536" s="123">
        <f>972377+27606</f>
        <v>999983</v>
      </c>
      <c r="V536" s="123">
        <f t="shared" si="110"/>
        <v>318696</v>
      </c>
      <c r="W536" s="122" t="str">
        <f t="shared" si="109"/>
        <v>1</v>
      </c>
      <c r="X536" s="123">
        <f>24575+54532+400</f>
        <v>79507</v>
      </c>
      <c r="Z536" s="123">
        <f t="shared" si="112"/>
        <v>79507</v>
      </c>
      <c r="AA536" s="122" t="str">
        <f t="shared" si="107"/>
        <v>1</v>
      </c>
      <c r="AB536" s="120">
        <f t="shared" si="95"/>
        <v>0</v>
      </c>
      <c r="AC536" s="123">
        <v>0</v>
      </c>
      <c r="AD536" s="123">
        <v>0</v>
      </c>
      <c r="AE536" s="123">
        <v>49725</v>
      </c>
      <c r="AG536" s="151">
        <f t="shared" si="108"/>
        <v>34268</v>
      </c>
      <c r="AH536" s="123">
        <f>42965+AI536-8697</f>
        <v>36793</v>
      </c>
      <c r="AI536" s="123">
        <v>2525</v>
      </c>
      <c r="AJ536" s="123">
        <v>11249</v>
      </c>
      <c r="AK536" s="123">
        <v>6132</v>
      </c>
      <c r="AO536" s="123">
        <v>199996</v>
      </c>
    </row>
    <row r="537" spans="1:41" s="123" customFormat="1" ht="16.2" thickBot="1" x14ac:dyDescent="0.35">
      <c r="A537" s="21">
        <v>77.2</v>
      </c>
      <c r="B537" s="212" t="s">
        <v>126</v>
      </c>
      <c r="C537" s="31" t="str">
        <f>VLOOKUP((CONCATENATE(B537)),ID!$A$2:$D$305,3,0)</f>
        <v>IN007</v>
      </c>
      <c r="D537" s="21">
        <v>1</v>
      </c>
      <c r="E537" s="21" t="s">
        <v>341</v>
      </c>
      <c r="F537" s="21" t="s">
        <v>1117</v>
      </c>
      <c r="G537" s="21" t="s">
        <v>3853</v>
      </c>
      <c r="H537" s="88">
        <v>4383</v>
      </c>
      <c r="I537" s="43">
        <v>4493</v>
      </c>
      <c r="J537" s="43">
        <v>4491</v>
      </c>
      <c r="K537" s="21">
        <v>1</v>
      </c>
      <c r="L537" s="43">
        <v>4493</v>
      </c>
      <c r="M537" s="43">
        <v>4503</v>
      </c>
      <c r="N537" s="43">
        <v>4503</v>
      </c>
      <c r="O537" s="21" t="s">
        <v>3857</v>
      </c>
      <c r="P537" s="194" t="str">
        <f t="shared" si="111"/>
        <v>1</v>
      </c>
      <c r="Q537" s="21">
        <v>1</v>
      </c>
      <c r="R537" s="39" t="str">
        <f t="shared" si="103"/>
        <v>-</v>
      </c>
      <c r="S537" s="120">
        <f t="shared" si="104"/>
        <v>1381646</v>
      </c>
      <c r="T537" s="123">
        <v>1472610</v>
      </c>
      <c r="U537" s="123">
        <f>1066726+28469</f>
        <v>1095195</v>
      </c>
      <c r="V537" s="123">
        <f t="shared" si="110"/>
        <v>377415</v>
      </c>
      <c r="W537" s="122" t="str">
        <f t="shared" si="109"/>
        <v>1</v>
      </c>
      <c r="X537" s="123">
        <f>T537-1381646</f>
        <v>90964</v>
      </c>
      <c r="Z537" s="123">
        <f t="shared" si="112"/>
        <v>90964</v>
      </c>
      <c r="AA537" s="122" t="str">
        <f t="shared" si="107"/>
        <v>1</v>
      </c>
      <c r="AB537" s="120">
        <f t="shared" si="95"/>
        <v>0</v>
      </c>
      <c r="AC537" s="123">
        <v>0</v>
      </c>
      <c r="AD537" s="123">
        <v>0</v>
      </c>
      <c r="AE537" s="123">
        <v>78196</v>
      </c>
      <c r="AG537" s="151">
        <f t="shared" si="108"/>
        <v>20932</v>
      </c>
      <c r="AH537" s="123">
        <f>28898-7966+AL537</f>
        <v>20932</v>
      </c>
      <c r="AJ537" s="123">
        <v>12499</v>
      </c>
      <c r="AK537" s="123">
        <v>4005</v>
      </c>
      <c r="AO537" s="123">
        <f>199996+108668</f>
        <v>308664</v>
      </c>
    </row>
    <row r="538" spans="1:41" s="123" customFormat="1" ht="16.2" thickBot="1" x14ac:dyDescent="0.35">
      <c r="A538" s="21"/>
      <c r="B538" s="212" t="s">
        <v>126</v>
      </c>
      <c r="C538" s="31" t="str">
        <f>VLOOKUP((CONCATENATE(B538)),ID!$A$2:$D$305,3,0)</f>
        <v>IN007</v>
      </c>
      <c r="D538" s="21">
        <v>1</v>
      </c>
      <c r="E538" s="21" t="s">
        <v>341</v>
      </c>
      <c r="F538" s="21" t="s">
        <v>1117</v>
      </c>
      <c r="G538" s="21" t="s">
        <v>3853</v>
      </c>
      <c r="H538" s="88">
        <v>4749</v>
      </c>
      <c r="I538" s="43">
        <v>4857</v>
      </c>
      <c r="J538" s="43">
        <v>4856</v>
      </c>
      <c r="K538" s="21">
        <v>1</v>
      </c>
      <c r="L538" s="43">
        <v>4857</v>
      </c>
      <c r="M538" s="43">
        <v>4867</v>
      </c>
      <c r="N538" s="43">
        <v>4867</v>
      </c>
      <c r="O538" s="21" t="s">
        <v>3857</v>
      </c>
      <c r="P538" s="194" t="str">
        <f t="shared" si="111"/>
        <v>1</v>
      </c>
      <c r="Q538" s="21">
        <v>1</v>
      </c>
      <c r="R538" s="39" t="str">
        <f t="shared" ref="R538:R601" si="113">IF(Q538=0,"?","-")</f>
        <v>-</v>
      </c>
      <c r="S538" s="120">
        <f t="shared" ref="S538:S601" si="114">T538-X538</f>
        <v>1498432</v>
      </c>
      <c r="T538" s="123">
        <v>1611789</v>
      </c>
      <c r="U538" s="123">
        <f>1179887+30611</f>
        <v>1210498</v>
      </c>
      <c r="V538" s="123">
        <f t="shared" si="110"/>
        <v>401291</v>
      </c>
      <c r="W538" s="122" t="str">
        <f t="shared" si="109"/>
        <v>1</v>
      </c>
      <c r="X538" s="123">
        <f>T538-1498432</f>
        <v>113357</v>
      </c>
      <c r="Z538" s="123">
        <f t="shared" si="112"/>
        <v>113357</v>
      </c>
      <c r="AA538" s="122" t="str">
        <f t="shared" si="107"/>
        <v>1</v>
      </c>
      <c r="AB538" s="120">
        <f t="shared" si="95"/>
        <v>0</v>
      </c>
      <c r="AC538" s="123">
        <v>0</v>
      </c>
      <c r="AD538" s="123">
        <v>0</v>
      </c>
      <c r="AE538" s="123">
        <v>36213</v>
      </c>
      <c r="AG538" s="151">
        <f t="shared" si="108"/>
        <v>50814</v>
      </c>
      <c r="AH538" s="123">
        <f>52694-1880</f>
        <v>50814</v>
      </c>
      <c r="AJ538" s="123">
        <v>15295</v>
      </c>
      <c r="AK538" s="123">
        <v>4762</v>
      </c>
      <c r="AO538" s="123">
        <f>200000+112855</f>
        <v>312855</v>
      </c>
    </row>
    <row r="539" spans="1:41" s="123" customFormat="1" ht="16.2" thickBot="1" x14ac:dyDescent="0.35">
      <c r="A539" s="21"/>
      <c r="B539" s="212" t="s">
        <v>126</v>
      </c>
      <c r="C539" s="31" t="str">
        <f>VLOOKUP((CONCATENATE(B539)),ID!$A$2:$D$305,3,0)</f>
        <v>IN007</v>
      </c>
      <c r="D539" s="21">
        <v>1</v>
      </c>
      <c r="E539" s="21" t="s">
        <v>341</v>
      </c>
      <c r="F539" s="21" t="s">
        <v>1117</v>
      </c>
      <c r="G539" s="21" t="s">
        <v>3853</v>
      </c>
      <c r="H539" s="88">
        <v>5114</v>
      </c>
      <c r="I539" s="43">
        <v>5224</v>
      </c>
      <c r="J539" s="43">
        <v>5224</v>
      </c>
      <c r="K539" s="21">
        <v>1</v>
      </c>
      <c r="L539" s="43">
        <v>5224</v>
      </c>
      <c r="M539" s="43">
        <v>5233</v>
      </c>
      <c r="N539" s="43">
        <v>5233</v>
      </c>
      <c r="O539" s="21" t="s">
        <v>3857</v>
      </c>
      <c r="P539" s="194" t="str">
        <f t="shared" si="111"/>
        <v>1</v>
      </c>
      <c r="Q539" s="21">
        <v>1</v>
      </c>
      <c r="R539" s="39" t="str">
        <f t="shared" si="113"/>
        <v>-</v>
      </c>
      <c r="S539" s="120">
        <f t="shared" si="114"/>
        <v>1642503</v>
      </c>
      <c r="T539" s="123">
        <v>1772244</v>
      </c>
      <c r="U539" s="123">
        <f>T539-30565-6924-17071-27769-385147</f>
        <v>1304768</v>
      </c>
      <c r="V539" s="123">
        <f t="shared" si="110"/>
        <v>467476</v>
      </c>
      <c r="W539" s="122" t="str">
        <f t="shared" si="109"/>
        <v>1</v>
      </c>
      <c r="X539" s="123">
        <f>T539-1642503</f>
        <v>129741</v>
      </c>
      <c r="Z539" s="123">
        <f t="shared" si="112"/>
        <v>129741</v>
      </c>
      <c r="AA539" s="122" t="str">
        <f t="shared" si="107"/>
        <v>1</v>
      </c>
      <c r="AB539" s="120">
        <f t="shared" si="95"/>
        <v>0</v>
      </c>
      <c r="AC539" s="123">
        <v>0</v>
      </c>
      <c r="AD539" s="123">
        <v>0</v>
      </c>
      <c r="AE539" s="123">
        <v>30565</v>
      </c>
      <c r="AG539" s="151">
        <f t="shared" si="108"/>
        <v>63761</v>
      </c>
      <c r="AH539" s="123">
        <f>41684--22077</f>
        <v>63761</v>
      </c>
      <c r="AJ539" s="123">
        <v>15391</v>
      </c>
      <c r="AK539" s="123">
        <v>5010</v>
      </c>
      <c r="AO539" s="123">
        <v>350000</v>
      </c>
    </row>
    <row r="540" spans="1:41" s="123" customFormat="1" ht="16.2" thickBot="1" x14ac:dyDescent="0.35">
      <c r="A540" s="21"/>
      <c r="B540" s="212" t="s">
        <v>127</v>
      </c>
      <c r="C540" s="31" t="str">
        <f>VLOOKUP((CONCATENATE(B540)),ID!$A$2:$D$305,3,0)</f>
        <v>IN008</v>
      </c>
      <c r="D540" s="21">
        <v>1</v>
      </c>
      <c r="E540" s="21" t="s">
        <v>341</v>
      </c>
      <c r="F540" s="21" t="s">
        <v>1117</v>
      </c>
      <c r="G540" s="21" t="s">
        <v>3853</v>
      </c>
      <c r="H540" s="88">
        <v>3653</v>
      </c>
      <c r="I540" s="43">
        <v>3773</v>
      </c>
      <c r="J540" s="43">
        <v>3773</v>
      </c>
      <c r="K540" s="21">
        <v>0</v>
      </c>
      <c r="L540" s="43"/>
      <c r="M540" s="43"/>
      <c r="N540" s="43">
        <v>3798</v>
      </c>
      <c r="O540" s="21" t="s">
        <v>4102</v>
      </c>
      <c r="P540" s="194" t="str">
        <f t="shared" si="111"/>
        <v>1</v>
      </c>
      <c r="Q540" s="21">
        <v>1</v>
      </c>
      <c r="R540" s="39" t="str">
        <f t="shared" si="113"/>
        <v>-</v>
      </c>
      <c r="S540" s="120">
        <f t="shared" si="114"/>
        <v>2173684</v>
      </c>
      <c r="T540" s="123">
        <v>2202969</v>
      </c>
      <c r="U540" s="123">
        <f>T540-11486-20321</f>
        <v>2171162</v>
      </c>
      <c r="V540" s="123">
        <f t="shared" si="110"/>
        <v>31807</v>
      </c>
      <c r="W540" s="122" t="str">
        <f t="shared" si="109"/>
        <v>1</v>
      </c>
      <c r="X540" s="123">
        <f>T540-2173684</f>
        <v>29285</v>
      </c>
      <c r="Z540" s="123">
        <f t="shared" si="112"/>
        <v>29285</v>
      </c>
      <c r="AA540" s="122" t="str">
        <f t="shared" si="107"/>
        <v>1</v>
      </c>
      <c r="AB540" s="120">
        <f t="shared" si="95"/>
        <v>0</v>
      </c>
      <c r="AC540" s="123">
        <v>0</v>
      </c>
      <c r="AD540" s="123">
        <v>0</v>
      </c>
      <c r="AE540" s="123">
        <v>11486</v>
      </c>
      <c r="AG540" s="151">
        <f t="shared" si="108"/>
        <v>209300</v>
      </c>
      <c r="AH540" s="123">
        <f>2439981-2174405-10539-9333-13821-22070-500-13</f>
        <v>209300</v>
      </c>
      <c r="AJ540" s="123">
        <v>5000</v>
      </c>
    </row>
    <row r="541" spans="1:41" s="123" customFormat="1" ht="16.2" thickBot="1" x14ac:dyDescent="0.35">
      <c r="A541" s="21">
        <v>78.099999999999994</v>
      </c>
      <c r="B541" s="212" t="s">
        <v>127</v>
      </c>
      <c r="C541" s="31" t="str">
        <f>VLOOKUP((CONCATENATE(B541)),ID!$A$2:$D$305,3,0)</f>
        <v>IN008</v>
      </c>
      <c r="D541" s="21">
        <v>1</v>
      </c>
      <c r="E541" s="21" t="s">
        <v>341</v>
      </c>
      <c r="F541" s="21" t="s">
        <v>1117</v>
      </c>
      <c r="G541" s="21" t="s">
        <v>3853</v>
      </c>
      <c r="H541" s="88">
        <v>4018</v>
      </c>
      <c r="I541" s="43">
        <v>4128</v>
      </c>
      <c r="J541" s="43">
        <v>4128</v>
      </c>
      <c r="K541" s="21">
        <v>0</v>
      </c>
      <c r="L541" s="21"/>
      <c r="M541" s="21"/>
      <c r="N541" s="43">
        <v>4162</v>
      </c>
      <c r="O541" s="21" t="s">
        <v>4102</v>
      </c>
      <c r="P541" s="194" t="str">
        <f t="shared" si="111"/>
        <v>1</v>
      </c>
      <c r="Q541" s="21">
        <v>1</v>
      </c>
      <c r="R541" s="39" t="str">
        <f t="shared" si="113"/>
        <v>-</v>
      </c>
      <c r="S541" s="120">
        <f t="shared" si="114"/>
        <v>2192033</v>
      </c>
      <c r="T541" s="123">
        <v>2224352</v>
      </c>
      <c r="U541" s="123">
        <f>T541-698-13725-16725-21540-601-7874-27514</f>
        <v>2135675</v>
      </c>
      <c r="V541" s="123">
        <f t="shared" si="110"/>
        <v>88677</v>
      </c>
      <c r="W541" s="122" t="str">
        <f t="shared" si="109"/>
        <v>1</v>
      </c>
      <c r="X541" s="123">
        <f>T541-2192033</f>
        <v>32319</v>
      </c>
      <c r="Z541" s="123">
        <f t="shared" si="112"/>
        <v>32319</v>
      </c>
      <c r="AA541" s="122" t="str">
        <f t="shared" si="107"/>
        <v>1</v>
      </c>
      <c r="AB541" s="120">
        <f t="shared" si="95"/>
        <v>0</v>
      </c>
      <c r="AC541" s="123">
        <v>0</v>
      </c>
      <c r="AD541" s="123">
        <v>0</v>
      </c>
      <c r="AE541" s="123">
        <v>13725</v>
      </c>
      <c r="AG541" s="151">
        <f t="shared" si="108"/>
        <v>204143</v>
      </c>
      <c r="AH541" s="123">
        <f>2437280-2173684-13717-7969-14270-22945-500-52</f>
        <v>204143</v>
      </c>
      <c r="AJ541" s="123">
        <v>5000</v>
      </c>
    </row>
    <row r="542" spans="1:41" s="123" customFormat="1" ht="16.2" thickBot="1" x14ac:dyDescent="0.35">
      <c r="A542" s="21">
        <v>78.2</v>
      </c>
      <c r="B542" s="212" t="s">
        <v>127</v>
      </c>
      <c r="C542" s="31" t="str">
        <f>VLOOKUP((CONCATENATE(B542)),ID!$A$2:$D$305,3,0)</f>
        <v>IN008</v>
      </c>
      <c r="D542" s="21">
        <v>1</v>
      </c>
      <c r="E542" s="21" t="s">
        <v>341</v>
      </c>
      <c r="F542" s="21" t="s">
        <v>1117</v>
      </c>
      <c r="G542" s="21" t="s">
        <v>3853</v>
      </c>
      <c r="H542" s="88">
        <v>4383</v>
      </c>
      <c r="I542" s="43">
        <v>4503</v>
      </c>
      <c r="J542" s="43">
        <v>4503</v>
      </c>
      <c r="K542" s="21">
        <v>0</v>
      </c>
      <c r="L542" s="21"/>
      <c r="M542" s="21"/>
      <c r="N542" s="43">
        <v>4526</v>
      </c>
      <c r="O542" s="21" t="s">
        <v>3858</v>
      </c>
      <c r="P542" s="194" t="str">
        <f t="shared" si="111"/>
        <v>1</v>
      </c>
      <c r="Q542" s="21">
        <v>1</v>
      </c>
      <c r="R542" s="39" t="str">
        <f t="shared" si="113"/>
        <v>-</v>
      </c>
      <c r="S542" s="120">
        <f t="shared" si="114"/>
        <v>2205045</v>
      </c>
      <c r="T542" s="123">
        <v>2244746</v>
      </c>
      <c r="U542" s="123">
        <f>T542-810-17332-11250-22725-404-6588</f>
        <v>2185637</v>
      </c>
      <c r="V542" s="123">
        <f t="shared" si="110"/>
        <v>59109</v>
      </c>
      <c r="W542" s="122" t="str">
        <f t="shared" si="109"/>
        <v>1</v>
      </c>
      <c r="X542" s="123">
        <f>T542-2205045</f>
        <v>39701</v>
      </c>
      <c r="Z542" s="123">
        <f t="shared" si="112"/>
        <v>39701</v>
      </c>
      <c r="AA542" s="122" t="str">
        <f t="shared" si="107"/>
        <v>1</v>
      </c>
      <c r="AB542" s="120">
        <f t="shared" si="95"/>
        <v>0</v>
      </c>
      <c r="AC542" s="123">
        <v>0</v>
      </c>
      <c r="AD542" s="123">
        <v>0</v>
      </c>
      <c r="AE542" s="123">
        <v>17332</v>
      </c>
      <c r="AG542" s="151">
        <f t="shared" si="108"/>
        <v>213111</v>
      </c>
      <c r="AH542" s="123">
        <f>2463333-2192033-11902-7432-1206-14320-22736-500-93</f>
        <v>213111</v>
      </c>
      <c r="AJ542" s="123">
        <v>5000</v>
      </c>
    </row>
    <row r="543" spans="1:41" s="123" customFormat="1" ht="16.2" thickBot="1" x14ac:dyDescent="0.35">
      <c r="A543" s="21"/>
      <c r="B543" s="212" t="s">
        <v>127</v>
      </c>
      <c r="C543" s="31" t="str">
        <f>VLOOKUP((CONCATENATE(B543)),ID!$A$2:$D$305,3,0)</f>
        <v>IN008</v>
      </c>
      <c r="D543" s="21">
        <v>1</v>
      </c>
      <c r="E543" s="21" t="s">
        <v>341</v>
      </c>
      <c r="F543" s="21" t="s">
        <v>1117</v>
      </c>
      <c r="G543" s="21" t="s">
        <v>3853</v>
      </c>
      <c r="H543" s="88">
        <v>4749</v>
      </c>
      <c r="I543" s="43">
        <v>4861</v>
      </c>
      <c r="J543" s="43">
        <v>4861</v>
      </c>
      <c r="K543" s="21">
        <v>0</v>
      </c>
      <c r="L543" s="21"/>
      <c r="M543" s="21"/>
      <c r="N543" s="43">
        <v>4897</v>
      </c>
      <c r="O543" s="21" t="s">
        <v>3858</v>
      </c>
      <c r="P543" s="194" t="str">
        <f t="shared" si="111"/>
        <v>1</v>
      </c>
      <c r="Q543" s="21">
        <v>1</v>
      </c>
      <c r="R543" s="39" t="str">
        <f t="shared" si="113"/>
        <v>-</v>
      </c>
      <c r="S543" s="120">
        <f t="shared" si="114"/>
        <v>2209721</v>
      </c>
      <c r="T543" s="123">
        <v>2244591</v>
      </c>
      <c r="U543" s="123">
        <f>T543-675-17943-11250-22874-526-7895</f>
        <v>2183428</v>
      </c>
      <c r="V543" s="123">
        <f t="shared" si="110"/>
        <v>61163</v>
      </c>
      <c r="W543" s="122" t="str">
        <f t="shared" si="109"/>
        <v>1</v>
      </c>
      <c r="X543" s="123">
        <f>T543-2209721</f>
        <v>34870</v>
      </c>
      <c r="Z543" s="123">
        <f t="shared" si="112"/>
        <v>34870</v>
      </c>
      <c r="AA543" s="122" t="str">
        <f t="shared" si="107"/>
        <v>1</v>
      </c>
      <c r="AB543" s="120">
        <f t="shared" si="95"/>
        <v>0</v>
      </c>
      <c r="AC543" s="123">
        <v>0</v>
      </c>
      <c r="AD543" s="123">
        <v>0</v>
      </c>
      <c r="AE543" s="123">
        <v>17943</v>
      </c>
      <c r="AG543" s="151">
        <f t="shared" si="108"/>
        <v>96150</v>
      </c>
      <c r="AH543" s="123">
        <f>2474430-2205045-12298-6763-41157-14262-22708-76047</f>
        <v>96150</v>
      </c>
      <c r="AJ543" s="123">
        <v>5000</v>
      </c>
    </row>
    <row r="544" spans="1:41" s="123" customFormat="1" ht="16.2" thickBot="1" x14ac:dyDescent="0.35">
      <c r="A544" s="21"/>
      <c r="B544" s="212" t="s">
        <v>127</v>
      </c>
      <c r="C544" s="31" t="str">
        <f>VLOOKUP((CONCATENATE(B544)),ID!$A$2:$D$305,3,0)</f>
        <v>IN008</v>
      </c>
      <c r="D544" s="21">
        <v>1</v>
      </c>
      <c r="E544" s="21" t="s">
        <v>341</v>
      </c>
      <c r="F544" s="21" t="s">
        <v>1117</v>
      </c>
      <c r="G544" s="21" t="s">
        <v>3853</v>
      </c>
      <c r="H544" s="88">
        <v>5114</v>
      </c>
      <c r="I544" s="43">
        <v>5239</v>
      </c>
      <c r="J544" s="43">
        <v>5239</v>
      </c>
      <c r="K544" s="21">
        <v>0</v>
      </c>
      <c r="L544" s="21"/>
      <c r="M544" s="21"/>
      <c r="N544" s="43">
        <v>5261</v>
      </c>
      <c r="O544" s="21" t="s">
        <v>3858</v>
      </c>
      <c r="P544" s="194" t="str">
        <f t="shared" si="111"/>
        <v>1</v>
      </c>
      <c r="Q544" s="21">
        <v>1</v>
      </c>
      <c r="R544" s="39" t="str">
        <f t="shared" si="113"/>
        <v>-</v>
      </c>
      <c r="S544" s="120">
        <f t="shared" si="114"/>
        <v>2223267</v>
      </c>
      <c r="T544" s="123">
        <v>2251157</v>
      </c>
      <c r="U544" s="123">
        <f>T544-28425-7964-713-23658-15881-11482-824</f>
        <v>2162210</v>
      </c>
      <c r="V544" s="123">
        <f t="shared" si="110"/>
        <v>88947</v>
      </c>
      <c r="W544" s="122" t="str">
        <f t="shared" si="109"/>
        <v>1</v>
      </c>
      <c r="X544" s="123">
        <f>T544-2223267</f>
        <v>27890</v>
      </c>
      <c r="Z544" s="123">
        <f t="shared" si="112"/>
        <v>27890</v>
      </c>
      <c r="AA544" s="122" t="str">
        <f t="shared" si="107"/>
        <v>1</v>
      </c>
      <c r="AB544" s="120">
        <f t="shared" si="95"/>
        <v>0</v>
      </c>
      <c r="AC544" s="123">
        <v>0</v>
      </c>
      <c r="AD544" s="123">
        <v>0</v>
      </c>
      <c r="AE544" s="123">
        <v>11482</v>
      </c>
      <c r="AG544" s="151">
        <f t="shared" si="108"/>
        <v>83674</v>
      </c>
      <c r="AH544" s="123">
        <f>83924-250</f>
        <v>83674</v>
      </c>
      <c r="AJ544" s="123">
        <v>5000</v>
      </c>
    </row>
    <row r="545" spans="1:41" s="123" customFormat="1" ht="16.2" thickBot="1" x14ac:dyDescent="0.35">
      <c r="A545" s="21"/>
      <c r="B545" s="212" t="s">
        <v>143</v>
      </c>
      <c r="C545" s="31" t="str">
        <f>VLOOKUP((CONCATENATE(B545)),ID!$A$2:$D$305,3,0)</f>
        <v>IN009</v>
      </c>
      <c r="D545" s="21">
        <v>1</v>
      </c>
      <c r="E545" s="21" t="s">
        <v>341</v>
      </c>
      <c r="F545" s="21" t="s">
        <v>1117</v>
      </c>
      <c r="G545" s="21" t="s">
        <v>3853</v>
      </c>
      <c r="H545" s="88">
        <v>3653</v>
      </c>
      <c r="I545" s="43">
        <v>3791</v>
      </c>
      <c r="J545" s="43">
        <v>3784</v>
      </c>
      <c r="K545" s="21">
        <v>1</v>
      </c>
      <c r="L545" s="43">
        <v>3799</v>
      </c>
      <c r="M545" s="43">
        <v>3814</v>
      </c>
      <c r="N545" s="43">
        <v>3800</v>
      </c>
      <c r="O545" s="21" t="s">
        <v>3843</v>
      </c>
      <c r="P545" s="194" t="str">
        <f t="shared" si="111"/>
        <v>1</v>
      </c>
      <c r="Q545" s="21">
        <v>1</v>
      </c>
      <c r="R545" s="39" t="str">
        <f t="shared" si="113"/>
        <v>-</v>
      </c>
      <c r="S545" s="120">
        <f t="shared" si="114"/>
        <v>6182451</v>
      </c>
      <c r="T545" s="123">
        <v>6667222</v>
      </c>
      <c r="U545" s="123">
        <f>T545-11846-91543-12000-13000-78086-21043-6595-176078-16807-55925-14144-2761-73915-5126-73000-5534</f>
        <v>6009819</v>
      </c>
      <c r="V545" s="123">
        <f t="shared" si="110"/>
        <v>657403</v>
      </c>
      <c r="W545" s="122" t="str">
        <f t="shared" si="109"/>
        <v>1</v>
      </c>
      <c r="X545" s="123">
        <f>T545-6182451</f>
        <v>484771</v>
      </c>
      <c r="Z545" s="123">
        <f t="shared" si="112"/>
        <v>484771</v>
      </c>
      <c r="AA545" s="122" t="str">
        <f t="shared" si="107"/>
        <v>1</v>
      </c>
      <c r="AB545" s="120">
        <f t="shared" si="95"/>
        <v>0</v>
      </c>
      <c r="AC545" s="123">
        <v>0</v>
      </c>
      <c r="AD545" s="123">
        <v>0</v>
      </c>
      <c r="AE545" s="123">
        <f>91543+12000</f>
        <v>103543</v>
      </c>
      <c r="AG545" s="151">
        <f t="shared" si="108"/>
        <v>117308</v>
      </c>
      <c r="AH545" s="123">
        <f>351362-152530-AK545-64206-5872</f>
        <v>118346</v>
      </c>
      <c r="AI545" s="123">
        <v>1038</v>
      </c>
      <c r="AJ545" s="123">
        <v>100000</v>
      </c>
      <c r="AK545" s="123">
        <v>10408</v>
      </c>
    </row>
    <row r="546" spans="1:41" s="123" customFormat="1" ht="16.2" thickBot="1" x14ac:dyDescent="0.35">
      <c r="A546" s="21">
        <v>79.099999999999994</v>
      </c>
      <c r="B546" s="212" t="s">
        <v>143</v>
      </c>
      <c r="C546" s="31" t="str">
        <f>VLOOKUP((CONCATENATE(B546)),ID!$A$2:$D$305,3,0)</f>
        <v>IN009</v>
      </c>
      <c r="D546" s="21">
        <v>1</v>
      </c>
      <c r="E546" s="21" t="s">
        <v>341</v>
      </c>
      <c r="F546" s="21" t="s">
        <v>1117</v>
      </c>
      <c r="G546" s="21" t="s">
        <v>3853</v>
      </c>
      <c r="H546" s="88">
        <v>4018</v>
      </c>
      <c r="I546" s="43">
        <v>4155</v>
      </c>
      <c r="J546" s="43">
        <v>4152</v>
      </c>
      <c r="K546" s="21">
        <v>1</v>
      </c>
      <c r="L546" s="43">
        <v>4163</v>
      </c>
      <c r="M546" s="43">
        <v>4178</v>
      </c>
      <c r="N546" s="43">
        <v>4164</v>
      </c>
      <c r="O546" s="21" t="s">
        <v>3843</v>
      </c>
      <c r="P546" s="194" t="str">
        <f t="shared" si="111"/>
        <v>1</v>
      </c>
      <c r="Q546" s="21">
        <v>1</v>
      </c>
      <c r="R546" s="39" t="str">
        <f t="shared" si="113"/>
        <v>-</v>
      </c>
      <c r="S546" s="120">
        <f t="shared" si="114"/>
        <v>6244097</v>
      </c>
      <c r="T546" s="123">
        <v>6614137</v>
      </c>
      <c r="U546" s="123">
        <f>T546-48562-17748-2609-87664-5000-198656-6708-2450-68307-10292-6866-18736-95500-80749</f>
        <v>5964290</v>
      </c>
      <c r="V546" s="123">
        <f t="shared" si="110"/>
        <v>649847</v>
      </c>
      <c r="W546" s="122" t="str">
        <f t="shared" si="109"/>
        <v>1</v>
      </c>
      <c r="X546" s="123">
        <f>T546-6244097</f>
        <v>370040</v>
      </c>
      <c r="Z546" s="123">
        <f t="shared" si="112"/>
        <v>370040</v>
      </c>
      <c r="AA546" s="122" t="str">
        <f t="shared" si="107"/>
        <v>1</v>
      </c>
      <c r="AB546" s="120">
        <f t="shared" si="95"/>
        <v>0</v>
      </c>
      <c r="AC546" s="123">
        <v>0</v>
      </c>
      <c r="AD546" s="123">
        <v>0</v>
      </c>
      <c r="AE546" s="123">
        <f>95500+80749</f>
        <v>176249</v>
      </c>
      <c r="AG546" s="151">
        <f t="shared" si="108"/>
        <v>105801</v>
      </c>
      <c r="AH546" s="123">
        <f>299762-164837-3109-21849-376-3790</f>
        <v>105801</v>
      </c>
      <c r="AJ546" s="123">
        <v>100000</v>
      </c>
      <c r="AK546" s="123">
        <v>3790</v>
      </c>
    </row>
    <row r="547" spans="1:41" s="123" customFormat="1" ht="16.2" thickBot="1" x14ac:dyDescent="0.35">
      <c r="A547" s="21">
        <v>79.2</v>
      </c>
      <c r="B547" s="212" t="s">
        <v>143</v>
      </c>
      <c r="C547" s="31" t="str">
        <f>VLOOKUP((CONCATENATE(B547)),ID!$A$2:$D$305,3,0)</f>
        <v>IN009</v>
      </c>
      <c r="D547" s="21">
        <v>1</v>
      </c>
      <c r="E547" s="21" t="s">
        <v>341</v>
      </c>
      <c r="F547" s="21" t="s">
        <v>1117</v>
      </c>
      <c r="G547" s="21" t="s">
        <v>3853</v>
      </c>
      <c r="H547" s="88">
        <v>4383</v>
      </c>
      <c r="I547" s="43">
        <v>4512</v>
      </c>
      <c r="J547" s="43">
        <v>4505</v>
      </c>
      <c r="K547" s="21">
        <v>1</v>
      </c>
      <c r="L547" s="43">
        <v>4520</v>
      </c>
      <c r="M547" s="43">
        <v>4535</v>
      </c>
      <c r="N547" s="43">
        <v>4521</v>
      </c>
      <c r="O547" s="21" t="s">
        <v>3843</v>
      </c>
      <c r="P547" s="194" t="str">
        <f t="shared" si="111"/>
        <v>1</v>
      </c>
      <c r="Q547" s="21">
        <v>1</v>
      </c>
      <c r="R547" s="39" t="str">
        <f t="shared" si="113"/>
        <v>-</v>
      </c>
      <c r="S547" s="120">
        <f t="shared" si="114"/>
        <v>6383688</v>
      </c>
      <c r="T547" s="123">
        <v>6748877</v>
      </c>
      <c r="U547" s="123">
        <f>T547-81800-91500-18495-10586-70206-8597-22737-4399-204837-8322-45957-2532-5294</f>
        <v>6173615</v>
      </c>
      <c r="V547" s="123">
        <f t="shared" si="110"/>
        <v>575262</v>
      </c>
      <c r="W547" s="122" t="str">
        <f t="shared" si="109"/>
        <v>1</v>
      </c>
      <c r="X547" s="123">
        <f>T547-6383688</f>
        <v>365189</v>
      </c>
      <c r="Z547" s="123">
        <f t="shared" si="112"/>
        <v>365189</v>
      </c>
      <c r="AA547" s="122" t="str">
        <f t="shared" si="107"/>
        <v>1</v>
      </c>
      <c r="AB547" s="120">
        <f t="shared" si="95"/>
        <v>0</v>
      </c>
      <c r="AC547" s="123">
        <v>0</v>
      </c>
      <c r="AD547" s="123">
        <v>0</v>
      </c>
      <c r="AE547" s="123">
        <f>91500+81880</f>
        <v>173380</v>
      </c>
      <c r="AG547" s="151">
        <f t="shared" si="108"/>
        <v>83360</v>
      </c>
      <c r="AH547" s="123">
        <f>268277-170637-2381-5756-AK547</f>
        <v>83360</v>
      </c>
      <c r="AJ547" s="123">
        <v>100000</v>
      </c>
      <c r="AK547" s="123">
        <v>6143</v>
      </c>
    </row>
    <row r="548" spans="1:41" s="123" customFormat="1" ht="16.2" thickBot="1" x14ac:dyDescent="0.35">
      <c r="A548" s="21"/>
      <c r="B548" s="212" t="s">
        <v>143</v>
      </c>
      <c r="C548" s="31" t="str">
        <f>VLOOKUP((CONCATENATE(B548)),ID!$A$2:$D$305,3,0)</f>
        <v>IN009</v>
      </c>
      <c r="D548" s="21">
        <v>1</v>
      </c>
      <c r="E548" s="21" t="s">
        <v>341</v>
      </c>
      <c r="F548" s="21" t="s">
        <v>1117</v>
      </c>
      <c r="G548" s="21" t="s">
        <v>3853</v>
      </c>
      <c r="H548" s="88">
        <v>4749</v>
      </c>
      <c r="I548" s="43">
        <v>4869</v>
      </c>
      <c r="J548" s="43">
        <v>4862</v>
      </c>
      <c r="K548" s="21">
        <v>1</v>
      </c>
      <c r="L548" s="43">
        <v>4898</v>
      </c>
      <c r="M548" s="43">
        <v>4913</v>
      </c>
      <c r="N548" s="43">
        <v>4878</v>
      </c>
      <c r="O548" s="21" t="s">
        <v>3843</v>
      </c>
      <c r="P548" s="194" t="str">
        <f t="shared" si="111"/>
        <v>1</v>
      </c>
      <c r="Q548" s="21">
        <v>1</v>
      </c>
      <c r="R548" s="39" t="str">
        <f t="shared" si="113"/>
        <v>-</v>
      </c>
      <c r="S548" s="120">
        <f t="shared" si="114"/>
        <v>6572995</v>
      </c>
      <c r="T548" s="123">
        <v>6991537</v>
      </c>
      <c r="U548" s="123">
        <f>T548-91347-111000-25287-75274-11141-24235-4552-221841-9711-59547-158-3879</f>
        <v>6353565</v>
      </c>
      <c r="V548" s="123">
        <f t="shared" si="110"/>
        <v>637972</v>
      </c>
      <c r="W548" s="122" t="str">
        <f t="shared" si="109"/>
        <v>1</v>
      </c>
      <c r="X548" s="123">
        <f>T548-6572995</f>
        <v>418542</v>
      </c>
      <c r="Z548" s="123">
        <f t="shared" si="112"/>
        <v>418542</v>
      </c>
      <c r="AA548" s="122" t="str">
        <f t="shared" si="107"/>
        <v>1</v>
      </c>
      <c r="AB548" s="120">
        <f t="shared" si="95"/>
        <v>0</v>
      </c>
      <c r="AC548" s="123">
        <v>0</v>
      </c>
      <c r="AD548" s="123">
        <v>0</v>
      </c>
      <c r="AE548" s="123">
        <f>111000+91347</f>
        <v>202347</v>
      </c>
      <c r="AG548" s="151">
        <f t="shared" si="108"/>
        <v>90178</v>
      </c>
      <c r="AH548" s="123">
        <f>265718-153996-1011-5000-AK548</f>
        <v>90178</v>
      </c>
      <c r="AJ548" s="123">
        <v>100000</v>
      </c>
      <c r="AK548" s="123">
        <v>15533</v>
      </c>
    </row>
    <row r="549" spans="1:41" s="123" customFormat="1" ht="16.2" thickBot="1" x14ac:dyDescent="0.35">
      <c r="A549" s="21"/>
      <c r="B549" s="212" t="s">
        <v>143</v>
      </c>
      <c r="C549" s="31" t="str">
        <f>VLOOKUP((CONCATENATE(B549)),ID!$A$2:$D$305,3,0)</f>
        <v>IN009</v>
      </c>
      <c r="D549" s="21">
        <v>1</v>
      </c>
      <c r="E549" s="21" t="s">
        <v>341</v>
      </c>
      <c r="F549" s="21" t="s">
        <v>1117</v>
      </c>
      <c r="G549" s="21" t="s">
        <v>3853</v>
      </c>
      <c r="H549" s="88">
        <v>5114</v>
      </c>
      <c r="I549" s="43">
        <v>5240</v>
      </c>
      <c r="J549" s="43">
        <v>5233</v>
      </c>
      <c r="K549" s="21">
        <v>1</v>
      </c>
      <c r="L549" s="43">
        <v>5262</v>
      </c>
      <c r="M549" s="43">
        <v>5277</v>
      </c>
      <c r="N549" s="43">
        <v>5249</v>
      </c>
      <c r="O549" s="21" t="s">
        <v>3843</v>
      </c>
      <c r="P549" s="194" t="str">
        <f t="shared" si="111"/>
        <v>1</v>
      </c>
      <c r="Q549" s="21">
        <v>1</v>
      </c>
      <c r="R549" s="39" t="str">
        <f t="shared" si="113"/>
        <v>-</v>
      </c>
      <c r="S549" s="120">
        <f t="shared" si="114"/>
        <v>6757875</v>
      </c>
      <c r="T549" s="123">
        <v>7169276</v>
      </c>
      <c r="U549" s="123">
        <f>T549-104902-109500-27378-20181-79331-12713-28966-7093-225402-12059-42532-4983</f>
        <v>6494236</v>
      </c>
      <c r="V549" s="123">
        <f t="shared" si="110"/>
        <v>675040</v>
      </c>
      <c r="W549" s="122" t="str">
        <f t="shared" si="109"/>
        <v>1</v>
      </c>
      <c r="X549" s="123">
        <f>T549-6757875</f>
        <v>411401</v>
      </c>
      <c r="Z549" s="123">
        <f t="shared" si="112"/>
        <v>411401</v>
      </c>
      <c r="AA549" s="122" t="str">
        <f t="shared" si="107"/>
        <v>1</v>
      </c>
      <c r="AB549" s="120">
        <f t="shared" si="95"/>
        <v>0</v>
      </c>
      <c r="AC549" s="123">
        <v>0</v>
      </c>
      <c r="AD549" s="123">
        <v>0</v>
      </c>
      <c r="AE549" s="123">
        <f>109500+104902</f>
        <v>214402</v>
      </c>
      <c r="AG549" s="151">
        <f t="shared" si="108"/>
        <v>87256</v>
      </c>
      <c r="AH549" s="123">
        <f>242142-144173-1012-AK549-702</f>
        <v>87256</v>
      </c>
      <c r="AJ549" s="123">
        <v>100000</v>
      </c>
      <c r="AK549" s="123">
        <v>8999</v>
      </c>
    </row>
    <row r="550" spans="1:41" s="123" customFormat="1" ht="16.2" thickBot="1" x14ac:dyDescent="0.35">
      <c r="A550" s="21"/>
      <c r="B550" s="212" t="s">
        <v>168</v>
      </c>
      <c r="C550" s="31" t="str">
        <f>VLOOKUP((CONCATENATE(B550)),ID!$A$2:$D$305,3,0)</f>
        <v>IN010</v>
      </c>
      <c r="D550" s="21">
        <v>1</v>
      </c>
      <c r="E550" s="21" t="s">
        <v>341</v>
      </c>
      <c r="F550" s="21" t="s">
        <v>1117</v>
      </c>
      <c r="G550" s="21" t="s">
        <v>3853</v>
      </c>
      <c r="H550" s="88">
        <v>3653</v>
      </c>
      <c r="I550" s="43">
        <v>3703</v>
      </c>
      <c r="J550" s="43">
        <v>3701</v>
      </c>
      <c r="K550" s="21">
        <v>0</v>
      </c>
      <c r="L550" s="43"/>
      <c r="M550" s="43"/>
      <c r="N550" s="43">
        <v>3713</v>
      </c>
      <c r="O550" s="21" t="s">
        <v>3859</v>
      </c>
      <c r="P550" s="194" t="str">
        <f t="shared" si="111"/>
        <v>1</v>
      </c>
      <c r="Q550" s="21">
        <v>1</v>
      </c>
      <c r="R550" s="39" t="str">
        <f t="shared" si="113"/>
        <v>-</v>
      </c>
      <c r="S550" s="120">
        <f t="shared" si="114"/>
        <v>8904813</v>
      </c>
      <c r="T550" s="123">
        <v>9099509</v>
      </c>
      <c r="U550" s="123">
        <f>T550-18594-216241-29924-180568</f>
        <v>8654182</v>
      </c>
      <c r="V550" s="123">
        <f t="shared" si="110"/>
        <v>445327</v>
      </c>
      <c r="W550" s="122" t="str">
        <f t="shared" si="109"/>
        <v>1</v>
      </c>
      <c r="X550" s="123">
        <v>194696</v>
      </c>
      <c r="Z550" s="123">
        <f t="shared" si="112"/>
        <v>194696</v>
      </c>
      <c r="AA550" s="122" t="str">
        <f t="shared" si="107"/>
        <v>1</v>
      </c>
      <c r="AB550" s="120">
        <f t="shared" si="95"/>
        <v>0</v>
      </c>
      <c r="AC550" s="123">
        <v>0</v>
      </c>
      <c r="AD550" s="123">
        <v>0</v>
      </c>
      <c r="AE550" s="123">
        <v>18594</v>
      </c>
      <c r="AG550" s="151">
        <f t="shared" si="108"/>
        <v>170476</v>
      </c>
      <c r="AH550" s="123">
        <f>269888-79819-AK550-4699</f>
        <v>170476</v>
      </c>
      <c r="AJ550" s="123">
        <v>67756</v>
      </c>
      <c r="AK550" s="123">
        <v>14894</v>
      </c>
      <c r="AO550" s="123">
        <v>225000</v>
      </c>
    </row>
    <row r="551" spans="1:41" s="123" customFormat="1" ht="16.2" thickBot="1" x14ac:dyDescent="0.35">
      <c r="A551" s="21">
        <v>80.099999999999994</v>
      </c>
      <c r="B551" s="212" t="s">
        <v>168</v>
      </c>
      <c r="C551" s="31" t="str">
        <f>VLOOKUP((CONCATENATE(B551)),ID!$A$2:$D$305,3,0)</f>
        <v>IN010</v>
      </c>
      <c r="D551" s="21">
        <v>1</v>
      </c>
      <c r="E551" s="21" t="s">
        <v>341</v>
      </c>
      <c r="F551" s="21" t="s">
        <v>1117</v>
      </c>
      <c r="G551" s="21" t="s">
        <v>3853</v>
      </c>
      <c r="H551" s="88">
        <v>4018</v>
      </c>
      <c r="I551" s="43">
        <v>4070</v>
      </c>
      <c r="J551" s="43">
        <v>4070</v>
      </c>
      <c r="K551" s="21">
        <v>0</v>
      </c>
      <c r="L551" s="21"/>
      <c r="M551" s="21"/>
      <c r="N551" s="43">
        <v>4078</v>
      </c>
      <c r="O551" s="21" t="s">
        <v>3859</v>
      </c>
      <c r="P551" s="194" t="str">
        <f t="shared" si="111"/>
        <v>1</v>
      </c>
      <c r="Q551" s="21">
        <v>1</v>
      </c>
      <c r="R551" s="39" t="str">
        <f t="shared" si="113"/>
        <v>-</v>
      </c>
      <c r="S551" s="120">
        <f t="shared" si="114"/>
        <v>8952085</v>
      </c>
      <c r="T551" s="123">
        <v>9120372</v>
      </c>
      <c r="U551" s="123">
        <f>T551-30676-247732-1752-125154-26651-385-23465-7253-87591-98692</f>
        <v>8471021</v>
      </c>
      <c r="V551" s="123">
        <f t="shared" si="110"/>
        <v>649351</v>
      </c>
      <c r="W551" s="122" t="str">
        <f t="shared" si="109"/>
        <v>1</v>
      </c>
      <c r="X551" s="123">
        <f>168287</f>
        <v>168287</v>
      </c>
      <c r="Z551" s="123">
        <f t="shared" si="112"/>
        <v>168287</v>
      </c>
      <c r="AA551" s="122" t="str">
        <f t="shared" si="107"/>
        <v>1</v>
      </c>
      <c r="AB551" s="120">
        <f t="shared" si="95"/>
        <v>0</v>
      </c>
      <c r="AC551" s="123">
        <v>0</v>
      </c>
      <c r="AD551" s="123">
        <v>0</v>
      </c>
      <c r="AE551" s="123">
        <v>30676</v>
      </c>
      <c r="AG551" s="151">
        <f t="shared" si="108"/>
        <v>107751</v>
      </c>
      <c r="AH551" s="123">
        <f>365480-253729-4000</f>
        <v>107751</v>
      </c>
      <c r="AJ551" s="123">
        <v>86994</v>
      </c>
      <c r="AO551" s="123">
        <v>225000</v>
      </c>
    </row>
    <row r="552" spans="1:41" s="123" customFormat="1" ht="16.2" thickBot="1" x14ac:dyDescent="0.35">
      <c r="A552" s="21">
        <v>80.2</v>
      </c>
      <c r="B552" s="212" t="s">
        <v>168</v>
      </c>
      <c r="C552" s="31" t="str">
        <f>VLOOKUP((CONCATENATE(B552)),ID!$A$2:$D$305,3,0)</f>
        <v>IN010</v>
      </c>
      <c r="D552" s="21">
        <v>1</v>
      </c>
      <c r="E552" s="21" t="s">
        <v>341</v>
      </c>
      <c r="F552" s="21" t="s">
        <v>1117</v>
      </c>
      <c r="G552" s="21" t="s">
        <v>3853</v>
      </c>
      <c r="H552" s="88">
        <v>4383</v>
      </c>
      <c r="I552" s="43">
        <v>4469</v>
      </c>
      <c r="J552" s="43">
        <v>4454</v>
      </c>
      <c r="K552" s="21">
        <v>0</v>
      </c>
      <c r="L552" s="21"/>
      <c r="M552" s="21"/>
      <c r="N552" s="43">
        <v>4490</v>
      </c>
      <c r="O552" s="21" t="s">
        <v>3859</v>
      </c>
      <c r="P552" s="194" t="str">
        <f t="shared" si="111"/>
        <v>1</v>
      </c>
      <c r="Q552" s="21">
        <v>1</v>
      </c>
      <c r="R552" s="39" t="str">
        <f t="shared" si="113"/>
        <v>-</v>
      </c>
      <c r="S552" s="120">
        <f t="shared" si="114"/>
        <v>9159982</v>
      </c>
      <c r="T552" s="123">
        <v>9334068</v>
      </c>
      <c r="U552" s="123">
        <f>T552-21765-75861-2760-138580-18505-534-22861-4178-9421-89589-107488</f>
        <v>8842526</v>
      </c>
      <c r="V552" s="123">
        <f t="shared" si="110"/>
        <v>491542</v>
      </c>
      <c r="W552" s="122" t="str">
        <f t="shared" si="109"/>
        <v>1</v>
      </c>
      <c r="X552" s="123">
        <f>174086</f>
        <v>174086</v>
      </c>
      <c r="Z552" s="123">
        <f t="shared" si="112"/>
        <v>174086</v>
      </c>
      <c r="AA552" s="122" t="str">
        <f t="shared" si="107"/>
        <v>1</v>
      </c>
      <c r="AB552" s="120">
        <f t="shared" si="95"/>
        <v>0</v>
      </c>
      <c r="AC552" s="123">
        <v>0</v>
      </c>
      <c r="AD552" s="123">
        <v>0</v>
      </c>
      <c r="AE552" s="123">
        <v>21765</v>
      </c>
      <c r="AG552" s="151">
        <f t="shared" si="108"/>
        <v>81402</v>
      </c>
      <c r="AH552" s="123">
        <f>341944-256542-4000</f>
        <v>81402</v>
      </c>
      <c r="AJ552" s="123">
        <v>83998</v>
      </c>
      <c r="AO552" s="123">
        <v>225000</v>
      </c>
    </row>
    <row r="553" spans="1:41" s="123" customFormat="1" ht="16.2" thickBot="1" x14ac:dyDescent="0.35">
      <c r="A553" s="21"/>
      <c r="B553" s="212" t="s">
        <v>168</v>
      </c>
      <c r="C553" s="31" t="str">
        <f>VLOOKUP((CONCATENATE(B553)),ID!$A$2:$D$305,3,0)</f>
        <v>IN010</v>
      </c>
      <c r="D553" s="21">
        <v>1</v>
      </c>
      <c r="E553" s="21" t="s">
        <v>341</v>
      </c>
      <c r="F553" s="21" t="s">
        <v>1117</v>
      </c>
      <c r="G553" s="21" t="s">
        <v>3853</v>
      </c>
      <c r="H553" s="88">
        <v>4749</v>
      </c>
      <c r="I553" s="43">
        <v>4805</v>
      </c>
      <c r="J553" s="43">
        <v>4804</v>
      </c>
      <c r="K553" s="21">
        <v>0</v>
      </c>
      <c r="L553" s="21"/>
      <c r="M553" s="21"/>
      <c r="N553" s="43">
        <v>4819</v>
      </c>
      <c r="O553" s="21" t="s">
        <v>3859</v>
      </c>
      <c r="P553" s="194" t="str">
        <f t="shared" si="111"/>
        <v>1</v>
      </c>
      <c r="Q553" s="21">
        <v>1</v>
      </c>
      <c r="R553" s="39" t="str">
        <f t="shared" si="113"/>
        <v>-</v>
      </c>
      <c r="S553" s="120">
        <f t="shared" si="114"/>
        <v>9396004</v>
      </c>
      <c r="T553" s="123">
        <f>9579493</f>
        <v>9579493</v>
      </c>
      <c r="U553" s="123">
        <f>T553-43974-165199-4363-136828-19701-1138-14298-3663-12684-84807-101780</f>
        <v>8991058</v>
      </c>
      <c r="V553" s="123">
        <f t="shared" si="110"/>
        <v>588435</v>
      </c>
      <c r="W553" s="122" t="str">
        <f t="shared" si="109"/>
        <v>1</v>
      </c>
      <c r="X553" s="123">
        <v>183489</v>
      </c>
      <c r="Z553" s="123">
        <f t="shared" si="112"/>
        <v>183489</v>
      </c>
      <c r="AA553" s="122" t="str">
        <f t="shared" si="107"/>
        <v>1</v>
      </c>
      <c r="AB553" s="120">
        <f t="shared" ref="AB553:AB615" si="115">SUM(AC553+AD553)</f>
        <v>0</v>
      </c>
      <c r="AC553" s="123">
        <v>0</v>
      </c>
      <c r="AD553" s="123">
        <v>0</v>
      </c>
      <c r="AE553" s="123">
        <v>43974</v>
      </c>
      <c r="AG553" s="151">
        <f t="shared" si="108"/>
        <v>111637</v>
      </c>
      <c r="AH553" s="123">
        <f>373362-253946-3779-4000</f>
        <v>111637</v>
      </c>
      <c r="AJ553" s="123">
        <v>95598</v>
      </c>
      <c r="AO553" s="123">
        <v>225000</v>
      </c>
    </row>
    <row r="554" spans="1:41" s="123" customFormat="1" ht="16.2" thickBot="1" x14ac:dyDescent="0.35">
      <c r="A554" s="21"/>
      <c r="B554" s="212" t="s">
        <v>168</v>
      </c>
      <c r="C554" s="31" t="str">
        <f>VLOOKUP((CONCATENATE(B554)),ID!$A$2:$D$305,3,0)</f>
        <v>IN010</v>
      </c>
      <c r="D554" s="21">
        <v>1</v>
      </c>
      <c r="E554" s="21" t="s">
        <v>341</v>
      </c>
      <c r="F554" s="21" t="s">
        <v>1117</v>
      </c>
      <c r="G554" s="21" t="s">
        <v>3853</v>
      </c>
      <c r="H554" s="88">
        <v>5114</v>
      </c>
      <c r="I554" s="43">
        <v>5158</v>
      </c>
      <c r="J554" s="43">
        <v>5158</v>
      </c>
      <c r="K554" s="21">
        <v>0</v>
      </c>
      <c r="L554" s="21"/>
      <c r="M554" s="21"/>
      <c r="N554" s="43"/>
      <c r="O554" s="21" t="s">
        <v>3859</v>
      </c>
      <c r="P554" s="194" t="str">
        <f t="shared" si="111"/>
        <v>1</v>
      </c>
      <c r="Q554" s="21">
        <v>1</v>
      </c>
      <c r="R554" s="39" t="str">
        <f t="shared" si="113"/>
        <v>-</v>
      </c>
      <c r="S554" s="120">
        <f t="shared" si="114"/>
        <v>9563856</v>
      </c>
      <c r="T554" s="123">
        <v>9781021</v>
      </c>
      <c r="U554" s="123">
        <f>T554-50426-127852-3775-142658-15767-498-13984-3929-10673-80988-88123</f>
        <v>9242348</v>
      </c>
      <c r="V554" s="123">
        <f t="shared" si="110"/>
        <v>538673</v>
      </c>
      <c r="W554" s="122" t="str">
        <f t="shared" si="109"/>
        <v>1</v>
      </c>
      <c r="X554" s="123">
        <v>217165</v>
      </c>
      <c r="Z554" s="123">
        <f t="shared" si="112"/>
        <v>217165</v>
      </c>
      <c r="AA554" s="122" t="str">
        <f t="shared" si="107"/>
        <v>1</v>
      </c>
      <c r="AB554" s="120">
        <f t="shared" si="115"/>
        <v>0</v>
      </c>
      <c r="AC554" s="123">
        <v>0</v>
      </c>
      <c r="AD554" s="123">
        <v>0</v>
      </c>
      <c r="AE554" s="123">
        <v>50426</v>
      </c>
      <c r="AG554" s="151">
        <f t="shared" si="108"/>
        <v>95785</v>
      </c>
      <c r="AH554" s="123">
        <f>374454-269985-4000</f>
        <v>100469</v>
      </c>
      <c r="AI554" s="123">
        <v>4684</v>
      </c>
      <c r="AJ554" s="123">
        <v>95591</v>
      </c>
      <c r="AO554" s="123">
        <v>225000</v>
      </c>
    </row>
    <row r="555" spans="1:41" s="123" customFormat="1" ht="16.2" thickBot="1" x14ac:dyDescent="0.35">
      <c r="A555" s="21"/>
      <c r="B555" s="212" t="s">
        <v>171</v>
      </c>
      <c r="C555" s="31" t="str">
        <f>VLOOKUP((CONCATENATE(B555)),ID!$A$2:$D$305,3,0)</f>
        <v>IN011</v>
      </c>
      <c r="D555" s="21">
        <v>1</v>
      </c>
      <c r="E555" s="21" t="s">
        <v>341</v>
      </c>
      <c r="F555" s="21" t="s">
        <v>1117</v>
      </c>
      <c r="G555" s="21" t="s">
        <v>3853</v>
      </c>
      <c r="H555" s="88">
        <v>3653</v>
      </c>
      <c r="I555" s="43">
        <v>3687</v>
      </c>
      <c r="J555" s="43">
        <v>3687</v>
      </c>
      <c r="K555" s="21">
        <v>0</v>
      </c>
      <c r="L555" s="21"/>
      <c r="M555" s="21"/>
      <c r="N555" s="43">
        <v>3706</v>
      </c>
      <c r="O555" s="21" t="s">
        <v>3800</v>
      </c>
      <c r="P555" s="194">
        <v>1</v>
      </c>
      <c r="Q555" s="21">
        <v>1</v>
      </c>
      <c r="R555" s="39" t="str">
        <f t="shared" si="113"/>
        <v>-</v>
      </c>
      <c r="S555" s="120">
        <f t="shared" si="114"/>
        <v>6873465</v>
      </c>
      <c r="T555" s="123">
        <v>6931897</v>
      </c>
      <c r="U555" s="123">
        <f>6702145</f>
        <v>6702145</v>
      </c>
      <c r="V555" s="123">
        <f t="shared" si="110"/>
        <v>229752</v>
      </c>
      <c r="W555" s="122" t="str">
        <f t="shared" si="109"/>
        <v>1</v>
      </c>
      <c r="X555" s="123">
        <f>T555-6873465</f>
        <v>58432</v>
      </c>
      <c r="Z555" s="123">
        <f t="shared" si="112"/>
        <v>58432</v>
      </c>
      <c r="AA555" s="122" t="str">
        <f t="shared" si="107"/>
        <v>1</v>
      </c>
      <c r="AB555" s="120">
        <f t="shared" si="115"/>
        <v>0</v>
      </c>
      <c r="AC555" s="123">
        <v>0</v>
      </c>
      <c r="AD555" s="123">
        <v>0</v>
      </c>
      <c r="AE555" s="123">
        <v>25196</v>
      </c>
      <c r="AG555" s="181">
        <f t="shared" si="108"/>
        <v>6873465</v>
      </c>
      <c r="AH555" s="182">
        <v>6873465</v>
      </c>
    </row>
    <row r="556" spans="1:41" s="123" customFormat="1" ht="16.2" thickBot="1" x14ac:dyDescent="0.35">
      <c r="A556" s="21">
        <v>81.099999999999994</v>
      </c>
      <c r="B556" s="212" t="s">
        <v>171</v>
      </c>
      <c r="C556" s="31" t="str">
        <f>VLOOKUP((CONCATENATE(B556)),ID!$A$2:$D$305,3,0)</f>
        <v>IN011</v>
      </c>
      <c r="D556" s="21">
        <v>1</v>
      </c>
      <c r="E556" s="21" t="s">
        <v>341</v>
      </c>
      <c r="F556" s="21" t="s">
        <v>1117</v>
      </c>
      <c r="G556" s="21" t="s">
        <v>3853</v>
      </c>
      <c r="H556" s="88">
        <v>4018</v>
      </c>
      <c r="I556" s="43">
        <v>4065</v>
      </c>
      <c r="J556" s="43">
        <v>4065</v>
      </c>
      <c r="K556" s="21">
        <v>0</v>
      </c>
      <c r="L556" s="21"/>
      <c r="M556" s="21"/>
      <c r="N556" s="43">
        <v>4077</v>
      </c>
      <c r="O556" s="21" t="s">
        <v>4055</v>
      </c>
      <c r="P556" s="194">
        <v>1</v>
      </c>
      <c r="Q556" s="21">
        <v>1</v>
      </c>
      <c r="R556" s="39" t="str">
        <f t="shared" si="113"/>
        <v>-</v>
      </c>
      <c r="S556" s="120">
        <f t="shared" si="114"/>
        <v>7499794</v>
      </c>
      <c r="T556" s="123">
        <v>7552930</v>
      </c>
      <c r="U556" s="123">
        <f>7318110</f>
        <v>7318110</v>
      </c>
      <c r="V556" s="123">
        <f t="shared" si="110"/>
        <v>234820</v>
      </c>
      <c r="W556" s="122" t="str">
        <f t="shared" si="109"/>
        <v>1</v>
      </c>
      <c r="X556" s="123">
        <f>T556-7134074-186603-179117</f>
        <v>53136</v>
      </c>
      <c r="Z556" s="123">
        <f t="shared" si="112"/>
        <v>53136</v>
      </c>
      <c r="AA556" s="122" t="str">
        <f t="shared" si="107"/>
        <v>1</v>
      </c>
      <c r="AB556" s="120">
        <f t="shared" si="115"/>
        <v>0</v>
      </c>
      <c r="AC556" s="123">
        <v>0</v>
      </c>
      <c r="AD556" s="123">
        <v>0</v>
      </c>
      <c r="AE556" s="123">
        <v>32427</v>
      </c>
      <c r="AG556" s="181">
        <f t="shared" si="108"/>
        <v>7499795</v>
      </c>
      <c r="AH556" s="182">
        <v>7499795</v>
      </c>
    </row>
    <row r="557" spans="1:41" s="123" customFormat="1" ht="16.2" thickBot="1" x14ac:dyDescent="0.35">
      <c r="A557" s="21">
        <v>81.2</v>
      </c>
      <c r="B557" s="212" t="s">
        <v>171</v>
      </c>
      <c r="C557" s="31" t="str">
        <f>VLOOKUP((CONCATENATE(B557)),ID!$A$2:$D$305,3,0)</f>
        <v>IN011</v>
      </c>
      <c r="D557" s="21">
        <v>1</v>
      </c>
      <c r="E557" s="21" t="s">
        <v>341</v>
      </c>
      <c r="F557" s="21" t="s">
        <v>1117</v>
      </c>
      <c r="G557" s="21" t="s">
        <v>3853</v>
      </c>
      <c r="H557" s="88">
        <v>4383</v>
      </c>
      <c r="I557" s="43">
        <v>4441</v>
      </c>
      <c r="J557" s="43">
        <v>4441</v>
      </c>
      <c r="K557" s="21">
        <v>0</v>
      </c>
      <c r="L557" s="21"/>
      <c r="M557" s="21"/>
      <c r="N557" s="43">
        <v>4462</v>
      </c>
      <c r="O557" s="21" t="s">
        <v>3860</v>
      </c>
      <c r="P557" s="194">
        <v>1</v>
      </c>
      <c r="Q557" s="21">
        <v>1</v>
      </c>
      <c r="R557" s="39" t="str">
        <f t="shared" si="113"/>
        <v>-</v>
      </c>
      <c r="S557" s="120">
        <f t="shared" si="114"/>
        <v>8232882</v>
      </c>
      <c r="T557" s="123">
        <v>8286552</v>
      </c>
      <c r="U557" s="123">
        <v>8021272</v>
      </c>
      <c r="V557" s="123">
        <f t="shared" si="110"/>
        <v>265280</v>
      </c>
      <c r="W557" s="122" t="str">
        <f t="shared" si="109"/>
        <v>1</v>
      </c>
      <c r="X557" s="123">
        <f>T557-8232882</f>
        <v>53670</v>
      </c>
      <c r="Z557" s="123">
        <f t="shared" si="112"/>
        <v>53670</v>
      </c>
      <c r="AA557" s="122" t="str">
        <f t="shared" si="107"/>
        <v>1</v>
      </c>
      <c r="AB557" s="120">
        <f t="shared" si="115"/>
        <v>0</v>
      </c>
      <c r="AC557" s="123">
        <v>0</v>
      </c>
      <c r="AD557" s="123">
        <v>0</v>
      </c>
      <c r="AE557" s="123">
        <v>42377</v>
      </c>
      <c r="AG557" s="181">
        <f t="shared" si="108"/>
        <v>8232882</v>
      </c>
      <c r="AH557" s="182">
        <v>8232882</v>
      </c>
    </row>
    <row r="558" spans="1:41" s="123" customFormat="1" ht="16.2" thickBot="1" x14ac:dyDescent="0.35">
      <c r="A558" s="21"/>
      <c r="B558" s="212" t="s">
        <v>171</v>
      </c>
      <c r="C558" s="31" t="str">
        <f>VLOOKUP((CONCATENATE(B558)),ID!$A$2:$D$305,3,0)</f>
        <v>IN011</v>
      </c>
      <c r="D558" s="21">
        <v>1</v>
      </c>
      <c r="E558" s="21" t="s">
        <v>341</v>
      </c>
      <c r="F558" s="21" t="s">
        <v>1117</v>
      </c>
      <c r="G558" s="21" t="s">
        <v>3853</v>
      </c>
      <c r="H558" s="88">
        <v>4749</v>
      </c>
      <c r="I558" s="43">
        <v>4777</v>
      </c>
      <c r="J558" s="43">
        <v>4777</v>
      </c>
      <c r="K558" s="21">
        <v>0</v>
      </c>
      <c r="L558" s="21"/>
      <c r="M558" s="21"/>
      <c r="N558" s="43">
        <v>4791</v>
      </c>
      <c r="O558" s="21" t="s">
        <v>3860</v>
      </c>
      <c r="P558" s="194">
        <v>1</v>
      </c>
      <c r="Q558" s="21">
        <v>1</v>
      </c>
      <c r="R558" s="39" t="str">
        <f t="shared" si="113"/>
        <v>-</v>
      </c>
      <c r="S558" s="120">
        <f t="shared" si="114"/>
        <v>8929898</v>
      </c>
      <c r="T558" s="123">
        <v>9005321</v>
      </c>
      <c r="U558" s="123">
        <v>8830072</v>
      </c>
      <c r="V558" s="123">
        <f t="shared" si="110"/>
        <v>175249</v>
      </c>
      <c r="W558" s="122" t="str">
        <f t="shared" si="109"/>
        <v>1</v>
      </c>
      <c r="X558" s="123">
        <f>T558-8929898</f>
        <v>75423</v>
      </c>
      <c r="Z558" s="123">
        <f t="shared" si="112"/>
        <v>75423</v>
      </c>
      <c r="AA558" s="122" t="str">
        <f t="shared" si="107"/>
        <v>1</v>
      </c>
      <c r="AB558" s="120">
        <f t="shared" si="115"/>
        <v>0</v>
      </c>
      <c r="AC558" s="123">
        <v>0</v>
      </c>
      <c r="AD558" s="123">
        <v>0</v>
      </c>
      <c r="AE558" s="123">
        <v>5918</v>
      </c>
      <c r="AG558" s="181">
        <f t="shared" si="108"/>
        <v>8929898</v>
      </c>
      <c r="AH558" s="182">
        <v>8929898</v>
      </c>
    </row>
    <row r="559" spans="1:41" s="123" customFormat="1" ht="16.2" thickBot="1" x14ac:dyDescent="0.35">
      <c r="A559" s="21"/>
      <c r="B559" s="212" t="s">
        <v>171</v>
      </c>
      <c r="C559" s="31" t="str">
        <f>VLOOKUP((CONCATENATE(B559)),ID!$A$2:$D$305,3,0)</f>
        <v>IN011</v>
      </c>
      <c r="D559" s="21">
        <v>1</v>
      </c>
      <c r="E559" s="21" t="s">
        <v>341</v>
      </c>
      <c r="F559" s="21" t="s">
        <v>1117</v>
      </c>
      <c r="G559" s="21" t="s">
        <v>3853</v>
      </c>
      <c r="H559" s="88">
        <v>5114</v>
      </c>
      <c r="I559" s="43">
        <v>5154</v>
      </c>
      <c r="J559" s="43">
        <v>5154</v>
      </c>
      <c r="K559" s="21">
        <v>0</v>
      </c>
      <c r="L559" s="21"/>
      <c r="M559" s="21"/>
      <c r="N559" s="43">
        <v>5169</v>
      </c>
      <c r="O559" s="21" t="s">
        <v>3860</v>
      </c>
      <c r="P559" s="194">
        <v>1</v>
      </c>
      <c r="Q559" s="21">
        <v>1</v>
      </c>
      <c r="R559" s="39" t="str">
        <f t="shared" si="113"/>
        <v>-</v>
      </c>
      <c r="S559" s="120">
        <f t="shared" si="114"/>
        <v>9710296</v>
      </c>
      <c r="T559" s="123">
        <v>9847646</v>
      </c>
      <c r="U559" s="123">
        <v>9597308</v>
      </c>
      <c r="V559" s="123">
        <f t="shared" si="110"/>
        <v>250338</v>
      </c>
      <c r="W559" s="122" t="str">
        <f t="shared" si="109"/>
        <v>1</v>
      </c>
      <c r="X559" s="123">
        <f>T559-9710296</f>
        <v>137350</v>
      </c>
      <c r="Z559" s="123">
        <f t="shared" si="112"/>
        <v>137350</v>
      </c>
      <c r="AA559" s="122" t="str">
        <f t="shared" si="107"/>
        <v>1</v>
      </c>
      <c r="AB559" s="120">
        <f t="shared" si="115"/>
        <v>0</v>
      </c>
      <c r="AC559" s="123">
        <v>0</v>
      </c>
      <c r="AD559" s="123">
        <v>0</v>
      </c>
      <c r="AE559" s="123">
        <v>34499</v>
      </c>
      <c r="AG559" s="181">
        <f t="shared" si="108"/>
        <v>9710296</v>
      </c>
      <c r="AH559" s="182">
        <v>9710296</v>
      </c>
    </row>
    <row r="560" spans="1:41" s="123" customFormat="1" ht="16.2" thickBot="1" x14ac:dyDescent="0.35">
      <c r="A560" s="21"/>
      <c r="B560" s="212" t="s">
        <v>179</v>
      </c>
      <c r="C560" s="31" t="str">
        <f>VLOOKUP((CONCATENATE(B560)),ID!$A$2:$D$305,3,0)</f>
        <v>IN012</v>
      </c>
      <c r="D560" s="21">
        <v>1</v>
      </c>
      <c r="E560" s="21" t="s">
        <v>341</v>
      </c>
      <c r="F560" s="21" t="s">
        <v>3861</v>
      </c>
      <c r="G560" s="21" t="s">
        <v>3862</v>
      </c>
      <c r="H560" s="88">
        <v>3653</v>
      </c>
      <c r="I560" s="43">
        <v>3769</v>
      </c>
      <c r="J560" s="43">
        <v>3769</v>
      </c>
      <c r="K560" s="21">
        <v>1</v>
      </c>
      <c r="L560" s="43">
        <v>3777</v>
      </c>
      <c r="M560" s="43">
        <v>3784</v>
      </c>
      <c r="N560" s="43">
        <v>3784</v>
      </c>
      <c r="O560" s="21" t="s">
        <v>3863</v>
      </c>
      <c r="P560" s="194" t="str">
        <f t="shared" si="111"/>
        <v>1</v>
      </c>
      <c r="Q560" s="21">
        <v>1</v>
      </c>
      <c r="R560" s="39" t="str">
        <f t="shared" si="113"/>
        <v>-</v>
      </c>
      <c r="S560" s="120">
        <f t="shared" si="114"/>
        <v>9487855</v>
      </c>
      <c r="T560" s="123">
        <v>11638453</v>
      </c>
      <c r="U560" s="123">
        <f>T560-78553-555187-296406-97517-762610</f>
        <v>9848180</v>
      </c>
      <c r="V560" s="123">
        <f t="shared" si="110"/>
        <v>1790273</v>
      </c>
      <c r="W560" s="122" t="str">
        <f t="shared" si="109"/>
        <v>1</v>
      </c>
      <c r="X560" s="123">
        <f>Y560+496398</f>
        <v>2150598</v>
      </c>
      <c r="Y560" s="123">
        <v>1654200</v>
      </c>
      <c r="Z560" s="123">
        <f t="shared" si="112"/>
        <v>496398</v>
      </c>
      <c r="AA560" s="122" t="str">
        <f t="shared" si="107"/>
        <v>1</v>
      </c>
      <c r="AB560" s="120">
        <f t="shared" si="115"/>
        <v>1654200</v>
      </c>
      <c r="AC560" s="123">
        <v>0</v>
      </c>
      <c r="AD560" s="123">
        <f>Y560</f>
        <v>1654200</v>
      </c>
      <c r="AE560" s="123">
        <v>256716</v>
      </c>
      <c r="AG560" s="151">
        <f t="shared" si="108"/>
        <v>525865</v>
      </c>
      <c r="AH560" s="123">
        <f>1452618-879884</f>
        <v>572734</v>
      </c>
      <c r="AJ560" s="123">
        <v>98256</v>
      </c>
      <c r="AL560" s="123">
        <v>46869</v>
      </c>
      <c r="AO560" s="123">
        <v>245640</v>
      </c>
    </row>
    <row r="561" spans="1:41" s="123" customFormat="1" ht="16.2" thickBot="1" x14ac:dyDescent="0.35">
      <c r="A561" s="21">
        <v>82.1</v>
      </c>
      <c r="B561" s="212" t="s">
        <v>179</v>
      </c>
      <c r="C561" s="31" t="str">
        <f>VLOOKUP((CONCATENATE(B561)),ID!$A$2:$D$305,3,0)</f>
        <v>IN012</v>
      </c>
      <c r="D561" s="21">
        <v>1</v>
      </c>
      <c r="E561" s="21" t="s">
        <v>341</v>
      </c>
      <c r="F561" s="21" t="s">
        <v>3861</v>
      </c>
      <c r="G561" s="21" t="s">
        <v>3862</v>
      </c>
      <c r="H561" s="88">
        <v>4018</v>
      </c>
      <c r="I561" s="43">
        <v>4140</v>
      </c>
      <c r="J561" s="43">
        <v>4140</v>
      </c>
      <c r="K561" s="21">
        <v>1</v>
      </c>
      <c r="L561" s="43">
        <v>4141</v>
      </c>
      <c r="M561" s="43">
        <v>4154</v>
      </c>
      <c r="N561" s="43">
        <v>4154</v>
      </c>
      <c r="O561" s="21" t="s">
        <v>3863</v>
      </c>
      <c r="P561" s="194" t="str">
        <f t="shared" si="111"/>
        <v>1</v>
      </c>
      <c r="Q561" s="21">
        <v>1</v>
      </c>
      <c r="R561" s="39" t="str">
        <f t="shared" si="113"/>
        <v>-</v>
      </c>
      <c r="S561" s="120">
        <f t="shared" si="114"/>
        <v>10212313</v>
      </c>
      <c r="T561" s="123">
        <v>11523394</v>
      </c>
      <c r="U561" s="123">
        <f>T561-133740-109724-782455-12570-71504-545640-108987-87785</f>
        <v>9670989</v>
      </c>
      <c r="V561" s="123">
        <f t="shared" si="110"/>
        <v>1852405</v>
      </c>
      <c r="W561" s="122" t="str">
        <f t="shared" si="109"/>
        <v>1</v>
      </c>
      <c r="X561" s="123">
        <f>805800+505281</f>
        <v>1311081</v>
      </c>
      <c r="Y561" s="123">
        <v>805800</v>
      </c>
      <c r="Z561" s="123">
        <f t="shared" si="112"/>
        <v>505281</v>
      </c>
      <c r="AA561" s="122" t="str">
        <f t="shared" si="107"/>
        <v>1</v>
      </c>
      <c r="AB561" s="120">
        <f t="shared" si="115"/>
        <v>805800</v>
      </c>
      <c r="AC561" s="123">
        <v>0</v>
      </c>
      <c r="AD561" s="123">
        <f>Y561</f>
        <v>805800</v>
      </c>
      <c r="AE561" s="123">
        <v>299060</v>
      </c>
      <c r="AG561" s="151">
        <f t="shared" si="108"/>
        <v>521058</v>
      </c>
      <c r="AH561" s="123">
        <f>1660303-1072391-16001</f>
        <v>571911</v>
      </c>
      <c r="AI561" s="123">
        <v>4122</v>
      </c>
      <c r="AJ561" s="123">
        <v>122820</v>
      </c>
      <c r="AL561" s="123">
        <v>46731</v>
      </c>
      <c r="AO561" s="123">
        <v>245640</v>
      </c>
    </row>
    <row r="562" spans="1:41" s="123" customFormat="1" ht="16.2" thickBot="1" x14ac:dyDescent="0.35">
      <c r="A562" s="21">
        <v>82.2</v>
      </c>
      <c r="B562" s="212" t="s">
        <v>179</v>
      </c>
      <c r="C562" s="31" t="str">
        <f>VLOOKUP((CONCATENATE(B562)),ID!$A$2:$D$305,3,0)</f>
        <v>IN012</v>
      </c>
      <c r="D562" s="21">
        <v>1</v>
      </c>
      <c r="E562" s="21" t="s">
        <v>341</v>
      </c>
      <c r="F562" s="21" t="s">
        <v>3861</v>
      </c>
      <c r="G562" s="21" t="s">
        <v>3862</v>
      </c>
      <c r="H562" s="88">
        <v>4383</v>
      </c>
      <c r="I562" s="43">
        <v>4504</v>
      </c>
      <c r="J562" s="43">
        <v>4504</v>
      </c>
      <c r="K562" s="21">
        <v>1</v>
      </c>
      <c r="L562" s="43">
        <v>4506</v>
      </c>
      <c r="M562" s="43">
        <v>4519</v>
      </c>
      <c r="N562" s="43">
        <v>4514</v>
      </c>
      <c r="O562" s="21" t="s">
        <v>3863</v>
      </c>
      <c r="P562" s="194" t="str">
        <f t="shared" si="111"/>
        <v>1</v>
      </c>
      <c r="Q562" s="21">
        <v>1</v>
      </c>
      <c r="R562" s="39" t="str">
        <f t="shared" si="113"/>
        <v>-</v>
      </c>
      <c r="S562" s="120">
        <f t="shared" si="114"/>
        <v>10327689</v>
      </c>
      <c r="T562" s="123">
        <v>11674283</v>
      </c>
      <c r="U562" s="123">
        <f>T562-83071-76775-349225-73016-14510-819085-109724</f>
        <v>10148877</v>
      </c>
      <c r="V562" s="123">
        <f t="shared" si="110"/>
        <v>1525406</v>
      </c>
      <c r="W562" s="122" t="str">
        <f t="shared" si="109"/>
        <v>1</v>
      </c>
      <c r="X562" s="123">
        <f>805800+540794</f>
        <v>1346594</v>
      </c>
      <c r="Y562" s="123">
        <v>805800</v>
      </c>
      <c r="Z562" s="123">
        <f t="shared" si="112"/>
        <v>540794</v>
      </c>
      <c r="AA562" s="122" t="str">
        <f t="shared" si="107"/>
        <v>1</v>
      </c>
      <c r="AB562" s="120">
        <f t="shared" si="115"/>
        <v>805800</v>
      </c>
      <c r="AC562" s="123">
        <v>0</v>
      </c>
      <c r="AD562" s="123">
        <f>Y562</f>
        <v>805800</v>
      </c>
      <c r="AE562" s="123">
        <v>285904</v>
      </c>
      <c r="AG562" s="151">
        <f t="shared" si="108"/>
        <v>390132</v>
      </c>
      <c r="AH562" s="123">
        <f>1544153-1093879</f>
        <v>450274</v>
      </c>
      <c r="AI562" s="123">
        <v>29791</v>
      </c>
      <c r="AJ562" s="123">
        <v>122820</v>
      </c>
      <c r="AL562" s="123">
        <v>30351</v>
      </c>
      <c r="AO562" s="123">
        <v>245640</v>
      </c>
    </row>
    <row r="563" spans="1:41" s="123" customFormat="1" ht="16.2" thickBot="1" x14ac:dyDescent="0.35">
      <c r="A563" s="21"/>
      <c r="B563" s="212" t="s">
        <v>179</v>
      </c>
      <c r="C563" s="31" t="str">
        <f>VLOOKUP((CONCATENATE(B563)),ID!$A$2:$D$305,3,0)</f>
        <v>IN012</v>
      </c>
      <c r="D563" s="21">
        <v>1</v>
      </c>
      <c r="E563" s="21" t="s">
        <v>341</v>
      </c>
      <c r="F563" s="21" t="s">
        <v>3861</v>
      </c>
      <c r="G563" s="21" t="s">
        <v>3862</v>
      </c>
      <c r="H563" s="88">
        <v>4749</v>
      </c>
      <c r="I563" s="43">
        <v>4868</v>
      </c>
      <c r="J563" s="43">
        <v>4868</v>
      </c>
      <c r="K563" s="21">
        <v>1</v>
      </c>
      <c r="L563" s="43">
        <v>4870</v>
      </c>
      <c r="M563" s="43">
        <v>4883</v>
      </c>
      <c r="N563" s="43">
        <v>4889</v>
      </c>
      <c r="O563" s="21" t="s">
        <v>3863</v>
      </c>
      <c r="P563" s="194" t="str">
        <f t="shared" si="111"/>
        <v>1</v>
      </c>
      <c r="Q563" s="21">
        <v>1</v>
      </c>
      <c r="R563" s="39" t="str">
        <f t="shared" si="113"/>
        <v>-</v>
      </c>
      <c r="S563" s="120">
        <f t="shared" si="114"/>
        <v>10735225</v>
      </c>
      <c r="T563" s="123">
        <v>12566986</v>
      </c>
      <c r="U563" s="123">
        <f>T563-83499-89365-574865-93235-15399-967168-105684</f>
        <v>10637771</v>
      </c>
      <c r="V563" s="123">
        <f t="shared" si="110"/>
        <v>1929215</v>
      </c>
      <c r="W563" s="122" t="str">
        <f t="shared" si="109"/>
        <v>1</v>
      </c>
      <c r="X563" s="123">
        <f>Y563+575266</f>
        <v>1831761</v>
      </c>
      <c r="Y563" s="123">
        <f>805800+450695</f>
        <v>1256495</v>
      </c>
      <c r="Z563" s="123">
        <f t="shared" si="112"/>
        <v>575266</v>
      </c>
      <c r="AA563" s="122" t="str">
        <f t="shared" si="107"/>
        <v>1</v>
      </c>
      <c r="AB563" s="120">
        <f t="shared" si="115"/>
        <v>1256495</v>
      </c>
      <c r="AC563" s="123">
        <v>0</v>
      </c>
      <c r="AD563" s="123">
        <f>Y563</f>
        <v>1256495</v>
      </c>
      <c r="AE563" s="123">
        <v>395311</v>
      </c>
      <c r="AG563" s="151">
        <f t="shared" si="108"/>
        <v>425579</v>
      </c>
      <c r="AH563" s="123">
        <f>1552690-1057555</f>
        <v>495135</v>
      </c>
      <c r="AI563" s="123">
        <v>22229</v>
      </c>
      <c r="AJ563" s="123">
        <v>132762</v>
      </c>
      <c r="AL563" s="123">
        <f>30351+16976</f>
        <v>47327</v>
      </c>
      <c r="AO563" s="123">
        <v>265525</v>
      </c>
    </row>
    <row r="564" spans="1:41" s="123" customFormat="1" ht="16.2" thickBot="1" x14ac:dyDescent="0.35">
      <c r="A564" s="21"/>
      <c r="B564" s="212" t="s">
        <v>179</v>
      </c>
      <c r="C564" s="31" t="str">
        <f>VLOOKUP((CONCATENATE(B564)),ID!$A$2:$D$305,3,0)</f>
        <v>IN012</v>
      </c>
      <c r="D564" s="21">
        <v>1</v>
      </c>
      <c r="E564" s="21" t="s">
        <v>341</v>
      </c>
      <c r="F564" s="21" t="s">
        <v>3861</v>
      </c>
      <c r="G564" s="21" t="s">
        <v>3862</v>
      </c>
      <c r="H564" s="88">
        <v>5114</v>
      </c>
      <c r="I564" s="43">
        <v>5232</v>
      </c>
      <c r="J564" s="43">
        <v>5232</v>
      </c>
      <c r="K564" s="21">
        <v>1</v>
      </c>
      <c r="L564" s="43">
        <v>5235</v>
      </c>
      <c r="M564" s="43">
        <v>5248</v>
      </c>
      <c r="N564" s="43">
        <v>5253</v>
      </c>
      <c r="O564" s="21" t="s">
        <v>3863</v>
      </c>
      <c r="P564" s="194" t="str">
        <f t="shared" si="111"/>
        <v>1</v>
      </c>
      <c r="Q564" s="21">
        <v>1</v>
      </c>
      <c r="R564" s="39" t="str">
        <f t="shared" si="113"/>
        <v>-</v>
      </c>
      <c r="S564" s="120">
        <f t="shared" si="114"/>
        <v>11876494</v>
      </c>
      <c r="T564" s="123">
        <v>13833482</v>
      </c>
      <c r="U564" s="123">
        <f>T564-50934-91566-615215-92845-14255-1221517-119608</f>
        <v>11627542</v>
      </c>
      <c r="V564" s="123">
        <f t="shared" si="110"/>
        <v>2205940</v>
      </c>
      <c r="W564" s="122" t="str">
        <f t="shared" si="109"/>
        <v>1</v>
      </c>
      <c r="X564" s="123">
        <f>Y564+391206+309287</f>
        <v>1956988</v>
      </c>
      <c r="Y564" s="123">
        <v>1256495</v>
      </c>
      <c r="Z564" s="123">
        <f t="shared" si="112"/>
        <v>700493</v>
      </c>
      <c r="AA564" s="122" t="str">
        <f t="shared" si="107"/>
        <v>1</v>
      </c>
      <c r="AB564" s="120">
        <f t="shared" si="115"/>
        <v>1256495</v>
      </c>
      <c r="AC564" s="123">
        <v>0</v>
      </c>
      <c r="AD564" s="123">
        <f>Y564</f>
        <v>1256495</v>
      </c>
      <c r="AE564" s="123">
        <v>294228</v>
      </c>
      <c r="AG564" s="151">
        <f t="shared" si="108"/>
        <v>804734</v>
      </c>
      <c r="AH564" s="123">
        <f>1821196-946320</f>
        <v>874876</v>
      </c>
      <c r="AI564" s="123">
        <v>22814</v>
      </c>
      <c r="AJ564" s="123">
        <v>150021</v>
      </c>
      <c r="AL564" s="123">
        <v>47328</v>
      </c>
      <c r="AO564" s="123">
        <v>265525</v>
      </c>
    </row>
    <row r="565" spans="1:41" s="123" customFormat="1" ht="16.2" thickBot="1" x14ac:dyDescent="0.35">
      <c r="A565" s="21"/>
      <c r="B565" s="212" t="s">
        <v>183</v>
      </c>
      <c r="C565" s="31" t="str">
        <f>VLOOKUP((CONCATENATE(B565)),ID!$A$2:$D$305,3,0)</f>
        <v>IN013</v>
      </c>
      <c r="D565" s="21">
        <v>1</v>
      </c>
      <c r="E565" s="21" t="s">
        <v>341</v>
      </c>
      <c r="F565" s="21" t="s">
        <v>1117</v>
      </c>
      <c r="G565" s="21" t="s">
        <v>3862</v>
      </c>
      <c r="H565" s="88">
        <v>3653</v>
      </c>
      <c r="I565" s="43">
        <v>3758</v>
      </c>
      <c r="J565" s="43">
        <v>3752</v>
      </c>
      <c r="K565" s="21">
        <v>1</v>
      </c>
      <c r="L565" s="43">
        <v>3761</v>
      </c>
      <c r="M565" s="43">
        <v>3775</v>
      </c>
      <c r="N565" s="43">
        <v>3770</v>
      </c>
      <c r="O565" s="21" t="s">
        <v>3872</v>
      </c>
      <c r="P565" s="194" t="str">
        <f t="shared" si="111"/>
        <v>1</v>
      </c>
      <c r="Q565" s="21">
        <v>1</v>
      </c>
      <c r="R565" s="39" t="str">
        <f t="shared" si="113"/>
        <v>-</v>
      </c>
      <c r="S565" s="120">
        <f t="shared" si="114"/>
        <v>2375256</v>
      </c>
      <c r="T565" s="123">
        <v>3244731</v>
      </c>
      <c r="U565" s="123">
        <f>T565-583636</f>
        <v>2661095</v>
      </c>
      <c r="V565" s="123">
        <f t="shared" si="110"/>
        <v>583636</v>
      </c>
      <c r="W565" s="122" t="str">
        <f t="shared" si="109"/>
        <v>1</v>
      </c>
      <c r="X565" s="123">
        <f>809475+Y565</f>
        <v>869475</v>
      </c>
      <c r="Y565" s="123">
        <v>60000</v>
      </c>
      <c r="Z565" s="123">
        <f t="shared" si="112"/>
        <v>809475</v>
      </c>
      <c r="AA565" s="122" t="str">
        <f t="shared" si="107"/>
        <v>1</v>
      </c>
      <c r="AB565" s="120">
        <f t="shared" si="115"/>
        <v>0</v>
      </c>
      <c r="AC565" s="123">
        <v>0</v>
      </c>
      <c r="AD565" s="123">
        <v>0</v>
      </c>
      <c r="AE565" s="123">
        <v>302222</v>
      </c>
      <c r="AG565" s="151">
        <f t="shared" si="108"/>
        <v>307940</v>
      </c>
      <c r="AH565" s="123">
        <f>560601-252661</f>
        <v>307940</v>
      </c>
      <c r="AJ565" s="123">
        <v>31695</v>
      </c>
      <c r="AO565" s="123">
        <v>105650</v>
      </c>
    </row>
    <row r="566" spans="1:41" s="123" customFormat="1" ht="16.2" thickBot="1" x14ac:dyDescent="0.35">
      <c r="A566" s="21">
        <v>83.1</v>
      </c>
      <c r="B566" s="212" t="s">
        <v>183</v>
      </c>
      <c r="C566" s="31" t="str">
        <f>VLOOKUP((CONCATENATE(B566)),ID!$A$2:$D$305,3,0)</f>
        <v>IN013</v>
      </c>
      <c r="D566" s="21">
        <v>1</v>
      </c>
      <c r="E566" s="21" t="s">
        <v>341</v>
      </c>
      <c r="F566" s="21" t="s">
        <v>1117</v>
      </c>
      <c r="G566" s="21" t="s">
        <v>3862</v>
      </c>
      <c r="H566" s="88">
        <v>4018</v>
      </c>
      <c r="I566" s="43">
        <v>4121</v>
      </c>
      <c r="J566" s="43">
        <v>4116</v>
      </c>
      <c r="K566" s="21">
        <v>1</v>
      </c>
      <c r="L566" s="43">
        <v>4125</v>
      </c>
      <c r="M566" s="43">
        <v>4139</v>
      </c>
      <c r="N566" s="43">
        <v>4134</v>
      </c>
      <c r="O566" s="21" t="s">
        <v>3872</v>
      </c>
      <c r="P566" s="194" t="str">
        <f t="shared" si="111"/>
        <v>1</v>
      </c>
      <c r="Q566" s="21">
        <v>1</v>
      </c>
      <c r="R566" s="39" t="str">
        <f t="shared" si="113"/>
        <v>-</v>
      </c>
      <c r="S566" s="120">
        <f t="shared" si="114"/>
        <v>2649992</v>
      </c>
      <c r="T566" s="123">
        <v>3620768</v>
      </c>
      <c r="U566" s="123">
        <f>T566-692413</f>
        <v>2928355</v>
      </c>
      <c r="V566" s="123">
        <f t="shared" si="110"/>
        <v>692413</v>
      </c>
      <c r="W566" s="122" t="str">
        <f t="shared" si="109"/>
        <v>1</v>
      </c>
      <c r="X566" s="123">
        <f>895570+Y566</f>
        <v>970776</v>
      </c>
      <c r="Y566" s="123">
        <v>75206</v>
      </c>
      <c r="Z566" s="123">
        <f t="shared" si="112"/>
        <v>895570</v>
      </c>
      <c r="AA566" s="122" t="str">
        <f t="shared" si="107"/>
        <v>1</v>
      </c>
      <c r="AB566" s="120">
        <f t="shared" si="115"/>
        <v>0</v>
      </c>
      <c r="AC566" s="123">
        <v>0</v>
      </c>
      <c r="AD566" s="123">
        <v>0</v>
      </c>
      <c r="AE566" s="123">
        <v>387046</v>
      </c>
      <c r="AG566" s="151">
        <f t="shared" si="108"/>
        <v>328336</v>
      </c>
      <c r="AH566" s="123">
        <f>755441-427105</f>
        <v>328336</v>
      </c>
      <c r="AJ566" s="123">
        <v>42260</v>
      </c>
      <c r="AO566" s="123">
        <v>105650</v>
      </c>
    </row>
    <row r="567" spans="1:41" s="123" customFormat="1" ht="16.2" thickBot="1" x14ac:dyDescent="0.35">
      <c r="A567" s="21">
        <v>83.2</v>
      </c>
      <c r="B567" s="212" t="s">
        <v>183</v>
      </c>
      <c r="C567" s="31" t="str">
        <f>VLOOKUP((CONCATENATE(B567)),ID!$A$2:$D$305,3,0)</f>
        <v>IN013</v>
      </c>
      <c r="D567" s="21">
        <v>1</v>
      </c>
      <c r="E567" s="21" t="s">
        <v>341</v>
      </c>
      <c r="F567" s="21" t="s">
        <v>1117</v>
      </c>
      <c r="G567" s="21" t="s">
        <v>3862</v>
      </c>
      <c r="H567" s="88">
        <v>4383</v>
      </c>
      <c r="I567" s="43">
        <v>4486</v>
      </c>
      <c r="J567" s="43">
        <v>4482</v>
      </c>
      <c r="K567" s="21">
        <v>1</v>
      </c>
      <c r="L567" s="43">
        <v>4489</v>
      </c>
      <c r="M567" s="43">
        <v>4505</v>
      </c>
      <c r="N567" s="43">
        <v>4499</v>
      </c>
      <c r="O567" s="21" t="s">
        <v>3872</v>
      </c>
      <c r="P567" s="194" t="str">
        <f t="shared" si="111"/>
        <v>1</v>
      </c>
      <c r="Q567" s="21">
        <v>1</v>
      </c>
      <c r="R567" s="39" t="str">
        <f t="shared" si="113"/>
        <v>-</v>
      </c>
      <c r="S567" s="120">
        <f t="shared" si="114"/>
        <v>2957153</v>
      </c>
      <c r="T567" s="123">
        <v>4016077</v>
      </c>
      <c r="U567" s="123">
        <f>T567-764826</f>
        <v>3251251</v>
      </c>
      <c r="V567" s="123">
        <f t="shared" si="110"/>
        <v>764826</v>
      </c>
      <c r="W567" s="122" t="str">
        <f t="shared" si="109"/>
        <v>1</v>
      </c>
      <c r="X567" s="123">
        <f>978228+Y567</f>
        <v>1058924</v>
      </c>
      <c r="Y567" s="123">
        <v>80696</v>
      </c>
      <c r="Z567" s="123">
        <f t="shared" si="112"/>
        <v>978228</v>
      </c>
      <c r="AA567" s="122" t="str">
        <f t="shared" si="107"/>
        <v>1</v>
      </c>
      <c r="AB567" s="120">
        <f t="shared" si="115"/>
        <v>0</v>
      </c>
      <c r="AC567" s="123">
        <v>0</v>
      </c>
      <c r="AD567" s="123">
        <v>0</v>
      </c>
      <c r="AE567" s="123">
        <v>432866</v>
      </c>
      <c r="AG567" s="151">
        <f t="shared" ref="AG567:AG628" si="116">AH567-AL567-AI567</f>
        <v>386753</v>
      </c>
      <c r="AH567" s="123">
        <f>1067552-641184-22500</f>
        <v>403868</v>
      </c>
      <c r="AI567" s="123">
        <v>17115</v>
      </c>
      <c r="AJ567" s="123">
        <v>52825</v>
      </c>
      <c r="AO567" s="123">
        <v>105650</v>
      </c>
    </row>
    <row r="568" spans="1:41" s="123" customFormat="1" ht="16.2" thickBot="1" x14ac:dyDescent="0.35">
      <c r="A568" s="21"/>
      <c r="B568" s="212" t="s">
        <v>183</v>
      </c>
      <c r="C568" s="31" t="str">
        <f>VLOOKUP((CONCATENATE(B568)),ID!$A$2:$D$305,3,0)</f>
        <v>IN013</v>
      </c>
      <c r="D568" s="21">
        <v>1</v>
      </c>
      <c r="E568" s="21" t="s">
        <v>341</v>
      </c>
      <c r="F568" s="21" t="s">
        <v>1117</v>
      </c>
      <c r="G568" s="21" t="s">
        <v>3862</v>
      </c>
      <c r="H568" s="88">
        <v>4749</v>
      </c>
      <c r="I568" s="43">
        <v>4850</v>
      </c>
      <c r="J568" s="43">
        <v>1</v>
      </c>
      <c r="K568" s="21">
        <v>1</v>
      </c>
      <c r="L568" s="43">
        <v>4853</v>
      </c>
      <c r="M568" s="43">
        <v>4870</v>
      </c>
      <c r="N568" s="43">
        <v>4862</v>
      </c>
      <c r="O568" s="21" t="s">
        <v>3872</v>
      </c>
      <c r="P568" s="194" t="str">
        <f t="shared" si="111"/>
        <v>1</v>
      </c>
      <c r="Q568" s="21">
        <v>1</v>
      </c>
      <c r="R568" s="39" t="str">
        <f t="shared" si="113"/>
        <v>-</v>
      </c>
      <c r="S568" s="120">
        <f t="shared" si="114"/>
        <v>3194721</v>
      </c>
      <c r="T568" s="123">
        <v>4275075</v>
      </c>
      <c r="U568" s="123">
        <f>T568-668764</f>
        <v>3606311</v>
      </c>
      <c r="V568" s="123">
        <f t="shared" si="110"/>
        <v>668764</v>
      </c>
      <c r="W568" s="122" t="str">
        <f t="shared" si="109"/>
        <v>1</v>
      </c>
      <c r="X568" s="123">
        <f>993650+Y568</f>
        <v>1080354</v>
      </c>
      <c r="Y568" s="123">
        <v>86704</v>
      </c>
      <c r="Z568" s="123">
        <f t="shared" si="112"/>
        <v>993650</v>
      </c>
      <c r="AA568" s="122" t="str">
        <f t="shared" si="107"/>
        <v>1</v>
      </c>
      <c r="AB568" s="120">
        <f t="shared" si="115"/>
        <v>0</v>
      </c>
      <c r="AC568" s="123">
        <v>0</v>
      </c>
      <c r="AD568" s="123">
        <v>0</v>
      </c>
      <c r="AE568" s="123">
        <v>290621</v>
      </c>
      <c r="AG568" s="151">
        <f t="shared" si="116"/>
        <v>370427</v>
      </c>
      <c r="AH568" s="123">
        <f>1100003-653527-7741-50000</f>
        <v>388735</v>
      </c>
      <c r="AI568" s="123">
        <v>18308</v>
      </c>
      <c r="AJ568" s="123">
        <v>63390</v>
      </c>
      <c r="AO568" s="123">
        <v>105650</v>
      </c>
    </row>
    <row r="569" spans="1:41" s="123" customFormat="1" ht="16.2" thickBot="1" x14ac:dyDescent="0.35">
      <c r="A569" s="21"/>
      <c r="B569" s="212" t="s">
        <v>183</v>
      </c>
      <c r="C569" s="31" t="str">
        <f>VLOOKUP((CONCATENATE(B569)),ID!$A$2:$D$305,3,0)</f>
        <v>IN013</v>
      </c>
      <c r="D569" s="21">
        <v>1</v>
      </c>
      <c r="E569" s="21" t="s">
        <v>341</v>
      </c>
      <c r="F569" s="21" t="s">
        <v>1117</v>
      </c>
      <c r="G569" s="21" t="s">
        <v>3862</v>
      </c>
      <c r="H569" s="88">
        <v>5114</v>
      </c>
      <c r="I569" s="43">
        <v>5217</v>
      </c>
      <c r="J569" s="43">
        <v>5213</v>
      </c>
      <c r="K569" s="21">
        <v>1</v>
      </c>
      <c r="L569" s="43">
        <v>5222</v>
      </c>
      <c r="M569" s="43">
        <v>5235</v>
      </c>
      <c r="N569" s="43">
        <v>5233</v>
      </c>
      <c r="O569" s="21" t="s">
        <v>3872</v>
      </c>
      <c r="P569" s="194" t="str">
        <f t="shared" si="111"/>
        <v>1</v>
      </c>
      <c r="Q569" s="21">
        <v>1</v>
      </c>
      <c r="R569" s="39" t="str">
        <f t="shared" si="113"/>
        <v>-</v>
      </c>
      <c r="S569" s="120">
        <f t="shared" si="114"/>
        <v>3457589</v>
      </c>
      <c r="T569" s="123">
        <v>4642236</v>
      </c>
      <c r="U569" s="123">
        <f>T569-1097018</f>
        <v>3545218</v>
      </c>
      <c r="V569" s="123">
        <f t="shared" si="110"/>
        <v>1097018</v>
      </c>
      <c r="W569" s="122" t="str">
        <f t="shared" ref="W569:W631" si="117">IF(V569+U569=T569,"1","0")</f>
        <v>1</v>
      </c>
      <c r="X569" s="123">
        <f>1092067+Y569</f>
        <v>1184647</v>
      </c>
      <c r="Y569" s="123">
        <v>92580</v>
      </c>
      <c r="Z569" s="123">
        <f t="shared" si="112"/>
        <v>1092067</v>
      </c>
      <c r="AA569" s="122" t="str">
        <f t="shared" si="107"/>
        <v>1</v>
      </c>
      <c r="AB569" s="120">
        <f t="shared" si="115"/>
        <v>0</v>
      </c>
      <c r="AC569" s="123">
        <v>0</v>
      </c>
      <c r="AD569" s="123">
        <v>0</v>
      </c>
      <c r="AE569" s="123">
        <v>606959</v>
      </c>
      <c r="AG569" s="151">
        <f t="shared" si="116"/>
        <v>196051</v>
      </c>
      <c r="AH569" s="123">
        <f>1158194-855595-86000</f>
        <v>216599</v>
      </c>
      <c r="AI569" s="123">
        <v>20548</v>
      </c>
      <c r="AJ569" s="123">
        <v>63390</v>
      </c>
      <c r="AO569" s="123">
        <v>105650</v>
      </c>
    </row>
    <row r="570" spans="1:41" s="123" customFormat="1" ht="16.2" thickBot="1" x14ac:dyDescent="0.35">
      <c r="A570" s="21"/>
      <c r="B570" s="212" t="s">
        <v>186</v>
      </c>
      <c r="C570" s="31" t="str">
        <f>VLOOKUP((CONCATENATE(B570)),ID!$A$2:$D$305,3,0)</f>
        <v>IN014</v>
      </c>
      <c r="D570" s="21">
        <v>1</v>
      </c>
      <c r="E570" s="21" t="s">
        <v>341</v>
      </c>
      <c r="F570" s="21" t="s">
        <v>1117</v>
      </c>
      <c r="G570" s="21" t="s">
        <v>3853</v>
      </c>
      <c r="H570" s="88">
        <v>3653</v>
      </c>
      <c r="I570" s="43">
        <v>3681</v>
      </c>
      <c r="J570" s="43">
        <v>3673</v>
      </c>
      <c r="K570" s="21">
        <v>0</v>
      </c>
      <c r="L570" s="43"/>
      <c r="M570" s="43"/>
      <c r="N570" s="43">
        <v>3694</v>
      </c>
      <c r="O570" s="21" t="s">
        <v>4056</v>
      </c>
      <c r="P570" s="194" t="str">
        <f t="shared" si="111"/>
        <v>1</v>
      </c>
      <c r="Q570" s="21">
        <v>1</v>
      </c>
      <c r="R570" s="39" t="str">
        <f t="shared" si="113"/>
        <v>-</v>
      </c>
      <c r="S570" s="120">
        <f t="shared" si="114"/>
        <v>323654</v>
      </c>
      <c r="T570" s="123">
        <v>329767</v>
      </c>
      <c r="U570" s="123">
        <v>277226</v>
      </c>
      <c r="V570" s="123">
        <f t="shared" si="110"/>
        <v>52541</v>
      </c>
      <c r="W570" s="122" t="str">
        <f t="shared" si="117"/>
        <v>1</v>
      </c>
      <c r="X570" s="123">
        <v>6113</v>
      </c>
      <c r="Z570" s="123">
        <f t="shared" si="112"/>
        <v>6113</v>
      </c>
      <c r="AA570" s="122" t="str">
        <f t="shared" si="107"/>
        <v>1</v>
      </c>
      <c r="AB570" s="120">
        <f t="shared" si="115"/>
        <v>0</v>
      </c>
      <c r="AC570" s="123">
        <v>0</v>
      </c>
      <c r="AD570" s="123">
        <v>0</v>
      </c>
      <c r="AE570" s="123">
        <v>6903</v>
      </c>
      <c r="AG570" s="151">
        <f t="shared" si="116"/>
        <v>139793</v>
      </c>
      <c r="AH570" s="123">
        <f>146231-6438</f>
        <v>139793</v>
      </c>
      <c r="AJ570" s="123">
        <v>3000</v>
      </c>
      <c r="AO570" s="123">
        <v>100000</v>
      </c>
    </row>
    <row r="571" spans="1:41" s="123" customFormat="1" ht="16.2" thickBot="1" x14ac:dyDescent="0.35">
      <c r="A571" s="21">
        <v>84.1</v>
      </c>
      <c r="B571" s="212" t="s">
        <v>186</v>
      </c>
      <c r="C571" s="31" t="str">
        <f>VLOOKUP((CONCATENATE(B571)),ID!$A$2:$D$305,3,0)</f>
        <v>IN014</v>
      </c>
      <c r="D571" s="21">
        <v>1</v>
      </c>
      <c r="E571" s="21" t="s">
        <v>341</v>
      </c>
      <c r="F571" s="21" t="s">
        <v>1117</v>
      </c>
      <c r="G571" s="21" t="s">
        <v>3853</v>
      </c>
      <c r="H571" s="88">
        <v>4018</v>
      </c>
      <c r="I571" s="43">
        <v>4048</v>
      </c>
      <c r="J571" s="43">
        <v>4041</v>
      </c>
      <c r="K571" s="21">
        <v>0</v>
      </c>
      <c r="L571" s="21"/>
      <c r="M571" s="21"/>
      <c r="N571" s="82" t="s">
        <v>4103</v>
      </c>
      <c r="O571" s="21" t="s">
        <v>4056</v>
      </c>
      <c r="P571" s="194" t="str">
        <f t="shared" si="111"/>
        <v>1</v>
      </c>
      <c r="Q571" s="21">
        <v>1</v>
      </c>
      <c r="R571" s="39" t="str">
        <f t="shared" si="113"/>
        <v>-</v>
      </c>
      <c r="S571" s="120">
        <f t="shared" si="114"/>
        <v>291815</v>
      </c>
      <c r="T571" s="123">
        <v>304815</v>
      </c>
      <c r="U571" s="123">
        <v>247683</v>
      </c>
      <c r="V571" s="123">
        <f t="shared" si="110"/>
        <v>57132</v>
      </c>
      <c r="W571" s="122" t="str">
        <f t="shared" si="117"/>
        <v>1</v>
      </c>
      <c r="X571" s="123">
        <v>13000</v>
      </c>
      <c r="Z571" s="123">
        <f t="shared" si="112"/>
        <v>13000</v>
      </c>
      <c r="AA571" s="122" t="str">
        <f t="shared" si="107"/>
        <v>1</v>
      </c>
      <c r="AB571" s="120">
        <f t="shared" si="115"/>
        <v>0</v>
      </c>
      <c r="AC571" s="123">
        <v>0</v>
      </c>
      <c r="AD571" s="123">
        <v>0</v>
      </c>
      <c r="AE571" s="123">
        <v>8441</v>
      </c>
      <c r="AG571" s="151">
        <f t="shared" si="116"/>
        <v>186201</v>
      </c>
      <c r="AH571" s="123">
        <f>189906-3705</f>
        <v>186201</v>
      </c>
      <c r="AJ571" s="123">
        <v>3000</v>
      </c>
      <c r="AO571" s="123">
        <v>100000</v>
      </c>
    </row>
    <row r="572" spans="1:41" s="123" customFormat="1" ht="16.2" thickBot="1" x14ac:dyDescent="0.35">
      <c r="A572" s="21">
        <v>84.2</v>
      </c>
      <c r="B572" s="212" t="s">
        <v>186</v>
      </c>
      <c r="C572" s="31" t="str">
        <f>VLOOKUP((CONCATENATE(B572)),ID!$A$2:$D$305,3,0)</f>
        <v>IN014</v>
      </c>
      <c r="D572" s="21">
        <v>1</v>
      </c>
      <c r="E572" s="21" t="s">
        <v>341</v>
      </c>
      <c r="F572" s="21" t="s">
        <v>1117</v>
      </c>
      <c r="G572" s="21" t="s">
        <v>3853</v>
      </c>
      <c r="H572" s="88">
        <v>4383</v>
      </c>
      <c r="I572" s="43">
        <v>4417</v>
      </c>
      <c r="J572" s="43">
        <v>4413</v>
      </c>
      <c r="K572" s="21">
        <v>0</v>
      </c>
      <c r="L572" s="21"/>
      <c r="M572" s="21"/>
      <c r="N572" s="43">
        <v>4427</v>
      </c>
      <c r="O572" s="21" t="s">
        <v>3864</v>
      </c>
      <c r="P572" s="194" t="str">
        <f t="shared" si="111"/>
        <v>1</v>
      </c>
      <c r="Q572" s="21">
        <v>1</v>
      </c>
      <c r="R572" s="39" t="str">
        <f t="shared" si="113"/>
        <v>-</v>
      </c>
      <c r="S572" s="120">
        <f t="shared" si="114"/>
        <v>271909</v>
      </c>
      <c r="T572" s="123">
        <v>278310</v>
      </c>
      <c r="U572" s="123">
        <v>230237</v>
      </c>
      <c r="V572" s="123">
        <f t="shared" si="110"/>
        <v>48073</v>
      </c>
      <c r="W572" s="122" t="str">
        <f t="shared" si="117"/>
        <v>1</v>
      </c>
      <c r="X572" s="123">
        <v>6401</v>
      </c>
      <c r="Z572" s="123">
        <f t="shared" ref="Z572:Z634" si="118">X572-Y572</f>
        <v>6401</v>
      </c>
      <c r="AA572" s="122" t="str">
        <f t="shared" si="107"/>
        <v>1</v>
      </c>
      <c r="AB572" s="120">
        <f t="shared" si="115"/>
        <v>0</v>
      </c>
      <c r="AC572" s="123">
        <v>0</v>
      </c>
      <c r="AD572" s="123">
        <v>0</v>
      </c>
      <c r="AE572" s="123">
        <v>6613</v>
      </c>
      <c r="AG572" s="151">
        <f t="shared" si="116"/>
        <v>161259</v>
      </c>
      <c r="AH572" s="123">
        <f>165144-3885</f>
        <v>161259</v>
      </c>
      <c r="AJ572" s="123">
        <v>3000</v>
      </c>
      <c r="AO572" s="123">
        <v>100000</v>
      </c>
    </row>
    <row r="573" spans="1:41" s="123" customFormat="1" ht="16.2" thickBot="1" x14ac:dyDescent="0.35">
      <c r="A573" s="21"/>
      <c r="B573" s="212" t="s">
        <v>186</v>
      </c>
      <c r="C573" s="31" t="str">
        <f>VLOOKUP((CONCATENATE(B573)),ID!$A$2:$D$305,3,0)</f>
        <v>IN014</v>
      </c>
      <c r="D573" s="21">
        <v>1</v>
      </c>
      <c r="E573" s="21" t="s">
        <v>341</v>
      </c>
      <c r="F573" s="21" t="s">
        <v>1117</v>
      </c>
      <c r="G573" s="21" t="s">
        <v>3853</v>
      </c>
      <c r="H573" s="88">
        <v>4749</v>
      </c>
      <c r="I573" s="43"/>
      <c r="J573" s="43"/>
      <c r="K573" s="21"/>
      <c r="L573" s="21"/>
      <c r="M573" s="21"/>
      <c r="N573" s="43"/>
      <c r="O573" s="21" t="s">
        <v>3864</v>
      </c>
      <c r="P573" s="194" t="str">
        <f t="shared" si="111"/>
        <v>?</v>
      </c>
      <c r="Q573" s="21">
        <v>1</v>
      </c>
      <c r="R573" s="39" t="str">
        <f t="shared" si="113"/>
        <v>-</v>
      </c>
      <c r="S573" s="175">
        <f t="shared" si="114"/>
        <v>0</v>
      </c>
      <c r="T573" s="136"/>
      <c r="U573" s="136"/>
      <c r="V573" s="136">
        <f t="shared" si="110"/>
        <v>0</v>
      </c>
      <c r="W573" s="176" t="str">
        <f t="shared" si="117"/>
        <v>1</v>
      </c>
      <c r="X573" s="136"/>
      <c r="Y573" s="136"/>
      <c r="Z573" s="136">
        <f t="shared" si="118"/>
        <v>0</v>
      </c>
      <c r="AA573" s="176" t="str">
        <f t="shared" si="107"/>
        <v>1</v>
      </c>
      <c r="AB573" s="175">
        <f t="shared" si="115"/>
        <v>0</v>
      </c>
      <c r="AC573" s="136"/>
      <c r="AD573" s="136"/>
      <c r="AE573" s="136"/>
      <c r="AF573" s="136"/>
      <c r="AG573" s="159">
        <f t="shared" si="116"/>
        <v>0</v>
      </c>
      <c r="AH573" s="136"/>
      <c r="AI573" s="136"/>
      <c r="AJ573" s="136"/>
      <c r="AK573" s="136"/>
      <c r="AL573" s="136"/>
      <c r="AM573" s="136"/>
      <c r="AN573" s="136"/>
      <c r="AO573" s="136">
        <v>100000</v>
      </c>
    </row>
    <row r="574" spans="1:41" s="123" customFormat="1" ht="16.2" thickBot="1" x14ac:dyDescent="0.35">
      <c r="A574" s="21"/>
      <c r="B574" s="212" t="s">
        <v>186</v>
      </c>
      <c r="C574" s="31" t="str">
        <f>VLOOKUP((CONCATENATE(B574)),ID!$A$2:$D$305,3,0)</f>
        <v>IN014</v>
      </c>
      <c r="D574" s="21">
        <v>1</v>
      </c>
      <c r="E574" s="21" t="s">
        <v>341</v>
      </c>
      <c r="F574" s="21" t="s">
        <v>1117</v>
      </c>
      <c r="G574" s="21" t="s">
        <v>3853</v>
      </c>
      <c r="H574" s="88">
        <v>5114</v>
      </c>
      <c r="I574" s="43"/>
      <c r="J574" s="43"/>
      <c r="K574" s="21"/>
      <c r="L574" s="21"/>
      <c r="M574" s="21"/>
      <c r="N574" s="43"/>
      <c r="O574" s="21" t="s">
        <v>3864</v>
      </c>
      <c r="P574" s="194" t="str">
        <f t="shared" si="111"/>
        <v>?</v>
      </c>
      <c r="Q574" s="21">
        <v>1</v>
      </c>
      <c r="R574" s="39" t="str">
        <f t="shared" si="113"/>
        <v>-</v>
      </c>
      <c r="S574" s="175">
        <f t="shared" si="114"/>
        <v>0</v>
      </c>
      <c r="T574" s="136"/>
      <c r="U574" s="136"/>
      <c r="V574" s="136">
        <f t="shared" si="110"/>
        <v>0</v>
      </c>
      <c r="W574" s="176" t="str">
        <f t="shared" si="117"/>
        <v>1</v>
      </c>
      <c r="X574" s="136"/>
      <c r="Y574" s="136"/>
      <c r="Z574" s="136">
        <f t="shared" si="118"/>
        <v>0</v>
      </c>
      <c r="AA574" s="176" t="str">
        <f t="shared" si="107"/>
        <v>1</v>
      </c>
      <c r="AB574" s="175">
        <f t="shared" si="115"/>
        <v>0</v>
      </c>
      <c r="AC574" s="136"/>
      <c r="AD574" s="136"/>
      <c r="AE574" s="136"/>
      <c r="AF574" s="136"/>
      <c r="AG574" s="136">
        <f t="shared" si="116"/>
        <v>0</v>
      </c>
      <c r="AH574" s="136"/>
      <c r="AI574" s="136"/>
      <c r="AJ574" s="136"/>
      <c r="AK574" s="136"/>
      <c r="AL574" s="136"/>
      <c r="AM574" s="136"/>
      <c r="AN574" s="136"/>
      <c r="AO574" s="136">
        <v>100000</v>
      </c>
    </row>
    <row r="575" spans="1:41" s="123" customFormat="1" ht="16.2" thickBot="1" x14ac:dyDescent="0.35">
      <c r="A575" s="21"/>
      <c r="B575" s="212" t="s">
        <v>242</v>
      </c>
      <c r="C575" s="31" t="str">
        <f>VLOOKUP((CONCATENATE(B575)),ID!$A$2:$D$305,3,0)</f>
        <v>IN015</v>
      </c>
      <c r="D575" s="21">
        <v>1</v>
      </c>
      <c r="E575" s="21" t="s">
        <v>341</v>
      </c>
      <c r="F575" s="21" t="s">
        <v>3865</v>
      </c>
      <c r="G575" s="21" t="s">
        <v>3853</v>
      </c>
      <c r="H575" s="88">
        <v>3653</v>
      </c>
      <c r="I575" s="43">
        <v>3698</v>
      </c>
      <c r="J575" s="43">
        <v>3698</v>
      </c>
      <c r="K575" s="21">
        <v>0</v>
      </c>
      <c r="L575" s="21"/>
      <c r="M575" s="21"/>
      <c r="N575" s="43">
        <v>3779</v>
      </c>
      <c r="O575" s="21" t="s">
        <v>4003</v>
      </c>
      <c r="P575" s="194" t="str">
        <f t="shared" si="111"/>
        <v>1</v>
      </c>
      <c r="Q575" s="21">
        <v>1</v>
      </c>
      <c r="R575" s="39" t="str">
        <f t="shared" si="113"/>
        <v>-</v>
      </c>
      <c r="S575" s="120">
        <f t="shared" si="114"/>
        <v>20020677</v>
      </c>
      <c r="T575" s="123">
        <v>21155896</v>
      </c>
      <c r="U575" s="123">
        <f>T575-4053-11000-16591-45890-124751-22324-62307-445682-3272</f>
        <v>20420026</v>
      </c>
      <c r="V575" s="123">
        <f t="shared" si="110"/>
        <v>735870</v>
      </c>
      <c r="W575" s="122" t="str">
        <f t="shared" si="117"/>
        <v>1</v>
      </c>
      <c r="X575" s="123">
        <f>5038+452021+548478+129659+17+6</f>
        <v>1135219</v>
      </c>
      <c r="Z575" s="123">
        <f t="shared" si="118"/>
        <v>1135219</v>
      </c>
      <c r="AA575" s="122" t="str">
        <f t="shared" si="107"/>
        <v>1</v>
      </c>
      <c r="AB575" s="120">
        <f t="shared" si="115"/>
        <v>0</v>
      </c>
      <c r="AC575" s="123">
        <v>0</v>
      </c>
      <c r="AD575" s="123">
        <v>0</v>
      </c>
      <c r="AE575" s="123">
        <f>124751+16591</f>
        <v>141342</v>
      </c>
      <c r="AG575" s="153">
        <f t="shared" si="116"/>
        <v>493302</v>
      </c>
      <c r="AH575" s="192">
        <f>1253440-754771-367</f>
        <v>498302</v>
      </c>
      <c r="AI575" s="192">
        <v>5000</v>
      </c>
      <c r="AJ575" s="192">
        <v>19908</v>
      </c>
      <c r="AK575" s="192"/>
      <c r="AL575" s="192"/>
      <c r="AM575" s="192"/>
      <c r="AN575" s="192"/>
      <c r="AO575" s="123">
        <v>110000</v>
      </c>
    </row>
    <row r="576" spans="1:41" s="123" customFormat="1" ht="16.2" thickBot="1" x14ac:dyDescent="0.35">
      <c r="A576" s="21">
        <v>85.1</v>
      </c>
      <c r="B576" s="212" t="s">
        <v>242</v>
      </c>
      <c r="C576" s="31" t="str">
        <f>VLOOKUP((CONCATENATE(B576)),ID!$A$2:$D$305,3,0)</f>
        <v>IN015</v>
      </c>
      <c r="D576" s="21">
        <v>1</v>
      </c>
      <c r="E576" s="21" t="s">
        <v>341</v>
      </c>
      <c r="F576" s="21" t="s">
        <v>3865</v>
      </c>
      <c r="G576" s="21" t="s">
        <v>3853</v>
      </c>
      <c r="H576" s="88">
        <v>4018</v>
      </c>
      <c r="I576" s="43">
        <v>4133</v>
      </c>
      <c r="J576" s="43">
        <v>4133</v>
      </c>
      <c r="K576" s="21">
        <v>0</v>
      </c>
      <c r="L576" s="21"/>
      <c r="M576" s="21"/>
      <c r="N576" s="43">
        <v>4150</v>
      </c>
      <c r="O576" s="21" t="s">
        <v>4003</v>
      </c>
      <c r="P576" s="194" t="str">
        <f t="shared" si="111"/>
        <v>1</v>
      </c>
      <c r="Q576" s="21">
        <v>1</v>
      </c>
      <c r="R576" s="39" t="str">
        <f t="shared" si="113"/>
        <v>-</v>
      </c>
      <c r="S576" s="120">
        <f t="shared" si="114"/>
        <v>21426637</v>
      </c>
      <c r="T576" s="123">
        <v>22538923</v>
      </c>
      <c r="U576" s="123">
        <f>T576-AE576-2500-409-50000-119565-8000-23166-62582-458955</f>
        <v>21669046</v>
      </c>
      <c r="V576" s="123">
        <f t="shared" si="110"/>
        <v>869877</v>
      </c>
      <c r="W576" s="122" t="str">
        <f t="shared" si="117"/>
        <v>1</v>
      </c>
      <c r="X576" s="123">
        <f>250000+6053+414806+373513+64573+2513+828</f>
        <v>1112286</v>
      </c>
      <c r="Z576" s="123">
        <f t="shared" si="118"/>
        <v>1112286</v>
      </c>
      <c r="AA576" s="122" t="str">
        <f t="shared" si="107"/>
        <v>1</v>
      </c>
      <c r="AB576" s="120">
        <f t="shared" si="115"/>
        <v>250000</v>
      </c>
      <c r="AC576" s="123">
        <v>0</v>
      </c>
      <c r="AD576" s="123">
        <v>250000</v>
      </c>
      <c r="AE576" s="123">
        <f>43890+100810</f>
        <v>144700</v>
      </c>
      <c r="AG576" s="153">
        <f t="shared" si="116"/>
        <v>429169</v>
      </c>
      <c r="AH576" s="192">
        <f>1550275-1031914-173-50000-8191-16988</f>
        <v>443009</v>
      </c>
      <c r="AI576" s="192">
        <v>13840</v>
      </c>
      <c r="AJ576" s="192">
        <v>19775</v>
      </c>
      <c r="AK576" s="192"/>
      <c r="AL576" s="192"/>
      <c r="AM576" s="192"/>
      <c r="AN576" s="192"/>
      <c r="AO576" s="123">
        <v>110000</v>
      </c>
    </row>
    <row r="577" spans="1:41" s="123" customFormat="1" ht="16.2" thickBot="1" x14ac:dyDescent="0.35">
      <c r="A577" s="21">
        <v>85.2</v>
      </c>
      <c r="B577" s="212" t="s">
        <v>242</v>
      </c>
      <c r="C577" s="31" t="str">
        <f>VLOOKUP((CONCATENATE(B577)),ID!$A$2:$D$305,3,0)</f>
        <v>IN015</v>
      </c>
      <c r="D577" s="21">
        <v>1</v>
      </c>
      <c r="E577" s="21" t="s">
        <v>341</v>
      </c>
      <c r="F577" s="21" t="s">
        <v>3865</v>
      </c>
      <c r="G577" s="21" t="s">
        <v>3853</v>
      </c>
      <c r="H577" s="88">
        <v>4383</v>
      </c>
      <c r="I577" s="43">
        <v>4497</v>
      </c>
      <c r="J577" s="43">
        <v>4497</v>
      </c>
      <c r="K577" s="21">
        <v>0</v>
      </c>
      <c r="L577" s="21"/>
      <c r="M577" s="21"/>
      <c r="N577" s="43">
        <v>4514</v>
      </c>
      <c r="O577" s="21" t="s">
        <v>4003</v>
      </c>
      <c r="P577" s="194" t="str">
        <f t="shared" si="111"/>
        <v>1</v>
      </c>
      <c r="Q577" s="21">
        <v>1</v>
      </c>
      <c r="R577" s="39" t="str">
        <f t="shared" si="113"/>
        <v>-</v>
      </c>
      <c r="S577" s="120">
        <f t="shared" si="114"/>
        <v>22735875</v>
      </c>
      <c r="T577" s="123">
        <v>23448925</v>
      </c>
      <c r="U577" s="123">
        <f>T577-4211-170691-43890-21610-26938-23827-414625</f>
        <v>22743133</v>
      </c>
      <c r="V577" s="123">
        <f t="shared" si="110"/>
        <v>705792</v>
      </c>
      <c r="W577" s="122" t="str">
        <f t="shared" si="117"/>
        <v>1</v>
      </c>
      <c r="X577" s="123">
        <f>6978+451630+237288+17148+6</f>
        <v>713050</v>
      </c>
      <c r="Z577" s="123">
        <f t="shared" si="118"/>
        <v>713050</v>
      </c>
      <c r="AA577" s="122" t="str">
        <f t="shared" si="107"/>
        <v>1</v>
      </c>
      <c r="AB577" s="120">
        <f t="shared" si="115"/>
        <v>0</v>
      </c>
      <c r="AC577" s="123">
        <v>0</v>
      </c>
      <c r="AD577" s="123">
        <v>0</v>
      </c>
      <c r="AE577" s="123">
        <f>-43890+170691</f>
        <v>126801</v>
      </c>
      <c r="AG577" s="153">
        <f t="shared" si="116"/>
        <v>276910</v>
      </c>
      <c r="AH577" s="192">
        <f>1516214-1220056-1565</f>
        <v>294593</v>
      </c>
      <c r="AI577" s="192">
        <v>17683</v>
      </c>
      <c r="AJ577" s="192">
        <v>42254</v>
      </c>
      <c r="AK577" s="192"/>
      <c r="AL577" s="192"/>
      <c r="AM577" s="192"/>
      <c r="AN577" s="192"/>
      <c r="AO577" s="123">
        <v>110000</v>
      </c>
    </row>
    <row r="578" spans="1:41" s="123" customFormat="1" ht="16.2" thickBot="1" x14ac:dyDescent="0.35">
      <c r="A578" s="21"/>
      <c r="B578" s="212" t="s">
        <v>242</v>
      </c>
      <c r="C578" s="31" t="str">
        <f>VLOOKUP((CONCATENATE(B578)),ID!$A$2:$D$305,3,0)</f>
        <v>IN015</v>
      </c>
      <c r="D578" s="21">
        <v>1</v>
      </c>
      <c r="E578" s="21" t="s">
        <v>341</v>
      </c>
      <c r="F578" s="21" t="s">
        <v>3865</v>
      </c>
      <c r="G578" s="21" t="s">
        <v>3853</v>
      </c>
      <c r="H578" s="88">
        <v>4749</v>
      </c>
      <c r="I578" s="43">
        <v>4862</v>
      </c>
      <c r="J578" s="43">
        <v>4862</v>
      </c>
      <c r="K578" s="21">
        <v>0</v>
      </c>
      <c r="L578" s="21"/>
      <c r="M578" s="21"/>
      <c r="N578" s="43">
        <v>4878</v>
      </c>
      <c r="O578" s="21" t="s">
        <v>4003</v>
      </c>
      <c r="P578" s="194" t="str">
        <f t="shared" ref="P578:P641" si="119">IF(AJ578=0,"?","1")</f>
        <v>1</v>
      </c>
      <c r="Q578" s="21">
        <v>1</v>
      </c>
      <c r="R578" s="39" t="str">
        <f t="shared" si="113"/>
        <v>-</v>
      </c>
      <c r="S578" s="120">
        <f t="shared" si="114"/>
        <v>23371418</v>
      </c>
      <c r="T578" s="123">
        <v>24156072</v>
      </c>
      <c r="U578" s="123">
        <f>T578-20000-3750-182639-35500-35562-25524-75327-470406</f>
        <v>23307364</v>
      </c>
      <c r="V578" s="123">
        <f t="shared" si="110"/>
        <v>848708</v>
      </c>
      <c r="W578" s="122" t="str">
        <f t="shared" si="117"/>
        <v>1</v>
      </c>
      <c r="X578" s="123">
        <f>7484+443790+276735+56248+397</f>
        <v>784654</v>
      </c>
      <c r="Z578" s="123">
        <f t="shared" si="118"/>
        <v>784654</v>
      </c>
      <c r="AA578" s="122" t="str">
        <f t="shared" si="107"/>
        <v>1</v>
      </c>
      <c r="AB578" s="120">
        <f t="shared" si="115"/>
        <v>0</v>
      </c>
      <c r="AC578" s="123">
        <v>0</v>
      </c>
      <c r="AD578" s="123">
        <v>0</v>
      </c>
      <c r="AE578" s="123">
        <f>35562+182639</f>
        <v>218201</v>
      </c>
      <c r="AG578" s="153">
        <f t="shared" si="116"/>
        <v>372148</v>
      </c>
      <c r="AH578" s="192">
        <f>1735979-1246544-399-108463</f>
        <v>380573</v>
      </c>
      <c r="AI578" s="192">
        <v>8425</v>
      </c>
      <c r="AJ578" s="192">
        <v>65916</v>
      </c>
      <c r="AK578" s="192"/>
      <c r="AL578" s="192"/>
      <c r="AM578" s="192"/>
      <c r="AN578" s="192"/>
      <c r="AO578" s="123">
        <v>110000</v>
      </c>
    </row>
    <row r="579" spans="1:41" s="123" customFormat="1" ht="16.2" thickBot="1" x14ac:dyDescent="0.35">
      <c r="A579" s="21"/>
      <c r="B579" s="212" t="s">
        <v>242</v>
      </c>
      <c r="C579" s="31" t="str">
        <f>VLOOKUP((CONCATENATE(B579)),ID!$A$2:$D$305,3,0)</f>
        <v>IN015</v>
      </c>
      <c r="D579" s="21">
        <v>1</v>
      </c>
      <c r="E579" s="21" t="s">
        <v>341</v>
      </c>
      <c r="F579" s="21" t="s">
        <v>3865</v>
      </c>
      <c r="G579" s="21" t="s">
        <v>3853</v>
      </c>
      <c r="H579" s="88">
        <v>5114</v>
      </c>
      <c r="I579" s="43">
        <v>5226</v>
      </c>
      <c r="J579" s="43">
        <v>5226</v>
      </c>
      <c r="K579" s="21">
        <v>0</v>
      </c>
      <c r="L579" s="21"/>
      <c r="M579" s="21"/>
      <c r="N579" s="43">
        <v>5242</v>
      </c>
      <c r="O579" s="21" t="s">
        <v>4003</v>
      </c>
      <c r="P579" s="194" t="str">
        <f t="shared" si="119"/>
        <v>1</v>
      </c>
      <c r="Q579" s="21">
        <v>1</v>
      </c>
      <c r="R579" s="39" t="str">
        <f t="shared" si="113"/>
        <v>-</v>
      </c>
      <c r="S579" s="120">
        <f t="shared" si="114"/>
        <v>23806455</v>
      </c>
      <c r="T579" s="123">
        <v>24981054</v>
      </c>
      <c r="U579" s="123">
        <f>T579-45000-7019-153595-45000-73404-26632-81240-470118</f>
        <v>24079046</v>
      </c>
      <c r="V579" s="123">
        <f t="shared" si="110"/>
        <v>902008</v>
      </c>
      <c r="W579" s="122" t="str">
        <f t="shared" si="117"/>
        <v>1</v>
      </c>
      <c r="X579" s="123">
        <f>7660+465993+584792+116076+78</f>
        <v>1174599</v>
      </c>
      <c r="Z579" s="123">
        <f t="shared" si="118"/>
        <v>1174599</v>
      </c>
      <c r="AA579" s="122" t="str">
        <f t="shared" si="107"/>
        <v>1</v>
      </c>
      <c r="AB579" s="120">
        <f t="shared" si="115"/>
        <v>0</v>
      </c>
      <c r="AC579" s="123">
        <v>0</v>
      </c>
      <c r="AD579" s="123">
        <v>0</v>
      </c>
      <c r="AE579" s="123">
        <f>45000+153595</f>
        <v>198595</v>
      </c>
      <c r="AG579" s="153">
        <f t="shared" si="116"/>
        <v>331237</v>
      </c>
      <c r="AH579" s="192">
        <f>1788965-1343608-830-100000</f>
        <v>344527</v>
      </c>
      <c r="AI579" s="192">
        <v>13290</v>
      </c>
      <c r="AJ579" s="192">
        <v>65916</v>
      </c>
      <c r="AK579" s="192"/>
      <c r="AL579" s="192"/>
      <c r="AM579" s="192"/>
      <c r="AN579" s="192"/>
      <c r="AO579" s="123">
        <v>110000</v>
      </c>
    </row>
    <row r="580" spans="1:41" s="123" customFormat="1" ht="16.2" thickBot="1" x14ac:dyDescent="0.35">
      <c r="A580" s="21"/>
      <c r="B580" s="212" t="s">
        <v>250</v>
      </c>
      <c r="C580" s="31" t="str">
        <f>VLOOKUP((CONCATENATE(B580)),ID!$A$2:$D$305,3,0)</f>
        <v>IN016</v>
      </c>
      <c r="D580" s="21">
        <v>1</v>
      </c>
      <c r="E580" s="21" t="s">
        <v>341</v>
      </c>
      <c r="F580" s="21" t="s">
        <v>3868</v>
      </c>
      <c r="G580" s="21" t="s">
        <v>3853</v>
      </c>
      <c r="H580" s="88">
        <v>3653</v>
      </c>
      <c r="I580" s="43">
        <v>3759</v>
      </c>
      <c r="J580" s="43">
        <v>3757</v>
      </c>
      <c r="K580" s="21">
        <v>0</v>
      </c>
      <c r="L580" s="21"/>
      <c r="M580" s="21"/>
      <c r="N580" s="43">
        <v>3777</v>
      </c>
      <c r="O580" s="21" t="s">
        <v>3867</v>
      </c>
      <c r="P580" s="194" t="str">
        <f t="shared" si="119"/>
        <v>1</v>
      </c>
      <c r="Q580" s="21">
        <v>1</v>
      </c>
      <c r="R580" s="39" t="str">
        <f t="shared" si="113"/>
        <v>-</v>
      </c>
      <c r="S580" s="120">
        <f t="shared" si="114"/>
        <v>7323462</v>
      </c>
      <c r="T580" s="123">
        <v>7828791</v>
      </c>
      <c r="U580" s="123">
        <f>T580-85831-1879-312-103323-12001-67272-5974-33639-311477-28002</f>
        <v>7179081</v>
      </c>
      <c r="V580" s="123">
        <f t="shared" si="110"/>
        <v>649710</v>
      </c>
      <c r="W580" s="122" t="str">
        <f t="shared" si="117"/>
        <v>1</v>
      </c>
      <c r="X580" s="123">
        <f>392778+Y580</f>
        <v>505329</v>
      </c>
      <c r="Y580" s="123">
        <v>112551</v>
      </c>
      <c r="Z580" s="123">
        <f t="shared" si="118"/>
        <v>392778</v>
      </c>
      <c r="AA580" s="122" t="str">
        <f t="shared" si="107"/>
        <v>1</v>
      </c>
      <c r="AB580" s="120">
        <f t="shared" si="115"/>
        <v>0</v>
      </c>
      <c r="AC580" s="123">
        <v>0</v>
      </c>
      <c r="AD580" s="123">
        <v>0</v>
      </c>
      <c r="AE580" s="123">
        <v>1879</v>
      </c>
      <c r="AG580" s="151">
        <f t="shared" si="116"/>
        <v>192944</v>
      </c>
      <c r="AH580" s="123">
        <f>477488-243794-2087-AK580</f>
        <v>194107</v>
      </c>
      <c r="AI580" s="123">
        <v>1163</v>
      </c>
      <c r="AJ580" s="123">
        <v>105000</v>
      </c>
      <c r="AK580" s="123">
        <v>37500</v>
      </c>
    </row>
    <row r="581" spans="1:41" s="123" customFormat="1" ht="16.2" thickBot="1" x14ac:dyDescent="0.35">
      <c r="A581" s="21">
        <v>86.1</v>
      </c>
      <c r="B581" s="212" t="s">
        <v>250</v>
      </c>
      <c r="C581" s="31" t="str">
        <f>VLOOKUP((CONCATENATE(B581)),ID!$A$2:$D$305,3,0)</f>
        <v>IN016</v>
      </c>
      <c r="D581" s="21">
        <v>1</v>
      </c>
      <c r="E581" s="21" t="s">
        <v>341</v>
      </c>
      <c r="F581" s="21" t="s">
        <v>3868</v>
      </c>
      <c r="G581" s="21" t="s">
        <v>3853</v>
      </c>
      <c r="H581" s="88">
        <v>4018</v>
      </c>
      <c r="I581" s="43">
        <v>4123</v>
      </c>
      <c r="J581" s="43">
        <v>4126</v>
      </c>
      <c r="K581" s="21">
        <v>0</v>
      </c>
      <c r="L581" s="21"/>
      <c r="M581" s="21"/>
      <c r="N581" s="43">
        <v>4141</v>
      </c>
      <c r="O581" s="21" t="s">
        <v>3867</v>
      </c>
      <c r="P581" s="194" t="str">
        <f t="shared" si="119"/>
        <v>1</v>
      </c>
      <c r="Q581" s="21">
        <v>1</v>
      </c>
      <c r="R581" s="39" t="str">
        <f t="shared" si="113"/>
        <v>-</v>
      </c>
      <c r="S581" s="120">
        <f t="shared" si="114"/>
        <v>7439600</v>
      </c>
      <c r="T581" s="123">
        <v>8005465</v>
      </c>
      <c r="U581" s="123">
        <f>T581-126909-562-148565-16853-36804-69059-5791-33442-311683</f>
        <v>7255797</v>
      </c>
      <c r="V581" s="123">
        <f t="shared" si="110"/>
        <v>749668</v>
      </c>
      <c r="W581" s="122" t="str">
        <f t="shared" si="117"/>
        <v>1</v>
      </c>
      <c r="X581" s="123">
        <f>438233+Y581</f>
        <v>565865</v>
      </c>
      <c r="Y581" s="123">
        <v>127632</v>
      </c>
      <c r="Z581" s="123">
        <f t="shared" si="118"/>
        <v>438233</v>
      </c>
      <c r="AA581" s="122" t="str">
        <f t="shared" si="107"/>
        <v>1</v>
      </c>
      <c r="AB581" s="120">
        <f t="shared" si="115"/>
        <v>0</v>
      </c>
      <c r="AC581" s="123">
        <v>0</v>
      </c>
      <c r="AD581" s="123">
        <v>0</v>
      </c>
      <c r="AE581" s="123">
        <f>16858+148505</f>
        <v>165363</v>
      </c>
      <c r="AG581" s="151">
        <f t="shared" si="116"/>
        <v>241800</v>
      </c>
      <c r="AH581" s="123">
        <f>479171-221789-7500-796-1877-1135</f>
        <v>246074</v>
      </c>
      <c r="AI581" s="123">
        <v>4274</v>
      </c>
      <c r="AJ581" s="123">
        <f>75000+45000</f>
        <v>120000</v>
      </c>
    </row>
    <row r="582" spans="1:41" s="123" customFormat="1" ht="16.2" thickBot="1" x14ac:dyDescent="0.35">
      <c r="A582" s="21">
        <v>86.2</v>
      </c>
      <c r="B582" s="212" t="s">
        <v>250</v>
      </c>
      <c r="C582" s="31" t="str">
        <f>VLOOKUP((CONCATENATE(B582)),ID!$A$2:$D$305,3,0)</f>
        <v>IN016</v>
      </c>
      <c r="D582" s="21">
        <v>1</v>
      </c>
      <c r="E582" s="21" t="s">
        <v>341</v>
      </c>
      <c r="F582" s="21" t="s">
        <v>3868</v>
      </c>
      <c r="G582" s="21" t="s">
        <v>3853</v>
      </c>
      <c r="H582" s="88">
        <v>4383</v>
      </c>
      <c r="I582" s="43">
        <v>4487</v>
      </c>
      <c r="J582" s="43">
        <v>4490</v>
      </c>
      <c r="K582" s="21">
        <v>0</v>
      </c>
      <c r="L582" s="21"/>
      <c r="M582" s="21"/>
      <c r="N582" s="43">
        <v>4505</v>
      </c>
      <c r="O582" s="21" t="s">
        <v>3867</v>
      </c>
      <c r="P582" s="194" t="str">
        <f t="shared" si="119"/>
        <v>1</v>
      </c>
      <c r="Q582" s="21">
        <v>1</v>
      </c>
      <c r="R582" s="39" t="str">
        <f t="shared" si="113"/>
        <v>-</v>
      </c>
      <c r="S582" s="120">
        <f t="shared" si="114"/>
        <v>7615503</v>
      </c>
      <c r="T582" s="123">
        <v>8113531</v>
      </c>
      <c r="U582" s="123">
        <f>T582-457-125742-31336-34959-72513-9998-33142-367819</f>
        <v>7437565</v>
      </c>
      <c r="V582" s="123">
        <f t="shared" si="110"/>
        <v>675966</v>
      </c>
      <c r="W582" s="122" t="str">
        <f t="shared" si="117"/>
        <v>1</v>
      </c>
      <c r="X582" s="123">
        <f>T582-7760377+Y582</f>
        <v>498028</v>
      </c>
      <c r="Y582" s="123">
        <v>144874</v>
      </c>
      <c r="Z582" s="123">
        <f t="shared" si="118"/>
        <v>353154</v>
      </c>
      <c r="AA582" s="122" t="str">
        <f t="shared" si="107"/>
        <v>1</v>
      </c>
      <c r="AB582" s="120">
        <f t="shared" si="115"/>
        <v>0</v>
      </c>
      <c r="AC582" s="123">
        <v>0</v>
      </c>
      <c r="AD582" s="123">
        <v>0</v>
      </c>
      <c r="AE582" s="123">
        <f>31336+125742</f>
        <v>157078</v>
      </c>
      <c r="AG582" s="151">
        <f t="shared" si="116"/>
        <v>220063</v>
      </c>
      <c r="AH582" s="123">
        <f>524301-502-1248-1498-287196</f>
        <v>233857</v>
      </c>
      <c r="AI582" s="123">
        <v>13794</v>
      </c>
      <c r="AJ582" s="123">
        <f>70625+42375</f>
        <v>113000</v>
      </c>
    </row>
    <row r="583" spans="1:41" s="123" customFormat="1" ht="16.2" thickBot="1" x14ac:dyDescent="0.35">
      <c r="A583" s="21"/>
      <c r="B583" s="212" t="s">
        <v>250</v>
      </c>
      <c r="C583" s="31" t="str">
        <f>VLOOKUP((CONCATENATE(B583)),ID!$A$2:$D$305,3,0)</f>
        <v>IN016</v>
      </c>
      <c r="D583" s="21">
        <v>1</v>
      </c>
      <c r="E583" s="21" t="s">
        <v>341</v>
      </c>
      <c r="F583" s="21" t="s">
        <v>3868</v>
      </c>
      <c r="G583" s="21" t="s">
        <v>3853</v>
      </c>
      <c r="H583" s="88">
        <v>4749</v>
      </c>
      <c r="I583" s="43">
        <v>4858</v>
      </c>
      <c r="J583" s="43">
        <v>4861</v>
      </c>
      <c r="K583" s="21">
        <v>0</v>
      </c>
      <c r="L583" s="21"/>
      <c r="M583" s="21"/>
      <c r="N583" s="43">
        <v>4876</v>
      </c>
      <c r="O583" s="21" t="s">
        <v>3867</v>
      </c>
      <c r="P583" s="194" t="str">
        <f t="shared" si="119"/>
        <v>1</v>
      </c>
      <c r="Q583" s="21">
        <v>1</v>
      </c>
      <c r="R583" s="39" t="str">
        <f t="shared" si="113"/>
        <v>-</v>
      </c>
      <c r="S583" s="120">
        <f t="shared" si="114"/>
        <v>7843941</v>
      </c>
      <c r="T583" s="123">
        <v>8349364</v>
      </c>
      <c r="U583" s="123">
        <f>T583-349-129180-55701-32217-78115-5485-33466-352246</f>
        <v>7662605</v>
      </c>
      <c r="V583" s="123">
        <f t="shared" si="110"/>
        <v>686759</v>
      </c>
      <c r="W583" s="122" t="str">
        <f t="shared" si="117"/>
        <v>1</v>
      </c>
      <c r="X583" s="123">
        <f>T583-7991758+Y583</f>
        <v>505423</v>
      </c>
      <c r="Y583" s="123">
        <v>147817</v>
      </c>
      <c r="Z583" s="123">
        <f t="shared" si="118"/>
        <v>357606</v>
      </c>
      <c r="AA583" s="122" t="str">
        <f t="shared" si="107"/>
        <v>1</v>
      </c>
      <c r="AB583" s="120">
        <f t="shared" si="115"/>
        <v>0</v>
      </c>
      <c r="AC583" s="123">
        <v>0</v>
      </c>
      <c r="AD583" s="123">
        <v>0</v>
      </c>
      <c r="AE583" s="123">
        <f>129189+55704</f>
        <v>184893</v>
      </c>
      <c r="AG583" s="151">
        <f t="shared" si="116"/>
        <v>190374</v>
      </c>
      <c r="AH583" s="123">
        <f>587557-377695-229-1303-3244-4274-381</f>
        <v>200431</v>
      </c>
      <c r="AI583" s="123">
        <v>10057</v>
      </c>
      <c r="AJ583" s="123">
        <f>42375+70625</f>
        <v>113000</v>
      </c>
    </row>
    <row r="584" spans="1:41" s="123" customFormat="1" ht="16.2" thickBot="1" x14ac:dyDescent="0.35">
      <c r="A584" s="21"/>
      <c r="B584" s="212" t="s">
        <v>250</v>
      </c>
      <c r="C584" s="31" t="str">
        <f>VLOOKUP((CONCATENATE(B584)),ID!$A$2:$D$305,3,0)</f>
        <v>IN016</v>
      </c>
      <c r="D584" s="21">
        <v>1</v>
      </c>
      <c r="E584" s="21" t="s">
        <v>341</v>
      </c>
      <c r="F584" s="21" t="s">
        <v>3868</v>
      </c>
      <c r="G584" s="21" t="s">
        <v>3853</v>
      </c>
      <c r="H584" s="88">
        <v>5114</v>
      </c>
      <c r="I584" s="43">
        <v>5222</v>
      </c>
      <c r="J584" s="43">
        <v>5224</v>
      </c>
      <c r="K584" s="21">
        <v>0</v>
      </c>
      <c r="L584" s="21"/>
      <c r="M584" s="21"/>
      <c r="N584" s="43">
        <v>5240</v>
      </c>
      <c r="O584" s="21" t="s">
        <v>3867</v>
      </c>
      <c r="P584" s="194" t="str">
        <f t="shared" si="119"/>
        <v>1</v>
      </c>
      <c r="Q584" s="21">
        <v>1</v>
      </c>
      <c r="R584" s="39" t="str">
        <f t="shared" si="113"/>
        <v>-</v>
      </c>
      <c r="S584" s="120">
        <f t="shared" si="114"/>
        <v>8102898</v>
      </c>
      <c r="T584" s="123">
        <v>8594985</v>
      </c>
      <c r="U584" s="123">
        <f>T584-407-178958-22301-39338-80768-4172-32359-352439</f>
        <v>7884243</v>
      </c>
      <c r="V584" s="123">
        <f t="shared" si="110"/>
        <v>710742</v>
      </c>
      <c r="W584" s="122" t="str">
        <f t="shared" si="117"/>
        <v>1</v>
      </c>
      <c r="X584" s="123">
        <f>T584-8253939+Y584</f>
        <v>492087</v>
      </c>
      <c r="Y584" s="123">
        <v>151041</v>
      </c>
      <c r="Z584" s="123">
        <f t="shared" si="118"/>
        <v>341046</v>
      </c>
      <c r="AA584" s="122" t="str">
        <f t="shared" si="107"/>
        <v>1</v>
      </c>
      <c r="AB584" s="120">
        <f t="shared" si="115"/>
        <v>0</v>
      </c>
      <c r="AC584" s="123">
        <v>0</v>
      </c>
      <c r="AD584" s="123">
        <v>0</v>
      </c>
      <c r="AE584" s="123">
        <f>178958+22301</f>
        <v>201259</v>
      </c>
      <c r="AG584" s="151">
        <f t="shared" si="116"/>
        <v>229408</v>
      </c>
      <c r="AH584" s="123">
        <f>584682-352418-531-1025-1300</f>
        <v>229408</v>
      </c>
      <c r="AJ584" s="123">
        <f>70625+42375</f>
        <v>113000</v>
      </c>
    </row>
    <row r="585" spans="1:41" s="123" customFormat="1" ht="16.2" thickBot="1" x14ac:dyDescent="0.35">
      <c r="A585" s="21"/>
      <c r="B585" s="212" t="s">
        <v>252</v>
      </c>
      <c r="C585" s="31" t="str">
        <f>VLOOKUP((CONCATENATE(B585)),ID!$A$2:$D$305,3,0)</f>
        <v>IN017</v>
      </c>
      <c r="D585" s="21">
        <v>1</v>
      </c>
      <c r="E585" s="21" t="s">
        <v>341</v>
      </c>
      <c r="F585" s="21" t="s">
        <v>3869</v>
      </c>
      <c r="G585" s="21" t="s">
        <v>3853</v>
      </c>
      <c r="H585" s="88">
        <v>3653</v>
      </c>
      <c r="I585" s="43">
        <v>3791</v>
      </c>
      <c r="J585" s="43">
        <v>3794</v>
      </c>
      <c r="K585" s="21">
        <v>1</v>
      </c>
      <c r="L585" s="43">
        <v>3796</v>
      </c>
      <c r="M585" s="43">
        <v>3810</v>
      </c>
      <c r="N585" s="43">
        <v>3804</v>
      </c>
      <c r="O585" s="21" t="s">
        <v>3870</v>
      </c>
      <c r="P585" s="194" t="str">
        <f t="shared" si="119"/>
        <v>1</v>
      </c>
      <c r="Q585" s="21">
        <v>1</v>
      </c>
      <c r="R585" s="39" t="str">
        <f t="shared" si="113"/>
        <v>-</v>
      </c>
      <c r="S585" s="120">
        <f t="shared" si="114"/>
        <v>1722403</v>
      </c>
      <c r="T585" s="123">
        <v>2059506</v>
      </c>
      <c r="U585" s="123">
        <f>1468453+24880+143207</f>
        <v>1636540</v>
      </c>
      <c r="V585" s="123">
        <f t="shared" si="110"/>
        <v>422966</v>
      </c>
      <c r="W585" s="122" t="str">
        <f t="shared" si="117"/>
        <v>1</v>
      </c>
      <c r="X585" s="123">
        <f>120307+1630+83988+122371+8415+392</f>
        <v>337103</v>
      </c>
      <c r="Z585" s="123">
        <f t="shared" si="118"/>
        <v>337103</v>
      </c>
      <c r="AA585" s="122" t="str">
        <f t="shared" si="107"/>
        <v>1</v>
      </c>
      <c r="AB585" s="120">
        <f t="shared" si="115"/>
        <v>0</v>
      </c>
      <c r="AC585" s="123">
        <v>0</v>
      </c>
      <c r="AD585" s="123">
        <v>0</v>
      </c>
      <c r="AE585" s="123">
        <f>174271+119</f>
        <v>174390</v>
      </c>
      <c r="AG585" s="151">
        <f t="shared" si="116"/>
        <v>139879</v>
      </c>
      <c r="AH585" s="123">
        <f>630665-428932-66-9470</f>
        <v>192197</v>
      </c>
      <c r="AI585" s="123">
        <v>5918</v>
      </c>
      <c r="AJ585" s="123">
        <v>55000</v>
      </c>
      <c r="AL585" s="123">
        <v>46400</v>
      </c>
      <c r="AO585" s="123">
        <v>44000</v>
      </c>
    </row>
    <row r="586" spans="1:41" s="123" customFormat="1" ht="16.2" thickBot="1" x14ac:dyDescent="0.35">
      <c r="A586" s="21">
        <v>87.1</v>
      </c>
      <c r="B586" s="212" t="s">
        <v>252</v>
      </c>
      <c r="C586" s="31" t="str">
        <f>VLOOKUP((CONCATENATE(B586)),ID!$A$2:$D$305,3,0)</f>
        <v>IN017</v>
      </c>
      <c r="D586" s="21">
        <v>1</v>
      </c>
      <c r="E586" s="21" t="s">
        <v>341</v>
      </c>
      <c r="F586" s="21" t="s">
        <v>3869</v>
      </c>
      <c r="G586" s="21" t="s">
        <v>3853</v>
      </c>
      <c r="H586" s="88">
        <v>4018</v>
      </c>
      <c r="I586" s="43">
        <v>4160</v>
      </c>
      <c r="J586" s="43">
        <v>4160</v>
      </c>
      <c r="K586" s="21">
        <v>1</v>
      </c>
      <c r="L586" s="43">
        <v>4162</v>
      </c>
      <c r="M586" s="43">
        <v>4176</v>
      </c>
      <c r="N586" s="43">
        <v>4168</v>
      </c>
      <c r="O586" s="21" t="s">
        <v>3870</v>
      </c>
      <c r="P586" s="194" t="str">
        <f t="shared" si="119"/>
        <v>1</v>
      </c>
      <c r="Q586" s="21">
        <v>1</v>
      </c>
      <c r="R586" s="39" t="str">
        <f t="shared" si="113"/>
        <v>-</v>
      </c>
      <c r="S586" s="120">
        <f t="shared" si="114"/>
        <v>1856827</v>
      </c>
      <c r="T586" s="123">
        <v>2206114</v>
      </c>
      <c r="U586" s="123">
        <f>T586-177007-96861-7159-20283-83126-129436</f>
        <v>1692242</v>
      </c>
      <c r="V586" s="123">
        <f t="shared" si="110"/>
        <v>513872</v>
      </c>
      <c r="W586" s="122" t="str">
        <f t="shared" si="117"/>
        <v>1</v>
      </c>
      <c r="X586" s="123">
        <f>T586-2109135+252308</f>
        <v>349287</v>
      </c>
      <c r="Z586" s="123">
        <f t="shared" si="118"/>
        <v>349287</v>
      </c>
      <c r="AA586" s="122" t="str">
        <f t="shared" si="107"/>
        <v>1</v>
      </c>
      <c r="AB586" s="120">
        <f t="shared" si="115"/>
        <v>0</v>
      </c>
      <c r="AC586" s="123">
        <v>0</v>
      </c>
      <c r="AD586" s="123">
        <v>0</v>
      </c>
      <c r="AE586" s="123">
        <f>96861+177007</f>
        <v>273868</v>
      </c>
      <c r="AG586" s="151">
        <f t="shared" si="116"/>
        <v>64151</v>
      </c>
      <c r="AH586" s="123">
        <f>170968-55000-556-22498</f>
        <v>92914</v>
      </c>
      <c r="AI586" s="123">
        <v>5563</v>
      </c>
      <c r="AJ586" s="123">
        <v>55000</v>
      </c>
      <c r="AL586" s="123">
        <v>23200</v>
      </c>
      <c r="AO586" s="123">
        <v>44000</v>
      </c>
    </row>
    <row r="587" spans="1:41" s="123" customFormat="1" ht="16.2" thickBot="1" x14ac:dyDescent="0.35">
      <c r="A587" s="21">
        <v>87.2</v>
      </c>
      <c r="B587" s="212" t="s">
        <v>252</v>
      </c>
      <c r="C587" s="31" t="str">
        <f>VLOOKUP((CONCATENATE(B587)),ID!$A$2:$D$305,3,0)</f>
        <v>IN017</v>
      </c>
      <c r="D587" s="21">
        <v>1</v>
      </c>
      <c r="E587" s="21" t="s">
        <v>341</v>
      </c>
      <c r="F587" s="21" t="s">
        <v>3869</v>
      </c>
      <c r="G587" s="21" t="s">
        <v>3853</v>
      </c>
      <c r="H587" s="88">
        <v>4383</v>
      </c>
      <c r="I587" s="43">
        <v>4525</v>
      </c>
      <c r="J587" s="43">
        <v>4522</v>
      </c>
      <c r="K587" s="21">
        <v>1</v>
      </c>
      <c r="L587" s="43">
        <v>4526</v>
      </c>
      <c r="M587" s="43">
        <v>4540</v>
      </c>
      <c r="N587" s="43">
        <v>4539</v>
      </c>
      <c r="O587" s="21" t="s">
        <v>3870</v>
      </c>
      <c r="P587" s="194" t="str">
        <f t="shared" si="119"/>
        <v>1</v>
      </c>
      <c r="Q587" s="21">
        <v>1</v>
      </c>
      <c r="R587" s="39" t="str">
        <f t="shared" si="113"/>
        <v>-</v>
      </c>
      <c r="S587" s="120">
        <f t="shared" si="114"/>
        <v>1931496</v>
      </c>
      <c r="T587" s="123">
        <v>2296381</v>
      </c>
      <c r="U587" s="123">
        <f>T587-186829-90310-546-21087-78652-143990</f>
        <v>1774967</v>
      </c>
      <c r="V587" s="123">
        <f t="shared" si="110"/>
        <v>521414</v>
      </c>
      <c r="W587" s="122" t="str">
        <f t="shared" si="117"/>
        <v>1</v>
      </c>
      <c r="X587" s="123">
        <f>T587-2212015+280519</f>
        <v>364885</v>
      </c>
      <c r="Z587" s="123">
        <f t="shared" si="118"/>
        <v>364885</v>
      </c>
      <c r="AA587" s="122" t="str">
        <f t="shared" si="107"/>
        <v>1</v>
      </c>
      <c r="AB587" s="120">
        <f t="shared" si="115"/>
        <v>0</v>
      </c>
      <c r="AC587" s="123">
        <v>0</v>
      </c>
      <c r="AD587" s="123">
        <v>0</v>
      </c>
      <c r="AE587" s="123">
        <f>90310+186829</f>
        <v>277139</v>
      </c>
      <c r="AG587" s="151">
        <f t="shared" si="116"/>
        <v>62152</v>
      </c>
      <c r="AH587" s="123">
        <f>170716-62150-514-13252</f>
        <v>94800</v>
      </c>
      <c r="AI587" s="123">
        <v>10802</v>
      </c>
      <c r="AJ587" s="123">
        <v>62150</v>
      </c>
      <c r="AL587" s="123">
        <v>21846</v>
      </c>
      <c r="AO587" s="123">
        <v>44000</v>
      </c>
    </row>
    <row r="588" spans="1:41" s="123" customFormat="1" ht="16.2" thickBot="1" x14ac:dyDescent="0.35">
      <c r="A588" s="21"/>
      <c r="B588" s="212" t="s">
        <v>252</v>
      </c>
      <c r="C588" s="31" t="str">
        <f>VLOOKUP((CONCATENATE(B588)),ID!$A$2:$D$305,3,0)</f>
        <v>IN017</v>
      </c>
      <c r="D588" s="21">
        <v>1</v>
      </c>
      <c r="E588" s="21" t="s">
        <v>341</v>
      </c>
      <c r="F588" s="21" t="s">
        <v>3869</v>
      </c>
      <c r="G588" s="21" t="s">
        <v>3853</v>
      </c>
      <c r="H588" s="88">
        <v>4749</v>
      </c>
      <c r="I588" s="43">
        <v>4888</v>
      </c>
      <c r="J588" s="43">
        <v>4886</v>
      </c>
      <c r="K588" s="21">
        <v>1</v>
      </c>
      <c r="L588" s="43"/>
      <c r="M588" s="43"/>
      <c r="N588" s="43">
        <v>4896</v>
      </c>
      <c r="O588" s="21" t="s">
        <v>4104</v>
      </c>
      <c r="P588" s="194" t="str">
        <f t="shared" si="119"/>
        <v>1</v>
      </c>
      <c r="Q588" s="21">
        <v>1</v>
      </c>
      <c r="R588" s="39" t="str">
        <f t="shared" si="113"/>
        <v>-</v>
      </c>
      <c r="S588" s="120">
        <f t="shared" si="114"/>
        <v>2144712</v>
      </c>
      <c r="T588" s="123">
        <v>2484290</v>
      </c>
      <c r="U588" s="123">
        <f>T588-208300-104295-7227-23413-86168-169490</f>
        <v>1885397</v>
      </c>
      <c r="V588" s="123">
        <f t="shared" si="110"/>
        <v>598893</v>
      </c>
      <c r="W588" s="122" t="str">
        <f t="shared" si="117"/>
        <v>1</v>
      </c>
      <c r="X588" s="123">
        <f>8897+6354+5723+318604</f>
        <v>339578</v>
      </c>
      <c r="Z588" s="123">
        <f t="shared" si="118"/>
        <v>339578</v>
      </c>
      <c r="AA588" s="122" t="str">
        <f t="shared" si="107"/>
        <v>1</v>
      </c>
      <c r="AB588" s="120">
        <f t="shared" si="115"/>
        <v>0</v>
      </c>
      <c r="AC588" s="123">
        <v>0</v>
      </c>
      <c r="AD588" s="123">
        <v>0</v>
      </c>
      <c r="AE588" s="123">
        <f>208300+104295</f>
        <v>312595</v>
      </c>
      <c r="AG588" s="151">
        <f t="shared" si="116"/>
        <v>62152</v>
      </c>
      <c r="AH588" s="123">
        <f>191699-62150-651-31844</f>
        <v>97054</v>
      </c>
      <c r="AI588" s="123">
        <v>13056</v>
      </c>
      <c r="AJ588" s="123">
        <v>62150</v>
      </c>
      <c r="AL588" s="123">
        <v>21846</v>
      </c>
      <c r="AO588" s="123">
        <v>44000</v>
      </c>
    </row>
    <row r="589" spans="1:41" s="123" customFormat="1" ht="16.2" thickBot="1" x14ac:dyDescent="0.35">
      <c r="A589" s="21"/>
      <c r="B589" s="212" t="s">
        <v>252</v>
      </c>
      <c r="C589" s="31" t="str">
        <f>VLOOKUP((CONCATENATE(B589)),ID!$A$2:$D$305,3,0)</f>
        <v>IN017</v>
      </c>
      <c r="D589" s="21">
        <v>1</v>
      </c>
      <c r="E589" s="21" t="s">
        <v>341</v>
      </c>
      <c r="F589" s="21" t="s">
        <v>3869</v>
      </c>
      <c r="G589" s="21" t="s">
        <v>3853</v>
      </c>
      <c r="H589" s="88">
        <v>5114</v>
      </c>
      <c r="I589" s="43">
        <v>5246</v>
      </c>
      <c r="J589" s="43">
        <v>5245</v>
      </c>
      <c r="K589" s="21">
        <v>1</v>
      </c>
      <c r="L589" s="43">
        <v>5250</v>
      </c>
      <c r="M589" s="43">
        <v>5264</v>
      </c>
      <c r="N589" s="43">
        <v>5260</v>
      </c>
      <c r="O589" s="21" t="s">
        <v>4104</v>
      </c>
      <c r="P589" s="194" t="str">
        <f t="shared" si="119"/>
        <v>1</v>
      </c>
      <c r="Q589" s="21">
        <v>1</v>
      </c>
      <c r="R589" s="39" t="str">
        <f t="shared" si="113"/>
        <v>-</v>
      </c>
      <c r="S589" s="120">
        <f t="shared" si="114"/>
        <v>2144444</v>
      </c>
      <c r="T589" s="123">
        <v>2628306</v>
      </c>
      <c r="U589" s="123">
        <f>T589-192451-98919-8560-25879-82911-197923</f>
        <v>2021663</v>
      </c>
      <c r="V589" s="123">
        <f t="shared" si="110"/>
        <v>606643</v>
      </c>
      <c r="W589" s="122" t="str">
        <f t="shared" si="117"/>
        <v>1</v>
      </c>
      <c r="X589" s="123">
        <f>T589-2505249+360805</f>
        <v>483862</v>
      </c>
      <c r="Z589" s="123">
        <f t="shared" si="118"/>
        <v>483862</v>
      </c>
      <c r="AA589" s="122" t="str">
        <f t="shared" si="107"/>
        <v>1</v>
      </c>
      <c r="AB589" s="120">
        <f t="shared" si="115"/>
        <v>0</v>
      </c>
      <c r="AC589" s="123">
        <v>0</v>
      </c>
      <c r="AD589" s="123">
        <v>0</v>
      </c>
      <c r="AE589" s="123">
        <f>192451+98919</f>
        <v>291370</v>
      </c>
      <c r="AG589" s="151">
        <f t="shared" si="116"/>
        <v>66296</v>
      </c>
      <c r="AH589" s="123">
        <f>232542-62150-420-69995</f>
        <v>99977</v>
      </c>
      <c r="AI589" s="123">
        <v>11835</v>
      </c>
      <c r="AJ589" s="123">
        <v>66000</v>
      </c>
      <c r="AL589" s="123">
        <v>21846</v>
      </c>
      <c r="AO589" s="123">
        <v>44000</v>
      </c>
    </row>
    <row r="590" spans="1:41" s="123" customFormat="1" ht="16.2" thickBot="1" x14ac:dyDescent="0.35">
      <c r="A590" s="21"/>
      <c r="B590" s="212" t="s">
        <v>261</v>
      </c>
      <c r="C590" s="31" t="str">
        <f>VLOOKUP((CONCATENATE(B590)),ID!$A$2:$D$305,3,0)</f>
        <v>IN018</v>
      </c>
      <c r="D590" s="21">
        <v>1</v>
      </c>
      <c r="E590" s="21" t="s">
        <v>341</v>
      </c>
      <c r="F590" s="21" t="s">
        <v>1117</v>
      </c>
      <c r="G590" s="21" t="s">
        <v>3853</v>
      </c>
      <c r="H590" s="88">
        <v>3653</v>
      </c>
      <c r="I590" s="43">
        <v>3743</v>
      </c>
      <c r="J590" s="43">
        <v>3735</v>
      </c>
      <c r="K590" s="21">
        <v>0</v>
      </c>
      <c r="L590" s="43"/>
      <c r="M590" s="43"/>
      <c r="N590" s="43">
        <v>3763</v>
      </c>
      <c r="O590" s="21" t="s">
        <v>3871</v>
      </c>
      <c r="P590" s="194" t="str">
        <f t="shared" si="119"/>
        <v>1</v>
      </c>
      <c r="Q590" s="21">
        <v>1</v>
      </c>
      <c r="R590" s="39" t="str">
        <f t="shared" si="113"/>
        <v>-</v>
      </c>
      <c r="S590" s="120">
        <f t="shared" si="114"/>
        <v>2122886</v>
      </c>
      <c r="T590" s="123">
        <v>7906121</v>
      </c>
      <c r="U590" s="123">
        <f>T590-87996-23804-5572-14503-5543-241884</f>
        <v>7526819</v>
      </c>
      <c r="V590" s="123">
        <f t="shared" si="110"/>
        <v>379302</v>
      </c>
      <c r="W590" s="122" t="str">
        <f t="shared" si="117"/>
        <v>1</v>
      </c>
      <c r="X590" s="123">
        <f>T590-340310-1450000-54161-278415</f>
        <v>5783235</v>
      </c>
      <c r="Z590" s="123">
        <f t="shared" si="118"/>
        <v>5783235</v>
      </c>
      <c r="AA590" s="122" t="str">
        <f t="shared" si="107"/>
        <v>1</v>
      </c>
      <c r="AB590" s="120">
        <f t="shared" si="115"/>
        <v>0</v>
      </c>
      <c r="AC590" s="123">
        <v>0</v>
      </c>
      <c r="AD590" s="123">
        <v>0</v>
      </c>
      <c r="AE590" s="123">
        <f>23804+87996</f>
        <v>111800</v>
      </c>
      <c r="AG590" s="151">
        <f t="shared" si="116"/>
        <v>229997</v>
      </c>
      <c r="AH590" s="123">
        <f>481082-250511-574</f>
        <v>229997</v>
      </c>
      <c r="AJ590" s="123">
        <v>40837</v>
      </c>
      <c r="AO590" s="123">
        <f>53276+14286</f>
        <v>67562</v>
      </c>
    </row>
    <row r="591" spans="1:41" s="123" customFormat="1" ht="16.2" thickBot="1" x14ac:dyDescent="0.35">
      <c r="A591" s="21">
        <v>881</v>
      </c>
      <c r="B591" s="212" t="s">
        <v>261</v>
      </c>
      <c r="C591" s="31" t="str">
        <f>VLOOKUP((CONCATENATE(B591)),ID!$A$2:$D$305,3,0)</f>
        <v>IN018</v>
      </c>
      <c r="D591" s="21">
        <v>1</v>
      </c>
      <c r="E591" s="21" t="s">
        <v>341</v>
      </c>
      <c r="F591" s="21" t="s">
        <v>1117</v>
      </c>
      <c r="G591" s="21" t="s">
        <v>3853</v>
      </c>
      <c r="H591" s="88">
        <v>4018</v>
      </c>
      <c r="I591" s="43">
        <v>4100</v>
      </c>
      <c r="J591" s="43">
        <v>4092</v>
      </c>
      <c r="K591" s="21">
        <v>0</v>
      </c>
      <c r="L591" s="21"/>
      <c r="M591" s="21"/>
      <c r="N591" s="43">
        <v>4113</v>
      </c>
      <c r="O591" s="21" t="s">
        <v>3871</v>
      </c>
      <c r="P591" s="194" t="str">
        <f t="shared" si="119"/>
        <v>1</v>
      </c>
      <c r="Q591" s="21">
        <v>1</v>
      </c>
      <c r="R591" s="39" t="str">
        <f t="shared" si="113"/>
        <v>-</v>
      </c>
      <c r="S591" s="120">
        <f t="shared" si="114"/>
        <v>2246938</v>
      </c>
      <c r="T591" s="123">
        <v>13950655</v>
      </c>
      <c r="U591" s="123">
        <f>T591-117331-27296-18248-31849-3855-5148-252924</f>
        <v>13494004</v>
      </c>
      <c r="V591" s="123">
        <f t="shared" si="110"/>
        <v>456651</v>
      </c>
      <c r="W591" s="122" t="str">
        <f t="shared" si="117"/>
        <v>1</v>
      </c>
      <c r="X591" s="123">
        <f>T591-2343967+97029</f>
        <v>11703717</v>
      </c>
      <c r="Y591" s="123">
        <v>2543567</v>
      </c>
      <c r="Z591" s="123">
        <f t="shared" si="118"/>
        <v>9160150</v>
      </c>
      <c r="AA591" s="122" t="str">
        <f t="shared" si="107"/>
        <v>1</v>
      </c>
      <c r="AB591" s="120">
        <f t="shared" si="115"/>
        <v>0</v>
      </c>
      <c r="AC591" s="123">
        <v>0</v>
      </c>
      <c r="AD591" s="123">
        <v>0</v>
      </c>
      <c r="AE591" s="123">
        <f>27296+117331</f>
        <v>144627</v>
      </c>
      <c r="AG591" s="151">
        <f t="shared" si="116"/>
        <v>308645</v>
      </c>
      <c r="AH591" s="123">
        <f>624973-278415-464-18589</f>
        <v>327505</v>
      </c>
      <c r="AJ591" s="123">
        <f>25000+46253</f>
        <v>71253</v>
      </c>
      <c r="AL591" s="123">
        <v>18860</v>
      </c>
      <c r="AO591" s="123">
        <f>53776+22620</f>
        <v>76396</v>
      </c>
    </row>
    <row r="592" spans="1:41" s="123" customFormat="1" ht="16.2" thickBot="1" x14ac:dyDescent="0.35">
      <c r="A592" s="21">
        <v>88.2</v>
      </c>
      <c r="B592" s="212" t="s">
        <v>261</v>
      </c>
      <c r="C592" s="31" t="str">
        <f>VLOOKUP((CONCATENATE(B592)),ID!$A$2:$D$305,3,0)</f>
        <v>IN018</v>
      </c>
      <c r="D592" s="21">
        <v>1</v>
      </c>
      <c r="E592" s="21" t="s">
        <v>341</v>
      </c>
      <c r="F592" s="21" t="s">
        <v>1117</v>
      </c>
      <c r="G592" s="21" t="s">
        <v>3853</v>
      </c>
      <c r="H592" s="88">
        <v>4383</v>
      </c>
      <c r="I592" s="43">
        <v>4476</v>
      </c>
      <c r="J592" s="43">
        <v>4456</v>
      </c>
      <c r="K592" s="21">
        <v>0</v>
      </c>
      <c r="L592" s="21"/>
      <c r="M592" s="21"/>
      <c r="N592" s="43">
        <v>4491</v>
      </c>
      <c r="O592" s="21" t="s">
        <v>3871</v>
      </c>
      <c r="P592" s="194" t="str">
        <f t="shared" si="119"/>
        <v>1</v>
      </c>
      <c r="Q592" s="21">
        <v>1</v>
      </c>
      <c r="R592" s="39" t="str">
        <f t="shared" si="113"/>
        <v>-</v>
      </c>
      <c r="S592" s="120">
        <f t="shared" si="114"/>
        <v>2956203</v>
      </c>
      <c r="T592" s="123">
        <v>15376232</v>
      </c>
      <c r="U592" s="123">
        <f>T592-125745-29447-5838-41677-2868-3717-469043</f>
        <v>14697897</v>
      </c>
      <c r="V592" s="123">
        <f t="shared" si="110"/>
        <v>678335</v>
      </c>
      <c r="W592" s="122" t="str">
        <f t="shared" si="117"/>
        <v>1</v>
      </c>
      <c r="X592" s="123">
        <f>T592-3036206+80003</f>
        <v>12420029</v>
      </c>
      <c r="Y592" s="123">
        <v>1277950</v>
      </c>
      <c r="Z592" s="123">
        <f t="shared" si="118"/>
        <v>11142079</v>
      </c>
      <c r="AA592" s="122" t="str">
        <f t="shared" si="107"/>
        <v>1</v>
      </c>
      <c r="AB592" s="120">
        <f t="shared" si="115"/>
        <v>0</v>
      </c>
      <c r="AC592" s="123">
        <v>0</v>
      </c>
      <c r="AD592" s="123">
        <v>0</v>
      </c>
      <c r="AE592" s="123">
        <f>29447+125745</f>
        <v>155192</v>
      </c>
      <c r="AG592" s="151">
        <f t="shared" si="116"/>
        <v>465571</v>
      </c>
      <c r="AH592" s="123">
        <f>798416-282045-283</f>
        <v>516088</v>
      </c>
      <c r="AI592" s="123">
        <v>7618</v>
      </c>
      <c r="AJ592" s="123">
        <f>59728+9810</f>
        <v>69538</v>
      </c>
      <c r="AL592" s="123">
        <f>37666+3489+1744</f>
        <v>42899</v>
      </c>
      <c r="AO592" s="123">
        <f>61951+22620</f>
        <v>84571</v>
      </c>
    </row>
    <row r="593" spans="1:41" s="123" customFormat="1" ht="16.2" thickBot="1" x14ac:dyDescent="0.35">
      <c r="A593" s="21"/>
      <c r="B593" s="212" t="s">
        <v>261</v>
      </c>
      <c r="C593" s="31" t="str">
        <f>VLOOKUP((CONCATENATE(B593)),ID!$A$2:$D$305,3,0)</f>
        <v>IN018</v>
      </c>
      <c r="D593" s="21">
        <v>1</v>
      </c>
      <c r="E593" s="21" t="s">
        <v>341</v>
      </c>
      <c r="F593" s="21" t="s">
        <v>1117</v>
      </c>
      <c r="G593" s="21" t="s">
        <v>3853</v>
      </c>
      <c r="H593" s="88">
        <v>4749</v>
      </c>
      <c r="I593" s="43">
        <v>4858</v>
      </c>
      <c r="J593" s="43">
        <v>4820</v>
      </c>
      <c r="K593" s="21">
        <v>0</v>
      </c>
      <c r="L593" s="21"/>
      <c r="M593" s="21"/>
      <c r="N593" s="43">
        <v>4841</v>
      </c>
      <c r="O593" s="21" t="s">
        <v>3871</v>
      </c>
      <c r="P593" s="194" t="str">
        <f t="shared" si="119"/>
        <v>1</v>
      </c>
      <c r="Q593" s="21">
        <v>1</v>
      </c>
      <c r="R593" s="39" t="str">
        <f t="shared" si="113"/>
        <v>-</v>
      </c>
      <c r="S593" s="120">
        <f t="shared" si="114"/>
        <v>3080048</v>
      </c>
      <c r="T593" s="123">
        <v>15862028</v>
      </c>
      <c r="U593" s="123">
        <f>T593-170334-29774-10570-4768-5462-4096-540085</f>
        <v>15096939</v>
      </c>
      <c r="V593" s="123">
        <f t="shared" si="110"/>
        <v>765089</v>
      </c>
      <c r="W593" s="122" t="str">
        <f t="shared" si="117"/>
        <v>1</v>
      </c>
      <c r="X593" s="123">
        <f>T593-3163581+83533</f>
        <v>12781980</v>
      </c>
      <c r="Y593" s="123">
        <v>1277950</v>
      </c>
      <c r="Z593" s="123">
        <f t="shared" si="118"/>
        <v>11504030</v>
      </c>
      <c r="AA593" s="122" t="str">
        <f t="shared" si="107"/>
        <v>1</v>
      </c>
      <c r="AB593" s="120">
        <f t="shared" si="115"/>
        <v>0</v>
      </c>
      <c r="AC593" s="123">
        <v>0</v>
      </c>
      <c r="AD593" s="123">
        <v>0</v>
      </c>
      <c r="AE593" s="123">
        <f>170334+29774</f>
        <v>200108</v>
      </c>
      <c r="AG593" s="151">
        <f t="shared" si="116"/>
        <v>256739</v>
      </c>
      <c r="AH593" s="123">
        <f>609659-283347-975-12848</f>
        <v>312489</v>
      </c>
      <c r="AI593" s="123">
        <v>7615</v>
      </c>
      <c r="AJ593" s="123">
        <v>59728</v>
      </c>
      <c r="AL593" s="123">
        <f>37666+10469</f>
        <v>48135</v>
      </c>
      <c r="AO593" s="123">
        <f>61951+22620</f>
        <v>84571</v>
      </c>
    </row>
    <row r="594" spans="1:41" s="123" customFormat="1" ht="16.2" thickBot="1" x14ac:dyDescent="0.35">
      <c r="A594" s="21"/>
      <c r="B594" s="212" t="s">
        <v>261</v>
      </c>
      <c r="C594" s="31" t="str">
        <f>VLOOKUP((CONCATENATE(B594)),ID!$A$2:$D$305,3,0)</f>
        <v>IN018</v>
      </c>
      <c r="D594" s="21">
        <v>1</v>
      </c>
      <c r="E594" s="21" t="s">
        <v>341</v>
      </c>
      <c r="F594" s="21" t="s">
        <v>1117</v>
      </c>
      <c r="G594" s="21" t="s">
        <v>3853</v>
      </c>
      <c r="H594" s="88">
        <v>5114</v>
      </c>
      <c r="I594" s="43">
        <v>5212</v>
      </c>
      <c r="J594" s="43">
        <v>5191</v>
      </c>
      <c r="K594" s="21">
        <v>0</v>
      </c>
      <c r="L594" s="21"/>
      <c r="M594" s="21"/>
      <c r="N594" s="43">
        <v>5233</v>
      </c>
      <c r="O594" s="21" t="s">
        <v>3871</v>
      </c>
      <c r="P594" s="194" t="str">
        <f t="shared" si="119"/>
        <v>1</v>
      </c>
      <c r="Q594" s="21">
        <v>1</v>
      </c>
      <c r="R594" s="39" t="str">
        <f t="shared" si="113"/>
        <v>-</v>
      </c>
      <c r="S594" s="120">
        <f t="shared" si="114"/>
        <v>3086599</v>
      </c>
      <c r="T594" s="123">
        <v>16304944</v>
      </c>
      <c r="U594" s="123">
        <f>T594-202422-19676-16166-46018-1276-4328-362539</f>
        <v>15652519</v>
      </c>
      <c r="V594" s="123">
        <f t="shared" si="110"/>
        <v>652425</v>
      </c>
      <c r="W594" s="122" t="str">
        <f t="shared" si="117"/>
        <v>1</v>
      </c>
      <c r="X594" s="123">
        <f>T594-3181258+94659</f>
        <v>13218345</v>
      </c>
      <c r="Y594" s="123">
        <v>1277950</v>
      </c>
      <c r="Z594" s="123">
        <f t="shared" si="118"/>
        <v>11940395</v>
      </c>
      <c r="AA594" s="122" t="str">
        <f t="shared" si="107"/>
        <v>1</v>
      </c>
      <c r="AB594" s="120">
        <f t="shared" si="115"/>
        <v>0</v>
      </c>
      <c r="AC594" s="123">
        <v>0</v>
      </c>
      <c r="AD594" s="123">
        <v>0</v>
      </c>
      <c r="AE594" s="123">
        <f>202422-19676</f>
        <v>182746</v>
      </c>
      <c r="AG594" s="151">
        <f t="shared" si="116"/>
        <v>97180</v>
      </c>
      <c r="AH594" s="123">
        <f>601356-285718-91748-589</f>
        <v>223301</v>
      </c>
      <c r="AI594" s="123">
        <v>8303</v>
      </c>
      <c r="AJ594" s="123">
        <v>89592</v>
      </c>
      <c r="AL594" s="123">
        <f>69682+48136</f>
        <v>117818</v>
      </c>
      <c r="AO594" s="123">
        <f>61951+22620</f>
        <v>84571</v>
      </c>
    </row>
    <row r="595" spans="1:41" s="123" customFormat="1" ht="16.2" thickBot="1" x14ac:dyDescent="0.35">
      <c r="A595" s="21"/>
      <c r="B595" s="212" t="s">
        <v>276</v>
      </c>
      <c r="C595" s="31" t="str">
        <f>VLOOKUP((CONCATENATE(B595)),ID!$A$2:$D$305,3,0)</f>
        <v>IN019</v>
      </c>
      <c r="D595" s="21">
        <v>1</v>
      </c>
      <c r="E595" s="21" t="s">
        <v>341</v>
      </c>
      <c r="F595" s="21" t="s">
        <v>3861</v>
      </c>
      <c r="G595" s="21" t="s">
        <v>3853</v>
      </c>
      <c r="H595" s="88">
        <v>3653</v>
      </c>
      <c r="I595" s="43">
        <v>3804</v>
      </c>
      <c r="J595" s="43">
        <v>3799</v>
      </c>
      <c r="K595" s="21">
        <v>1</v>
      </c>
      <c r="L595" s="43">
        <v>3804</v>
      </c>
      <c r="M595" s="43">
        <v>3811</v>
      </c>
      <c r="N595" s="43">
        <v>3817</v>
      </c>
      <c r="O595" s="21" t="s">
        <v>3872</v>
      </c>
      <c r="P595" s="194" t="str">
        <f t="shared" si="119"/>
        <v>1</v>
      </c>
      <c r="Q595" s="21">
        <v>1</v>
      </c>
      <c r="R595" s="39" t="str">
        <f t="shared" si="113"/>
        <v>-</v>
      </c>
      <c r="S595" s="120">
        <f t="shared" si="114"/>
        <v>16630262</v>
      </c>
      <c r="T595" s="123">
        <v>18455904</v>
      </c>
      <c r="U595" s="123">
        <f>T595-363206-28244-70155-138667-6401-23171-722200</f>
        <v>17103860</v>
      </c>
      <c r="V595" s="123">
        <f t="shared" si="110"/>
        <v>1352044</v>
      </c>
      <c r="W595" s="122" t="str">
        <f t="shared" si="117"/>
        <v>1</v>
      </c>
      <c r="X595" s="123">
        <f>T595-16630262</f>
        <v>1825642</v>
      </c>
      <c r="Y595" s="123">
        <f>843800+19508</f>
        <v>863308</v>
      </c>
      <c r="Z595" s="123">
        <f t="shared" si="118"/>
        <v>962334</v>
      </c>
      <c r="AA595" s="122" t="str">
        <f t="shared" si="107"/>
        <v>1</v>
      </c>
      <c r="AB595" s="120">
        <f t="shared" si="115"/>
        <v>0</v>
      </c>
      <c r="AC595" s="123">
        <v>0</v>
      </c>
      <c r="AD595" s="123">
        <v>0</v>
      </c>
      <c r="AE595" s="123">
        <f>363206</f>
        <v>363206</v>
      </c>
      <c r="AG595" s="151">
        <f t="shared" si="116"/>
        <v>1336604</v>
      </c>
      <c r="AH595" s="123">
        <f>2482031-1108022</f>
        <v>1374009</v>
      </c>
      <c r="AI595" s="123">
        <v>21440</v>
      </c>
      <c r="AJ595" s="123">
        <v>147234</v>
      </c>
      <c r="AL595" s="123">
        <v>15965</v>
      </c>
      <c r="AO595" s="123">
        <v>294468</v>
      </c>
    </row>
    <row r="596" spans="1:41" s="123" customFormat="1" ht="16.2" thickBot="1" x14ac:dyDescent="0.35">
      <c r="A596" s="21">
        <v>89.1</v>
      </c>
      <c r="B596" s="212" t="s">
        <v>276</v>
      </c>
      <c r="C596" s="31" t="str">
        <f>VLOOKUP((CONCATENATE(B596)),ID!$A$2:$D$305,3,0)</f>
        <v>IN019</v>
      </c>
      <c r="D596" s="21">
        <v>1</v>
      </c>
      <c r="E596" s="21" t="s">
        <v>341</v>
      </c>
      <c r="F596" s="21" t="s">
        <v>3861</v>
      </c>
      <c r="G596" s="21" t="s">
        <v>3853</v>
      </c>
      <c r="H596" s="88">
        <v>4018</v>
      </c>
      <c r="I596" s="43">
        <v>4169</v>
      </c>
      <c r="J596" s="43">
        <v>4163</v>
      </c>
      <c r="K596" s="21">
        <v>1</v>
      </c>
      <c r="L596" s="43">
        <v>4169</v>
      </c>
      <c r="M596" s="43">
        <v>4182</v>
      </c>
      <c r="N596" s="43">
        <v>4182</v>
      </c>
      <c r="O596" s="21" t="s">
        <v>3872</v>
      </c>
      <c r="P596" s="194" t="str">
        <f t="shared" si="119"/>
        <v>1</v>
      </c>
      <c r="Q596" s="21">
        <v>1</v>
      </c>
      <c r="R596" s="39" t="str">
        <f t="shared" si="113"/>
        <v>-</v>
      </c>
      <c r="S596" s="120">
        <f t="shared" si="114"/>
        <v>17433941</v>
      </c>
      <c r="T596" s="123">
        <v>19268153</v>
      </c>
      <c r="U596" s="123">
        <f>T596-383808-18560-48599-146351-5798-24659-751584</f>
        <v>17888794</v>
      </c>
      <c r="V596" s="123">
        <f t="shared" si="110"/>
        <v>1379359</v>
      </c>
      <c r="W596" s="122" t="str">
        <f t="shared" si="117"/>
        <v>1</v>
      </c>
      <c r="X596" s="123">
        <f>T596-17433941</f>
        <v>1834212</v>
      </c>
      <c r="Y596" s="123">
        <f>19020+843800</f>
        <v>862820</v>
      </c>
      <c r="Z596" s="123">
        <f t="shared" si="118"/>
        <v>971392</v>
      </c>
      <c r="AA596" s="122" t="str">
        <f t="shared" si="107"/>
        <v>1</v>
      </c>
      <c r="AB596" s="120">
        <f t="shared" si="115"/>
        <v>0</v>
      </c>
      <c r="AC596" s="123">
        <v>0</v>
      </c>
      <c r="AD596" s="123">
        <v>0</v>
      </c>
      <c r="AE596" s="123">
        <f>383808</f>
        <v>383808</v>
      </c>
      <c r="AG596" s="151">
        <f t="shared" si="116"/>
        <v>832367</v>
      </c>
      <c r="AH596" s="123">
        <f>1895042-1007057</f>
        <v>887985</v>
      </c>
      <c r="AI596" s="123">
        <v>39727</v>
      </c>
      <c r="AJ596" s="123">
        <v>159442</v>
      </c>
      <c r="AL596" s="123">
        <v>15891</v>
      </c>
      <c r="AO596" s="123">
        <v>294468</v>
      </c>
    </row>
    <row r="597" spans="1:41" s="123" customFormat="1" ht="16.2" thickBot="1" x14ac:dyDescent="0.35">
      <c r="A597" s="21">
        <v>89.2</v>
      </c>
      <c r="B597" s="212" t="s">
        <v>276</v>
      </c>
      <c r="C597" s="31" t="str">
        <f>VLOOKUP((CONCATENATE(B597)),ID!$A$2:$D$305,3,0)</f>
        <v>IN019</v>
      </c>
      <c r="D597" s="21">
        <v>1</v>
      </c>
      <c r="E597" s="21" t="s">
        <v>341</v>
      </c>
      <c r="F597" s="21" t="s">
        <v>3861</v>
      </c>
      <c r="G597" s="21" t="s">
        <v>3853</v>
      </c>
      <c r="H597" s="88">
        <v>4383</v>
      </c>
      <c r="I597" s="43">
        <v>4534</v>
      </c>
      <c r="J597" s="43">
        <v>4529</v>
      </c>
      <c r="K597" s="21">
        <v>1</v>
      </c>
      <c r="L597" s="43">
        <v>4534</v>
      </c>
      <c r="M597" s="43">
        <v>4546</v>
      </c>
      <c r="N597" s="43">
        <v>4546</v>
      </c>
      <c r="O597" s="21" t="s">
        <v>3872</v>
      </c>
      <c r="P597" s="194" t="str">
        <f t="shared" si="119"/>
        <v>1</v>
      </c>
      <c r="Q597" s="21">
        <v>1</v>
      </c>
      <c r="R597" s="39" t="str">
        <f t="shared" si="113"/>
        <v>-</v>
      </c>
      <c r="S597" s="120">
        <f t="shared" si="114"/>
        <v>18167251</v>
      </c>
      <c r="T597" s="123">
        <v>20152461</v>
      </c>
      <c r="U597" s="123">
        <f>T597-509309-8060-14401-145827-13598-23496-897165</f>
        <v>18540605</v>
      </c>
      <c r="V597" s="123">
        <f t="shared" si="110"/>
        <v>1611856</v>
      </c>
      <c r="W597" s="122" t="str">
        <f t="shared" si="117"/>
        <v>1</v>
      </c>
      <c r="X597" s="123">
        <f>T597-18167251</f>
        <v>1985210</v>
      </c>
      <c r="Y597" s="123">
        <f>843800+18386</f>
        <v>862186</v>
      </c>
      <c r="Z597" s="123">
        <f t="shared" si="118"/>
        <v>1123024</v>
      </c>
      <c r="AA597" s="122" t="str">
        <f t="shared" si="107"/>
        <v>1</v>
      </c>
      <c r="AB597" s="120">
        <f t="shared" si="115"/>
        <v>0</v>
      </c>
      <c r="AC597" s="123">
        <v>0</v>
      </c>
      <c r="AD597" s="123">
        <v>0</v>
      </c>
      <c r="AE597" s="123">
        <f>509309</f>
        <v>509309</v>
      </c>
      <c r="AG597" s="151">
        <f t="shared" si="116"/>
        <v>701789</v>
      </c>
      <c r="AH597" s="123">
        <f>1748944-989647</f>
        <v>759297</v>
      </c>
      <c r="AI597" s="123">
        <v>41617</v>
      </c>
      <c r="AJ597" s="123">
        <v>159442</v>
      </c>
      <c r="AL597" s="123">
        <v>15891</v>
      </c>
      <c r="AO597" s="123">
        <v>294468</v>
      </c>
    </row>
    <row r="598" spans="1:41" s="123" customFormat="1" ht="16.2" thickBot="1" x14ac:dyDescent="0.35">
      <c r="A598" s="21"/>
      <c r="B598" s="212" t="s">
        <v>276</v>
      </c>
      <c r="C598" s="31" t="str">
        <f>VLOOKUP((CONCATENATE(B598)),ID!$A$2:$D$305,3,0)</f>
        <v>IN019</v>
      </c>
      <c r="D598" s="21">
        <v>1</v>
      </c>
      <c r="E598" s="21" t="s">
        <v>341</v>
      </c>
      <c r="F598" s="21" t="s">
        <v>3861</v>
      </c>
      <c r="G598" s="21" t="s">
        <v>3853</v>
      </c>
      <c r="H598" s="88">
        <v>4749</v>
      </c>
      <c r="I598" s="43">
        <v>4875</v>
      </c>
      <c r="J598" s="43">
        <v>4868</v>
      </c>
      <c r="K598" s="21">
        <v>1</v>
      </c>
      <c r="L598" s="43">
        <v>4875</v>
      </c>
      <c r="M598" s="43">
        <v>4889</v>
      </c>
      <c r="N598" s="43">
        <v>4888</v>
      </c>
      <c r="O598" s="21" t="s">
        <v>3872</v>
      </c>
      <c r="P598" s="194" t="str">
        <f t="shared" si="119"/>
        <v>1</v>
      </c>
      <c r="Q598" s="21">
        <v>1</v>
      </c>
      <c r="R598" s="39" t="str">
        <f t="shared" si="113"/>
        <v>-</v>
      </c>
      <c r="S598" s="120">
        <f t="shared" si="114"/>
        <v>19031200</v>
      </c>
      <c r="T598" s="123">
        <v>21121795</v>
      </c>
      <c r="U598" s="123">
        <f>T598-614139-13622-76057-158666-7278-24861-1056579</f>
        <v>19170593</v>
      </c>
      <c r="V598" s="123">
        <f t="shared" si="110"/>
        <v>1951202</v>
      </c>
      <c r="W598" s="122" t="str">
        <f t="shared" si="117"/>
        <v>1</v>
      </c>
      <c r="X598" s="123">
        <f>T598-19031200</f>
        <v>2090595</v>
      </c>
      <c r="Y598" s="123">
        <f>843800+17715</f>
        <v>861515</v>
      </c>
      <c r="Z598" s="123">
        <f t="shared" si="118"/>
        <v>1229080</v>
      </c>
      <c r="AA598" s="122" t="str">
        <f t="shared" si="107"/>
        <v>1</v>
      </c>
      <c r="AB598" s="120">
        <f t="shared" si="115"/>
        <v>0</v>
      </c>
      <c r="AC598" s="123">
        <v>0</v>
      </c>
      <c r="AD598" s="123">
        <v>0</v>
      </c>
      <c r="AE598" s="123">
        <v>614139</v>
      </c>
      <c r="AG598" s="151">
        <f t="shared" si="116"/>
        <v>719403</v>
      </c>
      <c r="AH598" s="123">
        <f>1937579-1022795-150000</f>
        <v>764784</v>
      </c>
      <c r="AI598" s="123">
        <v>29490</v>
      </c>
      <c r="AJ598" s="123">
        <v>173306</v>
      </c>
      <c r="AL598" s="123">
        <v>15891</v>
      </c>
      <c r="AO598" s="123">
        <v>294468</v>
      </c>
    </row>
    <row r="599" spans="1:41" s="123" customFormat="1" ht="16.2" thickBot="1" x14ac:dyDescent="0.35">
      <c r="A599" s="21"/>
      <c r="B599" s="212" t="s">
        <v>276</v>
      </c>
      <c r="C599" s="31" t="str">
        <f>VLOOKUP((CONCATENATE(B599)),ID!$A$2:$D$305,3,0)</f>
        <v>IN019</v>
      </c>
      <c r="D599" s="21">
        <v>1</v>
      </c>
      <c r="E599" s="21" t="s">
        <v>341</v>
      </c>
      <c r="F599" s="21" t="s">
        <v>3861</v>
      </c>
      <c r="G599" s="21" t="s">
        <v>3853</v>
      </c>
      <c r="H599" s="88">
        <v>5114</v>
      </c>
      <c r="I599" s="43">
        <v>5234</v>
      </c>
      <c r="J599" s="43">
        <v>5229</v>
      </c>
      <c r="K599" s="21">
        <v>1</v>
      </c>
      <c r="L599" s="43">
        <v>5234</v>
      </c>
      <c r="M599" s="43">
        <v>5246</v>
      </c>
      <c r="N599" s="43">
        <v>5245</v>
      </c>
      <c r="O599" s="21" t="s">
        <v>3872</v>
      </c>
      <c r="P599" s="194" t="str">
        <f t="shared" si="119"/>
        <v>1</v>
      </c>
      <c r="Q599" s="21">
        <v>1</v>
      </c>
      <c r="R599" s="39" t="str">
        <f t="shared" si="113"/>
        <v>-</v>
      </c>
      <c r="S599" s="120">
        <f t="shared" si="114"/>
        <v>19618135</v>
      </c>
      <c r="T599" s="123">
        <v>21748852</v>
      </c>
      <c r="U599" s="123">
        <f>T599-527752-16722-106233-167982-7577-34618-1194729</f>
        <v>19693239</v>
      </c>
      <c r="V599" s="123">
        <f t="shared" si="110"/>
        <v>2055613</v>
      </c>
      <c r="W599" s="122" t="str">
        <f t="shared" si="117"/>
        <v>1</v>
      </c>
      <c r="X599" s="123">
        <f>T599-19618135</f>
        <v>2130717</v>
      </c>
      <c r="Y599" s="123">
        <f>843800+16819</f>
        <v>860619</v>
      </c>
      <c r="Z599" s="123">
        <f t="shared" si="118"/>
        <v>1270098</v>
      </c>
      <c r="AA599" s="122" t="str">
        <f t="shared" si="107"/>
        <v>1</v>
      </c>
      <c r="AB599" s="120">
        <f t="shared" si="115"/>
        <v>0</v>
      </c>
      <c r="AC599" s="123">
        <v>0</v>
      </c>
      <c r="AD599" s="123">
        <v>0</v>
      </c>
      <c r="AE599" s="123">
        <v>527752</v>
      </c>
      <c r="AG599" s="151">
        <f t="shared" si="116"/>
        <v>823962</v>
      </c>
      <c r="AH599" s="123">
        <f>1924517-1054692</f>
        <v>869825</v>
      </c>
      <c r="AI599" s="123">
        <v>29972</v>
      </c>
      <c r="AJ599" s="123">
        <v>194103</v>
      </c>
      <c r="AL599" s="123">
        <v>15891</v>
      </c>
      <c r="AO599" s="123">
        <v>294468</v>
      </c>
    </row>
    <row r="600" spans="1:41" s="123" customFormat="1" ht="16.2" thickBot="1" x14ac:dyDescent="0.35">
      <c r="A600" s="21"/>
      <c r="B600" s="212" t="s">
        <v>284</v>
      </c>
      <c r="C600" s="31" t="str">
        <f>VLOOKUP((CONCATENATE(B600)),ID!$A$2:$D$305,3,0)</f>
        <v>IN020</v>
      </c>
      <c r="D600" s="21">
        <v>1</v>
      </c>
      <c r="E600" s="21" t="s">
        <v>341</v>
      </c>
      <c r="F600" s="21" t="s">
        <v>3865</v>
      </c>
      <c r="G600" s="21" t="s">
        <v>3873</v>
      </c>
      <c r="H600" s="88">
        <v>3653</v>
      </c>
      <c r="I600" s="43">
        <v>3762</v>
      </c>
      <c r="J600" s="43">
        <v>3762</v>
      </c>
      <c r="K600" s="21">
        <v>0</v>
      </c>
      <c r="L600" s="43"/>
      <c r="M600" s="43"/>
      <c r="N600" s="43">
        <v>3777</v>
      </c>
      <c r="O600" s="21" t="s">
        <v>3874</v>
      </c>
      <c r="P600" s="194" t="str">
        <f t="shared" si="119"/>
        <v>1</v>
      </c>
      <c r="Q600" s="21">
        <v>1</v>
      </c>
      <c r="R600" s="39" t="str">
        <f t="shared" si="113"/>
        <v>-</v>
      </c>
      <c r="S600" s="120">
        <f t="shared" si="114"/>
        <v>5864562</v>
      </c>
      <c r="T600" s="123">
        <v>6197259</v>
      </c>
      <c r="U600" s="123">
        <f>T600-100941-2679-62122-17182-4000-83531-1835-29268</f>
        <v>5895701</v>
      </c>
      <c r="V600" s="123">
        <f t="shared" si="110"/>
        <v>301558</v>
      </c>
      <c r="W600" s="122" t="str">
        <f t="shared" si="117"/>
        <v>1</v>
      </c>
      <c r="X600" s="123">
        <f>T600-5890035+25473</f>
        <v>332697</v>
      </c>
      <c r="Y600" s="123">
        <f>25473</f>
        <v>25473</v>
      </c>
      <c r="Z600" s="123">
        <f t="shared" si="118"/>
        <v>307224</v>
      </c>
      <c r="AA600" s="122" t="str">
        <f t="shared" si="107"/>
        <v>1</v>
      </c>
      <c r="AB600" s="120">
        <f t="shared" si="115"/>
        <v>0</v>
      </c>
      <c r="AC600" s="123">
        <v>0</v>
      </c>
      <c r="AD600" s="123">
        <v>0</v>
      </c>
      <c r="AE600" s="123">
        <v>83531</v>
      </c>
      <c r="AG600" s="151">
        <f t="shared" si="116"/>
        <v>180283</v>
      </c>
      <c r="AH600" s="123">
        <f>347521-137025-24-AK600</f>
        <v>186447</v>
      </c>
      <c r="AJ600" s="123">
        <v>52500</v>
      </c>
      <c r="AK600" s="123">
        <v>24025</v>
      </c>
      <c r="AL600" s="123">
        <v>6164</v>
      </c>
    </row>
    <row r="601" spans="1:41" s="123" customFormat="1" ht="16.2" thickBot="1" x14ac:dyDescent="0.35">
      <c r="A601" s="21">
        <v>90.1</v>
      </c>
      <c r="B601" s="212" t="s">
        <v>284</v>
      </c>
      <c r="C601" s="31" t="str">
        <f>VLOOKUP((CONCATENATE(B601)),ID!$A$2:$D$305,3,0)</f>
        <v>IN020</v>
      </c>
      <c r="D601" s="21">
        <v>1</v>
      </c>
      <c r="E601" s="21" t="s">
        <v>341</v>
      </c>
      <c r="F601" s="21" t="s">
        <v>3865</v>
      </c>
      <c r="G601" s="21" t="s">
        <v>3873</v>
      </c>
      <c r="H601" s="88">
        <v>4018</v>
      </c>
      <c r="I601" s="43">
        <v>4127</v>
      </c>
      <c r="J601" s="43">
        <v>4125</v>
      </c>
      <c r="K601" s="21">
        <v>0</v>
      </c>
      <c r="L601" s="21"/>
      <c r="M601" s="21"/>
      <c r="N601" s="43">
        <v>4141</v>
      </c>
      <c r="O601" s="21" t="s">
        <v>3874</v>
      </c>
      <c r="P601" s="194" t="str">
        <f t="shared" si="119"/>
        <v>1</v>
      </c>
      <c r="Q601" s="21">
        <v>1</v>
      </c>
      <c r="R601" s="39" t="str">
        <f t="shared" si="113"/>
        <v>-</v>
      </c>
      <c r="S601" s="120">
        <f t="shared" si="114"/>
        <v>6059763</v>
      </c>
      <c r="T601" s="123">
        <v>6428613</v>
      </c>
      <c r="U601" s="123">
        <f>T601-121869-108246-2076-73949-24278-4000-83597-1835-22989</f>
        <v>5985774</v>
      </c>
      <c r="V601" s="123">
        <f t="shared" si="110"/>
        <v>442839</v>
      </c>
      <c r="W601" s="122" t="str">
        <f t="shared" si="117"/>
        <v>1</v>
      </c>
      <c r="X601" s="123">
        <f>T601-6094229+34466</f>
        <v>368850</v>
      </c>
      <c r="Y601" s="123">
        <v>34466</v>
      </c>
      <c r="Z601" s="123">
        <f t="shared" si="118"/>
        <v>334384</v>
      </c>
      <c r="AA601" s="122" t="str">
        <f t="shared" si="107"/>
        <v>1</v>
      </c>
      <c r="AB601" s="120">
        <f t="shared" si="115"/>
        <v>0</v>
      </c>
      <c r="AC601" s="123">
        <v>0</v>
      </c>
      <c r="AD601" s="123">
        <v>0</v>
      </c>
      <c r="AE601" s="123">
        <v>83597</v>
      </c>
      <c r="AG601" s="151">
        <f t="shared" si="116"/>
        <v>119469</v>
      </c>
      <c r="AH601" s="123">
        <f>293924-164584-1187</f>
        <v>128153</v>
      </c>
      <c r="AI601" s="123">
        <v>2547</v>
      </c>
      <c r="AJ601" s="123">
        <v>52500</v>
      </c>
      <c r="AL601" s="123">
        <v>6137</v>
      </c>
    </row>
    <row r="602" spans="1:41" s="123" customFormat="1" ht="16.2" thickBot="1" x14ac:dyDescent="0.35">
      <c r="A602" s="21">
        <v>90.2</v>
      </c>
      <c r="B602" s="212" t="s">
        <v>284</v>
      </c>
      <c r="C602" s="31" t="str">
        <f>VLOOKUP((CONCATENATE(B602)),ID!$A$2:$D$305,3,0)</f>
        <v>IN020</v>
      </c>
      <c r="D602" s="21">
        <v>1</v>
      </c>
      <c r="E602" s="21" t="s">
        <v>341</v>
      </c>
      <c r="F602" s="21" t="s">
        <v>3865</v>
      </c>
      <c r="G602" s="21" t="s">
        <v>3873</v>
      </c>
      <c r="H602" s="88">
        <v>4383</v>
      </c>
      <c r="I602" s="43">
        <v>4485</v>
      </c>
      <c r="J602" s="43">
        <v>4485</v>
      </c>
      <c r="K602" s="21">
        <v>0</v>
      </c>
      <c r="L602" s="21"/>
      <c r="M602" s="21"/>
      <c r="N602" s="43">
        <v>4505</v>
      </c>
      <c r="O602" s="21" t="s">
        <v>3874</v>
      </c>
      <c r="P602" s="194" t="str">
        <f t="shared" si="119"/>
        <v>1</v>
      </c>
      <c r="Q602" s="21">
        <v>1</v>
      </c>
      <c r="R602" s="39" t="str">
        <f t="shared" ref="R602:R665" si="120">IF(Q602=0,"?","-")</f>
        <v>-</v>
      </c>
      <c r="S602" s="120">
        <f t="shared" ref="S602:S664" si="121">T602-X602</f>
        <v>6219350</v>
      </c>
      <c r="T602" s="123">
        <v>6609055</v>
      </c>
      <c r="U602" s="123">
        <f>T602-21939-1835-126457-5000-26376-75865-2040-112986-123081</f>
        <v>6113476</v>
      </c>
      <c r="V602" s="123">
        <f t="shared" si="110"/>
        <v>495579</v>
      </c>
      <c r="W602" s="122" t="str">
        <f t="shared" si="117"/>
        <v>1</v>
      </c>
      <c r="X602" s="123">
        <f>T602-6249662+Y602</f>
        <v>389705</v>
      </c>
      <c r="Y602" s="123">
        <v>30312</v>
      </c>
      <c r="Z602" s="123">
        <f t="shared" si="118"/>
        <v>359393</v>
      </c>
      <c r="AA602" s="122" t="str">
        <f t="shared" si="107"/>
        <v>1</v>
      </c>
      <c r="AB602" s="120">
        <f t="shared" si="115"/>
        <v>0</v>
      </c>
      <c r="AC602" s="123">
        <v>0</v>
      </c>
      <c r="AD602" s="123">
        <v>0</v>
      </c>
      <c r="AE602" s="123">
        <v>126457</v>
      </c>
      <c r="AG602" s="151">
        <f t="shared" si="116"/>
        <v>77820</v>
      </c>
      <c r="AH602" s="123">
        <f>308521-219260-127</f>
        <v>89134</v>
      </c>
      <c r="AI602" s="123">
        <v>5177</v>
      </c>
      <c r="AJ602" s="123">
        <v>52500</v>
      </c>
      <c r="AL602" s="123">
        <v>6137</v>
      </c>
    </row>
    <row r="603" spans="1:41" s="123" customFormat="1" ht="16.2" thickBot="1" x14ac:dyDescent="0.35">
      <c r="A603" s="21"/>
      <c r="B603" s="212" t="s">
        <v>284</v>
      </c>
      <c r="C603" s="31" t="str">
        <f>VLOOKUP((CONCATENATE(B603)),ID!$A$2:$D$305,3,0)</f>
        <v>IN020</v>
      </c>
      <c r="D603" s="21">
        <v>1</v>
      </c>
      <c r="E603" s="21" t="s">
        <v>341</v>
      </c>
      <c r="F603" s="21" t="s">
        <v>3865</v>
      </c>
      <c r="G603" s="21" t="s">
        <v>3873</v>
      </c>
      <c r="H603" s="88">
        <v>4749</v>
      </c>
      <c r="I603" s="43">
        <v>4855</v>
      </c>
      <c r="J603" s="43">
        <v>4854</v>
      </c>
      <c r="K603" s="21">
        <v>0</v>
      </c>
      <c r="L603" s="21"/>
      <c r="M603" s="21"/>
      <c r="N603" s="43">
        <v>4876</v>
      </c>
      <c r="O603" s="21" t="s">
        <v>3874</v>
      </c>
      <c r="P603" s="194" t="str">
        <f t="shared" si="119"/>
        <v>1</v>
      </c>
      <c r="Q603" s="21">
        <v>1</v>
      </c>
      <c r="R603" s="39" t="str">
        <f t="shared" si="120"/>
        <v>-</v>
      </c>
      <c r="S603" s="120">
        <f t="shared" si="121"/>
        <v>6454203</v>
      </c>
      <c r="T603" s="123">
        <v>6834224</v>
      </c>
      <c r="U603" s="123">
        <f>T603-58529-5000-17986-78564-3986-114863-138333</f>
        <v>6416963</v>
      </c>
      <c r="V603" s="123">
        <f t="shared" si="110"/>
        <v>417261</v>
      </c>
      <c r="W603" s="122" t="str">
        <f t="shared" si="117"/>
        <v>1</v>
      </c>
      <c r="X603" s="123">
        <f>T603-6487228+33025</f>
        <v>380021</v>
      </c>
      <c r="Y603" s="123">
        <v>33025</v>
      </c>
      <c r="Z603" s="123">
        <f t="shared" si="118"/>
        <v>346996</v>
      </c>
      <c r="AA603" s="122" t="str">
        <f t="shared" si="107"/>
        <v>1</v>
      </c>
      <c r="AB603" s="120">
        <f t="shared" si="115"/>
        <v>0</v>
      </c>
      <c r="AC603" s="123">
        <v>0</v>
      </c>
      <c r="AD603" s="123">
        <v>0</v>
      </c>
      <c r="AE603" s="123">
        <v>58529</v>
      </c>
      <c r="AG603" s="151">
        <f t="shared" si="116"/>
        <v>135087</v>
      </c>
      <c r="AH603" s="123">
        <f>388586-244579-189</f>
        <v>143818</v>
      </c>
      <c r="AI603" s="123">
        <v>2594</v>
      </c>
      <c r="AJ603" s="123">
        <v>52500</v>
      </c>
      <c r="AL603" s="123">
        <v>6137</v>
      </c>
    </row>
    <row r="604" spans="1:41" s="123" customFormat="1" ht="16.2" thickBot="1" x14ac:dyDescent="0.35">
      <c r="A604" s="21"/>
      <c r="B604" s="212" t="s">
        <v>284</v>
      </c>
      <c r="C604" s="31" t="str">
        <f>VLOOKUP((CONCATENATE(B604)),ID!$A$2:$D$305,3,0)</f>
        <v>IN020</v>
      </c>
      <c r="D604" s="21">
        <v>1</v>
      </c>
      <c r="E604" s="21" t="s">
        <v>341</v>
      </c>
      <c r="F604" s="21" t="s">
        <v>3865</v>
      </c>
      <c r="G604" s="21" t="s">
        <v>3873</v>
      </c>
      <c r="H604" s="88">
        <v>5114</v>
      </c>
      <c r="I604" s="43">
        <v>5219</v>
      </c>
      <c r="J604" s="43">
        <v>5219</v>
      </c>
      <c r="K604" s="21">
        <v>0</v>
      </c>
      <c r="L604" s="21"/>
      <c r="M604" s="21"/>
      <c r="N604" s="43">
        <v>5240</v>
      </c>
      <c r="O604" s="21" t="s">
        <v>3874</v>
      </c>
      <c r="P604" s="194" t="str">
        <f t="shared" si="119"/>
        <v>1</v>
      </c>
      <c r="Q604" s="21">
        <v>1</v>
      </c>
      <c r="R604" s="39" t="str">
        <f t="shared" si="120"/>
        <v>-</v>
      </c>
      <c r="S604" s="120">
        <f t="shared" si="121"/>
        <v>9834765</v>
      </c>
      <c r="T604" s="123">
        <v>10260271</v>
      </c>
      <c r="U604" s="123">
        <f>T604-83307-7000-13917-120088-6443-150554-154783</f>
        <v>9724179</v>
      </c>
      <c r="V604" s="123">
        <f t="shared" si="110"/>
        <v>536092</v>
      </c>
      <c r="W604" s="122" t="str">
        <f t="shared" si="117"/>
        <v>1</v>
      </c>
      <c r="X604" s="123">
        <f>T604-9864203+29438</f>
        <v>425506</v>
      </c>
      <c r="Y604" s="123">
        <v>29438</v>
      </c>
      <c r="Z604" s="123">
        <f t="shared" si="118"/>
        <v>396068</v>
      </c>
      <c r="AA604" s="122" t="str">
        <f t="shared" si="107"/>
        <v>1</v>
      </c>
      <c r="AB604" s="120">
        <f t="shared" si="115"/>
        <v>0</v>
      </c>
      <c r="AC604" s="123">
        <v>0</v>
      </c>
      <c r="AD604" s="123">
        <v>0</v>
      </c>
      <c r="AE604" s="123">
        <v>83307</v>
      </c>
      <c r="AG604" s="151">
        <f t="shared" si="116"/>
        <v>143008</v>
      </c>
      <c r="AH604" s="123">
        <f>440168-287167-161</f>
        <v>152840</v>
      </c>
      <c r="AI604" s="123">
        <v>3695</v>
      </c>
      <c r="AJ604" s="123">
        <v>52500</v>
      </c>
      <c r="AL604" s="123">
        <v>6137</v>
      </c>
    </row>
    <row r="605" spans="1:41" s="123" customFormat="1" ht="16.2" thickBot="1" x14ac:dyDescent="0.35">
      <c r="A605" s="21"/>
      <c r="B605" s="212" t="s">
        <v>303</v>
      </c>
      <c r="C605" s="31" t="str">
        <f>VLOOKUP((CONCATENATE(B605)),ID!$A$2:$D$305,3,0)</f>
        <v>IN021</v>
      </c>
      <c r="D605" s="21">
        <v>1</v>
      </c>
      <c r="E605" s="21" t="s">
        <v>341</v>
      </c>
      <c r="F605" s="21" t="s">
        <v>3861</v>
      </c>
      <c r="G605" s="21" t="s">
        <v>3862</v>
      </c>
      <c r="H605" s="88">
        <v>3653</v>
      </c>
      <c r="I605" s="43">
        <v>3679</v>
      </c>
      <c r="J605" s="43">
        <v>3679</v>
      </c>
      <c r="K605" s="21">
        <v>1</v>
      </c>
      <c r="L605" s="43">
        <v>3671</v>
      </c>
      <c r="M605" s="43">
        <v>3689</v>
      </c>
      <c r="N605" s="43">
        <v>3688</v>
      </c>
      <c r="O605" s="21" t="s">
        <v>3875</v>
      </c>
      <c r="P605" s="194" t="str">
        <f t="shared" si="119"/>
        <v>1</v>
      </c>
      <c r="Q605" s="21">
        <v>1</v>
      </c>
      <c r="R605" s="39" t="str">
        <f t="shared" si="120"/>
        <v>-</v>
      </c>
      <c r="S605" s="120">
        <f t="shared" si="121"/>
        <v>1055753</v>
      </c>
      <c r="T605" s="123">
        <v>1077882</v>
      </c>
      <c r="U605" s="123">
        <f>1002172+524</f>
        <v>1002696</v>
      </c>
      <c r="V605" s="123">
        <f t="shared" si="110"/>
        <v>75186</v>
      </c>
      <c r="W605" s="122" t="str">
        <f t="shared" si="117"/>
        <v>1</v>
      </c>
      <c r="X605" s="123">
        <f>7805+700+13624</f>
        <v>22129</v>
      </c>
      <c r="Z605" s="123">
        <f t="shared" si="118"/>
        <v>22129</v>
      </c>
      <c r="AA605" s="122" t="str">
        <f t="shared" si="107"/>
        <v>1</v>
      </c>
      <c r="AB605" s="120">
        <f t="shared" si="115"/>
        <v>0</v>
      </c>
      <c r="AC605" s="123">
        <v>0</v>
      </c>
      <c r="AD605" s="123">
        <v>0</v>
      </c>
      <c r="AE605" s="123">
        <v>125</v>
      </c>
      <c r="AG605" s="151">
        <f t="shared" si="116"/>
        <v>213974</v>
      </c>
      <c r="AH605" s="123">
        <f>306826-92848-4</f>
        <v>213974</v>
      </c>
      <c r="AJ605" s="123">
        <v>40000</v>
      </c>
      <c r="AO605" s="123">
        <v>100000</v>
      </c>
    </row>
    <row r="606" spans="1:41" s="123" customFormat="1" ht="16.2" thickBot="1" x14ac:dyDescent="0.35">
      <c r="A606" s="21">
        <v>91.1</v>
      </c>
      <c r="B606" s="212" t="s">
        <v>303</v>
      </c>
      <c r="C606" s="31" t="str">
        <f>VLOOKUP((CONCATENATE(B606)),ID!$A$2:$D$305,3,0)</f>
        <v>IN021</v>
      </c>
      <c r="D606" s="21">
        <v>1</v>
      </c>
      <c r="E606" s="21" t="s">
        <v>341</v>
      </c>
      <c r="F606" s="21" t="s">
        <v>3861</v>
      </c>
      <c r="G606" s="21" t="s">
        <v>3862</v>
      </c>
      <c r="H606" s="88">
        <v>4018</v>
      </c>
      <c r="I606" s="43">
        <v>4042</v>
      </c>
      <c r="J606" s="43">
        <v>4042</v>
      </c>
      <c r="K606" s="21">
        <v>1</v>
      </c>
      <c r="L606" s="43">
        <v>4035</v>
      </c>
      <c r="M606" s="43">
        <v>4053</v>
      </c>
      <c r="N606" s="43">
        <v>4052</v>
      </c>
      <c r="O606" s="21" t="s">
        <v>3875</v>
      </c>
      <c r="P606" s="194" t="str">
        <f t="shared" si="119"/>
        <v>1</v>
      </c>
      <c r="Q606" s="21">
        <v>1</v>
      </c>
      <c r="R606" s="39" t="str">
        <f t="shared" si="120"/>
        <v>-</v>
      </c>
      <c r="S606" s="120">
        <f t="shared" si="121"/>
        <v>1042614</v>
      </c>
      <c r="T606" s="123">
        <v>1096294</v>
      </c>
      <c r="U606" s="123">
        <f>446+978367</f>
        <v>978813</v>
      </c>
      <c r="V606" s="123">
        <f t="shared" si="110"/>
        <v>117481</v>
      </c>
      <c r="W606" s="122" t="str">
        <f t="shared" si="117"/>
        <v>1</v>
      </c>
      <c r="X606" s="123">
        <f>50153+658+2869</f>
        <v>53680</v>
      </c>
      <c r="Z606" s="123">
        <f t="shared" si="118"/>
        <v>53680</v>
      </c>
      <c r="AA606" s="122" t="str">
        <f t="shared" si="107"/>
        <v>1</v>
      </c>
      <c r="AB606" s="120">
        <f t="shared" si="115"/>
        <v>0</v>
      </c>
      <c r="AC606" s="123">
        <v>0</v>
      </c>
      <c r="AD606" s="123">
        <v>0</v>
      </c>
      <c r="AE606" s="123">
        <v>24406</v>
      </c>
      <c r="AG606" s="151">
        <f t="shared" si="116"/>
        <v>219170</v>
      </c>
      <c r="AH606" s="123">
        <f>276292-54031-21-3070</f>
        <v>219170</v>
      </c>
      <c r="AJ606" s="123">
        <v>40000</v>
      </c>
      <c r="AO606" s="123">
        <v>100000</v>
      </c>
    </row>
    <row r="607" spans="1:41" s="123" customFormat="1" ht="16.2" thickBot="1" x14ac:dyDescent="0.35">
      <c r="A607" s="21">
        <v>91.2</v>
      </c>
      <c r="B607" s="212" t="s">
        <v>303</v>
      </c>
      <c r="C607" s="31" t="str">
        <f>VLOOKUP((CONCATENATE(B607)),ID!$A$2:$D$305,3,0)</f>
        <v>IN021</v>
      </c>
      <c r="D607" s="21">
        <v>1</v>
      </c>
      <c r="E607" s="21" t="s">
        <v>341</v>
      </c>
      <c r="F607" s="21" t="s">
        <v>3861</v>
      </c>
      <c r="G607" s="21" t="s">
        <v>3862</v>
      </c>
      <c r="H607" s="88">
        <v>4383</v>
      </c>
      <c r="I607" s="43">
        <v>4458</v>
      </c>
      <c r="J607" s="43">
        <v>4458</v>
      </c>
      <c r="K607" s="21">
        <v>0</v>
      </c>
      <c r="L607" s="21"/>
      <c r="M607" s="21"/>
      <c r="N607" s="43">
        <v>4475</v>
      </c>
      <c r="O607" s="21" t="s">
        <v>3875</v>
      </c>
      <c r="P607" s="194" t="str">
        <f t="shared" si="119"/>
        <v>1</v>
      </c>
      <c r="Q607" s="21">
        <v>1</v>
      </c>
      <c r="R607" s="39" t="str">
        <f t="shared" si="120"/>
        <v>-</v>
      </c>
      <c r="S607" s="120">
        <f t="shared" si="121"/>
        <v>1111331</v>
      </c>
      <c r="T607" s="123">
        <v>1121700</v>
      </c>
      <c r="U607" s="123">
        <f>980081+1457</f>
        <v>981538</v>
      </c>
      <c r="V607" s="123">
        <f t="shared" si="110"/>
        <v>140162</v>
      </c>
      <c r="W607" s="122" t="str">
        <f t="shared" si="117"/>
        <v>1</v>
      </c>
      <c r="X607" s="123">
        <f>9574+669+126</f>
        <v>10369</v>
      </c>
      <c r="Z607" s="123">
        <f t="shared" si="118"/>
        <v>10369</v>
      </c>
      <c r="AA607" s="122" t="str">
        <f t="shared" si="107"/>
        <v>1</v>
      </c>
      <c r="AB607" s="120">
        <f t="shared" si="115"/>
        <v>0</v>
      </c>
      <c r="AC607" s="123">
        <v>0</v>
      </c>
      <c r="AD607" s="123">
        <v>0</v>
      </c>
      <c r="AE607" s="123">
        <v>32665</v>
      </c>
      <c r="AG607" s="151">
        <f t="shared" si="116"/>
        <v>220572</v>
      </c>
      <c r="AH607" s="123">
        <f>269017-48441-4</f>
        <v>220572</v>
      </c>
      <c r="AJ607" s="123">
        <v>35000</v>
      </c>
      <c r="AO607" s="123">
        <v>100000</v>
      </c>
    </row>
    <row r="608" spans="1:41" s="123" customFormat="1" ht="16.2" thickBot="1" x14ac:dyDescent="0.35">
      <c r="A608" s="21"/>
      <c r="B608" s="212" t="s">
        <v>303</v>
      </c>
      <c r="C608" s="31" t="str">
        <f>VLOOKUP((CONCATENATE(B608)),ID!$A$2:$D$305,3,0)</f>
        <v>IN021</v>
      </c>
      <c r="D608" s="21">
        <v>1</v>
      </c>
      <c r="E608" s="21" t="s">
        <v>341</v>
      </c>
      <c r="F608" s="21" t="s">
        <v>3861</v>
      </c>
      <c r="G608" s="21" t="s">
        <v>3862</v>
      </c>
      <c r="H608" s="88">
        <v>4749</v>
      </c>
      <c r="I608" s="43">
        <v>4786</v>
      </c>
      <c r="J608" s="43">
        <v>4786</v>
      </c>
      <c r="K608" s="21">
        <v>0</v>
      </c>
      <c r="L608" s="21"/>
      <c r="M608" s="21"/>
      <c r="N608" s="43">
        <v>4798</v>
      </c>
      <c r="O608" s="21" t="s">
        <v>3872</v>
      </c>
      <c r="P608" s="194" t="str">
        <f t="shared" si="119"/>
        <v>1</v>
      </c>
      <c r="Q608" s="21">
        <v>1</v>
      </c>
      <c r="R608" s="39" t="str">
        <f t="shared" si="120"/>
        <v>-</v>
      </c>
      <c r="S608" s="120">
        <f t="shared" si="121"/>
        <v>1073902</v>
      </c>
      <c r="T608" s="123">
        <v>1086117</v>
      </c>
      <c r="U608" s="123">
        <f>950214+1627</f>
        <v>951841</v>
      </c>
      <c r="V608" s="123">
        <f t="shared" si="110"/>
        <v>134276</v>
      </c>
      <c r="W608" s="122" t="str">
        <f t="shared" si="117"/>
        <v>1</v>
      </c>
      <c r="X608" s="123">
        <f>12212+3</f>
        <v>12215</v>
      </c>
      <c r="Z608" s="123">
        <f t="shared" si="118"/>
        <v>12215</v>
      </c>
      <c r="AA608" s="122" t="str">
        <f t="shared" si="107"/>
        <v>1</v>
      </c>
      <c r="AB608" s="120">
        <f t="shared" si="115"/>
        <v>0</v>
      </c>
      <c r="AC608" s="123">
        <v>0</v>
      </c>
      <c r="AD608" s="123">
        <v>0</v>
      </c>
      <c r="AE608" s="123">
        <v>38951</v>
      </c>
      <c r="AG608" s="151">
        <f t="shared" si="116"/>
        <v>189343</v>
      </c>
      <c r="AH608" s="123">
        <f>303476-61770-205-50000-167</f>
        <v>191334</v>
      </c>
      <c r="AI608" s="123">
        <v>1991</v>
      </c>
      <c r="AJ608" s="123">
        <v>16479</v>
      </c>
      <c r="AO608" s="123">
        <v>100000</v>
      </c>
    </row>
    <row r="609" spans="1:41" s="123" customFormat="1" ht="16.2" thickBot="1" x14ac:dyDescent="0.35">
      <c r="A609" s="21">
        <v>92.1</v>
      </c>
      <c r="B609" s="212" t="s">
        <v>16</v>
      </c>
      <c r="C609" s="31" t="str">
        <f>VLOOKUP((CONCATENATE(B609)),ID!$A$2:$D$305,3,0)</f>
        <v>IC001</v>
      </c>
      <c r="D609" s="21">
        <v>1</v>
      </c>
      <c r="E609" s="21" t="s">
        <v>3876</v>
      </c>
      <c r="F609" s="21" t="s">
        <v>3878</v>
      </c>
      <c r="G609" s="21" t="s">
        <v>3853</v>
      </c>
      <c r="H609" s="88">
        <v>4018</v>
      </c>
      <c r="I609" s="43">
        <v>4099</v>
      </c>
      <c r="J609" s="43">
        <v>4099</v>
      </c>
      <c r="K609" s="21">
        <v>1</v>
      </c>
      <c r="L609" s="43">
        <v>4099</v>
      </c>
      <c r="M609" s="43">
        <v>4114</v>
      </c>
      <c r="N609" s="43">
        <v>4114</v>
      </c>
      <c r="O609" s="21" t="s">
        <v>3877</v>
      </c>
      <c r="P609" s="194" t="str">
        <f t="shared" si="119"/>
        <v>1</v>
      </c>
      <c r="Q609" s="21">
        <v>1</v>
      </c>
      <c r="R609" s="39" t="str">
        <f t="shared" si="120"/>
        <v>-</v>
      </c>
      <c r="S609" s="120">
        <f t="shared" si="121"/>
        <v>6074938</v>
      </c>
      <c r="T609" s="123">
        <v>9455691</v>
      </c>
      <c r="U609" s="123">
        <f>5330877+1363638</f>
        <v>6694515</v>
      </c>
      <c r="V609" s="123">
        <f t="shared" si="110"/>
        <v>2761176</v>
      </c>
      <c r="W609" s="122" t="str">
        <f t="shared" si="117"/>
        <v>1</v>
      </c>
      <c r="X609" s="123">
        <f>522900+237853+60000+2500000+60000</f>
        <v>3380753</v>
      </c>
      <c r="Y609" s="123">
        <f>60000+237859+2500000</f>
        <v>2797859</v>
      </c>
      <c r="Z609" s="123">
        <f t="shared" si="118"/>
        <v>582894</v>
      </c>
      <c r="AA609" s="122" t="str">
        <f t="shared" si="107"/>
        <v>1</v>
      </c>
      <c r="AB609" s="120">
        <f t="shared" si="115"/>
        <v>2500000</v>
      </c>
      <c r="AC609" s="123">
        <v>0</v>
      </c>
      <c r="AD609" s="123">
        <v>2500000</v>
      </c>
      <c r="AG609" s="151">
        <f t="shared" si="116"/>
        <v>423433</v>
      </c>
      <c r="AH609" s="123">
        <f>611345-68141-4345</f>
        <v>538859</v>
      </c>
      <c r="AJ609" s="123">
        <v>180500</v>
      </c>
      <c r="AL609" s="123">
        <f>100300+15126</f>
        <v>115426</v>
      </c>
      <c r="AO609" s="123">
        <f>3210000+200000+246981</f>
        <v>3656981</v>
      </c>
    </row>
    <row r="610" spans="1:41" s="123" customFormat="1" ht="16.2" thickBot="1" x14ac:dyDescent="0.35">
      <c r="A610" s="21">
        <v>92.2</v>
      </c>
      <c r="B610" s="212" t="s">
        <v>16</v>
      </c>
      <c r="C610" s="31" t="str">
        <f>VLOOKUP((CONCATENATE(B610)),ID!$A$2:$D$305,3,0)</f>
        <v>IC001</v>
      </c>
      <c r="D610" s="21">
        <v>1</v>
      </c>
      <c r="E610" s="21" t="s">
        <v>3876</v>
      </c>
      <c r="F610" s="21" t="s">
        <v>3878</v>
      </c>
      <c r="G610" s="21" t="s">
        <v>3853</v>
      </c>
      <c r="H610" s="88">
        <v>4383</v>
      </c>
      <c r="I610" s="43">
        <v>4472</v>
      </c>
      <c r="J610" s="43">
        <v>4472</v>
      </c>
      <c r="K610" s="21">
        <v>1</v>
      </c>
      <c r="L610" s="43">
        <v>4478</v>
      </c>
      <c r="M610" s="43">
        <v>4492</v>
      </c>
      <c r="N610" s="43">
        <v>4492</v>
      </c>
      <c r="O610" s="21" t="s">
        <v>3877</v>
      </c>
      <c r="P610" s="194" t="str">
        <f t="shared" si="119"/>
        <v>1</v>
      </c>
      <c r="Q610" s="21">
        <v>1</v>
      </c>
      <c r="R610" s="39" t="str">
        <f t="shared" si="120"/>
        <v>-</v>
      </c>
      <c r="S610" s="120">
        <f t="shared" si="121"/>
        <v>6221765</v>
      </c>
      <c r="T610" s="123">
        <v>9539311</v>
      </c>
      <c r="U610" s="123">
        <f>2216946+665370+5138364</f>
        <v>8020680</v>
      </c>
      <c r="V610" s="123">
        <f t="shared" si="110"/>
        <v>1518631</v>
      </c>
      <c r="W610" s="122" t="str">
        <f t="shared" si="117"/>
        <v>1</v>
      </c>
      <c r="X610" s="123">
        <f>456115+241431+60000+60000+2500000</f>
        <v>3317546</v>
      </c>
      <c r="Y610" s="123">
        <f>AB610+241431+60000</f>
        <v>2801431</v>
      </c>
      <c r="Z610" s="123">
        <f t="shared" si="118"/>
        <v>516115</v>
      </c>
      <c r="AA610" s="122" t="str">
        <f t="shared" si="107"/>
        <v>1</v>
      </c>
      <c r="AB610" s="120">
        <f t="shared" si="115"/>
        <v>2500000</v>
      </c>
      <c r="AC610" s="123">
        <v>0</v>
      </c>
      <c r="AD610" s="123">
        <v>2500000</v>
      </c>
      <c r="AG610" s="151">
        <f t="shared" si="116"/>
        <v>376742</v>
      </c>
      <c r="AH610" s="123">
        <f>681138-184996-3703</f>
        <v>492439</v>
      </c>
      <c r="AJ610" s="123">
        <v>180500</v>
      </c>
      <c r="AL610" s="123">
        <f>100200+15497</f>
        <v>115697</v>
      </c>
      <c r="AO610" s="123">
        <f>3210000+200000</f>
        <v>3410000</v>
      </c>
    </row>
    <row r="611" spans="1:41" s="123" customFormat="1" ht="16.2" thickBot="1" x14ac:dyDescent="0.35">
      <c r="A611" s="21"/>
      <c r="B611" s="212" t="s">
        <v>16</v>
      </c>
      <c r="C611" s="31" t="str">
        <f>VLOOKUP((CONCATENATE(B611)),ID!$A$2:$D$305,3,0)</f>
        <v>IC001</v>
      </c>
      <c r="D611" s="21">
        <v>1</v>
      </c>
      <c r="E611" s="21" t="s">
        <v>3876</v>
      </c>
      <c r="F611" s="21" t="s">
        <v>3878</v>
      </c>
      <c r="G611" s="21" t="s">
        <v>3853</v>
      </c>
      <c r="H611" s="88">
        <v>4749</v>
      </c>
      <c r="I611" s="43">
        <v>4834</v>
      </c>
      <c r="J611" s="43">
        <v>4836</v>
      </c>
      <c r="K611" s="21">
        <v>1</v>
      </c>
      <c r="L611" s="43">
        <v>4839</v>
      </c>
      <c r="M611" s="43">
        <v>4853</v>
      </c>
      <c r="N611" s="43">
        <v>4853</v>
      </c>
      <c r="O611" s="21" t="s">
        <v>3877</v>
      </c>
      <c r="P611" s="194" t="str">
        <f t="shared" si="119"/>
        <v>1</v>
      </c>
      <c r="Q611" s="21">
        <v>1</v>
      </c>
      <c r="R611" s="39" t="str">
        <f t="shared" si="120"/>
        <v>-</v>
      </c>
      <c r="S611" s="120">
        <f t="shared" si="121"/>
        <v>6456041</v>
      </c>
      <c r="T611" s="123">
        <v>9945715</v>
      </c>
      <c r="U611" s="123">
        <f>2023763+5434349</f>
        <v>7458112</v>
      </c>
      <c r="V611" s="123">
        <f t="shared" si="110"/>
        <v>2487603</v>
      </c>
      <c r="W611" s="122" t="str">
        <f t="shared" si="117"/>
        <v>1</v>
      </c>
      <c r="X611" s="123">
        <f>Y611+612914+60000</f>
        <v>3489674</v>
      </c>
      <c r="Y611" s="123">
        <f>AB611+60000+256760</f>
        <v>2816760</v>
      </c>
      <c r="Z611" s="123">
        <f t="shared" si="118"/>
        <v>672914</v>
      </c>
      <c r="AA611" s="122" t="str">
        <f t="shared" si="107"/>
        <v>1</v>
      </c>
      <c r="AB611" s="120">
        <f t="shared" si="115"/>
        <v>2500000</v>
      </c>
      <c r="AC611" s="123">
        <v>0</v>
      </c>
      <c r="AD611" s="123">
        <v>2500000</v>
      </c>
      <c r="AG611" s="151">
        <f t="shared" si="116"/>
        <v>437174</v>
      </c>
      <c r="AH611" s="123">
        <f>761765-201572-4375</f>
        <v>555818</v>
      </c>
      <c r="AJ611" s="123">
        <v>180500</v>
      </c>
      <c r="AL611" s="123">
        <f>18444+100200</f>
        <v>118644</v>
      </c>
      <c r="AO611" s="123">
        <v>3410000</v>
      </c>
    </row>
    <row r="612" spans="1:41" s="123" customFormat="1" ht="16.2" thickBot="1" x14ac:dyDescent="0.35">
      <c r="A612" s="21"/>
      <c r="B612" s="212" t="s">
        <v>16</v>
      </c>
      <c r="C612" s="31" t="str">
        <f>VLOOKUP((CONCATENATE(B612)),ID!$A$2:$D$305,3,0)</f>
        <v>IC001</v>
      </c>
      <c r="D612" s="21">
        <v>1</v>
      </c>
      <c r="E612" s="21" t="s">
        <v>3876</v>
      </c>
      <c r="F612" s="21" t="s">
        <v>3878</v>
      </c>
      <c r="G612" s="21" t="s">
        <v>3853</v>
      </c>
      <c r="H612" s="88">
        <v>5114</v>
      </c>
      <c r="I612" s="43">
        <v>5200</v>
      </c>
      <c r="J612" s="43">
        <v>5200</v>
      </c>
      <c r="K612" s="21">
        <v>1</v>
      </c>
      <c r="L612" s="43">
        <v>5199</v>
      </c>
      <c r="M612" s="43">
        <v>5213</v>
      </c>
      <c r="N612" s="43">
        <v>5222</v>
      </c>
      <c r="O612" s="21" t="s">
        <v>3877</v>
      </c>
      <c r="P612" s="194" t="str">
        <f t="shared" si="119"/>
        <v>1</v>
      </c>
      <c r="Q612" s="21">
        <v>1</v>
      </c>
      <c r="R612" s="39" t="str">
        <f t="shared" si="120"/>
        <v>-</v>
      </c>
      <c r="S612" s="120">
        <f t="shared" si="121"/>
        <v>7782155</v>
      </c>
      <c r="T612" s="123">
        <v>11180810</v>
      </c>
      <c r="U612" s="123">
        <f>1902039+1211404+6166100</f>
        <v>9279543</v>
      </c>
      <c r="V612" s="123">
        <f t="shared" si="110"/>
        <v>1901267</v>
      </c>
      <c r="W612" s="122" t="str">
        <f t="shared" si="117"/>
        <v>1</v>
      </c>
      <c r="X612" s="123">
        <f>Y612+626595</f>
        <v>3398655</v>
      </c>
      <c r="Y612" s="123">
        <f>AB612+272060</f>
        <v>2772060</v>
      </c>
      <c r="Z612" s="123">
        <f t="shared" si="118"/>
        <v>626595</v>
      </c>
      <c r="AA612" s="122" t="str">
        <f t="shared" si="107"/>
        <v>1</v>
      </c>
      <c r="AB612" s="120">
        <f t="shared" si="115"/>
        <v>2500000</v>
      </c>
      <c r="AC612" s="123">
        <v>0</v>
      </c>
      <c r="AD612" s="123">
        <v>2500000</v>
      </c>
      <c r="AG612" s="151">
        <f t="shared" si="116"/>
        <v>374211</v>
      </c>
      <c r="AH612" s="123">
        <f>877684-335849-4293-43782</f>
        <v>493760</v>
      </c>
      <c r="AJ612" s="123">
        <v>222184</v>
      </c>
      <c r="AL612" s="123">
        <f>19398+100151</f>
        <v>119549</v>
      </c>
      <c r="AO612" s="123">
        <f>4012500+200000+1000000</f>
        <v>5212500</v>
      </c>
    </row>
    <row r="613" spans="1:41" s="123" customFormat="1" ht="16.2" thickBot="1" x14ac:dyDescent="0.35">
      <c r="A613" s="21"/>
      <c r="B613" s="212" t="s">
        <v>37</v>
      </c>
      <c r="C613" s="31" t="str">
        <f>VLOOKUP((CONCATENATE(B613)),ID!$A$2:$D$305,3,0)</f>
        <v>IC002</v>
      </c>
      <c r="D613" s="21">
        <v>1</v>
      </c>
      <c r="E613" s="21" t="s">
        <v>3876</v>
      </c>
      <c r="F613" s="21" t="s">
        <v>3812</v>
      </c>
      <c r="G613" s="21" t="s">
        <v>3853</v>
      </c>
      <c r="H613" s="88">
        <v>3834</v>
      </c>
      <c r="I613" s="43">
        <v>3881</v>
      </c>
      <c r="J613" s="43">
        <v>3877</v>
      </c>
      <c r="K613" s="21">
        <v>1</v>
      </c>
      <c r="L613" s="43">
        <v>3875</v>
      </c>
      <c r="M613" s="43">
        <v>3895</v>
      </c>
      <c r="N613" s="43">
        <v>3896</v>
      </c>
      <c r="O613" s="21" t="s">
        <v>3879</v>
      </c>
      <c r="P613" s="194" t="str">
        <f t="shared" si="119"/>
        <v>1</v>
      </c>
      <c r="Q613" s="21">
        <v>1</v>
      </c>
      <c r="R613" s="39" t="str">
        <f t="shared" si="120"/>
        <v>-</v>
      </c>
      <c r="S613" s="120">
        <f t="shared" si="121"/>
        <v>3688183</v>
      </c>
      <c r="T613" s="123">
        <v>4990272</v>
      </c>
      <c r="U613" s="123">
        <f>30967+209643+38636+3979239+12833</f>
        <v>4271318</v>
      </c>
      <c r="V613" s="123">
        <f t="shared" si="110"/>
        <v>718954</v>
      </c>
      <c r="W613" s="122" t="str">
        <f t="shared" si="117"/>
        <v>1</v>
      </c>
      <c r="X613" s="123">
        <f>Y613+16526+11802+447461</f>
        <v>1302089</v>
      </c>
      <c r="Y613" s="123">
        <f t="shared" ref="Y613:Y622" si="122">AB613</f>
        <v>826300</v>
      </c>
      <c r="Z613" s="123">
        <f t="shared" si="118"/>
        <v>475789</v>
      </c>
      <c r="AA613" s="122" t="str">
        <f t="shared" si="107"/>
        <v>1</v>
      </c>
      <c r="AB613" s="120">
        <f t="shared" si="115"/>
        <v>826300</v>
      </c>
      <c r="AC613" s="123">
        <v>0</v>
      </c>
      <c r="AD613" s="123">
        <v>826300</v>
      </c>
      <c r="AG613" s="151">
        <f t="shared" si="116"/>
        <v>253262</v>
      </c>
      <c r="AH613" s="123">
        <f>414537-128402</f>
        <v>286135</v>
      </c>
      <c r="AJ613" s="123">
        <v>125134</v>
      </c>
      <c r="AL613" s="123">
        <v>32873</v>
      </c>
      <c r="AO613" s="123">
        <f>1629760+1860900+23604</f>
        <v>3514264</v>
      </c>
    </row>
    <row r="614" spans="1:41" s="123" customFormat="1" ht="16.2" thickBot="1" x14ac:dyDescent="0.35">
      <c r="A614" s="21">
        <v>93.1</v>
      </c>
      <c r="B614" s="212" t="s">
        <v>37</v>
      </c>
      <c r="C614" s="31" t="str">
        <f>VLOOKUP((CONCATENATE(B614)),ID!$A$2:$D$305,3,0)</f>
        <v>IC002</v>
      </c>
      <c r="D614" s="21">
        <v>1</v>
      </c>
      <c r="E614" s="21" t="s">
        <v>3876</v>
      </c>
      <c r="F614" s="21" t="s">
        <v>3812</v>
      </c>
      <c r="G614" s="21" t="s">
        <v>3853</v>
      </c>
      <c r="H614" s="88">
        <v>4199</v>
      </c>
      <c r="I614" s="43">
        <v>4272</v>
      </c>
      <c r="J614" s="43">
        <v>4266</v>
      </c>
      <c r="K614" s="21">
        <v>1</v>
      </c>
      <c r="L614" s="43">
        <v>4267</v>
      </c>
      <c r="M614" s="43">
        <v>4287</v>
      </c>
      <c r="N614" s="43">
        <v>4288</v>
      </c>
      <c r="O614" s="21" t="s">
        <v>3879</v>
      </c>
      <c r="P614" s="194" t="str">
        <f t="shared" si="119"/>
        <v>1</v>
      </c>
      <c r="Q614" s="21">
        <v>1</v>
      </c>
      <c r="R614" s="39" t="str">
        <f t="shared" si="120"/>
        <v>-</v>
      </c>
      <c r="S614" s="120">
        <f t="shared" si="121"/>
        <v>3795305</v>
      </c>
      <c r="T614" s="123">
        <v>5044971</v>
      </c>
      <c r="U614" s="123">
        <f>T614-723325-153342-85180</f>
        <v>4083124</v>
      </c>
      <c r="V614" s="123">
        <f t="shared" si="110"/>
        <v>961847</v>
      </c>
      <c r="W614" s="122" t="str">
        <f t="shared" si="117"/>
        <v>1</v>
      </c>
      <c r="X614" s="123">
        <f>868976+380690</f>
        <v>1249666</v>
      </c>
      <c r="Y614" s="123">
        <f t="shared" si="122"/>
        <v>852300</v>
      </c>
      <c r="Z614" s="123">
        <f t="shared" si="118"/>
        <v>397366</v>
      </c>
      <c r="AA614" s="122" t="str">
        <f t="shared" si="107"/>
        <v>1</v>
      </c>
      <c r="AB614" s="120">
        <f t="shared" si="115"/>
        <v>852300</v>
      </c>
      <c r="AC614" s="123">
        <v>0</v>
      </c>
      <c r="AD614" s="123">
        <v>852300</v>
      </c>
      <c r="AG614" s="151">
        <f t="shared" si="116"/>
        <v>313587</v>
      </c>
      <c r="AH614" s="123">
        <f>448914-102314</f>
        <v>346600</v>
      </c>
      <c r="AI614" s="132"/>
      <c r="AJ614" s="134">
        <v>125275</v>
      </c>
      <c r="AK614" s="134"/>
      <c r="AL614" s="134">
        <v>33013</v>
      </c>
      <c r="AM614" s="132"/>
      <c r="AO614" s="123">
        <f>1629760+1860900+23604</f>
        <v>3514264</v>
      </c>
    </row>
    <row r="615" spans="1:41" s="123" customFormat="1" ht="16.2" thickBot="1" x14ac:dyDescent="0.35">
      <c r="A615" s="21">
        <v>93.2</v>
      </c>
      <c r="B615" s="212" t="s">
        <v>37</v>
      </c>
      <c r="C615" s="31" t="str">
        <f>VLOOKUP((CONCATENATE(B615)),ID!$A$2:$D$305,3,0)</f>
        <v>IC002</v>
      </c>
      <c r="D615" s="21">
        <v>1</v>
      </c>
      <c r="E615" s="21" t="s">
        <v>3876</v>
      </c>
      <c r="F615" s="21" t="s">
        <v>3812</v>
      </c>
      <c r="G615" s="21" t="s">
        <v>3853</v>
      </c>
      <c r="H615" s="88">
        <v>4565</v>
      </c>
      <c r="I615" s="43">
        <v>4637</v>
      </c>
      <c r="J615" s="43">
        <v>4633</v>
      </c>
      <c r="K615" s="21">
        <v>1</v>
      </c>
      <c r="L615" s="43">
        <v>4631</v>
      </c>
      <c r="M615" s="43">
        <v>4651</v>
      </c>
      <c r="N615" s="43">
        <v>4652</v>
      </c>
      <c r="O615" s="21" t="s">
        <v>3879</v>
      </c>
      <c r="P615" s="194" t="str">
        <f t="shared" si="119"/>
        <v>1</v>
      </c>
      <c r="Q615" s="21">
        <v>1</v>
      </c>
      <c r="R615" s="39" t="str">
        <f t="shared" si="120"/>
        <v>-</v>
      </c>
      <c r="S615" s="120">
        <f t="shared" si="121"/>
        <v>3684421</v>
      </c>
      <c r="T615" s="123">
        <v>4932469</v>
      </c>
      <c r="U615" s="123">
        <f>T615-2159-263825-7314-584255</f>
        <v>4074916</v>
      </c>
      <c r="V615" s="123">
        <f t="shared" si="110"/>
        <v>857553</v>
      </c>
      <c r="W615" s="122" t="str">
        <f t="shared" si="117"/>
        <v>1</v>
      </c>
      <c r="X615" s="123">
        <f>375779+860467+11802</f>
        <v>1248048</v>
      </c>
      <c r="Y615" s="123">
        <f t="shared" si="122"/>
        <v>843700</v>
      </c>
      <c r="Z615" s="123">
        <f t="shared" si="118"/>
        <v>404348</v>
      </c>
      <c r="AA615" s="122" t="str">
        <f t="shared" si="107"/>
        <v>1</v>
      </c>
      <c r="AB615" s="120">
        <f t="shared" si="115"/>
        <v>843700</v>
      </c>
      <c r="AC615" s="123">
        <v>0</v>
      </c>
      <c r="AD615" s="123">
        <v>843700</v>
      </c>
      <c r="AG615" s="151">
        <f t="shared" si="116"/>
        <v>176380</v>
      </c>
      <c r="AH615" s="134">
        <f>381004-171110</f>
        <v>209894</v>
      </c>
      <c r="AI615" s="134"/>
      <c r="AJ615" s="134">
        <v>125776</v>
      </c>
      <c r="AK615" s="134"/>
      <c r="AL615" s="134">
        <v>33514</v>
      </c>
      <c r="AM615" s="134"/>
      <c r="AN615" s="134"/>
      <c r="AO615" s="134">
        <f>1629760+1860900+23604</f>
        <v>3514264</v>
      </c>
    </row>
    <row r="616" spans="1:41" s="123" customFormat="1" ht="16.2" thickBot="1" x14ac:dyDescent="0.35">
      <c r="A616" s="21"/>
      <c r="B616" s="212" t="s">
        <v>37</v>
      </c>
      <c r="C616" s="31" t="str">
        <f>VLOOKUP((CONCATENATE(B616)),ID!$A$2:$D$305,3,0)</f>
        <v>IC002</v>
      </c>
      <c r="D616" s="21">
        <v>1</v>
      </c>
      <c r="E616" s="21" t="s">
        <v>3876</v>
      </c>
      <c r="F616" s="21" t="s">
        <v>3812</v>
      </c>
      <c r="G616" s="21" t="s">
        <v>3853</v>
      </c>
      <c r="H616" s="88">
        <v>4930</v>
      </c>
      <c r="I616" s="43">
        <v>5002</v>
      </c>
      <c r="J616" s="43">
        <v>4994</v>
      </c>
      <c r="K616" s="21">
        <v>1</v>
      </c>
      <c r="L616" s="43">
        <v>4995</v>
      </c>
      <c r="M616" s="43">
        <v>5015</v>
      </c>
      <c r="N616" s="43">
        <v>5016</v>
      </c>
      <c r="O616" s="21" t="s">
        <v>3879</v>
      </c>
      <c r="P616" s="194" t="str">
        <f t="shared" si="119"/>
        <v>1</v>
      </c>
      <c r="Q616" s="21">
        <v>1</v>
      </c>
      <c r="R616" s="39" t="str">
        <f t="shared" si="120"/>
        <v>-</v>
      </c>
      <c r="S616" s="120">
        <f t="shared" si="121"/>
        <v>4001797</v>
      </c>
      <c r="T616" s="123">
        <v>5218034</v>
      </c>
      <c r="U616" s="123">
        <f>T616-114016-184167-8053-806901</f>
        <v>4104897</v>
      </c>
      <c r="V616" s="123">
        <f t="shared" si="110"/>
        <v>1113137</v>
      </c>
      <c r="W616" s="122" t="str">
        <f t="shared" si="117"/>
        <v>1</v>
      </c>
      <c r="X616" s="123">
        <f>Y616+14903+11802+443232</f>
        <v>1216237</v>
      </c>
      <c r="Y616" s="123">
        <f t="shared" si="122"/>
        <v>746300</v>
      </c>
      <c r="Z616" s="123">
        <f t="shared" si="118"/>
        <v>469937</v>
      </c>
      <c r="AA616" s="122" t="str">
        <f t="shared" si="107"/>
        <v>1</v>
      </c>
      <c r="AB616" s="120">
        <f t="shared" ref="AB616:AB679" si="123">SUM(AC616+AD616)</f>
        <v>746300</v>
      </c>
      <c r="AC616" s="123">
        <v>0</v>
      </c>
      <c r="AD616" s="123">
        <v>746300</v>
      </c>
      <c r="AG616" s="151">
        <f t="shared" si="116"/>
        <v>494833</v>
      </c>
      <c r="AH616" s="134">
        <f>661247-135651</f>
        <v>525596</v>
      </c>
      <c r="AI616" s="134"/>
      <c r="AJ616" s="134">
        <v>123025</v>
      </c>
      <c r="AK616" s="134"/>
      <c r="AL616" s="134">
        <v>30763</v>
      </c>
      <c r="AM616" s="134"/>
      <c r="AN616" s="134"/>
      <c r="AO616" s="134">
        <f>1629760+1860900+23604</f>
        <v>3514264</v>
      </c>
    </row>
    <row r="617" spans="1:41" s="123" customFormat="1" ht="16.2" thickBot="1" x14ac:dyDescent="0.35">
      <c r="A617" s="21"/>
      <c r="B617" s="212" t="s">
        <v>37</v>
      </c>
      <c r="C617" s="31" t="str">
        <f>VLOOKUP((CONCATENATE(B617)),ID!$A$2:$D$305,3,0)</f>
        <v>IC002</v>
      </c>
      <c r="D617" s="21">
        <v>1</v>
      </c>
      <c r="E617" s="21" t="s">
        <v>3876</v>
      </c>
      <c r="F617" s="21" t="s">
        <v>3812</v>
      </c>
      <c r="G617" s="21" t="s">
        <v>3853</v>
      </c>
      <c r="H617" s="88">
        <v>5295</v>
      </c>
      <c r="I617" s="43">
        <v>5369</v>
      </c>
      <c r="J617" s="43">
        <v>5352</v>
      </c>
      <c r="K617" s="21">
        <v>1</v>
      </c>
      <c r="L617" s="43">
        <v>5366</v>
      </c>
      <c r="M617" s="43">
        <v>5386</v>
      </c>
      <c r="N617" s="43">
        <v>5387</v>
      </c>
      <c r="O617" s="21" t="s">
        <v>3879</v>
      </c>
      <c r="P617" s="194" t="str">
        <f t="shared" si="119"/>
        <v>1</v>
      </c>
      <c r="Q617" s="21">
        <v>1</v>
      </c>
      <c r="R617" s="39" t="str">
        <f t="shared" si="120"/>
        <v>-</v>
      </c>
      <c r="S617" s="120">
        <f t="shared" si="121"/>
        <v>3765411</v>
      </c>
      <c r="T617" s="123">
        <v>4950340</v>
      </c>
      <c r="U617" s="123">
        <f>T617-39172-224515-8238-748803</f>
        <v>3929612</v>
      </c>
      <c r="V617" s="123">
        <f t="shared" si="110"/>
        <v>1020728</v>
      </c>
      <c r="W617" s="122" t="str">
        <f t="shared" si="117"/>
        <v>1</v>
      </c>
      <c r="X617" s="123">
        <f>Y617+13245+185039+11802+312243</f>
        <v>1184929</v>
      </c>
      <c r="Y617" s="123">
        <f t="shared" si="122"/>
        <v>662600</v>
      </c>
      <c r="Z617" s="123">
        <f t="shared" si="118"/>
        <v>522329</v>
      </c>
      <c r="AA617" s="122" t="str">
        <f t="shared" si="107"/>
        <v>1</v>
      </c>
      <c r="AB617" s="120">
        <f t="shared" si="123"/>
        <v>662600</v>
      </c>
      <c r="AC617" s="123">
        <v>0</v>
      </c>
      <c r="AD617" s="123">
        <v>662600</v>
      </c>
      <c r="AG617" s="151">
        <f t="shared" si="116"/>
        <v>218517</v>
      </c>
      <c r="AH617" s="134">
        <f>383502-137038</f>
        <v>246464</v>
      </c>
      <c r="AI617" s="134"/>
      <c r="AJ617" s="134">
        <v>120208</v>
      </c>
      <c r="AK617" s="134"/>
      <c r="AL617" s="134">
        <v>27947</v>
      </c>
      <c r="AM617" s="134"/>
      <c r="AN617" s="134"/>
      <c r="AO617" s="134">
        <f>1629760+1860900+23604</f>
        <v>3514264</v>
      </c>
    </row>
    <row r="618" spans="1:41" s="123" customFormat="1" ht="16.2" thickBot="1" x14ac:dyDescent="0.35">
      <c r="A618" s="21"/>
      <c r="B618" s="212" t="s">
        <v>63</v>
      </c>
      <c r="C618" s="31" t="str">
        <f>VLOOKUP((CONCATENATE(B618)),ID!$A$2:$D$305,3,0)</f>
        <v>IC003</v>
      </c>
      <c r="D618" s="21">
        <v>1</v>
      </c>
      <c r="E618" s="21" t="s">
        <v>3876</v>
      </c>
      <c r="F618" s="21" t="s">
        <v>3880</v>
      </c>
      <c r="G618" s="21" t="s">
        <v>3853</v>
      </c>
      <c r="H618" s="88">
        <v>3653</v>
      </c>
      <c r="I618" s="43">
        <v>3782</v>
      </c>
      <c r="J618" s="43">
        <v>3721</v>
      </c>
      <c r="K618" s="21">
        <v>1</v>
      </c>
      <c r="L618" s="43">
        <v>3717</v>
      </c>
      <c r="M618" s="43">
        <v>3735</v>
      </c>
      <c r="N618" s="43">
        <v>3735</v>
      </c>
      <c r="O618" s="21" t="s">
        <v>3879</v>
      </c>
      <c r="P618" s="194">
        <v>1</v>
      </c>
      <c r="Q618" s="21">
        <v>1</v>
      </c>
      <c r="R618" s="39" t="str">
        <f t="shared" si="120"/>
        <v>-</v>
      </c>
      <c r="S618" s="120">
        <f t="shared" si="121"/>
        <v>2372895</v>
      </c>
      <c r="T618" s="123">
        <v>4834682</v>
      </c>
      <c r="U618" s="123">
        <f>T618-577557-474503-84555</f>
        <v>3698067</v>
      </c>
      <c r="V618" s="123">
        <f t="shared" si="110"/>
        <v>1136615</v>
      </c>
      <c r="W618" s="122" t="str">
        <f t="shared" si="117"/>
        <v>1</v>
      </c>
      <c r="X618" s="123">
        <f>Y618+733276+28011</f>
        <v>2461787</v>
      </c>
      <c r="Y618" s="123">
        <f t="shared" si="122"/>
        <v>1700500</v>
      </c>
      <c r="Z618" s="123">
        <f t="shared" si="118"/>
        <v>761287</v>
      </c>
      <c r="AA618" s="122" t="str">
        <f t="shared" si="107"/>
        <v>1</v>
      </c>
      <c r="AB618" s="120">
        <f t="shared" si="123"/>
        <v>1700500</v>
      </c>
      <c r="AC618" s="123">
        <v>0</v>
      </c>
      <c r="AD618" s="123">
        <f>1728511-28011</f>
        <v>1700500</v>
      </c>
      <c r="AG618" s="151">
        <f t="shared" si="116"/>
        <v>50714</v>
      </c>
      <c r="AH618" s="134">
        <v>128739</v>
      </c>
      <c r="AI618" s="134"/>
      <c r="AJ618" s="134"/>
      <c r="AK618" s="134"/>
      <c r="AL618" s="134">
        <v>78025</v>
      </c>
      <c r="AM618" s="134"/>
      <c r="AN618" s="134"/>
      <c r="AO618" s="134">
        <f>229534+245045</f>
        <v>474579</v>
      </c>
    </row>
    <row r="619" spans="1:41" s="123" customFormat="1" ht="16.2" thickBot="1" x14ac:dyDescent="0.35">
      <c r="A619" s="21">
        <v>94.1</v>
      </c>
      <c r="B619" s="212" t="s">
        <v>63</v>
      </c>
      <c r="C619" s="31" t="str">
        <f>VLOOKUP((CONCATENATE(B619)),ID!$A$2:$D$305,3,0)</f>
        <v>IC003</v>
      </c>
      <c r="D619" s="21">
        <v>1</v>
      </c>
      <c r="E619" s="21" t="s">
        <v>3876</v>
      </c>
      <c r="F619" s="21" t="s">
        <v>3880</v>
      </c>
      <c r="G619" s="21" t="s">
        <v>3853</v>
      </c>
      <c r="H619" s="88">
        <v>4018</v>
      </c>
      <c r="I619" s="43">
        <v>4095</v>
      </c>
      <c r="J619" s="43">
        <v>4092</v>
      </c>
      <c r="K619" s="21">
        <v>1</v>
      </c>
      <c r="L619" s="43">
        <v>4088</v>
      </c>
      <c r="M619" s="43">
        <v>4108</v>
      </c>
      <c r="N619" s="43">
        <v>4106</v>
      </c>
      <c r="O619" s="21" t="s">
        <v>3879</v>
      </c>
      <c r="P619" s="194">
        <v>1</v>
      </c>
      <c r="Q619" s="21">
        <v>1</v>
      </c>
      <c r="R619" s="39" t="str">
        <f t="shared" si="120"/>
        <v>-</v>
      </c>
      <c r="S619" s="120">
        <f t="shared" si="121"/>
        <v>2468825</v>
      </c>
      <c r="T619" s="123">
        <v>4572792</v>
      </c>
      <c r="U619" s="123">
        <f>T619-12940-373760-662684</f>
        <v>3523408</v>
      </c>
      <c r="V619" s="123">
        <f t="shared" si="110"/>
        <v>1049384</v>
      </c>
      <c r="W619" s="122" t="str">
        <f t="shared" si="117"/>
        <v>1</v>
      </c>
      <c r="X619" s="123">
        <f>1728549+375418</f>
        <v>2103967</v>
      </c>
      <c r="Y619" s="123">
        <f t="shared" si="122"/>
        <v>1700500</v>
      </c>
      <c r="Z619" s="123">
        <f t="shared" si="118"/>
        <v>403467</v>
      </c>
      <c r="AA619" s="122" t="str">
        <f t="shared" si="107"/>
        <v>1</v>
      </c>
      <c r="AB619" s="120">
        <f t="shared" si="123"/>
        <v>1700500</v>
      </c>
      <c r="AC619" s="123">
        <v>0</v>
      </c>
      <c r="AD619" s="123">
        <f>1728549-28049</f>
        <v>1700500</v>
      </c>
      <c r="AG619" s="151">
        <f t="shared" si="116"/>
        <v>218835</v>
      </c>
      <c r="AH619" s="134">
        <v>218835</v>
      </c>
      <c r="AI619" s="134"/>
      <c r="AJ619" s="134"/>
      <c r="AK619" s="134"/>
      <c r="AL619" s="134"/>
      <c r="AM619" s="134"/>
      <c r="AN619" s="134"/>
      <c r="AO619" s="134">
        <f>229534+245045</f>
        <v>474579</v>
      </c>
    </row>
    <row r="620" spans="1:41" s="123" customFormat="1" ht="16.2" thickBot="1" x14ac:dyDescent="0.35">
      <c r="A620" s="21">
        <v>94.2</v>
      </c>
      <c r="B620" s="212" t="s">
        <v>63</v>
      </c>
      <c r="C620" s="31" t="str">
        <f>VLOOKUP((CONCATENATE(B620)),ID!$A$2:$D$305,3,0)</f>
        <v>IC003</v>
      </c>
      <c r="D620" s="21">
        <v>1</v>
      </c>
      <c r="E620" s="21" t="s">
        <v>3876</v>
      </c>
      <c r="F620" s="21" t="s">
        <v>3880</v>
      </c>
      <c r="G620" s="21" t="s">
        <v>3853</v>
      </c>
      <c r="H620" s="88">
        <v>4383</v>
      </c>
      <c r="I620" s="43">
        <v>4459</v>
      </c>
      <c r="J620" s="43">
        <v>4456</v>
      </c>
      <c r="K620" s="21">
        <v>1</v>
      </c>
      <c r="L620" s="43">
        <v>4465</v>
      </c>
      <c r="M620" s="43">
        <v>4479</v>
      </c>
      <c r="N620" s="43">
        <v>4470</v>
      </c>
      <c r="O620" s="21" t="s">
        <v>3879</v>
      </c>
      <c r="P620" s="194" t="str">
        <f t="shared" si="119"/>
        <v>1</v>
      </c>
      <c r="Q620" s="21">
        <v>1</v>
      </c>
      <c r="R620" s="39" t="str">
        <f t="shared" si="120"/>
        <v>-</v>
      </c>
      <c r="S620" s="120">
        <f t="shared" si="121"/>
        <v>2469925</v>
      </c>
      <c r="T620" s="123">
        <v>4727677</v>
      </c>
      <c r="U620" s="123">
        <f>T620-19977-355352-792665</f>
        <v>3559683</v>
      </c>
      <c r="V620" s="123">
        <f t="shared" si="110"/>
        <v>1167994</v>
      </c>
      <c r="W620" s="122" t="str">
        <f t="shared" si="117"/>
        <v>1</v>
      </c>
      <c r="X620" s="123">
        <f>1728519+529233</f>
        <v>2257752</v>
      </c>
      <c r="Y620" s="123">
        <f t="shared" si="122"/>
        <v>1700500</v>
      </c>
      <c r="Z620" s="123">
        <f t="shared" si="118"/>
        <v>557252</v>
      </c>
      <c r="AA620" s="122" t="str">
        <f t="shared" si="107"/>
        <v>1</v>
      </c>
      <c r="AB620" s="120">
        <f t="shared" si="123"/>
        <v>1700500</v>
      </c>
      <c r="AC620" s="123">
        <v>0</v>
      </c>
      <c r="AD620" s="123">
        <f>1728549-28049</f>
        <v>1700500</v>
      </c>
      <c r="AG620" s="151">
        <f t="shared" si="116"/>
        <v>120961</v>
      </c>
      <c r="AH620" s="134">
        <v>120961</v>
      </c>
      <c r="AI620" s="134"/>
      <c r="AJ620" s="134">
        <v>30630</v>
      </c>
      <c r="AK620" s="134"/>
      <c r="AL620" s="134"/>
      <c r="AM620" s="134"/>
      <c r="AN620" s="134"/>
      <c r="AO620" s="134">
        <f>229534+245045</f>
        <v>474579</v>
      </c>
    </row>
    <row r="621" spans="1:41" s="123" customFormat="1" ht="16.2" thickBot="1" x14ac:dyDescent="0.35">
      <c r="A621" s="21"/>
      <c r="B621" s="212" t="s">
        <v>63</v>
      </c>
      <c r="C621" s="31" t="str">
        <f>VLOOKUP((CONCATENATE(B621)),ID!$A$2:$D$305,3,0)</f>
        <v>IC003</v>
      </c>
      <c r="D621" s="21">
        <v>1</v>
      </c>
      <c r="E621" s="21" t="s">
        <v>3876</v>
      </c>
      <c r="F621" s="21" t="s">
        <v>3880</v>
      </c>
      <c r="G621" s="21" t="s">
        <v>3853</v>
      </c>
      <c r="H621" s="88">
        <v>4749</v>
      </c>
      <c r="I621" s="43">
        <v>4831</v>
      </c>
      <c r="J621" s="43">
        <v>4827</v>
      </c>
      <c r="K621" s="21">
        <v>1</v>
      </c>
      <c r="L621" s="43">
        <v>4830</v>
      </c>
      <c r="M621" s="43">
        <v>4844</v>
      </c>
      <c r="N621" s="43">
        <v>4841</v>
      </c>
      <c r="O621" s="21" t="s">
        <v>3879</v>
      </c>
      <c r="P621" s="194">
        <v>1</v>
      </c>
      <c r="Q621" s="21">
        <v>1</v>
      </c>
      <c r="R621" s="39" t="str">
        <f t="shared" si="120"/>
        <v>-</v>
      </c>
      <c r="S621" s="120">
        <f t="shared" si="121"/>
        <v>2550952</v>
      </c>
      <c r="T621" s="123">
        <v>4930311</v>
      </c>
      <c r="U621" s="123">
        <f>T621-22609-578047-859493</f>
        <v>3470162</v>
      </c>
      <c r="V621" s="123">
        <f t="shared" si="110"/>
        <v>1460149</v>
      </c>
      <c r="W621" s="122" t="str">
        <f t="shared" si="117"/>
        <v>1</v>
      </c>
      <c r="X621" s="123">
        <f>Y621+28090+650769</f>
        <v>2379359</v>
      </c>
      <c r="Y621" s="123">
        <f t="shared" si="122"/>
        <v>1700500</v>
      </c>
      <c r="Z621" s="123">
        <f t="shared" si="118"/>
        <v>678859</v>
      </c>
      <c r="AA621" s="122" t="str">
        <f t="shared" si="107"/>
        <v>1</v>
      </c>
      <c r="AB621" s="120">
        <f t="shared" si="123"/>
        <v>1700500</v>
      </c>
      <c r="AC621" s="123">
        <v>0</v>
      </c>
      <c r="AD621" s="123">
        <f>1728549-28049</f>
        <v>1700500</v>
      </c>
      <c r="AG621" s="151">
        <f t="shared" si="116"/>
        <v>144988</v>
      </c>
      <c r="AH621" s="134">
        <v>144988</v>
      </c>
      <c r="AI621" s="134"/>
      <c r="AJ621" s="134"/>
      <c r="AK621" s="134"/>
      <c r="AL621" s="134"/>
      <c r="AM621" s="134"/>
      <c r="AN621" s="134"/>
      <c r="AO621" s="134">
        <f>229534+245045</f>
        <v>474579</v>
      </c>
    </row>
    <row r="622" spans="1:41" s="123" customFormat="1" ht="16.2" thickBot="1" x14ac:dyDescent="0.35">
      <c r="A622" s="21"/>
      <c r="B622" s="212" t="s">
        <v>63</v>
      </c>
      <c r="C622" s="31" t="str">
        <f>VLOOKUP((CONCATENATE(B622)),ID!$A$2:$D$305,3,0)</f>
        <v>IC003</v>
      </c>
      <c r="D622" s="21">
        <v>1</v>
      </c>
      <c r="E622" s="21" t="s">
        <v>3876</v>
      </c>
      <c r="F622" s="21" t="s">
        <v>3880</v>
      </c>
      <c r="G622" s="21" t="s">
        <v>3853</v>
      </c>
      <c r="H622" s="88">
        <v>5114</v>
      </c>
      <c r="I622" s="43">
        <v>5193</v>
      </c>
      <c r="J622" s="43">
        <v>5192</v>
      </c>
      <c r="K622" s="21">
        <v>1</v>
      </c>
      <c r="L622" s="43">
        <v>5196</v>
      </c>
      <c r="M622" s="43">
        <v>5210</v>
      </c>
      <c r="N622" s="43">
        <v>5205</v>
      </c>
      <c r="O622" s="21" t="s">
        <v>3879</v>
      </c>
      <c r="P622" s="194" t="str">
        <f t="shared" si="119"/>
        <v>1</v>
      </c>
      <c r="Q622" s="21">
        <v>1</v>
      </c>
      <c r="R622" s="39" t="str">
        <f t="shared" si="120"/>
        <v>-</v>
      </c>
      <c r="S622" s="120">
        <f t="shared" si="121"/>
        <v>2597316</v>
      </c>
      <c r="T622" s="123">
        <v>4931970</v>
      </c>
      <c r="U622" s="123">
        <f>T622-26229-578593-827608</f>
        <v>3499540</v>
      </c>
      <c r="V622" s="123">
        <f t="shared" si="110"/>
        <v>1432430</v>
      </c>
      <c r="W622" s="122" t="str">
        <f t="shared" si="117"/>
        <v>1</v>
      </c>
      <c r="X622" s="123">
        <f>Y622+634154</f>
        <v>2334654</v>
      </c>
      <c r="Y622" s="123">
        <f t="shared" si="122"/>
        <v>1700500</v>
      </c>
      <c r="Z622" s="123">
        <f t="shared" si="118"/>
        <v>634154</v>
      </c>
      <c r="AA622" s="122" t="str">
        <f t="shared" si="107"/>
        <v>1</v>
      </c>
      <c r="AB622" s="120">
        <f t="shared" si="123"/>
        <v>1700500</v>
      </c>
      <c r="AC622" s="123">
        <v>0</v>
      </c>
      <c r="AD622" s="123">
        <f>1728549-28049</f>
        <v>1700500</v>
      </c>
      <c r="AG622" s="151">
        <f t="shared" si="116"/>
        <v>174126</v>
      </c>
      <c r="AH622" s="134">
        <v>174126</v>
      </c>
      <c r="AI622" s="134"/>
      <c r="AJ622" s="134">
        <v>30630</v>
      </c>
      <c r="AK622" s="134"/>
      <c r="AL622" s="134"/>
      <c r="AM622" s="134"/>
      <c r="AN622" s="134"/>
      <c r="AO622" s="134">
        <f>229534+245045</f>
        <v>474579</v>
      </c>
    </row>
    <row r="623" spans="1:41" s="123" customFormat="1" ht="16.2" thickBot="1" x14ac:dyDescent="0.35">
      <c r="A623" s="21"/>
      <c r="B623" s="212" t="s">
        <v>69</v>
      </c>
      <c r="C623" s="31" t="str">
        <f>VLOOKUP((CONCATENATE(B623)),ID!$A$2:$D$305,3,0)</f>
        <v>IC004</v>
      </c>
      <c r="D623" s="21">
        <v>1</v>
      </c>
      <c r="E623" s="21" t="s">
        <v>3876</v>
      </c>
      <c r="F623" s="21" t="s">
        <v>3881</v>
      </c>
      <c r="G623" s="21" t="s">
        <v>3853</v>
      </c>
      <c r="H623" s="88">
        <v>3926</v>
      </c>
      <c r="I623" s="43">
        <v>3975</v>
      </c>
      <c r="J623" s="43">
        <v>3973</v>
      </c>
      <c r="K623" s="21">
        <v>0</v>
      </c>
      <c r="L623" s="43"/>
      <c r="M623" s="43"/>
      <c r="N623" s="43">
        <v>3986</v>
      </c>
      <c r="O623" s="21" t="s">
        <v>3882</v>
      </c>
      <c r="P623" s="194">
        <v>0</v>
      </c>
      <c r="Q623" s="21">
        <v>1</v>
      </c>
      <c r="R623" s="39" t="str">
        <f t="shared" si="120"/>
        <v>-</v>
      </c>
      <c r="S623" s="120">
        <f t="shared" si="121"/>
        <v>1000002</v>
      </c>
      <c r="T623" s="123">
        <v>2152187</v>
      </c>
      <c r="U623" s="123">
        <f>T623-807-824-62556-203321</f>
        <v>1884679</v>
      </c>
      <c r="V623" s="123">
        <f t="shared" si="110"/>
        <v>267508</v>
      </c>
      <c r="W623" s="122" t="str">
        <f t="shared" si="117"/>
        <v>1</v>
      </c>
      <c r="X623" s="123">
        <f>4638+7362+98262+132223+Y623</f>
        <v>1152185</v>
      </c>
      <c r="Y623" s="123">
        <f>413200+496500</f>
        <v>909700</v>
      </c>
      <c r="Z623" s="123">
        <f t="shared" si="118"/>
        <v>242485</v>
      </c>
      <c r="AA623" s="122" t="str">
        <f t="shared" si="107"/>
        <v>1</v>
      </c>
      <c r="AB623" s="120">
        <f t="shared" si="123"/>
        <v>921700</v>
      </c>
      <c r="AC623" s="123">
        <v>0</v>
      </c>
      <c r="AD623" s="123">
        <f>503862+417838</f>
        <v>921700</v>
      </c>
      <c r="AE623" s="123">
        <v>692</v>
      </c>
      <c r="AG623" s="151">
        <f t="shared" si="116"/>
        <v>23624</v>
      </c>
      <c r="AH623" s="134">
        <f>87806-2375-300-5000</f>
        <v>80131</v>
      </c>
      <c r="AI623" s="134"/>
      <c r="AJ623" s="134"/>
      <c r="AK623" s="134"/>
      <c r="AL623" s="134">
        <f>48154+8353</f>
        <v>56507</v>
      </c>
      <c r="AM623" s="134"/>
      <c r="AN623" s="134"/>
      <c r="AO623" s="134">
        <v>1000000</v>
      </c>
    </row>
    <row r="624" spans="1:41" s="123" customFormat="1" ht="16.2" thickBot="1" x14ac:dyDescent="0.35">
      <c r="A624" s="21">
        <v>95.1</v>
      </c>
      <c r="B624" s="212" t="s">
        <v>69</v>
      </c>
      <c r="C624" s="31" t="str">
        <f>VLOOKUP((CONCATENATE(B624)),ID!$A$2:$D$305,3,0)</f>
        <v>IC004</v>
      </c>
      <c r="D624" s="21">
        <v>1</v>
      </c>
      <c r="E624" s="21" t="s">
        <v>3876</v>
      </c>
      <c r="F624" s="21" t="s">
        <v>3881</v>
      </c>
      <c r="G624" s="21" t="s">
        <v>3853</v>
      </c>
      <c r="H624" s="88">
        <v>4291</v>
      </c>
      <c r="I624" s="43">
        <v>4340</v>
      </c>
      <c r="J624" s="43">
        <v>4338</v>
      </c>
      <c r="K624" s="21">
        <v>0</v>
      </c>
      <c r="L624" s="21"/>
      <c r="M624" s="21"/>
      <c r="N624" s="43">
        <v>4351</v>
      </c>
      <c r="O624" s="21" t="s">
        <v>3882</v>
      </c>
      <c r="P624" s="194">
        <v>0</v>
      </c>
      <c r="Q624" s="21">
        <v>1</v>
      </c>
      <c r="R624" s="39" t="str">
        <f t="shared" si="120"/>
        <v>-</v>
      </c>
      <c r="S624" s="120">
        <f t="shared" si="121"/>
        <v>1032574</v>
      </c>
      <c r="T624" s="123">
        <v>2128617</v>
      </c>
      <c r="U624" s="123">
        <f>T624-691-71810-181916</f>
        <v>1874200</v>
      </c>
      <c r="V624" s="123">
        <f t="shared" si="110"/>
        <v>254417</v>
      </c>
      <c r="W624" s="122" t="str">
        <f t="shared" si="117"/>
        <v>1</v>
      </c>
      <c r="X624" s="123">
        <f>Y624+4453+7447+75368+116375</f>
        <v>1096043</v>
      </c>
      <c r="Y624" s="123">
        <v>892400</v>
      </c>
      <c r="Z624" s="123">
        <f t="shared" si="118"/>
        <v>203643</v>
      </c>
      <c r="AA624" s="122" t="str">
        <f t="shared" si="107"/>
        <v>1</v>
      </c>
      <c r="AB624" s="120">
        <f t="shared" si="123"/>
        <v>904300</v>
      </c>
      <c r="AC624" s="123">
        <v>0</v>
      </c>
      <c r="AD624" s="123">
        <f>400353+503947</f>
        <v>904300</v>
      </c>
      <c r="AE624" s="123">
        <v>584</v>
      </c>
      <c r="AG624" s="151">
        <f t="shared" si="116"/>
        <v>41222</v>
      </c>
      <c r="AH624" s="123">
        <f>100348-2500-300-531-3223</f>
        <v>93794</v>
      </c>
      <c r="AL624" s="123">
        <f>47972+4600</f>
        <v>52572</v>
      </c>
      <c r="AO624" s="134">
        <v>1000000</v>
      </c>
    </row>
    <row r="625" spans="1:41" s="123" customFormat="1" ht="16.2" thickBot="1" x14ac:dyDescent="0.35">
      <c r="A625" s="21">
        <v>95.2</v>
      </c>
      <c r="B625" s="212" t="s">
        <v>69</v>
      </c>
      <c r="C625" s="31" t="str">
        <f>VLOOKUP((CONCATENATE(B625)),ID!$A$2:$D$305,3,0)</f>
        <v>IC004</v>
      </c>
      <c r="D625" s="21">
        <v>1</v>
      </c>
      <c r="E625" s="21" t="s">
        <v>3876</v>
      </c>
      <c r="F625" s="21" t="s">
        <v>3881</v>
      </c>
      <c r="G625" s="21" t="s">
        <v>3853</v>
      </c>
      <c r="H625" s="88">
        <v>4657</v>
      </c>
      <c r="I625" s="43">
        <v>4706</v>
      </c>
      <c r="J625" s="43">
        <v>4696</v>
      </c>
      <c r="K625" s="21">
        <v>0</v>
      </c>
      <c r="L625" s="21"/>
      <c r="M625" s="21"/>
      <c r="N625" s="43">
        <v>4715</v>
      </c>
      <c r="O625" s="21" t="s">
        <v>3882</v>
      </c>
      <c r="P625" s="194">
        <v>0</v>
      </c>
      <c r="Q625" s="21">
        <v>1</v>
      </c>
      <c r="R625" s="39" t="str">
        <f t="shared" si="120"/>
        <v>-</v>
      </c>
      <c r="S625" s="120">
        <f t="shared" si="121"/>
        <v>1054068</v>
      </c>
      <c r="T625" s="123">
        <v>2045844</v>
      </c>
      <c r="U625" s="123">
        <f>T625-19460-88139-145569</f>
        <v>1792676</v>
      </c>
      <c r="V625" s="123">
        <f t="shared" si="110"/>
        <v>253168</v>
      </c>
      <c r="W625" s="122" t="str">
        <f t="shared" si="117"/>
        <v>1</v>
      </c>
      <c r="X625" s="123">
        <f>Y625+4260+7447+88884+15985</f>
        <v>991776</v>
      </c>
      <c r="Y625" s="123">
        <v>875200</v>
      </c>
      <c r="Z625" s="123">
        <f t="shared" si="118"/>
        <v>116576</v>
      </c>
      <c r="AA625" s="122" t="str">
        <f t="shared" si="107"/>
        <v>1</v>
      </c>
      <c r="AB625" s="120">
        <f t="shared" si="123"/>
        <v>886907</v>
      </c>
      <c r="AC625" s="123">
        <v>0</v>
      </c>
      <c r="AD625" s="123">
        <f>382960+503947</f>
        <v>886907</v>
      </c>
      <c r="AE625" s="123">
        <v>891</v>
      </c>
      <c r="AG625" s="151">
        <f t="shared" si="116"/>
        <v>51492</v>
      </c>
      <c r="AH625" s="123">
        <f>102872-2800</f>
        <v>100072</v>
      </c>
      <c r="AL625" s="123">
        <v>48580</v>
      </c>
      <c r="AO625" s="134">
        <v>1000000</v>
      </c>
    </row>
    <row r="626" spans="1:41" s="123" customFormat="1" ht="16.2" thickBot="1" x14ac:dyDescent="0.35">
      <c r="A626" s="21"/>
      <c r="B626" s="212" t="s">
        <v>69</v>
      </c>
      <c r="C626" s="31" t="str">
        <f>VLOOKUP((CONCATENATE(B626)),ID!$A$2:$D$305,3,0)</f>
        <v>IC004</v>
      </c>
      <c r="D626" s="21">
        <v>1</v>
      </c>
      <c r="E626" s="21" t="s">
        <v>3876</v>
      </c>
      <c r="F626" s="21" t="s">
        <v>3881</v>
      </c>
      <c r="G626" s="21" t="s">
        <v>3853</v>
      </c>
      <c r="H626" s="88">
        <v>5022</v>
      </c>
      <c r="I626" s="43">
        <v>5066</v>
      </c>
      <c r="J626" s="43">
        <v>5061</v>
      </c>
      <c r="K626" s="21">
        <v>0</v>
      </c>
      <c r="L626" s="21"/>
      <c r="M626" s="21"/>
      <c r="N626" s="43">
        <v>5079</v>
      </c>
      <c r="O626" s="21" t="s">
        <v>3882</v>
      </c>
      <c r="P626" s="194">
        <v>0</v>
      </c>
      <c r="Q626" s="21">
        <v>1</v>
      </c>
      <c r="R626" s="39" t="str">
        <f t="shared" si="120"/>
        <v>-</v>
      </c>
      <c r="S626" s="120">
        <f t="shared" si="121"/>
        <v>1082234</v>
      </c>
      <c r="T626" s="123">
        <v>2061641</v>
      </c>
      <c r="U626" s="123">
        <f>T626-1462-130-101121-169170-37</f>
        <v>1789721</v>
      </c>
      <c r="V626" s="123">
        <f t="shared" si="110"/>
        <v>271920</v>
      </c>
      <c r="W626" s="122" t="str">
        <f t="shared" si="117"/>
        <v>1</v>
      </c>
      <c r="X626" s="123">
        <f>Y626+4135+7447+88650+15075</f>
        <v>979407</v>
      </c>
      <c r="Y626" s="123">
        <v>864100</v>
      </c>
      <c r="Z626" s="123">
        <f t="shared" si="118"/>
        <v>115307</v>
      </c>
      <c r="AA626" s="122" t="str">
        <f t="shared" si="107"/>
        <v>1</v>
      </c>
      <c r="AB626" s="120">
        <f t="shared" si="123"/>
        <v>875682</v>
      </c>
      <c r="AC626" s="123">
        <v>0</v>
      </c>
      <c r="AD626" s="123">
        <f>503947+371735</f>
        <v>875682</v>
      </c>
      <c r="AE626" s="123">
        <v>928</v>
      </c>
      <c r="AG626" s="151">
        <f t="shared" si="116"/>
        <v>78167</v>
      </c>
      <c r="AH626" s="123">
        <v>124218</v>
      </c>
      <c r="AL626" s="123">
        <v>46051</v>
      </c>
      <c r="AO626" s="134">
        <v>1000000</v>
      </c>
    </row>
    <row r="627" spans="1:41" s="123" customFormat="1" ht="16.2" thickBot="1" x14ac:dyDescent="0.35">
      <c r="A627" s="21"/>
      <c r="B627" s="212" t="s">
        <v>69</v>
      </c>
      <c r="C627" s="31" t="str">
        <f>VLOOKUP((CONCATENATE(B627)),ID!$A$2:$D$305,3,0)</f>
        <v>IC004</v>
      </c>
      <c r="D627" s="21">
        <v>1</v>
      </c>
      <c r="E627" s="21" t="s">
        <v>3876</v>
      </c>
      <c r="F627" s="21" t="s">
        <v>3881</v>
      </c>
      <c r="G627" s="21" t="s">
        <v>3853</v>
      </c>
      <c r="H627" s="88">
        <v>5387</v>
      </c>
      <c r="I627" s="43">
        <v>5446</v>
      </c>
      <c r="J627" s="43">
        <v>5427</v>
      </c>
      <c r="K627" s="21">
        <v>0</v>
      </c>
      <c r="L627" s="21"/>
      <c r="M627" s="21"/>
      <c r="N627" s="43">
        <v>5471</v>
      </c>
      <c r="O627" s="21" t="s">
        <v>3882</v>
      </c>
      <c r="P627" s="194">
        <v>0</v>
      </c>
      <c r="Q627" s="21">
        <v>1</v>
      </c>
      <c r="R627" s="39" t="str">
        <f t="shared" si="120"/>
        <v>-</v>
      </c>
      <c r="S627" s="120">
        <f t="shared" si="121"/>
        <v>1107153</v>
      </c>
      <c r="T627" s="123">
        <v>2067133</v>
      </c>
      <c r="U627" s="123">
        <f>T627-14693-663-86961-192308-37</f>
        <v>1772471</v>
      </c>
      <c r="V627" s="123">
        <f t="shared" si="110"/>
        <v>294662</v>
      </c>
      <c r="W627" s="122" t="str">
        <f t="shared" si="117"/>
        <v>1</v>
      </c>
      <c r="X627" s="123">
        <f>Y627+3975+7447+85451+13207</f>
        <v>959980</v>
      </c>
      <c r="Y627" s="123">
        <v>849900</v>
      </c>
      <c r="Z627" s="123">
        <f t="shared" si="118"/>
        <v>110080</v>
      </c>
      <c r="AA627" s="122" t="str">
        <f t="shared" si="107"/>
        <v>1</v>
      </c>
      <c r="AB627" s="120">
        <f t="shared" si="123"/>
        <v>861322</v>
      </c>
      <c r="AC627" s="123">
        <v>0</v>
      </c>
      <c r="AD627" s="123">
        <f>503947+357375</f>
        <v>861322</v>
      </c>
      <c r="AE627" s="123">
        <v>943</v>
      </c>
      <c r="AG627" s="151">
        <f t="shared" si="116"/>
        <v>84919</v>
      </c>
      <c r="AH627" s="123">
        <v>131142</v>
      </c>
      <c r="AL627" s="123">
        <v>46223</v>
      </c>
      <c r="AO627" s="134">
        <v>1000000</v>
      </c>
    </row>
    <row r="628" spans="1:41" s="123" customFormat="1" ht="16.2" thickBot="1" x14ac:dyDescent="0.35">
      <c r="A628" s="21"/>
      <c r="B628" s="212" t="s">
        <v>87</v>
      </c>
      <c r="C628" s="31" t="str">
        <f>VLOOKUP((CONCATENATE(B628)),ID!$A$2:$D$305,3,0)</f>
        <v>IC005</v>
      </c>
      <c r="D628" s="21">
        <v>1</v>
      </c>
      <c r="E628" s="21" t="s">
        <v>3876</v>
      </c>
      <c r="F628" s="21" t="s">
        <v>3878</v>
      </c>
      <c r="G628" s="21" t="s">
        <v>3853</v>
      </c>
      <c r="H628" s="88">
        <v>3834</v>
      </c>
      <c r="I628" s="43">
        <v>3863</v>
      </c>
      <c r="J628" s="43">
        <v>3861</v>
      </c>
      <c r="K628" s="21">
        <v>1</v>
      </c>
      <c r="L628" s="43">
        <v>3857</v>
      </c>
      <c r="M628" s="43">
        <v>3871</v>
      </c>
      <c r="N628" s="43">
        <v>3871</v>
      </c>
      <c r="O628" s="21" t="s">
        <v>3883</v>
      </c>
      <c r="P628" s="194" t="str">
        <f t="shared" si="119"/>
        <v>1</v>
      </c>
      <c r="Q628" s="21">
        <v>1</v>
      </c>
      <c r="R628" s="39" t="str">
        <f t="shared" si="120"/>
        <v>-</v>
      </c>
      <c r="S628" s="120">
        <f t="shared" si="121"/>
        <v>1941092</v>
      </c>
      <c r="T628" s="123">
        <v>2109771</v>
      </c>
      <c r="U628" s="123">
        <f>1116477+224640+6323+374127</f>
        <v>1721567</v>
      </c>
      <c r="V628" s="123">
        <f t="shared" si="110"/>
        <v>388204</v>
      </c>
      <c r="W628" s="122" t="str">
        <f t="shared" si="117"/>
        <v>1</v>
      </c>
      <c r="X628" s="123">
        <f>145561+13118+10000</f>
        <v>168679</v>
      </c>
      <c r="Z628" s="123">
        <f t="shared" si="118"/>
        <v>168679</v>
      </c>
      <c r="AA628" s="122" t="str">
        <f t="shared" si="107"/>
        <v>1</v>
      </c>
      <c r="AB628" s="120">
        <f t="shared" si="123"/>
        <v>0</v>
      </c>
      <c r="AC628" s="123">
        <v>0</v>
      </c>
      <c r="AD628" s="123">
        <v>0</v>
      </c>
      <c r="AE628" s="123">
        <f>151047+1067</f>
        <v>152114</v>
      </c>
      <c r="AG628" s="151">
        <f t="shared" si="116"/>
        <v>221327</v>
      </c>
      <c r="AH628" s="123">
        <f>243930-351</f>
        <v>243579</v>
      </c>
      <c r="AI628" s="123">
        <v>22252</v>
      </c>
      <c r="AJ628" s="123">
        <v>45000</v>
      </c>
      <c r="AO628" s="123">
        <v>200000</v>
      </c>
    </row>
    <row r="629" spans="1:41" s="123" customFormat="1" ht="16.2" thickBot="1" x14ac:dyDescent="0.35">
      <c r="A629" s="21">
        <v>96.1</v>
      </c>
      <c r="B629" s="212" t="s">
        <v>87</v>
      </c>
      <c r="C629" s="31" t="str">
        <f>VLOOKUP((CONCATENATE(B629)),ID!$A$2:$D$305,3,0)</f>
        <v>IC005</v>
      </c>
      <c r="D629" s="21">
        <v>1</v>
      </c>
      <c r="E629" s="21" t="s">
        <v>3876</v>
      </c>
      <c r="F629" s="21" t="s">
        <v>3878</v>
      </c>
      <c r="G629" s="21" t="s">
        <v>3853</v>
      </c>
      <c r="H629" s="88">
        <v>4199</v>
      </c>
      <c r="I629" s="43">
        <v>4220</v>
      </c>
      <c r="J629" s="43">
        <v>4227</v>
      </c>
      <c r="K629" s="21">
        <v>1</v>
      </c>
      <c r="L629" s="43">
        <v>4221</v>
      </c>
      <c r="M629" s="43">
        <v>4235</v>
      </c>
      <c r="N629" s="43">
        <v>4235</v>
      </c>
      <c r="O629" s="21" t="s">
        <v>3883</v>
      </c>
      <c r="P629" s="194" t="str">
        <f t="shared" si="119"/>
        <v>?</v>
      </c>
      <c r="Q629" s="21">
        <v>1</v>
      </c>
      <c r="R629" s="39" t="str">
        <f t="shared" si="120"/>
        <v>-</v>
      </c>
      <c r="S629" s="175"/>
      <c r="T629" s="188"/>
      <c r="U629" s="188"/>
      <c r="V629" s="136"/>
      <c r="W629" s="176"/>
      <c r="X629" s="188"/>
      <c r="Y629" s="188"/>
      <c r="Z629" s="136"/>
      <c r="AA629" s="176"/>
      <c r="AB629" s="175"/>
      <c r="AC629" s="188"/>
      <c r="AD629" s="188"/>
      <c r="AE629" s="189"/>
      <c r="AF629" s="189"/>
      <c r="AG629" s="190"/>
      <c r="AH629" s="189"/>
      <c r="AI629" s="189"/>
      <c r="AJ629" s="189"/>
      <c r="AK629" s="189"/>
      <c r="AL629" s="189"/>
      <c r="AM629" s="189"/>
      <c r="AN629" s="189"/>
      <c r="AO629" s="189"/>
    </row>
    <row r="630" spans="1:41" s="123" customFormat="1" ht="16.2" thickBot="1" x14ac:dyDescent="0.35">
      <c r="A630" s="21">
        <v>96.2</v>
      </c>
      <c r="B630" s="212" t="s">
        <v>87</v>
      </c>
      <c r="C630" s="31" t="str">
        <f>VLOOKUP((CONCATENATE(B630)),ID!$A$2:$D$305,3,0)</f>
        <v>IC005</v>
      </c>
      <c r="D630" s="21">
        <v>1</v>
      </c>
      <c r="E630" s="21" t="s">
        <v>3876</v>
      </c>
      <c r="F630" s="21" t="s">
        <v>3878</v>
      </c>
      <c r="G630" s="21" t="s">
        <v>3853</v>
      </c>
      <c r="H630" s="88">
        <v>4565</v>
      </c>
      <c r="I630" s="43">
        <v>4591</v>
      </c>
      <c r="J630" s="43">
        <v>4588</v>
      </c>
      <c r="K630" s="21">
        <v>1</v>
      </c>
      <c r="L630" s="43">
        <v>4585</v>
      </c>
      <c r="M630" s="43">
        <v>4599</v>
      </c>
      <c r="N630" s="43">
        <v>4599</v>
      </c>
      <c r="O630" s="21" t="s">
        <v>3883</v>
      </c>
      <c r="P630" s="194" t="str">
        <f t="shared" si="119"/>
        <v>1</v>
      </c>
      <c r="Q630" s="21">
        <v>1</v>
      </c>
      <c r="R630" s="39" t="str">
        <f t="shared" si="120"/>
        <v>-</v>
      </c>
      <c r="S630" s="120">
        <f t="shared" si="121"/>
        <v>2074888</v>
      </c>
      <c r="T630" s="123">
        <v>2264458</v>
      </c>
      <c r="U630" s="123">
        <f>T630-227120-316083</f>
        <v>1721255</v>
      </c>
      <c r="V630" s="123">
        <f t="shared" si="110"/>
        <v>543203</v>
      </c>
      <c r="W630" s="122" t="str">
        <f t="shared" si="117"/>
        <v>1</v>
      </c>
      <c r="X630" s="123">
        <f>14709+174861</f>
        <v>189570</v>
      </c>
      <c r="Z630" s="123">
        <f t="shared" si="118"/>
        <v>189570</v>
      </c>
      <c r="AA630" s="122" t="str">
        <f t="shared" si="107"/>
        <v>1</v>
      </c>
      <c r="AB630" s="120">
        <f t="shared" si="123"/>
        <v>0</v>
      </c>
      <c r="AC630" s="123">
        <v>0</v>
      </c>
      <c r="AD630" s="123">
        <v>0</v>
      </c>
      <c r="AE630" s="123">
        <f>313939+793</f>
        <v>314732</v>
      </c>
      <c r="AG630" s="151">
        <f t="shared" ref="AG630:AG693" si="124">AH630-AL630-AI630</f>
        <v>427007</v>
      </c>
      <c r="AH630" s="123">
        <f>442429-23</f>
        <v>442406</v>
      </c>
      <c r="AI630" s="123">
        <v>15399</v>
      </c>
      <c r="AJ630" s="123">
        <v>95000</v>
      </c>
      <c r="AO630" s="123">
        <v>200000</v>
      </c>
    </row>
    <row r="631" spans="1:41" s="123" customFormat="1" ht="16.2" thickBot="1" x14ac:dyDescent="0.35">
      <c r="A631" s="21"/>
      <c r="B631" s="212" t="s">
        <v>87</v>
      </c>
      <c r="C631" s="31" t="str">
        <f>VLOOKUP((CONCATENATE(B631)),ID!$A$2:$D$305,3,0)</f>
        <v>IC005</v>
      </c>
      <c r="D631" s="21">
        <v>1</v>
      </c>
      <c r="E631" s="21" t="s">
        <v>3876</v>
      </c>
      <c r="F631" s="21" t="s">
        <v>3878</v>
      </c>
      <c r="G631" s="21" t="s">
        <v>3853</v>
      </c>
      <c r="H631" s="88">
        <v>4930</v>
      </c>
      <c r="I631" s="43">
        <v>4955</v>
      </c>
      <c r="J631" s="43">
        <v>4953</v>
      </c>
      <c r="K631" s="21">
        <v>1</v>
      </c>
      <c r="L631" s="43">
        <v>4957</v>
      </c>
      <c r="M631" s="43">
        <v>4963</v>
      </c>
      <c r="N631" s="43">
        <v>4963</v>
      </c>
      <c r="O631" s="21" t="s">
        <v>3883</v>
      </c>
      <c r="P631" s="194" t="str">
        <f t="shared" si="119"/>
        <v>1</v>
      </c>
      <c r="Q631" s="21">
        <v>1</v>
      </c>
      <c r="R631" s="39" t="str">
        <f t="shared" si="120"/>
        <v>-</v>
      </c>
      <c r="S631" s="120">
        <f t="shared" si="121"/>
        <v>2193534</v>
      </c>
      <c r="T631" s="123">
        <v>2389070</v>
      </c>
      <c r="U631" s="123">
        <f>T631-520553-188505</f>
        <v>1680012</v>
      </c>
      <c r="V631" s="123">
        <f t="shared" si="110"/>
        <v>709058</v>
      </c>
      <c r="W631" s="122" t="str">
        <f t="shared" si="117"/>
        <v>1</v>
      </c>
      <c r="X631" s="123">
        <f>180383+15153</f>
        <v>195536</v>
      </c>
      <c r="Z631" s="123">
        <f t="shared" si="118"/>
        <v>195536</v>
      </c>
      <c r="AA631" s="122" t="str">
        <f t="shared" si="107"/>
        <v>1</v>
      </c>
      <c r="AB631" s="120">
        <f t="shared" si="123"/>
        <v>0</v>
      </c>
      <c r="AC631" s="123">
        <v>0</v>
      </c>
      <c r="AD631" s="123">
        <v>0</v>
      </c>
      <c r="AE631" s="123">
        <f>519824+728</f>
        <v>520552</v>
      </c>
      <c r="AG631" s="151">
        <f t="shared" si="124"/>
        <v>563936</v>
      </c>
      <c r="AH631" s="123">
        <v>581998</v>
      </c>
      <c r="AI631" s="123">
        <v>18062</v>
      </c>
      <c r="AJ631" s="123">
        <v>120000</v>
      </c>
      <c r="AO631" s="123">
        <v>200000</v>
      </c>
    </row>
    <row r="632" spans="1:41" s="123" customFormat="1" ht="16.2" thickBot="1" x14ac:dyDescent="0.35">
      <c r="A632" s="21"/>
      <c r="B632" s="212" t="s">
        <v>87</v>
      </c>
      <c r="C632" s="31" t="str">
        <f>VLOOKUP((CONCATENATE(B632)),ID!$A$2:$D$305,3,0)</f>
        <v>IC005</v>
      </c>
      <c r="D632" s="21">
        <v>1</v>
      </c>
      <c r="E632" s="21" t="s">
        <v>3876</v>
      </c>
      <c r="F632" s="21" t="s">
        <v>3878</v>
      </c>
      <c r="G632" s="21" t="s">
        <v>3853</v>
      </c>
      <c r="H632" s="88">
        <v>5295</v>
      </c>
      <c r="I632" s="43">
        <v>5319</v>
      </c>
      <c r="J632" s="43">
        <v>5319</v>
      </c>
      <c r="K632" s="21">
        <v>1</v>
      </c>
      <c r="L632" s="43">
        <v>5313</v>
      </c>
      <c r="M632" s="43">
        <v>5327</v>
      </c>
      <c r="N632" s="43">
        <v>5327</v>
      </c>
      <c r="O632" s="21" t="s">
        <v>3883</v>
      </c>
      <c r="P632" s="194" t="str">
        <f t="shared" si="119"/>
        <v>1</v>
      </c>
      <c r="Q632" s="21">
        <v>1</v>
      </c>
      <c r="R632" s="39" t="str">
        <f t="shared" si="120"/>
        <v>-</v>
      </c>
      <c r="S632" s="120">
        <f t="shared" si="121"/>
        <v>2042821</v>
      </c>
      <c r="T632" s="123">
        <v>2260307</v>
      </c>
      <c r="U632" s="123">
        <f>T632-455041-210210</f>
        <v>1595056</v>
      </c>
      <c r="V632" s="123">
        <f t="shared" si="110"/>
        <v>665251</v>
      </c>
      <c r="W632" s="122" t="str">
        <f t="shared" ref="W632:W695" si="125">IF(V632+U632=T632,"1","0")</f>
        <v>1</v>
      </c>
      <c r="X632" s="123">
        <f>204161+13325</f>
        <v>217486</v>
      </c>
      <c r="Z632" s="123">
        <f t="shared" si="118"/>
        <v>217486</v>
      </c>
      <c r="AA632" s="122" t="str">
        <f t="shared" si="107"/>
        <v>1</v>
      </c>
      <c r="AB632" s="120">
        <f t="shared" si="123"/>
        <v>0</v>
      </c>
      <c r="AC632" s="123">
        <v>0</v>
      </c>
      <c r="AD632" s="123">
        <v>0</v>
      </c>
      <c r="AE632" s="123">
        <f>455041</f>
        <v>455041</v>
      </c>
      <c r="AG632" s="151">
        <f t="shared" si="124"/>
        <v>386192</v>
      </c>
      <c r="AH632" s="123">
        <v>408014</v>
      </c>
      <c r="AI632" s="123">
        <v>21822</v>
      </c>
      <c r="AJ632" s="123">
        <v>95000</v>
      </c>
      <c r="AO632" s="123">
        <v>1500000</v>
      </c>
    </row>
    <row r="633" spans="1:41" s="123" customFormat="1" ht="16.2" thickBot="1" x14ac:dyDescent="0.35">
      <c r="A633" s="21"/>
      <c r="B633" s="212" t="s">
        <v>103</v>
      </c>
      <c r="C633" s="31" t="str">
        <f>VLOOKUP((CONCATENATE(B633)),ID!$A$2:$D$305,3,0)</f>
        <v>IC006</v>
      </c>
      <c r="D633" s="21">
        <v>1</v>
      </c>
      <c r="E633" s="21" t="s">
        <v>3876</v>
      </c>
      <c r="F633" s="21" t="s">
        <v>1117</v>
      </c>
      <c r="G633" s="21" t="s">
        <v>3853</v>
      </c>
      <c r="H633" s="88">
        <v>3926</v>
      </c>
      <c r="I633" s="43">
        <v>4007</v>
      </c>
      <c r="J633" s="43">
        <v>3989</v>
      </c>
      <c r="K633" s="21">
        <v>1</v>
      </c>
      <c r="L633" s="43">
        <v>4008</v>
      </c>
      <c r="M633" s="43">
        <v>4017</v>
      </c>
      <c r="N633" s="43">
        <v>4016</v>
      </c>
      <c r="O633" s="21" t="s">
        <v>4105</v>
      </c>
      <c r="P633" s="194">
        <v>0</v>
      </c>
      <c r="Q633" s="21">
        <v>1</v>
      </c>
      <c r="R633" s="39" t="str">
        <f t="shared" si="120"/>
        <v>-</v>
      </c>
      <c r="S633" s="120">
        <f t="shared" si="121"/>
        <v>1997077</v>
      </c>
      <c r="T633" s="123">
        <v>2816263</v>
      </c>
      <c r="U633" s="123">
        <f>T633-13737-407211-1468-99-139463</f>
        <v>2254285</v>
      </c>
      <c r="V633" s="123">
        <f>T633-U633</f>
        <v>561978</v>
      </c>
      <c r="W633" s="122" t="str">
        <f>IF(V633+U633=T633,"1","0")</f>
        <v>1</v>
      </c>
      <c r="X633" s="123">
        <f>AB633+2173+81043+203+2500</f>
        <v>819186</v>
      </c>
      <c r="Y633" s="123">
        <v>730342</v>
      </c>
      <c r="Z633" s="123">
        <f>X633-Y633</f>
        <v>88844</v>
      </c>
      <c r="AA633" s="122" t="str">
        <f>IF(Z633+Y633=X633,"1","0")</f>
        <v>1</v>
      </c>
      <c r="AB633" s="120">
        <f>SUM(AC633+AD633)</f>
        <v>733267</v>
      </c>
      <c r="AC633" s="123">
        <v>0</v>
      </c>
      <c r="AD633" s="123">
        <f>200100+502434+30733</f>
        <v>733267</v>
      </c>
      <c r="AE633" s="123">
        <v>13737</v>
      </c>
      <c r="AG633" s="151">
        <f t="shared" si="124"/>
        <v>0</v>
      </c>
      <c r="AO633" s="123">
        <v>400000</v>
      </c>
    </row>
    <row r="634" spans="1:41" s="123" customFormat="1" ht="16.2" thickBot="1" x14ac:dyDescent="0.35">
      <c r="A634" s="21">
        <v>97.1</v>
      </c>
      <c r="B634" s="212" t="s">
        <v>103</v>
      </c>
      <c r="C634" s="31" t="str">
        <f>VLOOKUP((CONCATENATE(B634)),ID!$A$2:$D$305,3,0)</f>
        <v>IC006</v>
      </c>
      <c r="D634" s="21">
        <v>1</v>
      </c>
      <c r="E634" s="21" t="s">
        <v>3876</v>
      </c>
      <c r="F634" s="21" t="s">
        <v>1117</v>
      </c>
      <c r="G634" s="21" t="s">
        <v>3853</v>
      </c>
      <c r="H634" s="88">
        <v>4291</v>
      </c>
      <c r="I634" s="43">
        <v>4372</v>
      </c>
      <c r="J634" s="43">
        <v>4364</v>
      </c>
      <c r="K634" s="21">
        <v>1</v>
      </c>
      <c r="L634" s="43">
        <v>4373</v>
      </c>
      <c r="M634" s="43">
        <v>4383</v>
      </c>
      <c r="N634" s="43">
        <v>4381</v>
      </c>
      <c r="O634" s="21" t="s">
        <v>4106</v>
      </c>
      <c r="P634" s="194">
        <v>0</v>
      </c>
      <c r="Q634" s="21">
        <v>1</v>
      </c>
      <c r="R634" s="39" t="str">
        <f t="shared" si="120"/>
        <v>-</v>
      </c>
      <c r="S634" s="120">
        <f t="shared" si="121"/>
        <v>1997298</v>
      </c>
      <c r="T634" s="123">
        <v>2858982</v>
      </c>
      <c r="U634" s="123">
        <f>T634-269-458473-1286-1729-137104</f>
        <v>2260121</v>
      </c>
      <c r="V634" s="123">
        <f t="shared" si="110"/>
        <v>598861</v>
      </c>
      <c r="W634" s="122" t="str">
        <f t="shared" si="125"/>
        <v>1</v>
      </c>
      <c r="X634" s="123">
        <f>2232+113482+203+2500+AB634</f>
        <v>861684</v>
      </c>
      <c r="Y634" s="123">
        <v>740564</v>
      </c>
      <c r="Z634" s="123">
        <f t="shared" si="118"/>
        <v>121120</v>
      </c>
      <c r="AA634" s="122" t="str">
        <f t="shared" si="107"/>
        <v>1</v>
      </c>
      <c r="AB634" s="120">
        <f t="shared" si="123"/>
        <v>743267</v>
      </c>
      <c r="AC634" s="123">
        <v>0</v>
      </c>
      <c r="AD634" s="123">
        <f>502434+30733+10000+200100</f>
        <v>743267</v>
      </c>
      <c r="AE634" s="123">
        <v>269</v>
      </c>
      <c r="AG634" s="151">
        <f t="shared" si="124"/>
        <v>0</v>
      </c>
      <c r="AO634" s="123">
        <v>400000</v>
      </c>
    </row>
    <row r="635" spans="1:41" s="123" customFormat="1" ht="16.2" thickBot="1" x14ac:dyDescent="0.35">
      <c r="A635" s="21">
        <v>97.2</v>
      </c>
      <c r="B635" s="212" t="s">
        <v>103</v>
      </c>
      <c r="C635" s="31" t="str">
        <f>VLOOKUP((CONCATENATE(B635)),ID!$A$2:$D$305,3,0)</f>
        <v>IC006</v>
      </c>
      <c r="D635" s="21">
        <v>1</v>
      </c>
      <c r="E635" s="21" t="s">
        <v>3876</v>
      </c>
      <c r="F635" s="21" t="s">
        <v>1117</v>
      </c>
      <c r="G635" s="21" t="s">
        <v>3853</v>
      </c>
      <c r="H635" s="88">
        <v>4657</v>
      </c>
      <c r="I635" s="43">
        <v>4728</v>
      </c>
      <c r="J635" s="43">
        <v>4724</v>
      </c>
      <c r="K635" s="21">
        <v>1</v>
      </c>
      <c r="L635" s="43">
        <v>4731</v>
      </c>
      <c r="M635" s="43">
        <v>4738</v>
      </c>
      <c r="N635" s="43">
        <v>4738</v>
      </c>
      <c r="O635" s="21" t="s">
        <v>4106</v>
      </c>
      <c r="P635" s="194">
        <v>0</v>
      </c>
      <c r="Q635" s="21">
        <v>1</v>
      </c>
      <c r="R635" s="39" t="str">
        <f t="shared" si="120"/>
        <v>-</v>
      </c>
      <c r="S635" s="120">
        <f t="shared" si="121"/>
        <v>440986</v>
      </c>
      <c r="T635" s="123">
        <v>1356960</v>
      </c>
      <c r="U635" s="123">
        <f>T635-8154-53519-1013-106-96244</f>
        <v>1197924</v>
      </c>
      <c r="V635" s="123">
        <f t="shared" si="110"/>
        <v>159036</v>
      </c>
      <c r="W635" s="122" t="str">
        <f t="shared" si="125"/>
        <v>1</v>
      </c>
      <c r="X635" s="123">
        <f>AB635+6003+2500+203+146650+1230+309</f>
        <v>915974</v>
      </c>
      <c r="Y635" s="123">
        <v>750064</v>
      </c>
      <c r="Z635" s="123">
        <f t="shared" ref="Z635:Z698" si="126">X635-Y635</f>
        <v>165910</v>
      </c>
      <c r="AA635" s="122" t="str">
        <f t="shared" si="107"/>
        <v>1</v>
      </c>
      <c r="AB635" s="120">
        <f t="shared" si="123"/>
        <v>759079</v>
      </c>
      <c r="AC635" s="123">
        <v>0</v>
      </c>
      <c r="AD635" s="123">
        <f>206103+502434+30733+19809</f>
        <v>759079</v>
      </c>
      <c r="AE635" s="123">
        <v>8154</v>
      </c>
      <c r="AG635" s="151">
        <f t="shared" si="124"/>
        <v>0</v>
      </c>
      <c r="AO635" s="123">
        <v>400000</v>
      </c>
    </row>
    <row r="636" spans="1:41" s="123" customFormat="1" ht="16.2" thickBot="1" x14ac:dyDescent="0.35">
      <c r="A636" s="21"/>
      <c r="B636" s="212" t="s">
        <v>103</v>
      </c>
      <c r="C636" s="31" t="str">
        <f>VLOOKUP((CONCATENATE(B636)),ID!$A$2:$D$305,3,0)</f>
        <v>IC006</v>
      </c>
      <c r="D636" s="21">
        <v>1</v>
      </c>
      <c r="E636" s="21" t="s">
        <v>3876</v>
      </c>
      <c r="F636" s="21" t="s">
        <v>1117</v>
      </c>
      <c r="G636" s="21" t="s">
        <v>3853</v>
      </c>
      <c r="H636" s="88">
        <v>5022</v>
      </c>
      <c r="I636" s="43">
        <v>5128</v>
      </c>
      <c r="J636" s="43">
        <v>5128</v>
      </c>
      <c r="K636" s="21">
        <v>1</v>
      </c>
      <c r="L636" s="43">
        <v>5131</v>
      </c>
      <c r="M636" s="43">
        <v>5140</v>
      </c>
      <c r="N636" s="43">
        <v>5140</v>
      </c>
      <c r="O636" s="21" t="s">
        <v>4106</v>
      </c>
      <c r="P636" s="194">
        <v>0</v>
      </c>
      <c r="Q636" s="21">
        <v>1</v>
      </c>
      <c r="R636" s="39" t="str">
        <f t="shared" si="120"/>
        <v>-</v>
      </c>
      <c r="S636" s="120">
        <f t="shared" si="121"/>
        <v>448831</v>
      </c>
      <c r="T636" s="123">
        <v>1333572</v>
      </c>
      <c r="U636" s="123">
        <f>T636-3862-35031-516-443-95377</f>
        <v>1198343</v>
      </c>
      <c r="V636" s="123">
        <f t="shared" si="110"/>
        <v>135229</v>
      </c>
      <c r="W636" s="122" t="str">
        <f t="shared" si="125"/>
        <v>1</v>
      </c>
      <c r="X636" s="123">
        <f>AB636+129701+1170+2361</f>
        <v>884741</v>
      </c>
      <c r="Y636" s="123">
        <v>750339</v>
      </c>
      <c r="Z636" s="123">
        <f t="shared" si="126"/>
        <v>134402</v>
      </c>
      <c r="AA636" s="122" t="str">
        <f t="shared" ref="AA636:AA699" si="127">IF(Z636+Y636=X636,"1","0")</f>
        <v>1</v>
      </c>
      <c r="AB636" s="120">
        <f t="shared" si="123"/>
        <v>751509</v>
      </c>
      <c r="AC636" s="123">
        <v>0</v>
      </c>
      <c r="AD636" s="123">
        <f>20945+30530+499934+200100</f>
        <v>751509</v>
      </c>
      <c r="AE636" s="123">
        <v>3862</v>
      </c>
      <c r="AG636" s="151">
        <f t="shared" si="124"/>
        <v>0</v>
      </c>
      <c r="AO636" s="123">
        <v>400000</v>
      </c>
    </row>
    <row r="637" spans="1:41" s="123" customFormat="1" ht="16.2" thickBot="1" x14ac:dyDescent="0.35">
      <c r="A637" s="21"/>
      <c r="B637" s="212" t="s">
        <v>103</v>
      </c>
      <c r="C637" s="31" t="str">
        <f>VLOOKUP((CONCATENATE(B637)),ID!$A$2:$D$305,3,0)</f>
        <v>IC006</v>
      </c>
      <c r="D637" s="21">
        <v>1</v>
      </c>
      <c r="E637" s="21" t="s">
        <v>3876</v>
      </c>
      <c r="F637" s="21" t="s">
        <v>1117</v>
      </c>
      <c r="G637" s="21" t="s">
        <v>3853</v>
      </c>
      <c r="H637" s="88">
        <v>5387</v>
      </c>
      <c r="I637" s="43">
        <v>5465</v>
      </c>
      <c r="J637" s="43">
        <v>5465</v>
      </c>
      <c r="K637" s="21">
        <v>1</v>
      </c>
      <c r="L637" s="43">
        <v>5467</v>
      </c>
      <c r="M637" s="43">
        <v>5478</v>
      </c>
      <c r="N637" s="43">
        <v>5478</v>
      </c>
      <c r="O637" s="21" t="s">
        <v>4106</v>
      </c>
      <c r="P637" s="194">
        <v>0</v>
      </c>
      <c r="Q637" s="21">
        <v>1</v>
      </c>
      <c r="R637" s="39" t="str">
        <f t="shared" si="120"/>
        <v>-</v>
      </c>
      <c r="S637" s="120">
        <f t="shared" si="121"/>
        <v>450001</v>
      </c>
      <c r="T637" s="123">
        <v>727997</v>
      </c>
      <c r="U637" s="123">
        <f>500718+100327+60336+85</f>
        <v>661466</v>
      </c>
      <c r="V637" s="123">
        <f>T637-U637</f>
        <v>66531</v>
      </c>
      <c r="W637" s="122" t="str">
        <f>IF(V637+U637=T637,"1","0")</f>
        <v>1</v>
      </c>
      <c r="X637" s="123">
        <f>250000+25599+2397</f>
        <v>277996</v>
      </c>
      <c r="Y637" s="123">
        <f>25599+250000</f>
        <v>275599</v>
      </c>
      <c r="Z637" s="123">
        <f t="shared" si="126"/>
        <v>2397</v>
      </c>
      <c r="AA637" s="122" t="str">
        <f>IF(Z637+Y637=X637,"1","0")</f>
        <v>1</v>
      </c>
      <c r="AB637" s="120">
        <f>SUM(AC637+AD637)</f>
        <v>275599</v>
      </c>
      <c r="AC637" s="123">
        <v>0</v>
      </c>
      <c r="AD637" s="123">
        <f>Y637</f>
        <v>275599</v>
      </c>
      <c r="AO637" s="123">
        <v>400000</v>
      </c>
    </row>
    <row r="638" spans="1:41" s="123" customFormat="1" ht="16.2" thickBot="1" x14ac:dyDescent="0.35">
      <c r="A638" s="21"/>
      <c r="B638" s="212" t="s">
        <v>144</v>
      </c>
      <c r="C638" s="31" t="str">
        <f>VLOOKUP((CONCATENATE(B638)),ID!$A$2:$D$305,3,0)</f>
        <v>IC007</v>
      </c>
      <c r="D638" s="21">
        <v>1</v>
      </c>
      <c r="E638" s="21" t="s">
        <v>3876</v>
      </c>
      <c r="F638" s="21" t="s">
        <v>3885</v>
      </c>
      <c r="G638" s="21" t="s">
        <v>3853</v>
      </c>
      <c r="H638" s="88">
        <v>3834</v>
      </c>
      <c r="I638" s="43">
        <v>3881</v>
      </c>
      <c r="J638" s="43">
        <v>3881</v>
      </c>
      <c r="K638" s="21">
        <v>1</v>
      </c>
      <c r="L638" s="43">
        <v>3875</v>
      </c>
      <c r="M638" s="43">
        <v>3890</v>
      </c>
      <c r="N638" s="43">
        <v>3893</v>
      </c>
      <c r="O638" s="21" t="s">
        <v>3886</v>
      </c>
      <c r="P638" s="194" t="str">
        <f t="shared" si="119"/>
        <v>1</v>
      </c>
      <c r="Q638" s="21">
        <v>1</v>
      </c>
      <c r="R638" s="39" t="str">
        <f t="shared" si="120"/>
        <v>-</v>
      </c>
      <c r="S638" s="120">
        <f t="shared" si="121"/>
        <v>4333185</v>
      </c>
      <c r="T638" s="123">
        <v>6406005</v>
      </c>
      <c r="U638" s="123">
        <f>T638-234483-39017-571260</f>
        <v>5561245</v>
      </c>
      <c r="V638" s="123">
        <f t="shared" si="110"/>
        <v>844760</v>
      </c>
      <c r="W638" s="122" t="str">
        <f t="shared" si="125"/>
        <v>1</v>
      </c>
      <c r="X638" s="123">
        <f>Y638+222320</f>
        <v>2072820</v>
      </c>
      <c r="Y638" s="123">
        <f t="shared" ref="Y638:Y647" si="128">AB638</f>
        <v>1850500</v>
      </c>
      <c r="Z638" s="123">
        <f t="shared" si="126"/>
        <v>222320</v>
      </c>
      <c r="AA638" s="122" t="str">
        <f t="shared" si="127"/>
        <v>1</v>
      </c>
      <c r="AB638" s="120">
        <f t="shared" si="123"/>
        <v>1850500</v>
      </c>
      <c r="AC638" s="123">
        <v>0</v>
      </c>
      <c r="AD638" s="123">
        <v>1850500</v>
      </c>
      <c r="AG638" s="151">
        <f t="shared" si="124"/>
        <v>278390</v>
      </c>
      <c r="AH638" s="123">
        <v>348092</v>
      </c>
      <c r="AJ638" s="123">
        <f>43000+48250</f>
        <v>91250</v>
      </c>
      <c r="AL638" s="123">
        <v>69702</v>
      </c>
      <c r="AO638" s="123">
        <f>344000+965000</f>
        <v>1309000</v>
      </c>
    </row>
    <row r="639" spans="1:41" s="123" customFormat="1" ht="16.2" thickBot="1" x14ac:dyDescent="0.35">
      <c r="A639" s="21">
        <v>98.1</v>
      </c>
      <c r="B639" s="212" t="s">
        <v>144</v>
      </c>
      <c r="C639" s="31" t="str">
        <f>VLOOKUP((CONCATENATE(B639)),ID!$A$2:$D$305,3,0)</f>
        <v>IC007</v>
      </c>
      <c r="D639" s="21">
        <v>1</v>
      </c>
      <c r="E639" s="21" t="s">
        <v>3876</v>
      </c>
      <c r="F639" s="21" t="s">
        <v>3885</v>
      </c>
      <c r="G639" s="21" t="s">
        <v>3853</v>
      </c>
      <c r="H639" s="88">
        <v>4199</v>
      </c>
      <c r="I639" s="43">
        <v>4245</v>
      </c>
      <c r="J639" s="43">
        <v>4245</v>
      </c>
      <c r="K639" s="21">
        <v>1</v>
      </c>
      <c r="L639" s="43">
        <v>4238</v>
      </c>
      <c r="M639" s="43">
        <v>4254</v>
      </c>
      <c r="N639" s="43">
        <v>4254</v>
      </c>
      <c r="O639" s="21" t="s">
        <v>3886</v>
      </c>
      <c r="P639" s="194" t="str">
        <f t="shared" si="119"/>
        <v>1</v>
      </c>
      <c r="Q639" s="21">
        <v>1</v>
      </c>
      <c r="R639" s="39" t="str">
        <f t="shared" si="120"/>
        <v>-</v>
      </c>
      <c r="S639" s="120">
        <f t="shared" si="121"/>
        <v>4416242</v>
      </c>
      <c r="T639" s="123">
        <v>6527909</v>
      </c>
      <c r="U639" s="123">
        <f>T639-271012-357837-624592</f>
        <v>5274468</v>
      </c>
      <c r="V639" s="123">
        <f t="shared" si="110"/>
        <v>1253441</v>
      </c>
      <c r="W639" s="122" t="str">
        <f t="shared" si="125"/>
        <v>1</v>
      </c>
      <c r="X639" s="123">
        <f>261667+1850000</f>
        <v>2111667</v>
      </c>
      <c r="Y639" s="123">
        <f t="shared" si="128"/>
        <v>1850500</v>
      </c>
      <c r="Z639" s="123">
        <f t="shared" si="126"/>
        <v>261167</v>
      </c>
      <c r="AA639" s="122" t="str">
        <f t="shared" si="127"/>
        <v>1</v>
      </c>
      <c r="AB639" s="120">
        <f t="shared" si="123"/>
        <v>1850500</v>
      </c>
      <c r="AC639" s="123">
        <v>0</v>
      </c>
      <c r="AD639" s="123">
        <v>1850500</v>
      </c>
      <c r="AG639" s="151">
        <f t="shared" si="124"/>
        <v>313306</v>
      </c>
      <c r="AH639" s="123">
        <v>383008</v>
      </c>
      <c r="AJ639" s="123">
        <f>43000+48250</f>
        <v>91250</v>
      </c>
      <c r="AL639" s="123">
        <v>69702</v>
      </c>
      <c r="AO639" s="123">
        <f>344000+965000</f>
        <v>1309000</v>
      </c>
    </row>
    <row r="640" spans="1:41" s="123" customFormat="1" ht="16.2" thickBot="1" x14ac:dyDescent="0.35">
      <c r="A640" s="21">
        <v>98.2</v>
      </c>
      <c r="B640" s="212" t="s">
        <v>144</v>
      </c>
      <c r="C640" s="31" t="str">
        <f>VLOOKUP((CONCATENATE(B640)),ID!$A$2:$D$305,3,0)</f>
        <v>IC007</v>
      </c>
      <c r="D640" s="21">
        <v>1</v>
      </c>
      <c r="E640" s="21" t="s">
        <v>3876</v>
      </c>
      <c r="F640" s="21" t="s">
        <v>3885</v>
      </c>
      <c r="G640" s="21" t="s">
        <v>3853</v>
      </c>
      <c r="H640" s="88">
        <v>4565</v>
      </c>
      <c r="I640" s="43">
        <v>4616</v>
      </c>
      <c r="J640" s="43">
        <v>4616</v>
      </c>
      <c r="K640" s="21">
        <v>1</v>
      </c>
      <c r="L640" s="43">
        <v>4610</v>
      </c>
      <c r="M640" s="43">
        <v>4615</v>
      </c>
      <c r="N640" s="43">
        <v>4625</v>
      </c>
      <c r="O640" s="21" t="s">
        <v>3886</v>
      </c>
      <c r="P640" s="194" t="str">
        <f t="shared" si="119"/>
        <v>1</v>
      </c>
      <c r="Q640" s="21">
        <v>1</v>
      </c>
      <c r="R640" s="39" t="str">
        <f t="shared" si="120"/>
        <v>-</v>
      </c>
      <c r="S640" s="120">
        <f t="shared" si="121"/>
        <v>4510876</v>
      </c>
      <c r="T640" s="123">
        <v>6638581</v>
      </c>
      <c r="U640" s="123">
        <f>T640-325755-404210-557815</f>
        <v>5350801</v>
      </c>
      <c r="V640" s="123">
        <f t="shared" si="110"/>
        <v>1287780</v>
      </c>
      <c r="W640" s="122" t="str">
        <f t="shared" si="125"/>
        <v>1</v>
      </c>
      <c r="X640" s="123">
        <f>277205+Y640</f>
        <v>2127705</v>
      </c>
      <c r="Y640" s="123">
        <f t="shared" si="128"/>
        <v>1850500</v>
      </c>
      <c r="Z640" s="123">
        <f t="shared" si="126"/>
        <v>277205</v>
      </c>
      <c r="AA640" s="122" t="str">
        <f t="shared" si="127"/>
        <v>1</v>
      </c>
      <c r="AB640" s="120">
        <f t="shared" si="123"/>
        <v>1850500</v>
      </c>
      <c r="AC640" s="123">
        <v>0</v>
      </c>
      <c r="AD640" s="123">
        <v>1850500</v>
      </c>
      <c r="AG640" s="151">
        <f t="shared" si="124"/>
        <v>325884</v>
      </c>
      <c r="AH640" s="123">
        <v>395586</v>
      </c>
      <c r="AJ640" s="123">
        <f>43000+48250</f>
        <v>91250</v>
      </c>
      <c r="AL640" s="123">
        <v>69702</v>
      </c>
      <c r="AO640" s="123">
        <f>344000+965000</f>
        <v>1309000</v>
      </c>
    </row>
    <row r="641" spans="1:41" s="123" customFormat="1" ht="16.2" thickBot="1" x14ac:dyDescent="0.35">
      <c r="A641" s="21"/>
      <c r="B641" s="212" t="s">
        <v>144</v>
      </c>
      <c r="C641" s="31" t="str">
        <f>VLOOKUP((CONCATENATE(B641)),ID!$A$2:$D$305,3,0)</f>
        <v>IC007</v>
      </c>
      <c r="D641" s="21">
        <v>1</v>
      </c>
      <c r="E641" s="21" t="s">
        <v>3876</v>
      </c>
      <c r="F641" s="21" t="s">
        <v>3885</v>
      </c>
      <c r="G641" s="21" t="s">
        <v>3853</v>
      </c>
      <c r="H641" s="88">
        <v>4930</v>
      </c>
      <c r="I641" s="43">
        <v>4980</v>
      </c>
      <c r="J641" s="43">
        <v>4980</v>
      </c>
      <c r="K641" s="21">
        <v>1</v>
      </c>
      <c r="L641" s="43">
        <v>4974</v>
      </c>
      <c r="M641" s="43">
        <v>4986</v>
      </c>
      <c r="N641" s="43">
        <v>4989</v>
      </c>
      <c r="O641" s="21" t="s">
        <v>3886</v>
      </c>
      <c r="P641" s="194" t="str">
        <f t="shared" si="119"/>
        <v>1</v>
      </c>
      <c r="Q641" s="21">
        <v>1</v>
      </c>
      <c r="R641" s="39" t="str">
        <f t="shared" si="120"/>
        <v>-</v>
      </c>
      <c r="S641" s="120">
        <f t="shared" si="121"/>
        <v>4663516</v>
      </c>
      <c r="T641" s="123">
        <v>6860280</v>
      </c>
      <c r="U641" s="123">
        <f>T641-352519-504871-573552</f>
        <v>5429338</v>
      </c>
      <c r="V641" s="123">
        <f t="shared" si="110"/>
        <v>1430942</v>
      </c>
      <c r="W641" s="122" t="str">
        <f t="shared" si="125"/>
        <v>1</v>
      </c>
      <c r="X641" s="123">
        <f>Y641+346264</f>
        <v>2196764</v>
      </c>
      <c r="Y641" s="123">
        <f t="shared" si="128"/>
        <v>1850500</v>
      </c>
      <c r="Z641" s="123">
        <f t="shared" si="126"/>
        <v>346264</v>
      </c>
      <c r="AA641" s="122" t="str">
        <f t="shared" si="127"/>
        <v>1</v>
      </c>
      <c r="AB641" s="120">
        <f t="shared" si="123"/>
        <v>1850500</v>
      </c>
      <c r="AC641" s="123">
        <v>0</v>
      </c>
      <c r="AD641" s="123">
        <v>1850500</v>
      </c>
      <c r="AG641" s="151">
        <f t="shared" si="124"/>
        <v>383390</v>
      </c>
      <c r="AH641" s="123">
        <v>453092</v>
      </c>
      <c r="AJ641" s="123">
        <f>43000+48250</f>
        <v>91250</v>
      </c>
      <c r="AL641" s="123">
        <v>69702</v>
      </c>
      <c r="AO641" s="123">
        <f>344000+965000</f>
        <v>1309000</v>
      </c>
    </row>
    <row r="642" spans="1:41" s="123" customFormat="1" ht="16.2" thickBot="1" x14ac:dyDescent="0.35">
      <c r="A642" s="21"/>
      <c r="B642" s="212" t="s">
        <v>144</v>
      </c>
      <c r="C642" s="31" t="str">
        <f>VLOOKUP((CONCATENATE(B642)),ID!$A$2:$D$305,3,0)</f>
        <v>IC007</v>
      </c>
      <c r="D642" s="21">
        <v>1</v>
      </c>
      <c r="E642" s="21" t="s">
        <v>3876</v>
      </c>
      <c r="F642" s="21" t="s">
        <v>3885</v>
      </c>
      <c r="G642" s="21" t="s">
        <v>3853</v>
      </c>
      <c r="H642" s="88">
        <v>5295</v>
      </c>
      <c r="I642" s="43">
        <v>5344</v>
      </c>
      <c r="J642" s="43">
        <v>5344</v>
      </c>
      <c r="K642" s="21">
        <v>1</v>
      </c>
      <c r="L642" s="43">
        <v>5339</v>
      </c>
      <c r="M642" s="43">
        <v>5353</v>
      </c>
      <c r="N642" s="43">
        <v>5353</v>
      </c>
      <c r="O642" s="21" t="s">
        <v>3886</v>
      </c>
      <c r="P642" s="194" t="str">
        <f t="shared" ref="P642:P705" si="129">IF(AJ642=0,"?","1")</f>
        <v>1</v>
      </c>
      <c r="Q642" s="21">
        <v>1</v>
      </c>
      <c r="R642" s="39" t="str">
        <f t="shared" si="120"/>
        <v>-</v>
      </c>
      <c r="S642" s="120">
        <f t="shared" si="121"/>
        <v>4764940</v>
      </c>
      <c r="T642" s="123">
        <v>6945420</v>
      </c>
      <c r="U642" s="123">
        <f>T642-355800-377167-714206</f>
        <v>5498247</v>
      </c>
      <c r="V642" s="123">
        <f t="shared" si="110"/>
        <v>1447173</v>
      </c>
      <c r="W642" s="122" t="str">
        <f t="shared" si="125"/>
        <v>1</v>
      </c>
      <c r="X642" s="123">
        <f>Y642+329980</f>
        <v>2180480</v>
      </c>
      <c r="Y642" s="123">
        <f t="shared" si="128"/>
        <v>1850500</v>
      </c>
      <c r="Z642" s="123">
        <f t="shared" si="126"/>
        <v>329980</v>
      </c>
      <c r="AA642" s="122" t="str">
        <f t="shared" si="127"/>
        <v>1</v>
      </c>
      <c r="AB642" s="120">
        <f t="shared" si="123"/>
        <v>1850500</v>
      </c>
      <c r="AC642" s="123">
        <v>0</v>
      </c>
      <c r="AD642" s="123">
        <v>1850500</v>
      </c>
      <c r="AG642" s="151">
        <f t="shared" si="124"/>
        <v>332175</v>
      </c>
      <c r="AH642" s="123">
        <v>401722</v>
      </c>
      <c r="AJ642" s="123">
        <f>43000+48250</f>
        <v>91250</v>
      </c>
      <c r="AL642" s="123">
        <v>69547</v>
      </c>
      <c r="AO642" s="123">
        <f>344000+965000</f>
        <v>1309000</v>
      </c>
    </row>
    <row r="643" spans="1:41" s="123" customFormat="1" ht="16.2" thickBot="1" x14ac:dyDescent="0.35">
      <c r="A643" s="21"/>
      <c r="B643" s="212" t="s">
        <v>150</v>
      </c>
      <c r="C643" s="31" t="str">
        <f>VLOOKUP((CONCATENATE(B643)),ID!$A$2:$D$305,3,0)</f>
        <v>IC008</v>
      </c>
      <c r="D643" s="21">
        <v>1</v>
      </c>
      <c r="E643" s="21" t="s">
        <v>3876</v>
      </c>
      <c r="F643" s="21" t="s">
        <v>3887</v>
      </c>
      <c r="G643" s="21" t="s">
        <v>3853</v>
      </c>
      <c r="H643" s="88">
        <v>3804</v>
      </c>
      <c r="I643" s="43">
        <v>3813</v>
      </c>
      <c r="J643" s="43">
        <v>3813</v>
      </c>
      <c r="K643" s="21">
        <v>1</v>
      </c>
      <c r="L643" s="43">
        <v>3826</v>
      </c>
      <c r="M643" s="43">
        <v>3840</v>
      </c>
      <c r="N643" s="43">
        <v>3840</v>
      </c>
      <c r="O643" s="21" t="s">
        <v>3888</v>
      </c>
      <c r="P643" s="194" t="str">
        <f t="shared" si="129"/>
        <v>1</v>
      </c>
      <c r="Q643" s="21">
        <v>1</v>
      </c>
      <c r="R643" s="39" t="str">
        <f t="shared" si="120"/>
        <v>-</v>
      </c>
      <c r="S643" s="120">
        <f t="shared" si="121"/>
        <v>1437713</v>
      </c>
      <c r="T643" s="123">
        <v>1993976</v>
      </c>
      <c r="U643" s="123">
        <f>T643-163759-20147-64244</f>
        <v>1745826</v>
      </c>
      <c r="V643" s="123">
        <f t="shared" si="110"/>
        <v>248150</v>
      </c>
      <c r="W643" s="122" t="str">
        <f t="shared" si="125"/>
        <v>1</v>
      </c>
      <c r="X643" s="123">
        <f>Y643+4136+42127+250000+10000</f>
        <v>556263</v>
      </c>
      <c r="Y643" s="123">
        <f t="shared" si="128"/>
        <v>250000</v>
      </c>
      <c r="Z643" s="123">
        <f t="shared" si="126"/>
        <v>306263</v>
      </c>
      <c r="AA643" s="122" t="str">
        <f t="shared" si="127"/>
        <v>1</v>
      </c>
      <c r="AB643" s="120">
        <f t="shared" si="123"/>
        <v>250000</v>
      </c>
      <c r="AC643" s="123">
        <v>0</v>
      </c>
      <c r="AD643" s="123">
        <v>250000</v>
      </c>
      <c r="AE643" s="123">
        <v>64244</v>
      </c>
      <c r="AG643" s="151">
        <f t="shared" si="124"/>
        <v>160693</v>
      </c>
      <c r="AH643" s="123">
        <v>170693</v>
      </c>
      <c r="AJ643" s="123">
        <v>63750</v>
      </c>
      <c r="AL643" s="123">
        <v>10000</v>
      </c>
      <c r="AO643" s="123">
        <f>25000+750000</f>
        <v>775000</v>
      </c>
    </row>
    <row r="644" spans="1:41" s="123" customFormat="1" ht="16.2" thickBot="1" x14ac:dyDescent="0.35">
      <c r="A644" s="21">
        <v>99.1</v>
      </c>
      <c r="B644" s="212" t="s">
        <v>150</v>
      </c>
      <c r="C644" s="31" t="str">
        <f>VLOOKUP((CONCATENATE(B644)),ID!$A$2:$D$305,3,0)</f>
        <v>IC008</v>
      </c>
      <c r="D644" s="21">
        <v>1</v>
      </c>
      <c r="E644" s="21" t="s">
        <v>3876</v>
      </c>
      <c r="F644" s="21" t="s">
        <v>3887</v>
      </c>
      <c r="G644" s="21" t="s">
        <v>3853</v>
      </c>
      <c r="H644" s="88">
        <v>4169</v>
      </c>
      <c r="I644" s="43">
        <v>4181</v>
      </c>
      <c r="J644" s="43">
        <v>4181</v>
      </c>
      <c r="K644" s="21">
        <v>1</v>
      </c>
      <c r="L644" s="43">
        <v>4190</v>
      </c>
      <c r="M644" s="43">
        <v>4204</v>
      </c>
      <c r="N644" s="43">
        <v>4204</v>
      </c>
      <c r="O644" s="21" t="s">
        <v>3888</v>
      </c>
      <c r="P644" s="194" t="str">
        <f t="shared" si="129"/>
        <v>1</v>
      </c>
      <c r="Q644" s="21">
        <v>1</v>
      </c>
      <c r="R644" s="39" t="str">
        <f t="shared" si="120"/>
        <v>-</v>
      </c>
      <c r="S644" s="120">
        <f t="shared" si="121"/>
        <v>1695400</v>
      </c>
      <c r="T644" s="123">
        <v>2005747</v>
      </c>
      <c r="U644" s="123">
        <f>T644-174950-12912-63119</f>
        <v>1754766</v>
      </c>
      <c r="V644" s="123">
        <f t="shared" si="110"/>
        <v>250981</v>
      </c>
      <c r="W644" s="122" t="str">
        <f t="shared" si="125"/>
        <v>1</v>
      </c>
      <c r="X644" s="123">
        <f>250000+4136+46211+10000</f>
        <v>310347</v>
      </c>
      <c r="Y644" s="123">
        <f t="shared" si="128"/>
        <v>250000</v>
      </c>
      <c r="Z644" s="123">
        <f t="shared" si="126"/>
        <v>60347</v>
      </c>
      <c r="AA644" s="122" t="str">
        <f t="shared" si="127"/>
        <v>1</v>
      </c>
      <c r="AB644" s="120">
        <f t="shared" si="123"/>
        <v>250000</v>
      </c>
      <c r="AC644" s="123">
        <v>0</v>
      </c>
      <c r="AD644" s="123">
        <v>250000</v>
      </c>
      <c r="AE644" s="123">
        <v>63119</v>
      </c>
      <c r="AG644" s="151">
        <f t="shared" si="124"/>
        <v>135186</v>
      </c>
      <c r="AH644" s="123">
        <v>145186</v>
      </c>
      <c r="AJ644" s="123">
        <v>63750</v>
      </c>
      <c r="AL644" s="123">
        <v>10000</v>
      </c>
      <c r="AO644" s="123">
        <f>25000+750000</f>
        <v>775000</v>
      </c>
    </row>
    <row r="645" spans="1:41" s="123" customFormat="1" ht="16.2" thickBot="1" x14ac:dyDescent="0.35">
      <c r="A645" s="21">
        <v>99.2</v>
      </c>
      <c r="B645" s="212" t="s">
        <v>150</v>
      </c>
      <c r="C645" s="31" t="str">
        <f>VLOOKUP((CONCATENATE(B645)),ID!$A$2:$D$305,3,0)</f>
        <v>IC008</v>
      </c>
      <c r="D645" s="21">
        <v>1</v>
      </c>
      <c r="E645" s="21" t="s">
        <v>3876</v>
      </c>
      <c r="F645" s="21" t="s">
        <v>3887</v>
      </c>
      <c r="G645" s="21" t="s">
        <v>3853</v>
      </c>
      <c r="H645" s="88">
        <v>4535</v>
      </c>
      <c r="I645" s="43">
        <v>4548</v>
      </c>
      <c r="J645" s="43">
        <v>4548</v>
      </c>
      <c r="K645" s="21">
        <v>1</v>
      </c>
      <c r="L645" s="43">
        <v>4556</v>
      </c>
      <c r="M645" s="43">
        <v>4575</v>
      </c>
      <c r="N645" s="43">
        <v>4574</v>
      </c>
      <c r="O645" s="21" t="s">
        <v>3888</v>
      </c>
      <c r="P645" s="194" t="str">
        <f t="shared" si="129"/>
        <v>1</v>
      </c>
      <c r="Q645" s="21">
        <v>1</v>
      </c>
      <c r="R645" s="39" t="str">
        <f t="shared" si="120"/>
        <v>-</v>
      </c>
      <c r="S645" s="120">
        <f t="shared" si="121"/>
        <v>1874976</v>
      </c>
      <c r="T645" s="123">
        <v>2188179</v>
      </c>
      <c r="U645" s="123">
        <f>T645-169022-6251-365297</f>
        <v>1647609</v>
      </c>
      <c r="V645" s="123">
        <f t="shared" si="110"/>
        <v>540570</v>
      </c>
      <c r="W645" s="122" t="str">
        <f t="shared" si="125"/>
        <v>1</v>
      </c>
      <c r="X645" s="123">
        <f>250000+4136+49067+10000</f>
        <v>313203</v>
      </c>
      <c r="Y645" s="123">
        <f t="shared" si="128"/>
        <v>250000</v>
      </c>
      <c r="Z645" s="123">
        <f t="shared" si="126"/>
        <v>63203</v>
      </c>
      <c r="AA645" s="122" t="str">
        <f t="shared" si="127"/>
        <v>1</v>
      </c>
      <c r="AB645" s="120">
        <f t="shared" si="123"/>
        <v>250000</v>
      </c>
      <c r="AC645" s="123">
        <v>0</v>
      </c>
      <c r="AD645" s="123">
        <v>250000</v>
      </c>
      <c r="AE645" s="123">
        <v>365297</v>
      </c>
      <c r="AG645" s="151">
        <f t="shared" si="124"/>
        <v>307076</v>
      </c>
      <c r="AH645" s="123">
        <v>317076</v>
      </c>
      <c r="AJ645" s="123">
        <v>63750</v>
      </c>
      <c r="AL645" s="123">
        <v>10000</v>
      </c>
      <c r="AO645" s="123">
        <f>25000+750000</f>
        <v>775000</v>
      </c>
    </row>
    <row r="646" spans="1:41" s="123" customFormat="1" ht="16.2" thickBot="1" x14ac:dyDescent="0.35">
      <c r="A646" s="21"/>
      <c r="B646" s="212" t="s">
        <v>150</v>
      </c>
      <c r="C646" s="31" t="str">
        <f>VLOOKUP((CONCATENATE(B646)),ID!$A$2:$D$305,3,0)</f>
        <v>IC008</v>
      </c>
      <c r="D646" s="21">
        <v>1</v>
      </c>
      <c r="E646" s="21" t="s">
        <v>3876</v>
      </c>
      <c r="F646" s="21" t="s">
        <v>3887</v>
      </c>
      <c r="G646" s="21" t="s">
        <v>3853</v>
      </c>
      <c r="H646" s="88">
        <v>4900</v>
      </c>
      <c r="I646" s="43">
        <v>43627</v>
      </c>
      <c r="J646" s="43">
        <v>43627</v>
      </c>
      <c r="K646" s="21">
        <v>1</v>
      </c>
      <c r="L646" s="43">
        <v>4920</v>
      </c>
      <c r="M646" s="43">
        <v>4940</v>
      </c>
      <c r="N646" s="43">
        <v>4939</v>
      </c>
      <c r="O646" s="21" t="s">
        <v>3888</v>
      </c>
      <c r="P646" s="194" t="str">
        <f t="shared" si="129"/>
        <v>1</v>
      </c>
      <c r="Q646" s="21">
        <v>1</v>
      </c>
      <c r="R646" s="39" t="str">
        <f t="shared" si="120"/>
        <v>-</v>
      </c>
      <c r="S646" s="120">
        <f t="shared" si="121"/>
        <v>1657715</v>
      </c>
      <c r="T646" s="123">
        <v>1962155</v>
      </c>
      <c r="U646" s="123">
        <f>T646-192312-2345-88371</f>
        <v>1679127</v>
      </c>
      <c r="V646" s="123">
        <f t="shared" si="110"/>
        <v>283028</v>
      </c>
      <c r="W646" s="122" t="str">
        <f t="shared" si="125"/>
        <v>1</v>
      </c>
      <c r="X646" s="123">
        <f>Y646+4136+40304+10000</f>
        <v>304440</v>
      </c>
      <c r="Y646" s="123">
        <f t="shared" si="128"/>
        <v>250000</v>
      </c>
      <c r="Z646" s="123">
        <f t="shared" si="126"/>
        <v>54440</v>
      </c>
      <c r="AA646" s="122" t="str">
        <f t="shared" si="127"/>
        <v>1</v>
      </c>
      <c r="AB646" s="120">
        <f t="shared" si="123"/>
        <v>250000</v>
      </c>
      <c r="AC646" s="123">
        <v>0</v>
      </c>
      <c r="AD646" s="123">
        <v>250000</v>
      </c>
      <c r="AE646" s="123">
        <v>88371</v>
      </c>
      <c r="AG646" s="151">
        <f t="shared" si="124"/>
        <v>160239</v>
      </c>
      <c r="AH646" s="123">
        <v>170239</v>
      </c>
      <c r="AJ646" s="123">
        <v>63750</v>
      </c>
      <c r="AL646" s="123">
        <v>10000</v>
      </c>
      <c r="AO646" s="123">
        <f>25000+750000</f>
        <v>775000</v>
      </c>
    </row>
    <row r="647" spans="1:41" s="123" customFormat="1" ht="16.2" thickBot="1" x14ac:dyDescent="0.35">
      <c r="A647" s="21"/>
      <c r="B647" s="212" t="s">
        <v>150</v>
      </c>
      <c r="C647" s="31" t="str">
        <f>VLOOKUP((CONCATENATE(B647)),ID!$A$2:$D$305,3,0)</f>
        <v>IC008</v>
      </c>
      <c r="D647" s="21">
        <v>1</v>
      </c>
      <c r="E647" s="21" t="s">
        <v>3876</v>
      </c>
      <c r="F647" s="21" t="s">
        <v>3887</v>
      </c>
      <c r="G647" s="21" t="s">
        <v>3853</v>
      </c>
      <c r="H647" s="88">
        <v>5265</v>
      </c>
      <c r="I647" s="43">
        <v>5274</v>
      </c>
      <c r="J647" s="43">
        <v>5274</v>
      </c>
      <c r="K647" s="21">
        <v>1</v>
      </c>
      <c r="L647" s="43">
        <v>5284</v>
      </c>
      <c r="M647" s="43">
        <v>5304</v>
      </c>
      <c r="N647" s="43">
        <v>5303</v>
      </c>
      <c r="O647" s="21" t="s">
        <v>3888</v>
      </c>
      <c r="P647" s="194" t="str">
        <f t="shared" si="129"/>
        <v>1</v>
      </c>
      <c r="Q647" s="21">
        <v>1</v>
      </c>
      <c r="R647" s="39" t="str">
        <f t="shared" si="120"/>
        <v>-</v>
      </c>
      <c r="S647" s="120">
        <f t="shared" si="121"/>
        <v>1677032</v>
      </c>
      <c r="T647" s="123">
        <v>1981854</v>
      </c>
      <c r="U647" s="123">
        <f>T647-196573-3943-106977</f>
        <v>1674361</v>
      </c>
      <c r="V647" s="123">
        <f t="shared" si="110"/>
        <v>307493</v>
      </c>
      <c r="W647" s="122" t="str">
        <f t="shared" si="125"/>
        <v>1</v>
      </c>
      <c r="X647" s="123">
        <f>Y647+10000+4136+40686</f>
        <v>304822</v>
      </c>
      <c r="Y647" s="123">
        <f t="shared" si="128"/>
        <v>250000</v>
      </c>
      <c r="Z647" s="123">
        <f t="shared" si="126"/>
        <v>54822</v>
      </c>
      <c r="AA647" s="122" t="str">
        <f t="shared" si="127"/>
        <v>1</v>
      </c>
      <c r="AB647" s="120">
        <f t="shared" si="123"/>
        <v>250000</v>
      </c>
      <c r="AC647" s="123">
        <v>0</v>
      </c>
      <c r="AD647" s="123">
        <v>250000</v>
      </c>
      <c r="AE647" s="123">
        <v>106977</v>
      </c>
      <c r="AG647" s="151">
        <f t="shared" si="124"/>
        <v>153066</v>
      </c>
      <c r="AH647" s="123">
        <v>163066</v>
      </c>
      <c r="AJ647" s="123">
        <v>63750</v>
      </c>
      <c r="AL647" s="123">
        <v>10000</v>
      </c>
      <c r="AO647" s="123">
        <f>25000+750000</f>
        <v>775000</v>
      </c>
    </row>
    <row r="648" spans="1:41" s="123" customFormat="1" ht="16.2" thickBot="1" x14ac:dyDescent="0.35">
      <c r="A648" s="21"/>
      <c r="B648" s="212" t="s">
        <v>163</v>
      </c>
      <c r="C648" s="31" t="str">
        <f>VLOOKUP((CONCATENATE(B648)),ID!$A$2:$D$305,3,0)</f>
        <v>IC009</v>
      </c>
      <c r="D648" s="21">
        <v>1</v>
      </c>
      <c r="E648" s="21" t="s">
        <v>3876</v>
      </c>
      <c r="F648" s="21" t="s">
        <v>3880</v>
      </c>
      <c r="G648" s="21" t="s">
        <v>3853</v>
      </c>
      <c r="H648" s="88">
        <v>3743</v>
      </c>
      <c r="I648" s="43">
        <v>3814</v>
      </c>
      <c r="J648" s="43">
        <v>3813</v>
      </c>
      <c r="K648" s="21">
        <v>1</v>
      </c>
      <c r="L648" s="43">
        <v>3817</v>
      </c>
      <c r="M648" s="43">
        <v>3846</v>
      </c>
      <c r="N648" s="43">
        <v>3832</v>
      </c>
      <c r="O648" s="21" t="s">
        <v>3879</v>
      </c>
      <c r="P648" s="194" t="str">
        <f t="shared" si="129"/>
        <v>1</v>
      </c>
      <c r="Q648" s="21">
        <v>1</v>
      </c>
      <c r="R648" s="39" t="str">
        <f t="shared" si="120"/>
        <v>-</v>
      </c>
      <c r="S648" s="120">
        <f t="shared" si="121"/>
        <v>3643015</v>
      </c>
      <c r="T648" s="123">
        <v>5382580</v>
      </c>
      <c r="U648" s="123">
        <f>T648-19062-17856-517700-663022</f>
        <v>4164940</v>
      </c>
      <c r="V648" s="123">
        <f t="shared" si="110"/>
        <v>1217640</v>
      </c>
      <c r="W648" s="122" t="str">
        <f t="shared" si="125"/>
        <v>1</v>
      </c>
      <c r="X648" s="123">
        <f>Y648+3524+721274</f>
        <v>1739565</v>
      </c>
      <c r="Y648" s="123">
        <v>1014767</v>
      </c>
      <c r="Z648" s="123">
        <f t="shared" si="126"/>
        <v>724798</v>
      </c>
      <c r="AA648" s="122" t="str">
        <f t="shared" si="127"/>
        <v>1</v>
      </c>
      <c r="AB648" s="120">
        <f t="shared" si="123"/>
        <v>1018292</v>
      </c>
      <c r="AC648" s="123">
        <v>0</v>
      </c>
      <c r="AD648" s="123">
        <v>1018292</v>
      </c>
      <c r="AG648" s="151">
        <f t="shared" si="124"/>
        <v>202018</v>
      </c>
      <c r="AH648" s="123">
        <v>289489</v>
      </c>
      <c r="AJ648" s="123">
        <v>80462</v>
      </c>
      <c r="AL648" s="123">
        <v>87471</v>
      </c>
      <c r="AO648" s="123">
        <f>1160000+953000+159550</f>
        <v>2272550</v>
      </c>
    </row>
    <row r="649" spans="1:41" s="123" customFormat="1" ht="16.2" thickBot="1" x14ac:dyDescent="0.35">
      <c r="A649" s="21">
        <v>100.1</v>
      </c>
      <c r="B649" s="212" t="s">
        <v>163</v>
      </c>
      <c r="C649" s="31" t="str">
        <f>VLOOKUP((CONCATENATE(B649)),ID!$A$2:$D$305,3,0)</f>
        <v>IC009</v>
      </c>
      <c r="D649" s="21">
        <v>1</v>
      </c>
      <c r="E649" s="21" t="s">
        <v>3876</v>
      </c>
      <c r="F649" s="21" t="s">
        <v>3880</v>
      </c>
      <c r="G649" s="21" t="s">
        <v>3853</v>
      </c>
      <c r="H649" s="88">
        <v>4108</v>
      </c>
      <c r="I649" s="43">
        <v>4184</v>
      </c>
      <c r="J649" s="43">
        <v>4183</v>
      </c>
      <c r="K649" s="21">
        <v>1</v>
      </c>
      <c r="L649" s="43">
        <v>4184</v>
      </c>
      <c r="M649" s="43">
        <v>4213</v>
      </c>
      <c r="N649" s="43">
        <v>4199</v>
      </c>
      <c r="O649" s="21" t="s">
        <v>3879</v>
      </c>
      <c r="P649" s="194" t="str">
        <f t="shared" si="129"/>
        <v>1</v>
      </c>
      <c r="Q649" s="21">
        <v>1</v>
      </c>
      <c r="R649" s="39" t="str">
        <f t="shared" si="120"/>
        <v>-</v>
      </c>
      <c r="S649" s="120">
        <f t="shared" si="121"/>
        <v>3850539</v>
      </c>
      <c r="T649" s="123">
        <v>5826077</v>
      </c>
      <c r="U649" s="123">
        <v>4509537</v>
      </c>
      <c r="V649" s="123">
        <f t="shared" si="110"/>
        <v>1316540</v>
      </c>
      <c r="W649" s="122" t="str">
        <f t="shared" si="125"/>
        <v>1</v>
      </c>
      <c r="X649" s="123">
        <f>1183141+792397</f>
        <v>1975538</v>
      </c>
      <c r="Y649" s="123">
        <v>1176208</v>
      </c>
      <c r="Z649" s="123">
        <f t="shared" si="126"/>
        <v>799330</v>
      </c>
      <c r="AA649" s="122" t="str">
        <f t="shared" si="127"/>
        <v>1</v>
      </c>
      <c r="AB649" s="120">
        <f t="shared" si="123"/>
        <v>1183141</v>
      </c>
      <c r="AC649" s="123">
        <v>0</v>
      </c>
      <c r="AD649" s="123">
        <v>1183141</v>
      </c>
      <c r="AG649" s="151">
        <f t="shared" si="124"/>
        <v>212523</v>
      </c>
      <c r="AH649" s="123">
        <v>256820</v>
      </c>
      <c r="AJ649" s="123">
        <v>80462</v>
      </c>
      <c r="AL649" s="123">
        <v>44297</v>
      </c>
      <c r="AO649" s="123">
        <f>1160000+953000+160000</f>
        <v>2273000</v>
      </c>
    </row>
    <row r="650" spans="1:41" s="123" customFormat="1" ht="16.2" thickBot="1" x14ac:dyDescent="0.35">
      <c r="A650" s="21">
        <v>100.2</v>
      </c>
      <c r="B650" s="212" t="s">
        <v>163</v>
      </c>
      <c r="C650" s="31" t="str">
        <f>VLOOKUP((CONCATENATE(B650)),ID!$A$2:$D$305,3,0)</f>
        <v>IC009</v>
      </c>
      <c r="D650" s="21">
        <v>1</v>
      </c>
      <c r="E650" s="21" t="s">
        <v>3876</v>
      </c>
      <c r="F650" s="21" t="s">
        <v>3880</v>
      </c>
      <c r="G650" s="21" t="s">
        <v>3853</v>
      </c>
      <c r="H650" s="88">
        <v>4474</v>
      </c>
      <c r="I650" s="43">
        <v>4548</v>
      </c>
      <c r="J650" s="43">
        <v>4547</v>
      </c>
      <c r="K650" s="21">
        <v>1</v>
      </c>
      <c r="L650" s="43">
        <v>4548</v>
      </c>
      <c r="M650" s="43">
        <v>4577</v>
      </c>
      <c r="N650" s="43">
        <v>4560</v>
      </c>
      <c r="O650" s="21" t="s">
        <v>3879</v>
      </c>
      <c r="P650" s="194" t="str">
        <f t="shared" si="129"/>
        <v>1</v>
      </c>
      <c r="Q650" s="21">
        <v>1</v>
      </c>
      <c r="R650" s="39" t="str">
        <f t="shared" si="120"/>
        <v>-</v>
      </c>
      <c r="S650" s="120">
        <f t="shared" si="121"/>
        <v>3866253</v>
      </c>
      <c r="T650" s="123">
        <v>5963495</v>
      </c>
      <c r="U650" s="123">
        <v>4691294</v>
      </c>
      <c r="V650" s="123">
        <f t="shared" si="110"/>
        <v>1272201</v>
      </c>
      <c r="W650" s="122" t="str">
        <f t="shared" si="125"/>
        <v>1</v>
      </c>
      <c r="X650" s="123">
        <f>1297114+800128</f>
        <v>2097242</v>
      </c>
      <c r="Y650" s="123">
        <v>1289603</v>
      </c>
      <c r="Z650" s="123">
        <f t="shared" si="126"/>
        <v>807639</v>
      </c>
      <c r="AA650" s="122" t="str">
        <f t="shared" si="127"/>
        <v>1</v>
      </c>
      <c r="AB650" s="120">
        <f t="shared" si="123"/>
        <v>1297114</v>
      </c>
      <c r="AC650" s="123">
        <v>0</v>
      </c>
      <c r="AD650" s="123">
        <v>1297114</v>
      </c>
      <c r="AG650" s="151">
        <f t="shared" si="124"/>
        <v>227109</v>
      </c>
      <c r="AH650" s="123">
        <v>276749</v>
      </c>
      <c r="AJ650" s="123">
        <v>85575</v>
      </c>
      <c r="AL650" s="123">
        <v>49640</v>
      </c>
      <c r="AO650" s="123">
        <f>1160000+953000+160000</f>
        <v>2273000</v>
      </c>
    </row>
    <row r="651" spans="1:41" s="123" customFormat="1" ht="16.2" thickBot="1" x14ac:dyDescent="0.35">
      <c r="A651" s="21"/>
      <c r="B651" s="212" t="s">
        <v>163</v>
      </c>
      <c r="C651" s="31" t="str">
        <f>VLOOKUP((CONCATENATE(B651)),ID!$A$2:$D$305,3,0)</f>
        <v>IC009</v>
      </c>
      <c r="D651" s="21">
        <v>1</v>
      </c>
      <c r="E651" s="21" t="s">
        <v>3876</v>
      </c>
      <c r="F651" s="21" t="s">
        <v>3880</v>
      </c>
      <c r="G651" s="21" t="s">
        <v>3853</v>
      </c>
      <c r="H651" s="88">
        <v>4839</v>
      </c>
      <c r="I651" s="43">
        <v>4913</v>
      </c>
      <c r="J651" s="43">
        <v>4911</v>
      </c>
      <c r="K651" s="21">
        <v>1</v>
      </c>
      <c r="L651" s="43">
        <v>4916</v>
      </c>
      <c r="M651" s="43">
        <v>4945</v>
      </c>
      <c r="N651" s="43">
        <v>4931</v>
      </c>
      <c r="O651" s="21" t="s">
        <v>3879</v>
      </c>
      <c r="P651" s="194" t="str">
        <f t="shared" si="129"/>
        <v>1</v>
      </c>
      <c r="Q651" s="21">
        <v>1</v>
      </c>
      <c r="R651" s="39" t="str">
        <f t="shared" si="120"/>
        <v>-</v>
      </c>
      <c r="S651" s="120">
        <f t="shared" si="121"/>
        <v>4071429</v>
      </c>
      <c r="T651" s="123">
        <v>6761555</v>
      </c>
      <c r="U651" s="123">
        <v>4872809</v>
      </c>
      <c r="V651" s="123">
        <f t="shared" si="110"/>
        <v>1888746</v>
      </c>
      <c r="W651" s="122" t="str">
        <f t="shared" si="125"/>
        <v>1</v>
      </c>
      <c r="X651" s="123">
        <f>Y651+8245+1293590</f>
        <v>2690126</v>
      </c>
      <c r="Y651" s="123">
        <v>1388291</v>
      </c>
      <c r="Z651" s="123">
        <f t="shared" si="126"/>
        <v>1301835</v>
      </c>
      <c r="AA651" s="122" t="str">
        <f t="shared" si="127"/>
        <v>1</v>
      </c>
      <c r="AB651" s="120">
        <f t="shared" si="123"/>
        <v>1396536</v>
      </c>
      <c r="AC651" s="123">
        <v>0</v>
      </c>
      <c r="AD651" s="123">
        <v>1396536</v>
      </c>
      <c r="AG651" s="151">
        <f t="shared" si="124"/>
        <v>271902</v>
      </c>
      <c r="AH651" s="123">
        <v>327659</v>
      </c>
      <c r="AJ651" s="123">
        <v>85575</v>
      </c>
      <c r="AL651" s="123">
        <v>55757</v>
      </c>
      <c r="AO651" s="123">
        <f>1160000+953000+175000</f>
        <v>2288000</v>
      </c>
    </row>
    <row r="652" spans="1:41" s="123" customFormat="1" ht="16.2" thickBot="1" x14ac:dyDescent="0.35">
      <c r="A652" s="21"/>
      <c r="B652" s="212" t="s">
        <v>163</v>
      </c>
      <c r="C652" s="31" t="str">
        <f>VLOOKUP((CONCATENATE(B652)),ID!$A$2:$D$305,3,0)</f>
        <v>IC009</v>
      </c>
      <c r="D652" s="21">
        <v>1</v>
      </c>
      <c r="E652" s="21" t="s">
        <v>3876</v>
      </c>
      <c r="F652" s="21" t="s">
        <v>3880</v>
      </c>
      <c r="G652" s="21" t="s">
        <v>3853</v>
      </c>
      <c r="H652" s="88">
        <v>5204</v>
      </c>
      <c r="I652" s="43">
        <v>5280</v>
      </c>
      <c r="J652" s="43">
        <v>5279</v>
      </c>
      <c r="K652" s="21">
        <v>1</v>
      </c>
      <c r="L652" s="43">
        <v>5280</v>
      </c>
      <c r="M652" s="43">
        <v>5309</v>
      </c>
      <c r="N652" s="43">
        <v>5295</v>
      </c>
      <c r="O652" s="21" t="s">
        <v>3879</v>
      </c>
      <c r="P652" s="194" t="str">
        <f t="shared" si="129"/>
        <v>1</v>
      </c>
      <c r="Q652" s="21">
        <v>1</v>
      </c>
      <c r="R652" s="39" t="str">
        <f t="shared" si="120"/>
        <v>-</v>
      </c>
      <c r="S652" s="120">
        <f t="shared" si="121"/>
        <v>4175896</v>
      </c>
      <c r="T652" s="123">
        <v>6595554</v>
      </c>
      <c r="U652" s="123">
        <v>4895753</v>
      </c>
      <c r="V652" s="123">
        <f t="shared" si="110"/>
        <v>1699801</v>
      </c>
      <c r="W652" s="122" t="str">
        <f t="shared" si="125"/>
        <v>1</v>
      </c>
      <c r="X652" s="123">
        <f>Y652+10210+887352</f>
        <v>2419658</v>
      </c>
      <c r="Y652" s="123">
        <v>1522096</v>
      </c>
      <c r="Z652" s="123">
        <f t="shared" si="126"/>
        <v>897562</v>
      </c>
      <c r="AA652" s="122" t="str">
        <f t="shared" si="127"/>
        <v>1</v>
      </c>
      <c r="AB652" s="120">
        <f t="shared" si="123"/>
        <v>1532306</v>
      </c>
      <c r="AC652" s="123">
        <v>0</v>
      </c>
      <c r="AD652" s="123">
        <v>1532306</v>
      </c>
      <c r="AG652" s="151">
        <f t="shared" si="124"/>
        <v>377498</v>
      </c>
      <c r="AH652" s="123">
        <v>437834</v>
      </c>
      <c r="AJ652" s="123">
        <v>89325</v>
      </c>
      <c r="AL652" s="123">
        <v>60336</v>
      </c>
      <c r="AO652" s="123">
        <f>1160000+953000+175000</f>
        <v>2288000</v>
      </c>
    </row>
    <row r="653" spans="1:41" s="123" customFormat="1" ht="16.2" thickBot="1" x14ac:dyDescent="0.35">
      <c r="A653" s="21"/>
      <c r="B653" s="212" t="s">
        <v>243</v>
      </c>
      <c r="C653" s="31" t="str">
        <f>VLOOKUP((CONCATENATE(B653)),ID!$A$2:$D$305,3,0)</f>
        <v>IC010</v>
      </c>
      <c r="D653" s="21">
        <v>1</v>
      </c>
      <c r="E653" s="21" t="s">
        <v>3876</v>
      </c>
      <c r="F653" s="21" t="s">
        <v>3789</v>
      </c>
      <c r="G653" s="21" t="s">
        <v>3853</v>
      </c>
      <c r="H653" s="88">
        <v>3653</v>
      </c>
      <c r="I653" s="43">
        <v>3712</v>
      </c>
      <c r="J653" s="43">
        <v>3709</v>
      </c>
      <c r="K653" s="21">
        <v>0</v>
      </c>
      <c r="L653" s="43"/>
      <c r="M653" s="43"/>
      <c r="N653" s="43">
        <v>3726</v>
      </c>
      <c r="O653" s="21" t="s">
        <v>3889</v>
      </c>
      <c r="P653" s="194" t="str">
        <f t="shared" si="129"/>
        <v>1</v>
      </c>
      <c r="Q653" s="21">
        <v>1</v>
      </c>
      <c r="R653" s="39" t="str">
        <f t="shared" si="120"/>
        <v>-</v>
      </c>
      <c r="S653" s="120">
        <f t="shared" si="121"/>
        <v>2342416</v>
      </c>
      <c r="T653" s="123">
        <v>2451253</v>
      </c>
      <c r="U653" s="123">
        <f>1057636+866338</f>
        <v>1923974</v>
      </c>
      <c r="V653" s="123">
        <f t="shared" si="110"/>
        <v>527279</v>
      </c>
      <c r="W653" s="122" t="str">
        <f t="shared" si="125"/>
        <v>1</v>
      </c>
      <c r="X653" s="123">
        <f>108801+36</f>
        <v>108837</v>
      </c>
      <c r="Z653" s="123">
        <f t="shared" si="126"/>
        <v>108837</v>
      </c>
      <c r="AA653" s="122" t="str">
        <f t="shared" si="127"/>
        <v>1</v>
      </c>
      <c r="AB653" s="120">
        <f t="shared" si="123"/>
        <v>0</v>
      </c>
      <c r="AC653" s="123">
        <v>0</v>
      </c>
      <c r="AD653" s="123">
        <v>0</v>
      </c>
      <c r="AE653" s="123">
        <f>70921+700</f>
        <v>71621</v>
      </c>
      <c r="AG653" s="151">
        <f t="shared" si="124"/>
        <v>115659</v>
      </c>
      <c r="AH653" s="123">
        <v>115659</v>
      </c>
      <c r="AJ653" s="123">
        <v>18750</v>
      </c>
      <c r="AK653" s="123">
        <v>50000</v>
      </c>
      <c r="AO653" s="123">
        <v>175000</v>
      </c>
    </row>
    <row r="654" spans="1:41" s="123" customFormat="1" ht="16.2" thickBot="1" x14ac:dyDescent="0.35">
      <c r="A654" s="21">
        <v>101.1</v>
      </c>
      <c r="B654" s="212" t="s">
        <v>243</v>
      </c>
      <c r="C654" s="31" t="str">
        <f>VLOOKUP((CONCATENATE(B654)),ID!$A$2:$D$305,3,0)</f>
        <v>IC010</v>
      </c>
      <c r="D654" s="21">
        <v>1</v>
      </c>
      <c r="E654" s="21" t="s">
        <v>3876</v>
      </c>
      <c r="F654" s="21" t="s">
        <v>3789</v>
      </c>
      <c r="G654" s="21" t="s">
        <v>3853</v>
      </c>
      <c r="H654" s="88">
        <v>4018</v>
      </c>
      <c r="I654" s="43">
        <v>4078</v>
      </c>
      <c r="J654" s="43">
        <v>4077</v>
      </c>
      <c r="K654" s="21">
        <v>0</v>
      </c>
      <c r="L654" s="21"/>
      <c r="M654" s="21"/>
      <c r="N654" s="43">
        <v>4091</v>
      </c>
      <c r="O654" s="21" t="s">
        <v>3889</v>
      </c>
      <c r="P654" s="194" t="str">
        <f t="shared" si="129"/>
        <v>1</v>
      </c>
      <c r="Q654" s="21">
        <v>1</v>
      </c>
      <c r="R654" s="39" t="str">
        <f t="shared" si="120"/>
        <v>-</v>
      </c>
      <c r="S654" s="120">
        <f t="shared" si="121"/>
        <v>2234150</v>
      </c>
      <c r="T654" s="123">
        <v>2351986</v>
      </c>
      <c r="U654" s="123">
        <f>883370+942023</f>
        <v>1825393</v>
      </c>
      <c r="V654" s="123">
        <f t="shared" si="110"/>
        <v>526593</v>
      </c>
      <c r="W654" s="122" t="str">
        <f t="shared" si="125"/>
        <v>1</v>
      </c>
      <c r="X654" s="123">
        <f>117735+101</f>
        <v>117836</v>
      </c>
      <c r="Z654" s="123">
        <f t="shared" si="126"/>
        <v>117836</v>
      </c>
      <c r="AA654" s="122" t="str">
        <f t="shared" si="127"/>
        <v>1</v>
      </c>
      <c r="AB654" s="120">
        <f t="shared" si="123"/>
        <v>0</v>
      </c>
      <c r="AC654" s="123">
        <v>0</v>
      </c>
      <c r="AD654" s="123">
        <v>0</v>
      </c>
      <c r="AE654" s="123">
        <f>2644+491</f>
        <v>3135</v>
      </c>
      <c r="AG654" s="151">
        <f t="shared" si="124"/>
        <v>9233</v>
      </c>
      <c r="AH654" s="123">
        <v>9233</v>
      </c>
      <c r="AJ654" s="123">
        <v>18750</v>
      </c>
      <c r="AK654" s="123">
        <v>20000</v>
      </c>
      <c r="AO654" s="123">
        <v>175000</v>
      </c>
    </row>
    <row r="655" spans="1:41" s="123" customFormat="1" ht="16.2" thickBot="1" x14ac:dyDescent="0.35">
      <c r="A655" s="21">
        <v>101.2</v>
      </c>
      <c r="B655" s="212" t="s">
        <v>243</v>
      </c>
      <c r="C655" s="31" t="str">
        <f>VLOOKUP((CONCATENATE(B655)),ID!$A$2:$D$305,3,0)</f>
        <v>IC010</v>
      </c>
      <c r="D655" s="21">
        <v>1</v>
      </c>
      <c r="E655" s="21" t="s">
        <v>3876</v>
      </c>
      <c r="F655" s="21" t="s">
        <v>3789</v>
      </c>
      <c r="G655" s="21" t="s">
        <v>3853</v>
      </c>
      <c r="H655" s="88">
        <v>4383</v>
      </c>
      <c r="I655" s="43">
        <v>4443</v>
      </c>
      <c r="J655" s="43">
        <v>4440</v>
      </c>
      <c r="K655" s="21">
        <v>0</v>
      </c>
      <c r="L655" s="21"/>
      <c r="M655" s="21"/>
      <c r="N655" s="43">
        <v>4457</v>
      </c>
      <c r="O655" s="21" t="s">
        <v>3889</v>
      </c>
      <c r="P655" s="194" t="str">
        <f t="shared" si="129"/>
        <v>1</v>
      </c>
      <c r="Q655" s="21">
        <v>1</v>
      </c>
      <c r="R655" s="39" t="str">
        <f t="shared" si="120"/>
        <v>-</v>
      </c>
      <c r="S655" s="120">
        <f t="shared" si="121"/>
        <v>2192205</v>
      </c>
      <c r="T655" s="123">
        <v>2278956</v>
      </c>
      <c r="U655" s="123">
        <f>942605+672930</f>
        <v>1615535</v>
      </c>
      <c r="V655" s="123">
        <f t="shared" si="110"/>
        <v>663421</v>
      </c>
      <c r="W655" s="122" t="str">
        <f t="shared" si="125"/>
        <v>1</v>
      </c>
      <c r="X655" s="123">
        <f>86649+102</f>
        <v>86751</v>
      </c>
      <c r="Z655" s="123">
        <f t="shared" si="126"/>
        <v>86751</v>
      </c>
      <c r="AA655" s="122" t="str">
        <f t="shared" si="127"/>
        <v>1</v>
      </c>
      <c r="AB655" s="120">
        <f t="shared" si="123"/>
        <v>0</v>
      </c>
      <c r="AC655" s="123">
        <v>0</v>
      </c>
      <c r="AD655" s="123">
        <v>0</v>
      </c>
      <c r="AE655" s="123">
        <f>17112+370</f>
        <v>17482</v>
      </c>
      <c r="AG655" s="151">
        <f t="shared" si="124"/>
        <v>45554</v>
      </c>
      <c r="AH655" s="123">
        <v>45554</v>
      </c>
      <c r="AJ655" s="123">
        <v>18750</v>
      </c>
      <c r="AK655" s="123">
        <v>20000</v>
      </c>
      <c r="AO655" s="123">
        <v>175000</v>
      </c>
    </row>
    <row r="656" spans="1:41" s="123" customFormat="1" ht="16.2" thickBot="1" x14ac:dyDescent="0.35">
      <c r="A656" s="21"/>
      <c r="B656" s="212" t="s">
        <v>243</v>
      </c>
      <c r="C656" s="31" t="str">
        <f>VLOOKUP((CONCATENATE(B656)),ID!$A$2:$D$305,3,0)</f>
        <v>IC010</v>
      </c>
      <c r="D656" s="21">
        <v>1</v>
      </c>
      <c r="E656" s="21" t="s">
        <v>3876</v>
      </c>
      <c r="F656" s="21" t="s">
        <v>3789</v>
      </c>
      <c r="G656" s="21" t="s">
        <v>3853</v>
      </c>
      <c r="H656" s="88">
        <v>4749</v>
      </c>
      <c r="I656" s="43">
        <v>4808</v>
      </c>
      <c r="J656" s="43">
        <v>4807</v>
      </c>
      <c r="K656" s="21">
        <v>0</v>
      </c>
      <c r="L656" s="21"/>
      <c r="M656" s="21"/>
      <c r="N656" s="43">
        <v>4822</v>
      </c>
      <c r="O656" s="21" t="s">
        <v>3889</v>
      </c>
      <c r="P656" s="194" t="str">
        <f t="shared" si="129"/>
        <v>1</v>
      </c>
      <c r="Q656" s="21">
        <v>1</v>
      </c>
      <c r="R656" s="39" t="str">
        <f t="shared" si="120"/>
        <v>-</v>
      </c>
      <c r="S656" s="120">
        <f t="shared" si="121"/>
        <v>2220812</v>
      </c>
      <c r="T656" s="123">
        <v>2449094</v>
      </c>
      <c r="U656" s="123">
        <f>661168+930980</f>
        <v>1592148</v>
      </c>
      <c r="V656" s="123">
        <f t="shared" si="110"/>
        <v>856946</v>
      </c>
      <c r="W656" s="122" t="str">
        <f t="shared" si="125"/>
        <v>1</v>
      </c>
      <c r="X656" s="123">
        <f>253+228029</f>
        <v>228282</v>
      </c>
      <c r="Z656" s="123">
        <f t="shared" si="126"/>
        <v>228282</v>
      </c>
      <c r="AA656" s="122" t="str">
        <f t="shared" si="127"/>
        <v>1</v>
      </c>
      <c r="AB656" s="120">
        <f t="shared" si="123"/>
        <v>0</v>
      </c>
      <c r="AC656" s="123">
        <v>0</v>
      </c>
      <c r="AD656" s="123">
        <v>0</v>
      </c>
      <c r="AE656" s="123">
        <f>934+371</f>
        <v>1305</v>
      </c>
      <c r="AG656" s="151">
        <f t="shared" si="124"/>
        <v>116106</v>
      </c>
      <c r="AH656" s="123">
        <v>116106</v>
      </c>
      <c r="AJ656" s="123">
        <v>18750</v>
      </c>
      <c r="AK656" s="123">
        <v>20000</v>
      </c>
      <c r="AO656" s="123">
        <v>175000</v>
      </c>
    </row>
    <row r="657" spans="1:41" s="123" customFormat="1" ht="16.2" thickBot="1" x14ac:dyDescent="0.35">
      <c r="A657" s="21"/>
      <c r="B657" s="212" t="s">
        <v>243</v>
      </c>
      <c r="C657" s="31" t="str">
        <f>VLOOKUP((CONCATENATE(B657)),ID!$A$2:$D$305,3,0)</f>
        <v>IC010</v>
      </c>
      <c r="D657" s="21">
        <v>1</v>
      </c>
      <c r="E657" s="21" t="s">
        <v>3876</v>
      </c>
      <c r="F657" s="21" t="s">
        <v>3789</v>
      </c>
      <c r="G657" s="21" t="s">
        <v>3853</v>
      </c>
      <c r="H657" s="88">
        <v>5114</v>
      </c>
      <c r="I657" s="43">
        <v>5173</v>
      </c>
      <c r="J657" s="43">
        <v>5171</v>
      </c>
      <c r="K657" s="21">
        <v>1</v>
      </c>
      <c r="L657" s="43">
        <v>5175</v>
      </c>
      <c r="M657" s="43">
        <v>5187</v>
      </c>
      <c r="N657" s="43">
        <v>5185</v>
      </c>
      <c r="O657" s="21" t="s">
        <v>3889</v>
      </c>
      <c r="P657" s="194" t="str">
        <f t="shared" si="129"/>
        <v>1</v>
      </c>
      <c r="Q657" s="21">
        <v>1</v>
      </c>
      <c r="R657" s="39" t="str">
        <f t="shared" si="120"/>
        <v>-</v>
      </c>
      <c r="S657" s="120">
        <f t="shared" si="121"/>
        <v>2289201</v>
      </c>
      <c r="T657" s="123">
        <v>2499340</v>
      </c>
      <c r="U657" s="123">
        <f>567561+923915</f>
        <v>1491476</v>
      </c>
      <c r="V657" s="123">
        <f t="shared" si="110"/>
        <v>1007864</v>
      </c>
      <c r="W657" s="122" t="str">
        <f t="shared" si="125"/>
        <v>1</v>
      </c>
      <c r="X657" s="123">
        <f>105+210034</f>
        <v>210139</v>
      </c>
      <c r="Z657" s="123">
        <f t="shared" si="126"/>
        <v>210139</v>
      </c>
      <c r="AA657" s="122" t="str">
        <f t="shared" si="127"/>
        <v>1</v>
      </c>
      <c r="AB657" s="120">
        <f t="shared" si="123"/>
        <v>0</v>
      </c>
      <c r="AC657" s="123">
        <v>0</v>
      </c>
      <c r="AD657" s="123">
        <v>0</v>
      </c>
      <c r="AE657" s="123">
        <f>678+444</f>
        <v>1122</v>
      </c>
      <c r="AG657" s="151">
        <f t="shared" si="124"/>
        <v>140889</v>
      </c>
      <c r="AH657" s="123">
        <v>140889</v>
      </c>
      <c r="AJ657" s="123">
        <v>18750</v>
      </c>
      <c r="AK657" s="123">
        <v>25000</v>
      </c>
      <c r="AO657" s="123">
        <v>175000</v>
      </c>
    </row>
    <row r="658" spans="1:41" s="123" customFormat="1" ht="16.2" thickBot="1" x14ac:dyDescent="0.35">
      <c r="A658" s="21"/>
      <c r="B658" s="212" t="s">
        <v>255</v>
      </c>
      <c r="C658" s="31" t="str">
        <f>VLOOKUP((CONCATENATE(B658)),ID!$A$2:$D$305,3,0)</f>
        <v>IC011</v>
      </c>
      <c r="D658" s="21">
        <v>1</v>
      </c>
      <c r="E658" s="21" t="s">
        <v>3876</v>
      </c>
      <c r="F658" s="21" t="s">
        <v>3891</v>
      </c>
      <c r="G658" s="21" t="s">
        <v>3853</v>
      </c>
      <c r="H658" s="88">
        <v>3834</v>
      </c>
      <c r="I658" s="43">
        <v>3906</v>
      </c>
      <c r="J658" s="43">
        <v>3906</v>
      </c>
      <c r="K658" s="21">
        <v>1</v>
      </c>
      <c r="L658" s="43">
        <v>3912</v>
      </c>
      <c r="M658" s="43">
        <v>3927</v>
      </c>
      <c r="N658" s="43">
        <v>3918</v>
      </c>
      <c r="O658" s="21" t="s">
        <v>3890</v>
      </c>
      <c r="P658" s="194" t="str">
        <f t="shared" si="129"/>
        <v>1</v>
      </c>
      <c r="Q658" s="21">
        <v>1</v>
      </c>
      <c r="R658" s="39" t="str">
        <f t="shared" si="120"/>
        <v>-</v>
      </c>
      <c r="S658" s="120">
        <f t="shared" si="121"/>
        <v>1245145</v>
      </c>
      <c r="T658" s="123">
        <v>1503462</v>
      </c>
      <c r="U658" s="123">
        <f>757668+87709</f>
        <v>845377</v>
      </c>
      <c r="V658" s="123">
        <f t="shared" si="110"/>
        <v>658085</v>
      </c>
      <c r="W658" s="122" t="str">
        <f t="shared" si="125"/>
        <v>1</v>
      </c>
      <c r="X658" s="123">
        <f>Y658+91917</f>
        <v>258317</v>
      </c>
      <c r="Y658" s="123">
        <f t="shared" ref="Y658:Y667" si="130">AB658</f>
        <v>166400</v>
      </c>
      <c r="Z658" s="123">
        <f t="shared" si="126"/>
        <v>91917</v>
      </c>
      <c r="AA658" s="122" t="str">
        <f t="shared" si="127"/>
        <v>1</v>
      </c>
      <c r="AB658" s="120">
        <f t="shared" si="123"/>
        <v>166400</v>
      </c>
      <c r="AC658" s="123">
        <v>0</v>
      </c>
      <c r="AD658" s="123">
        <f>145400+21000</f>
        <v>166400</v>
      </c>
      <c r="AG658" s="151">
        <f t="shared" si="124"/>
        <v>66617</v>
      </c>
      <c r="AH658" s="123">
        <v>66617</v>
      </c>
      <c r="AJ658" s="123">
        <v>14242</v>
      </c>
      <c r="AO658" s="123">
        <f>50000+122000</f>
        <v>172000</v>
      </c>
    </row>
    <row r="659" spans="1:41" s="123" customFormat="1" ht="16.2" thickBot="1" x14ac:dyDescent="0.35">
      <c r="A659" s="21">
        <v>102.1</v>
      </c>
      <c r="B659" s="212" t="s">
        <v>255</v>
      </c>
      <c r="C659" s="31" t="str">
        <f>VLOOKUP((CONCATENATE(B659)),ID!$A$2:$D$305,3,0)</f>
        <v>IC011</v>
      </c>
      <c r="D659" s="21">
        <v>1</v>
      </c>
      <c r="E659" s="21" t="s">
        <v>3876</v>
      </c>
      <c r="F659" s="21" t="s">
        <v>3891</v>
      </c>
      <c r="G659" s="21" t="s">
        <v>3853</v>
      </c>
      <c r="H659" s="88">
        <v>4199</v>
      </c>
      <c r="I659" s="43">
        <v>4277</v>
      </c>
      <c r="J659" s="43">
        <v>4273</v>
      </c>
      <c r="K659" s="21">
        <v>1</v>
      </c>
      <c r="L659" s="43">
        <v>4281</v>
      </c>
      <c r="M659" s="43">
        <v>4294</v>
      </c>
      <c r="N659" s="43">
        <v>4287</v>
      </c>
      <c r="O659" s="21" t="s">
        <v>3890</v>
      </c>
      <c r="P659" s="194" t="str">
        <f t="shared" si="129"/>
        <v>1</v>
      </c>
      <c r="Q659" s="21">
        <v>1</v>
      </c>
      <c r="R659" s="39" t="str">
        <f t="shared" si="120"/>
        <v>-</v>
      </c>
      <c r="S659" s="120">
        <f t="shared" si="121"/>
        <v>1369535</v>
      </c>
      <c r="T659" s="123">
        <v>1614113</v>
      </c>
      <c r="U659" s="123">
        <f>759043+118664+12158</f>
        <v>889865</v>
      </c>
      <c r="V659" s="123">
        <f t="shared" si="110"/>
        <v>724248</v>
      </c>
      <c r="W659" s="122" t="str">
        <f t="shared" si="125"/>
        <v>1</v>
      </c>
      <c r="X659" s="123">
        <f>Y659+78178</f>
        <v>244578</v>
      </c>
      <c r="Y659" s="123">
        <f t="shared" si="130"/>
        <v>166400</v>
      </c>
      <c r="Z659" s="123">
        <f t="shared" si="126"/>
        <v>78178</v>
      </c>
      <c r="AA659" s="122" t="str">
        <f t="shared" si="127"/>
        <v>1</v>
      </c>
      <c r="AB659" s="120">
        <f t="shared" si="123"/>
        <v>166400</v>
      </c>
      <c r="AC659" s="123">
        <v>0</v>
      </c>
      <c r="AD659" s="123">
        <f>145400+21000</f>
        <v>166400</v>
      </c>
      <c r="AG659" s="151">
        <f t="shared" si="124"/>
        <v>70977</v>
      </c>
      <c r="AH659" s="123">
        <v>70977</v>
      </c>
      <c r="AJ659" s="123">
        <v>15678</v>
      </c>
      <c r="AO659" s="123">
        <f>50000+28000+122000</f>
        <v>200000</v>
      </c>
    </row>
    <row r="660" spans="1:41" s="123" customFormat="1" ht="16.2" thickBot="1" x14ac:dyDescent="0.35">
      <c r="A660" s="21">
        <v>102.2</v>
      </c>
      <c r="B660" s="212" t="s">
        <v>255</v>
      </c>
      <c r="C660" s="31" t="str">
        <f>VLOOKUP((CONCATENATE(B660)),ID!$A$2:$D$305,3,0)</f>
        <v>IC011</v>
      </c>
      <c r="D660" s="21">
        <v>1</v>
      </c>
      <c r="E660" s="21" t="s">
        <v>3876</v>
      </c>
      <c r="F660" s="21" t="s">
        <v>3891</v>
      </c>
      <c r="G660" s="21" t="s">
        <v>3853</v>
      </c>
      <c r="H660" s="88">
        <v>4565</v>
      </c>
      <c r="I660" s="43">
        <v>4647</v>
      </c>
      <c r="J660" s="43">
        <v>4636</v>
      </c>
      <c r="K660" s="21">
        <v>1</v>
      </c>
      <c r="L660" s="43">
        <v>4643</v>
      </c>
      <c r="M660" s="43">
        <v>4658</v>
      </c>
      <c r="N660" s="43">
        <v>4657</v>
      </c>
      <c r="O660" s="21" t="s">
        <v>3890</v>
      </c>
      <c r="P660" s="194" t="str">
        <f t="shared" si="129"/>
        <v>1</v>
      </c>
      <c r="Q660" s="21">
        <v>1</v>
      </c>
      <c r="R660" s="39" t="str">
        <f t="shared" si="120"/>
        <v>-</v>
      </c>
      <c r="S660" s="120">
        <f t="shared" si="121"/>
        <v>1411973</v>
      </c>
      <c r="T660" s="123">
        <v>1688195</v>
      </c>
      <c r="U660" s="123">
        <f>145557+754070</f>
        <v>899627</v>
      </c>
      <c r="V660" s="123">
        <f t="shared" si="110"/>
        <v>788568</v>
      </c>
      <c r="W660" s="122" t="str">
        <f t="shared" si="125"/>
        <v>1</v>
      </c>
      <c r="X660" s="123">
        <f>142900+21000+112322</f>
        <v>276222</v>
      </c>
      <c r="Y660" s="123">
        <f t="shared" si="130"/>
        <v>163900</v>
      </c>
      <c r="Z660" s="123">
        <f t="shared" si="126"/>
        <v>112322</v>
      </c>
      <c r="AA660" s="122" t="str">
        <f t="shared" si="127"/>
        <v>1</v>
      </c>
      <c r="AB660" s="120">
        <f t="shared" si="123"/>
        <v>163900</v>
      </c>
      <c r="AC660" s="123">
        <v>0</v>
      </c>
      <c r="AD660" s="123">
        <f>142900+21000</f>
        <v>163900</v>
      </c>
      <c r="AG660" s="151">
        <f t="shared" si="124"/>
        <v>78141</v>
      </c>
      <c r="AH660" s="123">
        <v>78141</v>
      </c>
      <c r="AJ660" s="123">
        <v>19633</v>
      </c>
      <c r="AO660" s="123">
        <f>50000+28000+122000</f>
        <v>200000</v>
      </c>
    </row>
    <row r="661" spans="1:41" s="123" customFormat="1" ht="16.2" thickBot="1" x14ac:dyDescent="0.35">
      <c r="A661" s="21"/>
      <c r="B661" s="212" t="s">
        <v>255</v>
      </c>
      <c r="C661" s="31" t="str">
        <f>VLOOKUP((CONCATENATE(B661)),ID!$A$2:$D$305,3,0)</f>
        <v>IC011</v>
      </c>
      <c r="D661" s="21">
        <v>1</v>
      </c>
      <c r="E661" s="21" t="s">
        <v>3876</v>
      </c>
      <c r="F661" s="21" t="s">
        <v>3891</v>
      </c>
      <c r="G661" s="21" t="s">
        <v>3853</v>
      </c>
      <c r="H661" s="88">
        <v>4930</v>
      </c>
      <c r="I661" s="43">
        <v>5012</v>
      </c>
      <c r="J661" s="43">
        <v>43723</v>
      </c>
      <c r="K661" s="21">
        <v>1</v>
      </c>
      <c r="L661" s="43">
        <v>5008</v>
      </c>
      <c r="M661" s="43">
        <v>5023</v>
      </c>
      <c r="N661" s="43">
        <v>5021</v>
      </c>
      <c r="O661" s="21" t="s">
        <v>3890</v>
      </c>
      <c r="P661" s="194" t="str">
        <f t="shared" si="129"/>
        <v>1</v>
      </c>
      <c r="Q661" s="21">
        <v>1</v>
      </c>
      <c r="R661" s="39" t="str">
        <f t="shared" si="120"/>
        <v>-</v>
      </c>
      <c r="S661" s="120">
        <f t="shared" si="121"/>
        <v>1456943</v>
      </c>
      <c r="T661" s="123">
        <v>1750242</v>
      </c>
      <c r="U661" s="123">
        <f>754699+338399</f>
        <v>1093098</v>
      </c>
      <c r="V661" s="123">
        <f t="shared" si="110"/>
        <v>657144</v>
      </c>
      <c r="W661" s="122" t="str">
        <f t="shared" si="125"/>
        <v>1</v>
      </c>
      <c r="X661" s="123">
        <f>Y661+124899</f>
        <v>293299</v>
      </c>
      <c r="Y661" s="123">
        <f t="shared" si="130"/>
        <v>168400</v>
      </c>
      <c r="Z661" s="123">
        <f t="shared" si="126"/>
        <v>124899</v>
      </c>
      <c r="AA661" s="122" t="str">
        <f t="shared" si="127"/>
        <v>1</v>
      </c>
      <c r="AB661" s="120">
        <f t="shared" si="123"/>
        <v>168400</v>
      </c>
      <c r="AC661" s="123">
        <v>0</v>
      </c>
      <c r="AD661" s="123">
        <f>21000+147400</f>
        <v>168400</v>
      </c>
      <c r="AG661" s="151">
        <f t="shared" si="124"/>
        <v>118870</v>
      </c>
      <c r="AH661" s="123">
        <v>118870</v>
      </c>
      <c r="AJ661" s="123">
        <v>28250</v>
      </c>
      <c r="AO661" s="123">
        <f>50000+28000+122000</f>
        <v>200000</v>
      </c>
    </row>
    <row r="662" spans="1:41" s="123" customFormat="1" ht="16.2" thickBot="1" x14ac:dyDescent="0.35">
      <c r="A662" s="21"/>
      <c r="B662" s="212" t="s">
        <v>255</v>
      </c>
      <c r="C662" s="31" t="str">
        <f>VLOOKUP((CONCATENATE(B662)),ID!$A$2:$D$305,3,0)</f>
        <v>IC011</v>
      </c>
      <c r="D662" s="21">
        <v>1</v>
      </c>
      <c r="E662" s="21" t="s">
        <v>3876</v>
      </c>
      <c r="F662" s="21" t="s">
        <v>3891</v>
      </c>
      <c r="G662" s="21" t="s">
        <v>3853</v>
      </c>
      <c r="H662" s="88">
        <v>5295</v>
      </c>
      <c r="I662" s="43">
        <v>5376</v>
      </c>
      <c r="J662" s="43">
        <v>5372</v>
      </c>
      <c r="K662" s="21">
        <v>1</v>
      </c>
      <c r="L662" s="43">
        <v>5373</v>
      </c>
      <c r="M662" s="43">
        <v>5388</v>
      </c>
      <c r="N662" s="43">
        <v>5386</v>
      </c>
      <c r="O662" s="21" t="s">
        <v>3890</v>
      </c>
      <c r="P662" s="194" t="str">
        <f t="shared" si="129"/>
        <v>1</v>
      </c>
      <c r="Q662" s="21">
        <v>1</v>
      </c>
      <c r="R662" s="39" t="str">
        <f t="shared" si="120"/>
        <v>-</v>
      </c>
      <c r="S662" s="120">
        <f t="shared" si="121"/>
        <v>1475483</v>
      </c>
      <c r="T662" s="123">
        <v>1830716</v>
      </c>
      <c r="U662" s="123">
        <f>752993+386778</f>
        <v>1139771</v>
      </c>
      <c r="V662" s="123">
        <f t="shared" si="110"/>
        <v>690945</v>
      </c>
      <c r="W662" s="122" t="str">
        <f t="shared" si="125"/>
        <v>1</v>
      </c>
      <c r="X662" s="123">
        <f>Y662+84233</f>
        <v>355233</v>
      </c>
      <c r="Y662" s="123">
        <f t="shared" si="130"/>
        <v>271000</v>
      </c>
      <c r="Z662" s="123">
        <f t="shared" si="126"/>
        <v>84233</v>
      </c>
      <c r="AA662" s="122" t="str">
        <f t="shared" si="127"/>
        <v>1</v>
      </c>
      <c r="AB662" s="120">
        <f t="shared" si="123"/>
        <v>271000</v>
      </c>
      <c r="AC662" s="123">
        <v>0</v>
      </c>
      <c r="AD662" s="123">
        <f>21000+250000</f>
        <v>271000</v>
      </c>
      <c r="AG662" s="151">
        <f t="shared" si="124"/>
        <v>98812</v>
      </c>
      <c r="AH662" s="123">
        <v>98812</v>
      </c>
      <c r="AJ662" s="123">
        <v>25377</v>
      </c>
      <c r="AO662" s="123">
        <f>50000+28000+122000</f>
        <v>200000</v>
      </c>
    </row>
    <row r="663" spans="1:41" s="123" customFormat="1" ht="16.2" thickBot="1" x14ac:dyDescent="0.35">
      <c r="A663" s="21"/>
      <c r="B663" s="212" t="s">
        <v>256</v>
      </c>
      <c r="C663" s="31" t="str">
        <f>VLOOKUP((CONCATENATE(B663)),ID!$A$2:$D$305,3,0)</f>
        <v>IC012</v>
      </c>
      <c r="D663" s="21">
        <v>1</v>
      </c>
      <c r="E663" s="21" t="s">
        <v>3876</v>
      </c>
      <c r="F663" s="21" t="s">
        <v>3892</v>
      </c>
      <c r="G663" s="21" t="s">
        <v>3853</v>
      </c>
      <c r="H663" s="88">
        <v>3773</v>
      </c>
      <c r="I663" s="43">
        <v>3801</v>
      </c>
      <c r="J663" s="43">
        <v>3798</v>
      </c>
      <c r="K663" s="21">
        <v>1</v>
      </c>
      <c r="L663" s="43">
        <v>3799</v>
      </c>
      <c r="M663" s="43">
        <v>3812</v>
      </c>
      <c r="N663" s="43">
        <v>3812</v>
      </c>
      <c r="O663" s="21" t="s">
        <v>3733</v>
      </c>
      <c r="P663" s="194" t="str">
        <f t="shared" si="129"/>
        <v>1</v>
      </c>
      <c r="Q663" s="21">
        <v>1</v>
      </c>
      <c r="R663" s="39" t="str">
        <f t="shared" si="120"/>
        <v>-</v>
      </c>
      <c r="S663" s="120">
        <f t="shared" si="121"/>
        <v>1271387</v>
      </c>
      <c r="T663" s="123">
        <v>2107826</v>
      </c>
      <c r="U663" s="123">
        <f>1495320+1117+261172</f>
        <v>1757609</v>
      </c>
      <c r="V663" s="123">
        <f t="shared" si="110"/>
        <v>350217</v>
      </c>
      <c r="W663" s="122" t="str">
        <f t="shared" si="125"/>
        <v>1</v>
      </c>
      <c r="X663" s="123">
        <f>Y663+23940+12453+189225+22699+63122</f>
        <v>836439</v>
      </c>
      <c r="Y663" s="123">
        <f t="shared" si="130"/>
        <v>525000</v>
      </c>
      <c r="Z663" s="123">
        <f t="shared" si="126"/>
        <v>311439</v>
      </c>
      <c r="AA663" s="122" t="str">
        <f t="shared" si="127"/>
        <v>1</v>
      </c>
      <c r="AB663" s="120">
        <f t="shared" si="123"/>
        <v>525000</v>
      </c>
      <c r="AC663" s="123">
        <v>0</v>
      </c>
      <c r="AD663" s="123">
        <v>525000</v>
      </c>
      <c r="AE663" s="123">
        <v>714</v>
      </c>
      <c r="AG663" s="151">
        <f t="shared" si="124"/>
        <v>151084</v>
      </c>
      <c r="AH663" s="123">
        <f>207759-AK663</f>
        <v>173334</v>
      </c>
      <c r="AJ663" s="123">
        <v>21000</v>
      </c>
      <c r="AK663" s="123">
        <v>34425</v>
      </c>
      <c r="AL663" s="123">
        <v>22250</v>
      </c>
      <c r="AO663" s="123">
        <v>100000</v>
      </c>
    </row>
    <row r="664" spans="1:41" s="123" customFormat="1" ht="16.2" thickBot="1" x14ac:dyDescent="0.35">
      <c r="A664" s="21">
        <v>102.3</v>
      </c>
      <c r="B664" s="212" t="s">
        <v>256</v>
      </c>
      <c r="C664" s="31" t="str">
        <f>VLOOKUP((CONCATENATE(B664)),ID!$A$2:$D$305,3,0)</f>
        <v>IC012</v>
      </c>
      <c r="D664" s="21">
        <v>1</v>
      </c>
      <c r="E664" s="21" t="s">
        <v>3876</v>
      </c>
      <c r="F664" s="21" t="s">
        <v>3892</v>
      </c>
      <c r="G664" s="21" t="s">
        <v>3853</v>
      </c>
      <c r="H664" s="88">
        <v>4138</v>
      </c>
      <c r="I664" s="43">
        <v>4162</v>
      </c>
      <c r="J664" s="43">
        <v>4160</v>
      </c>
      <c r="K664" s="21">
        <v>1</v>
      </c>
      <c r="L664" s="43">
        <v>4163</v>
      </c>
      <c r="M664" s="43">
        <v>4176</v>
      </c>
      <c r="N664" s="43">
        <v>4176</v>
      </c>
      <c r="O664" s="21" t="s">
        <v>3733</v>
      </c>
      <c r="P664" s="194" t="str">
        <f t="shared" si="129"/>
        <v>1</v>
      </c>
      <c r="Q664" s="21">
        <v>1</v>
      </c>
      <c r="R664" s="39" t="str">
        <f t="shared" si="120"/>
        <v>-</v>
      </c>
      <c r="S664" s="120">
        <f t="shared" si="121"/>
        <v>1591291</v>
      </c>
      <c r="T664" s="123">
        <v>2346644</v>
      </c>
      <c r="U664" s="123">
        <f>1615906+45420+130000+173522</f>
        <v>1964848</v>
      </c>
      <c r="V664" s="123">
        <f t="shared" si="110"/>
        <v>381796</v>
      </c>
      <c r="W664" s="122" t="str">
        <f t="shared" si="125"/>
        <v>1</v>
      </c>
      <c r="X664" s="123">
        <f>21937+168123+18353+21940+125000+400000</f>
        <v>755353</v>
      </c>
      <c r="Y664" s="123">
        <f t="shared" si="130"/>
        <v>525000</v>
      </c>
      <c r="Z664" s="123">
        <f t="shared" si="126"/>
        <v>230353</v>
      </c>
      <c r="AA664" s="122" t="str">
        <f t="shared" si="127"/>
        <v>1</v>
      </c>
      <c r="AB664" s="120">
        <f t="shared" si="123"/>
        <v>525000</v>
      </c>
      <c r="AC664" s="123">
        <v>0</v>
      </c>
      <c r="AD664" s="123">
        <v>525000</v>
      </c>
      <c r="AE664" s="123">
        <v>49449</v>
      </c>
      <c r="AG664" s="151">
        <f t="shared" si="124"/>
        <v>168588</v>
      </c>
      <c r="AH664" s="123">
        <f>233933-AK664</f>
        <v>190838</v>
      </c>
      <c r="AJ664" s="123">
        <v>32500</v>
      </c>
      <c r="AK664" s="123">
        <f>34958+8137</f>
        <v>43095</v>
      </c>
      <c r="AL664" s="123">
        <v>22250</v>
      </c>
      <c r="AO664" s="123">
        <v>130000</v>
      </c>
    </row>
    <row r="665" spans="1:41" s="123" customFormat="1" ht="16.2" thickBot="1" x14ac:dyDescent="0.35">
      <c r="A665" s="21">
        <v>102.4</v>
      </c>
      <c r="B665" s="212" t="s">
        <v>256</v>
      </c>
      <c r="C665" s="31" t="str">
        <f>VLOOKUP((CONCATENATE(B665)),ID!$A$2:$D$305,3,0)</f>
        <v>IC012</v>
      </c>
      <c r="D665" s="21">
        <v>1</v>
      </c>
      <c r="E665" s="21" t="s">
        <v>3876</v>
      </c>
      <c r="F665" s="21" t="s">
        <v>3892</v>
      </c>
      <c r="G665" s="21" t="s">
        <v>3853</v>
      </c>
      <c r="H665" s="88">
        <v>4504</v>
      </c>
      <c r="I665" s="43">
        <v>4529</v>
      </c>
      <c r="J665" s="43">
        <v>4529</v>
      </c>
      <c r="K665" s="21">
        <v>1</v>
      </c>
      <c r="L665" s="43">
        <v>4534</v>
      </c>
      <c r="M665" s="43">
        <v>4547</v>
      </c>
      <c r="N665" s="43">
        <v>4547</v>
      </c>
      <c r="O665" s="21" t="s">
        <v>3733</v>
      </c>
      <c r="P665" s="194" t="str">
        <f t="shared" si="129"/>
        <v>1</v>
      </c>
      <c r="Q665" s="21">
        <v>1</v>
      </c>
      <c r="R665" s="39" t="str">
        <f t="shared" si="120"/>
        <v>-</v>
      </c>
      <c r="S665" s="120">
        <f t="shared" ref="S665:S728" si="131">T665-X665</f>
        <v>1655687</v>
      </c>
      <c r="T665" s="123">
        <v>2572344</v>
      </c>
      <c r="U665" s="123">
        <f>1767181+134198+130000</f>
        <v>2031379</v>
      </c>
      <c r="V665" s="123">
        <f t="shared" ref="V665:V715" si="132">T665-U665</f>
        <v>540965</v>
      </c>
      <c r="W665" s="122" t="str">
        <f t="shared" si="125"/>
        <v>1</v>
      </c>
      <c r="X665" s="123">
        <f>Y665+38457+15639+24547+94900+21142+196972</f>
        <v>916657</v>
      </c>
      <c r="Y665" s="123">
        <f t="shared" si="130"/>
        <v>525000</v>
      </c>
      <c r="Z665" s="123">
        <f t="shared" si="126"/>
        <v>391657</v>
      </c>
      <c r="AA665" s="122" t="str">
        <f t="shared" si="127"/>
        <v>1</v>
      </c>
      <c r="AB665" s="120">
        <f t="shared" si="123"/>
        <v>525000</v>
      </c>
      <c r="AC665" s="123">
        <v>0</v>
      </c>
      <c r="AD665" s="123">
        <v>525000</v>
      </c>
      <c r="AE665" s="123">
        <v>1350</v>
      </c>
      <c r="AG665" s="151">
        <f t="shared" si="124"/>
        <v>131970</v>
      </c>
      <c r="AH665" s="123">
        <f>183849-AK665</f>
        <v>154220</v>
      </c>
      <c r="AJ665" s="123">
        <v>30000</v>
      </c>
      <c r="AK665" s="123">
        <v>29629</v>
      </c>
      <c r="AL665" s="123">
        <v>22250</v>
      </c>
      <c r="AO665" s="123">
        <v>130000</v>
      </c>
    </row>
    <row r="666" spans="1:41" s="123" customFormat="1" ht="16.2" thickBot="1" x14ac:dyDescent="0.35">
      <c r="A666" s="21"/>
      <c r="B666" s="212" t="s">
        <v>256</v>
      </c>
      <c r="C666" s="31" t="str">
        <f>VLOOKUP((CONCATENATE(B666)),ID!$A$2:$D$305,3,0)</f>
        <v>IC012</v>
      </c>
      <c r="D666" s="21">
        <v>1</v>
      </c>
      <c r="E666" s="21" t="s">
        <v>3876</v>
      </c>
      <c r="F666" s="21" t="s">
        <v>3892</v>
      </c>
      <c r="G666" s="21" t="s">
        <v>3853</v>
      </c>
      <c r="H666" s="88">
        <v>4869</v>
      </c>
      <c r="I666" s="43">
        <v>4895</v>
      </c>
      <c r="J666" s="43">
        <v>4893</v>
      </c>
      <c r="K666" s="21">
        <v>1</v>
      </c>
      <c r="L666" s="43">
        <v>4898</v>
      </c>
      <c r="M666" s="43">
        <v>4911</v>
      </c>
      <c r="N666" s="43">
        <v>4911</v>
      </c>
      <c r="O666" s="21" t="s">
        <v>3733</v>
      </c>
      <c r="P666" s="194" t="str">
        <f t="shared" si="129"/>
        <v>1</v>
      </c>
      <c r="Q666" s="21">
        <v>1</v>
      </c>
      <c r="R666" s="39" t="str">
        <f t="shared" ref="R666:R729" si="133">IF(Q666=0,"?","-")</f>
        <v>-</v>
      </c>
      <c r="S666" s="120">
        <f t="shared" si="131"/>
        <v>1758258</v>
      </c>
      <c r="T666" s="123">
        <v>2911568</v>
      </c>
      <c r="U666" s="123">
        <f>235383+130000+1911221</f>
        <v>2276604</v>
      </c>
      <c r="V666" s="123">
        <f t="shared" si="132"/>
        <v>634964</v>
      </c>
      <c r="W666" s="122" t="str">
        <f t="shared" si="125"/>
        <v>1</v>
      </c>
      <c r="X666" s="123">
        <f>Y666+193972+25599+213230+30557+94788+34584+35580</f>
        <v>1153310</v>
      </c>
      <c r="Y666" s="123">
        <f t="shared" si="130"/>
        <v>525000</v>
      </c>
      <c r="Z666" s="123">
        <f t="shared" si="126"/>
        <v>628310</v>
      </c>
      <c r="AA666" s="122" t="str">
        <f t="shared" si="127"/>
        <v>1</v>
      </c>
      <c r="AB666" s="120">
        <f t="shared" si="123"/>
        <v>525000</v>
      </c>
      <c r="AC666" s="123">
        <v>0</v>
      </c>
      <c r="AD666" s="123">
        <v>525000</v>
      </c>
      <c r="AE666" s="123">
        <v>1220</v>
      </c>
      <c r="AG666" s="151">
        <f t="shared" si="124"/>
        <v>347278</v>
      </c>
      <c r="AH666" s="123">
        <f>417005-AK666</f>
        <v>369528</v>
      </c>
      <c r="AJ666" s="123">
        <v>52000</v>
      </c>
      <c r="AK666" s="123">
        <v>47477</v>
      </c>
      <c r="AL666" s="123">
        <v>22250</v>
      </c>
      <c r="AO666" s="123">
        <v>130000</v>
      </c>
    </row>
    <row r="667" spans="1:41" s="123" customFormat="1" ht="16.2" thickBot="1" x14ac:dyDescent="0.35">
      <c r="A667" s="21"/>
      <c r="B667" s="212" t="s">
        <v>256</v>
      </c>
      <c r="C667" s="31" t="str">
        <f>VLOOKUP((CONCATENATE(B667)),ID!$A$2:$D$305,3,0)</f>
        <v>IC012</v>
      </c>
      <c r="D667" s="21">
        <v>1</v>
      </c>
      <c r="E667" s="21" t="s">
        <v>3876</v>
      </c>
      <c r="F667" s="21" t="s">
        <v>3892</v>
      </c>
      <c r="G667" s="21" t="s">
        <v>3853</v>
      </c>
      <c r="H667" s="88">
        <v>5234</v>
      </c>
      <c r="I667" s="43">
        <v>5259</v>
      </c>
      <c r="J667" s="43">
        <v>5257</v>
      </c>
      <c r="K667" s="21">
        <v>1</v>
      </c>
      <c r="L667" s="43">
        <v>5262</v>
      </c>
      <c r="M667" s="43">
        <v>5275</v>
      </c>
      <c r="N667" s="43">
        <v>5275</v>
      </c>
      <c r="O667" s="21" t="s">
        <v>3733</v>
      </c>
      <c r="P667" s="194" t="str">
        <f t="shared" si="129"/>
        <v>1</v>
      </c>
      <c r="Q667" s="21">
        <v>1</v>
      </c>
      <c r="R667" s="39" t="str">
        <f t="shared" si="133"/>
        <v>-</v>
      </c>
      <c r="S667" s="120">
        <f t="shared" si="131"/>
        <v>1937209</v>
      </c>
      <c r="T667" s="123">
        <v>2936591</v>
      </c>
      <c r="U667" s="123">
        <f>257131+1941057</f>
        <v>2198188</v>
      </c>
      <c r="V667" s="123">
        <f t="shared" si="132"/>
        <v>738403</v>
      </c>
      <c r="W667" s="122" t="str">
        <f t="shared" si="125"/>
        <v>1</v>
      </c>
      <c r="X667" s="123">
        <f>Y667+189972+35607+210306+28791+9706</f>
        <v>999382</v>
      </c>
      <c r="Y667" s="123">
        <f t="shared" si="130"/>
        <v>525000</v>
      </c>
      <c r="Z667" s="123">
        <f t="shared" si="126"/>
        <v>474382</v>
      </c>
      <c r="AA667" s="122" t="str">
        <f t="shared" si="127"/>
        <v>1</v>
      </c>
      <c r="AB667" s="120">
        <f t="shared" si="123"/>
        <v>525000</v>
      </c>
      <c r="AC667" s="123">
        <v>0</v>
      </c>
      <c r="AD667" s="123">
        <v>525000</v>
      </c>
      <c r="AE667" s="123">
        <v>31258</v>
      </c>
      <c r="AG667" s="151">
        <f t="shared" si="124"/>
        <v>341289</v>
      </c>
      <c r="AH667" s="123">
        <f>412110-AK667</f>
        <v>363539</v>
      </c>
      <c r="AJ667" s="123">
        <v>52000</v>
      </c>
      <c r="AK667" s="123">
        <v>48571</v>
      </c>
      <c r="AL667" s="123">
        <v>22250</v>
      </c>
      <c r="AO667" s="123">
        <v>130000</v>
      </c>
    </row>
    <row r="668" spans="1:41" s="123" customFormat="1" ht="16.2" thickBot="1" x14ac:dyDescent="0.35">
      <c r="A668" s="21"/>
      <c r="B668" s="212" t="s">
        <v>264</v>
      </c>
      <c r="C668" s="31" t="str">
        <f>VLOOKUP((CONCATENATE(B668)),ID!$A$2:$D$305,3,0)</f>
        <v>IC013</v>
      </c>
      <c r="D668" s="21">
        <v>1</v>
      </c>
      <c r="E668" s="21" t="s">
        <v>3876</v>
      </c>
      <c r="F668" s="21" t="s">
        <v>1117</v>
      </c>
      <c r="G668" s="21" t="s">
        <v>3853</v>
      </c>
      <c r="H668" s="88">
        <v>3653</v>
      </c>
      <c r="I668" s="43">
        <v>3709</v>
      </c>
      <c r="J668" s="43">
        <v>3703</v>
      </c>
      <c r="K668" s="21">
        <v>0</v>
      </c>
      <c r="L668" s="43"/>
      <c r="M668" s="43"/>
      <c r="N668" s="43">
        <v>3720</v>
      </c>
      <c r="O668" s="27" t="s">
        <v>3800</v>
      </c>
      <c r="P668" s="194" t="str">
        <f t="shared" si="129"/>
        <v>1</v>
      </c>
      <c r="Q668" s="21">
        <v>1</v>
      </c>
      <c r="R668" s="39" t="str">
        <f t="shared" si="133"/>
        <v>-</v>
      </c>
      <c r="S668" s="120">
        <f t="shared" si="131"/>
        <v>1960096</v>
      </c>
      <c r="T668" s="123">
        <v>2255670</v>
      </c>
      <c r="U668" s="123">
        <f>185625+8300+205501+1409787</f>
        <v>1809213</v>
      </c>
      <c r="V668" s="123">
        <f t="shared" si="132"/>
        <v>446457</v>
      </c>
      <c r="W668" s="122" t="str">
        <f t="shared" si="125"/>
        <v>1</v>
      </c>
      <c r="X668" s="123">
        <f>Y668+209832</f>
        <v>295574</v>
      </c>
      <c r="Y668" s="123">
        <f>9677+AB668</f>
        <v>85742</v>
      </c>
      <c r="Z668" s="123">
        <f t="shared" si="126"/>
        <v>209832</v>
      </c>
      <c r="AA668" s="122" t="str">
        <f t="shared" si="127"/>
        <v>1</v>
      </c>
      <c r="AB668" s="120">
        <f t="shared" si="123"/>
        <v>76065</v>
      </c>
      <c r="AC668" s="123">
        <v>0</v>
      </c>
      <c r="AD668" s="123">
        <v>76065</v>
      </c>
      <c r="AE668" s="123">
        <v>50327</v>
      </c>
      <c r="AG668" s="151">
        <f t="shared" si="124"/>
        <v>258981</v>
      </c>
      <c r="AH668" s="123">
        <v>258981</v>
      </c>
      <c r="AJ668" s="123">
        <v>45923</v>
      </c>
      <c r="AK668" s="123">
        <v>60688</v>
      </c>
      <c r="AO668" s="123">
        <f>825000+31159</f>
        <v>856159</v>
      </c>
    </row>
    <row r="669" spans="1:41" s="123" customFormat="1" ht="16.2" thickBot="1" x14ac:dyDescent="0.35">
      <c r="A669" s="21">
        <v>103.1</v>
      </c>
      <c r="B669" s="212" t="s">
        <v>264</v>
      </c>
      <c r="C669" s="31" t="str">
        <f>VLOOKUP((CONCATENATE(B669)),ID!$A$2:$D$305,3,0)</f>
        <v>IC013</v>
      </c>
      <c r="D669" s="21">
        <v>1</v>
      </c>
      <c r="E669" s="21" t="s">
        <v>3876</v>
      </c>
      <c r="F669" s="21" t="s">
        <v>1117</v>
      </c>
      <c r="G669" s="21" t="s">
        <v>3853</v>
      </c>
      <c r="H669" s="88">
        <v>4018</v>
      </c>
      <c r="I669" s="43">
        <v>4073</v>
      </c>
      <c r="J669" s="43">
        <v>4070</v>
      </c>
      <c r="K669" s="21">
        <v>0</v>
      </c>
      <c r="L669" s="21"/>
      <c r="M669" s="21"/>
      <c r="N669" s="43">
        <v>4084</v>
      </c>
      <c r="O669" s="27" t="s">
        <v>3800</v>
      </c>
      <c r="P669" s="194" t="str">
        <f t="shared" si="129"/>
        <v>1</v>
      </c>
      <c r="Q669" s="21">
        <v>1</v>
      </c>
      <c r="R669" s="39" t="str">
        <f t="shared" si="133"/>
        <v>-</v>
      </c>
      <c r="S669" s="120">
        <f t="shared" si="131"/>
        <v>2117712</v>
      </c>
      <c r="T669" s="123">
        <v>2343265</v>
      </c>
      <c r="U669" s="123">
        <f>180000+8365+220254+1455480</f>
        <v>1864099</v>
      </c>
      <c r="V669" s="123">
        <f t="shared" si="132"/>
        <v>479166</v>
      </c>
      <c r="W669" s="122" t="str">
        <f t="shared" si="125"/>
        <v>1</v>
      </c>
      <c r="X669" s="123">
        <f>Y669+141562</f>
        <v>225553</v>
      </c>
      <c r="Y669" s="123">
        <f>9618+AB669</f>
        <v>83991</v>
      </c>
      <c r="Z669" s="123">
        <f t="shared" si="126"/>
        <v>141562</v>
      </c>
      <c r="AA669" s="122" t="str">
        <f t="shared" si="127"/>
        <v>1</v>
      </c>
      <c r="AB669" s="120">
        <f t="shared" si="123"/>
        <v>74373</v>
      </c>
      <c r="AC669" s="123">
        <v>0</v>
      </c>
      <c r="AD669" s="123">
        <v>74373</v>
      </c>
      <c r="AE669" s="123">
        <v>115583</v>
      </c>
      <c r="AG669" s="151">
        <f t="shared" si="124"/>
        <v>253349</v>
      </c>
      <c r="AH669" s="123">
        <f>328388-AK669</f>
        <v>253349</v>
      </c>
      <c r="AJ669" s="123">
        <v>46069</v>
      </c>
      <c r="AK669" s="123">
        <v>75039</v>
      </c>
      <c r="AO669" s="123">
        <f>825000+206250+31159</f>
        <v>1062409</v>
      </c>
    </row>
    <row r="670" spans="1:41" s="123" customFormat="1" ht="16.2" thickBot="1" x14ac:dyDescent="0.35">
      <c r="A670" s="21">
        <v>103.2</v>
      </c>
      <c r="B670" s="212" t="s">
        <v>264</v>
      </c>
      <c r="C670" s="31" t="str">
        <f>VLOOKUP((CONCATENATE(B670)),ID!$A$2:$D$305,3,0)</f>
        <v>IC013</v>
      </c>
      <c r="D670" s="21">
        <v>1</v>
      </c>
      <c r="E670" s="21" t="s">
        <v>3876</v>
      </c>
      <c r="F670" s="21" t="s">
        <v>1117</v>
      </c>
      <c r="G670" s="21" t="s">
        <v>3853</v>
      </c>
      <c r="H670" s="88">
        <v>4383</v>
      </c>
      <c r="I670" s="43">
        <v>4437</v>
      </c>
      <c r="J670" s="43">
        <v>4436</v>
      </c>
      <c r="K670" s="21">
        <v>0</v>
      </c>
      <c r="L670" s="21"/>
      <c r="M670" s="21"/>
      <c r="N670" s="43">
        <v>4448</v>
      </c>
      <c r="O670" s="27" t="s">
        <v>3800</v>
      </c>
      <c r="P670" s="194" t="str">
        <f t="shared" si="129"/>
        <v>1</v>
      </c>
      <c r="Q670" s="21">
        <v>1</v>
      </c>
      <c r="R670" s="39" t="str">
        <f t="shared" si="133"/>
        <v>-</v>
      </c>
      <c r="S670" s="120">
        <f t="shared" si="131"/>
        <v>2202644</v>
      </c>
      <c r="T670" s="123">
        <v>2502239</v>
      </c>
      <c r="U670" s="123">
        <f>180000+9328+239280+1558416</f>
        <v>1987024</v>
      </c>
      <c r="V670" s="123">
        <f t="shared" si="132"/>
        <v>515215</v>
      </c>
      <c r="W670" s="122" t="str">
        <f t="shared" si="125"/>
        <v>1</v>
      </c>
      <c r="X670" s="123">
        <f>Y670+217390</f>
        <v>299595</v>
      </c>
      <c r="Y670" s="123">
        <f>AB670+9639</f>
        <v>82205</v>
      </c>
      <c r="Z670" s="123">
        <f t="shared" si="126"/>
        <v>217390</v>
      </c>
      <c r="AA670" s="122" t="str">
        <f t="shared" si="127"/>
        <v>1</v>
      </c>
      <c r="AB670" s="120">
        <f t="shared" si="123"/>
        <v>72566</v>
      </c>
      <c r="AC670" s="123">
        <v>0</v>
      </c>
      <c r="AD670" s="123">
        <v>72566</v>
      </c>
      <c r="AE670" s="123">
        <v>76445</v>
      </c>
      <c r="AG670" s="151">
        <f t="shared" si="124"/>
        <v>224769</v>
      </c>
      <c r="AH670" s="123">
        <v>224769</v>
      </c>
      <c r="AJ670" s="123">
        <v>49342</v>
      </c>
      <c r="AK670" s="123">
        <v>42160</v>
      </c>
      <c r="AO670" s="123">
        <f>1031250+31159</f>
        <v>1062409</v>
      </c>
    </row>
    <row r="671" spans="1:41" s="123" customFormat="1" ht="16.2" thickBot="1" x14ac:dyDescent="0.35">
      <c r="A671" s="21"/>
      <c r="B671" s="212" t="s">
        <v>264</v>
      </c>
      <c r="C671" s="31" t="str">
        <f>VLOOKUP((CONCATENATE(B671)),ID!$A$2:$D$305,3,0)</f>
        <v>IC013</v>
      </c>
      <c r="D671" s="21">
        <v>1</v>
      </c>
      <c r="E671" s="21" t="s">
        <v>3876</v>
      </c>
      <c r="F671" s="21" t="s">
        <v>1117</v>
      </c>
      <c r="G671" s="21" t="s">
        <v>3853</v>
      </c>
      <c r="H671" s="88">
        <v>4749</v>
      </c>
      <c r="I671" s="43">
        <v>4801</v>
      </c>
      <c r="J671" s="43">
        <v>4797</v>
      </c>
      <c r="K671" s="21">
        <v>0</v>
      </c>
      <c r="L671" s="21"/>
      <c r="M671" s="21"/>
      <c r="N671" s="43">
        <v>4812</v>
      </c>
      <c r="O671" s="27" t="s">
        <v>3800</v>
      </c>
      <c r="P671" s="194" t="str">
        <f t="shared" si="129"/>
        <v>1</v>
      </c>
      <c r="Q671" s="21">
        <v>1</v>
      </c>
      <c r="R671" s="39" t="str">
        <f t="shared" si="133"/>
        <v>-</v>
      </c>
      <c r="S671" s="120">
        <f t="shared" si="131"/>
        <v>2349100</v>
      </c>
      <c r="T671" s="123">
        <v>2652393</v>
      </c>
      <c r="U671" s="123">
        <f>1598011+241740+9793+168750</f>
        <v>2018294</v>
      </c>
      <c r="V671" s="123">
        <f t="shared" si="132"/>
        <v>634099</v>
      </c>
      <c r="W671" s="122" t="str">
        <f t="shared" si="125"/>
        <v>1</v>
      </c>
      <c r="X671" s="123">
        <f>Y671+206958</f>
        <v>303293</v>
      </c>
      <c r="Y671" s="123">
        <f>AD671+9701</f>
        <v>96335</v>
      </c>
      <c r="Z671" s="123">
        <f t="shared" si="126"/>
        <v>206958</v>
      </c>
      <c r="AA671" s="122" t="str">
        <f t="shared" si="127"/>
        <v>1</v>
      </c>
      <c r="AB671" s="120">
        <f t="shared" si="123"/>
        <v>86634</v>
      </c>
      <c r="AC671" s="123">
        <v>0</v>
      </c>
      <c r="AD671" s="123">
        <f>86634</f>
        <v>86634</v>
      </c>
      <c r="AE671" s="123">
        <v>127334</v>
      </c>
      <c r="AG671" s="151">
        <f t="shared" si="124"/>
        <v>248472</v>
      </c>
      <c r="AH671" s="123">
        <v>248472</v>
      </c>
      <c r="AJ671" s="123">
        <v>53193</v>
      </c>
      <c r="AO671" s="123">
        <f>1031250+31159</f>
        <v>1062409</v>
      </c>
    </row>
    <row r="672" spans="1:41" s="123" customFormat="1" ht="16.2" thickBot="1" x14ac:dyDescent="0.35">
      <c r="A672" s="21"/>
      <c r="B672" s="212" t="s">
        <v>264</v>
      </c>
      <c r="C672" s="31" t="str">
        <f>VLOOKUP((CONCATENATE(B672)),ID!$A$2:$D$305,3,0)</f>
        <v>IC013</v>
      </c>
      <c r="D672" s="21">
        <v>1</v>
      </c>
      <c r="E672" s="21" t="s">
        <v>3876</v>
      </c>
      <c r="F672" s="21" t="s">
        <v>1117</v>
      </c>
      <c r="G672" s="21" t="s">
        <v>3853</v>
      </c>
      <c r="H672" s="88">
        <v>5114</v>
      </c>
      <c r="I672" s="43">
        <v>5165</v>
      </c>
      <c r="J672" s="43">
        <v>5164</v>
      </c>
      <c r="K672" s="21">
        <v>0</v>
      </c>
      <c r="L672" s="21"/>
      <c r="M672" s="21"/>
      <c r="N672" s="43">
        <v>5176</v>
      </c>
      <c r="O672" s="27" t="s">
        <v>3800</v>
      </c>
      <c r="P672" s="194" t="str">
        <f t="shared" si="129"/>
        <v>1</v>
      </c>
      <c r="Q672" s="21">
        <v>1</v>
      </c>
      <c r="R672" s="39" t="str">
        <f t="shared" si="133"/>
        <v>-</v>
      </c>
      <c r="S672" s="120">
        <f t="shared" si="131"/>
        <v>2489576</v>
      </c>
      <c r="T672" s="123">
        <v>2862441</v>
      </c>
      <c r="U672" s="123">
        <f>1670355+267780+32407+203500</f>
        <v>2174042</v>
      </c>
      <c r="V672" s="123">
        <f t="shared" si="132"/>
        <v>688399</v>
      </c>
      <c r="W672" s="122" t="str">
        <f t="shared" si="125"/>
        <v>1</v>
      </c>
      <c r="X672" s="123">
        <f>Y672+278295</f>
        <v>372865</v>
      </c>
      <c r="Y672" s="123">
        <f>AB672+10000</f>
        <v>94570</v>
      </c>
      <c r="Z672" s="123">
        <f t="shared" si="126"/>
        <v>278295</v>
      </c>
      <c r="AA672" s="122" t="str">
        <f t="shared" si="127"/>
        <v>1</v>
      </c>
      <c r="AB672" s="120">
        <f t="shared" si="123"/>
        <v>84570</v>
      </c>
      <c r="AC672" s="123">
        <v>0</v>
      </c>
      <c r="AD672" s="123">
        <v>84570</v>
      </c>
      <c r="AE672" s="123">
        <v>193920</v>
      </c>
      <c r="AG672" s="151">
        <f t="shared" si="124"/>
        <v>364421</v>
      </c>
      <c r="AH672" s="123">
        <v>364421</v>
      </c>
      <c r="AJ672" s="123">
        <v>110376</v>
      </c>
      <c r="AO672" s="123">
        <f>1675782+31159</f>
        <v>1706941</v>
      </c>
    </row>
    <row r="673" spans="1:41" s="123" customFormat="1" ht="16.2" thickBot="1" x14ac:dyDescent="0.35">
      <c r="A673" s="21"/>
      <c r="B673" s="212" t="s">
        <v>271</v>
      </c>
      <c r="C673" s="31" t="str">
        <f>VLOOKUP((CONCATENATE(B673)),ID!$A$2:$D$305,3,0)</f>
        <v>IC014</v>
      </c>
      <c r="D673" s="21">
        <v>1</v>
      </c>
      <c r="E673" s="21" t="s">
        <v>3876</v>
      </c>
      <c r="F673" s="21" t="s">
        <v>1117</v>
      </c>
      <c r="G673" s="21" t="s">
        <v>3853</v>
      </c>
      <c r="H673" s="88">
        <v>3742</v>
      </c>
      <c r="I673" s="43">
        <v>3829</v>
      </c>
      <c r="J673" s="43">
        <v>3827</v>
      </c>
      <c r="K673" s="21">
        <v>1</v>
      </c>
      <c r="L673" s="43">
        <v>3827</v>
      </c>
      <c r="M673" s="43">
        <v>3840</v>
      </c>
      <c r="N673" s="43">
        <v>3840</v>
      </c>
      <c r="O673" s="21" t="s">
        <v>3994</v>
      </c>
      <c r="P673" s="194" t="str">
        <f t="shared" si="129"/>
        <v>1</v>
      </c>
      <c r="Q673" s="21">
        <v>1</v>
      </c>
      <c r="R673" s="39" t="str">
        <f t="shared" si="133"/>
        <v>-</v>
      </c>
      <c r="S673" s="120">
        <f t="shared" si="131"/>
        <v>990625</v>
      </c>
      <c r="T673" s="123">
        <v>1662840</v>
      </c>
      <c r="U673" s="123">
        <f>1006604+279672+10225+1791+52638</f>
        <v>1350930</v>
      </c>
      <c r="V673" s="123">
        <f t="shared" si="132"/>
        <v>311910</v>
      </c>
      <c r="W673" s="122" t="str">
        <f t="shared" si="125"/>
        <v>1</v>
      </c>
      <c r="X673" s="123">
        <f>Y673+8322+60893</f>
        <v>672215</v>
      </c>
      <c r="Y673" s="123">
        <f>AB673+3000</f>
        <v>603000</v>
      </c>
      <c r="Z673" s="123">
        <f t="shared" si="126"/>
        <v>69215</v>
      </c>
      <c r="AA673" s="122" t="str">
        <f t="shared" si="127"/>
        <v>1</v>
      </c>
      <c r="AB673" s="120">
        <f t="shared" si="123"/>
        <v>600000</v>
      </c>
      <c r="AC673" s="123">
        <v>0</v>
      </c>
      <c r="AD673" s="123">
        <f>50000+506000+44000</f>
        <v>600000</v>
      </c>
      <c r="AE673" s="123">
        <v>5435</v>
      </c>
      <c r="AG673" s="151">
        <f t="shared" si="124"/>
        <v>25077</v>
      </c>
      <c r="AH673" s="123">
        <v>54527</v>
      </c>
      <c r="AJ673" s="123">
        <v>10000</v>
      </c>
      <c r="AL673" s="123">
        <v>29450</v>
      </c>
      <c r="AO673" s="123">
        <f>634690+365310</f>
        <v>1000000</v>
      </c>
    </row>
    <row r="674" spans="1:41" s="123" customFormat="1" ht="16.2" thickBot="1" x14ac:dyDescent="0.35">
      <c r="A674" s="21">
        <v>104.1</v>
      </c>
      <c r="B674" s="212" t="s">
        <v>271</v>
      </c>
      <c r="C674" s="31" t="str">
        <f>VLOOKUP((CONCATENATE(B674)),ID!$A$2:$D$305,3,0)</f>
        <v>IC014</v>
      </c>
      <c r="D674" s="21">
        <v>1</v>
      </c>
      <c r="E674" s="21" t="s">
        <v>3876</v>
      </c>
      <c r="F674" s="21" t="s">
        <v>1117</v>
      </c>
      <c r="G674" s="21" t="s">
        <v>3853</v>
      </c>
      <c r="H674" s="88">
        <v>4107</v>
      </c>
      <c r="I674" s="43">
        <v>4195</v>
      </c>
      <c r="J674" s="43">
        <v>4190</v>
      </c>
      <c r="K674" s="21">
        <v>1</v>
      </c>
      <c r="L674" s="43">
        <v>4195</v>
      </c>
      <c r="M674" s="43">
        <v>4206</v>
      </c>
      <c r="N674" s="43">
        <v>4206</v>
      </c>
      <c r="O674" s="21" t="s">
        <v>3994</v>
      </c>
      <c r="P674" s="194" t="str">
        <f t="shared" si="129"/>
        <v>1</v>
      </c>
      <c r="Q674" s="21">
        <v>1</v>
      </c>
      <c r="R674" s="39" t="str">
        <f t="shared" si="133"/>
        <v>-</v>
      </c>
      <c r="S674" s="120">
        <f t="shared" si="131"/>
        <v>981973</v>
      </c>
      <c r="T674" s="123">
        <v>1667325</v>
      </c>
      <c r="U674" s="123">
        <f>52951+5225+279672+1006603</f>
        <v>1344451</v>
      </c>
      <c r="V674" s="123">
        <f t="shared" si="132"/>
        <v>322874</v>
      </c>
      <c r="W674" s="122" t="str">
        <f t="shared" si="125"/>
        <v>1</v>
      </c>
      <c r="X674" s="123">
        <f>Y674+73643+8709</f>
        <v>685352</v>
      </c>
      <c r="Y674" s="123">
        <f>AB674+3000</f>
        <v>603000</v>
      </c>
      <c r="Z674" s="123">
        <f t="shared" si="126"/>
        <v>82352</v>
      </c>
      <c r="AA674" s="122" t="str">
        <f t="shared" si="127"/>
        <v>1</v>
      </c>
      <c r="AB674" s="120">
        <f t="shared" si="123"/>
        <v>600000</v>
      </c>
      <c r="AC674" s="123">
        <v>0</v>
      </c>
      <c r="AD674" s="123">
        <f>502000+50000+48000</f>
        <v>600000</v>
      </c>
      <c r="AE674" s="123">
        <v>17257</v>
      </c>
      <c r="AG674" s="151">
        <f t="shared" si="124"/>
        <v>28640</v>
      </c>
      <c r="AH674" s="123">
        <v>57890</v>
      </c>
      <c r="AJ674" s="123">
        <v>10000</v>
      </c>
      <c r="AL674" s="123">
        <v>29250</v>
      </c>
      <c r="AO674" s="123">
        <f>634690+365310</f>
        <v>1000000</v>
      </c>
    </row>
    <row r="675" spans="1:41" s="123" customFormat="1" ht="16.2" thickBot="1" x14ac:dyDescent="0.35">
      <c r="A675" s="21">
        <v>104.2</v>
      </c>
      <c r="B675" s="212" t="s">
        <v>271</v>
      </c>
      <c r="C675" s="31" t="str">
        <f>VLOOKUP((CONCATENATE(B675)),ID!$A$2:$D$305,3,0)</f>
        <v>IC014</v>
      </c>
      <c r="D675" s="21">
        <v>1</v>
      </c>
      <c r="E675" s="21" t="s">
        <v>3876</v>
      </c>
      <c r="F675" s="21" t="s">
        <v>1117</v>
      </c>
      <c r="G675" s="21" t="s">
        <v>3853</v>
      </c>
      <c r="H675" s="88">
        <v>4473</v>
      </c>
      <c r="I675" s="43">
        <v>4556</v>
      </c>
      <c r="J675" s="43">
        <v>4554</v>
      </c>
      <c r="K675" s="21">
        <v>1</v>
      </c>
      <c r="L675" s="43">
        <v>4555</v>
      </c>
      <c r="M675" s="43">
        <v>4568</v>
      </c>
      <c r="N675" s="43">
        <v>4568</v>
      </c>
      <c r="O675" s="21" t="s">
        <v>3994</v>
      </c>
      <c r="P675" s="194" t="str">
        <f t="shared" si="129"/>
        <v>1</v>
      </c>
      <c r="Q675" s="21">
        <v>1</v>
      </c>
      <c r="R675" s="39" t="str">
        <f t="shared" si="133"/>
        <v>-</v>
      </c>
      <c r="S675" s="120">
        <f t="shared" si="131"/>
        <v>962069</v>
      </c>
      <c r="T675" s="123">
        <v>1628837</v>
      </c>
      <c r="U675" s="123">
        <f>57646+16126+93546+1006992</f>
        <v>1174310</v>
      </c>
      <c r="V675" s="123">
        <f t="shared" si="132"/>
        <v>454527</v>
      </c>
      <c r="W675" s="122" t="str">
        <f t="shared" si="125"/>
        <v>1</v>
      </c>
      <c r="X675" s="123">
        <f>Y675+59455+8117</f>
        <v>666768</v>
      </c>
      <c r="Y675" s="123">
        <f>AB675+5000+4196</f>
        <v>599196</v>
      </c>
      <c r="Z675" s="123">
        <f t="shared" si="126"/>
        <v>67572</v>
      </c>
      <c r="AA675" s="122" t="str">
        <f t="shared" si="127"/>
        <v>1</v>
      </c>
      <c r="AB675" s="120">
        <f t="shared" si="123"/>
        <v>590000</v>
      </c>
      <c r="AC675" s="123">
        <v>0</v>
      </c>
      <c r="AD675" s="123">
        <f>40000+199180+52000+298000+820</f>
        <v>590000</v>
      </c>
      <c r="AE675" s="123">
        <v>22290</v>
      </c>
      <c r="AG675" s="151">
        <f t="shared" si="124"/>
        <v>2322</v>
      </c>
      <c r="AH675" s="123">
        <v>36334</v>
      </c>
      <c r="AJ675" s="123">
        <v>15000</v>
      </c>
      <c r="AL675" s="123">
        <v>34012</v>
      </c>
      <c r="AO675" s="123">
        <f>634690+365310</f>
        <v>1000000</v>
      </c>
    </row>
    <row r="676" spans="1:41" s="123" customFormat="1" ht="16.2" thickBot="1" x14ac:dyDescent="0.35">
      <c r="A676" s="21"/>
      <c r="B676" s="212" t="s">
        <v>271</v>
      </c>
      <c r="C676" s="31" t="str">
        <f>VLOOKUP((CONCATENATE(B676)),ID!$A$2:$D$305,3,0)</f>
        <v>IC014</v>
      </c>
      <c r="D676" s="21">
        <v>1</v>
      </c>
      <c r="E676" s="21" t="s">
        <v>3876</v>
      </c>
      <c r="F676" s="21" t="s">
        <v>1117</v>
      </c>
      <c r="G676" s="21" t="s">
        <v>3853</v>
      </c>
      <c r="H676" s="88">
        <v>4838</v>
      </c>
      <c r="I676" s="43">
        <v>4905</v>
      </c>
      <c r="J676" s="43">
        <v>4898</v>
      </c>
      <c r="K676" s="21">
        <v>1</v>
      </c>
      <c r="L676" s="43">
        <v>4902</v>
      </c>
      <c r="M676" s="43">
        <v>4916</v>
      </c>
      <c r="N676" s="43">
        <v>4916</v>
      </c>
      <c r="O676" s="21" t="s">
        <v>3994</v>
      </c>
      <c r="P676" s="194">
        <v>1</v>
      </c>
      <c r="Q676" s="21">
        <v>1</v>
      </c>
      <c r="R676" s="39" t="str">
        <f t="shared" si="133"/>
        <v>-</v>
      </c>
      <c r="S676" s="120">
        <f t="shared" si="131"/>
        <v>885682</v>
      </c>
      <c r="T676" s="123">
        <v>1554958</v>
      </c>
      <c r="U676" s="123">
        <f>54244+184872+1013578</f>
        <v>1252694</v>
      </c>
      <c r="V676" s="123">
        <f t="shared" si="132"/>
        <v>302264</v>
      </c>
      <c r="W676" s="122" t="str">
        <f t="shared" si="125"/>
        <v>1</v>
      </c>
      <c r="X676" s="123">
        <f>Y676+74537+8463</f>
        <v>669276</v>
      </c>
      <c r="Y676" s="123">
        <f>AB676+16276</f>
        <v>586276</v>
      </c>
      <c r="Z676" s="123">
        <f t="shared" si="126"/>
        <v>83000</v>
      </c>
      <c r="AA676" s="122" t="str">
        <f t="shared" si="127"/>
        <v>1</v>
      </c>
      <c r="AB676" s="120">
        <f t="shared" si="123"/>
        <v>570000</v>
      </c>
      <c r="AC676" s="123">
        <v>0</v>
      </c>
      <c r="AD676" s="123">
        <f>294000+56000+197490+20000+2510</f>
        <v>570000</v>
      </c>
      <c r="AE676" s="123">
        <v>19866</v>
      </c>
      <c r="AG676" s="151">
        <f t="shared" si="124"/>
        <v>53612</v>
      </c>
      <c r="AH676" s="123">
        <v>87344</v>
      </c>
      <c r="AL676" s="123">
        <f>33732</f>
        <v>33732</v>
      </c>
      <c r="AO676" s="123">
        <f>634690+365310</f>
        <v>1000000</v>
      </c>
    </row>
    <row r="677" spans="1:41" s="123" customFormat="1" ht="16.2" thickBot="1" x14ac:dyDescent="0.35">
      <c r="A677" s="21"/>
      <c r="B677" s="212" t="s">
        <v>297</v>
      </c>
      <c r="C677" s="31" t="str">
        <f>VLOOKUP((CONCATENATE(B677)),ID!$A$2:$D$305,3,0)</f>
        <v>IC015</v>
      </c>
      <c r="D677" s="21">
        <v>1</v>
      </c>
      <c r="E677" s="21" t="s">
        <v>3876</v>
      </c>
      <c r="F677" s="21" t="s">
        <v>3880</v>
      </c>
      <c r="G677" s="21" t="s">
        <v>3853</v>
      </c>
      <c r="H677" s="88">
        <v>3834</v>
      </c>
      <c r="I677" s="43">
        <v>3902</v>
      </c>
      <c r="J677" s="43">
        <v>3895</v>
      </c>
      <c r="K677" s="21">
        <v>1</v>
      </c>
      <c r="L677" s="43">
        <v>3896</v>
      </c>
      <c r="M677" s="43">
        <v>3924</v>
      </c>
      <c r="N677" s="43">
        <v>3923</v>
      </c>
      <c r="O677" s="21" t="s">
        <v>3879</v>
      </c>
      <c r="P677" s="194" t="str">
        <f t="shared" si="129"/>
        <v>1</v>
      </c>
      <c r="Q677" s="21">
        <v>1</v>
      </c>
      <c r="R677" s="39" t="str">
        <f t="shared" si="133"/>
        <v>-</v>
      </c>
      <c r="S677" s="120">
        <f t="shared" si="131"/>
        <v>1265498</v>
      </c>
      <c r="T677" s="123">
        <v>1467044</v>
      </c>
      <c r="U677" s="123">
        <f>T677-35685-193556-110864</f>
        <v>1126939</v>
      </c>
      <c r="V677" s="123">
        <f t="shared" si="132"/>
        <v>340105</v>
      </c>
      <c r="W677" s="122" t="str">
        <f t="shared" si="125"/>
        <v>1</v>
      </c>
      <c r="X677" s="123">
        <f>Y677+185+625+85902+63334</f>
        <v>201546</v>
      </c>
      <c r="Y677" s="123">
        <f t="shared" ref="Y677:Y715" si="134">AB677</f>
        <v>51500</v>
      </c>
      <c r="Z677" s="123">
        <f t="shared" si="126"/>
        <v>150046</v>
      </c>
      <c r="AA677" s="122" t="str">
        <f t="shared" si="127"/>
        <v>1</v>
      </c>
      <c r="AB677" s="120">
        <f t="shared" si="123"/>
        <v>51500</v>
      </c>
      <c r="AC677" s="123">
        <v>0</v>
      </c>
      <c r="AD677" s="123">
        <v>51500</v>
      </c>
      <c r="AE677" s="123">
        <v>35685</v>
      </c>
      <c r="AG677" s="151">
        <f t="shared" si="124"/>
        <v>121486</v>
      </c>
      <c r="AH677" s="123">
        <v>121486</v>
      </c>
      <c r="AJ677" s="123">
        <v>40321</v>
      </c>
      <c r="AO677" s="123">
        <f>782000+391000</f>
        <v>1173000</v>
      </c>
    </row>
    <row r="678" spans="1:41" s="123" customFormat="1" ht="16.2" thickBot="1" x14ac:dyDescent="0.35">
      <c r="A678" s="21">
        <v>105.1</v>
      </c>
      <c r="B678" s="212" t="s">
        <v>297</v>
      </c>
      <c r="C678" s="31" t="str">
        <f>VLOOKUP((CONCATENATE(B678)),ID!$A$2:$D$305,3,0)</f>
        <v>IC015</v>
      </c>
      <c r="D678" s="21">
        <v>1</v>
      </c>
      <c r="E678" s="21" t="s">
        <v>3876</v>
      </c>
      <c r="F678" s="21" t="s">
        <v>3880</v>
      </c>
      <c r="G678" s="21" t="s">
        <v>3853</v>
      </c>
      <c r="H678" s="88">
        <v>4199</v>
      </c>
      <c r="I678" s="43">
        <v>4274</v>
      </c>
      <c r="J678" s="43">
        <v>4260</v>
      </c>
      <c r="K678" s="21">
        <v>1</v>
      </c>
      <c r="L678" s="43">
        <v>4260</v>
      </c>
      <c r="M678" s="43">
        <v>4288</v>
      </c>
      <c r="N678" s="43">
        <v>4287</v>
      </c>
      <c r="O678" s="21" t="s">
        <v>3879</v>
      </c>
      <c r="P678" s="194" t="str">
        <f t="shared" si="129"/>
        <v>1</v>
      </c>
      <c r="Q678" s="21">
        <v>1</v>
      </c>
      <c r="R678" s="39" t="str">
        <f t="shared" si="133"/>
        <v>-</v>
      </c>
      <c r="S678" s="120">
        <f t="shared" si="131"/>
        <v>1282373</v>
      </c>
      <c r="T678" s="123">
        <v>1480524</v>
      </c>
      <c r="U678" s="123">
        <f>27940+1147608</f>
        <v>1175548</v>
      </c>
      <c r="V678" s="123">
        <f t="shared" si="132"/>
        <v>304976</v>
      </c>
      <c r="W678" s="122" t="str">
        <f t="shared" si="125"/>
        <v>1</v>
      </c>
      <c r="X678" s="123">
        <f>Y678+185+625+69329+78712</f>
        <v>198151</v>
      </c>
      <c r="Y678" s="123">
        <f t="shared" si="134"/>
        <v>49300</v>
      </c>
      <c r="Z678" s="123">
        <f t="shared" si="126"/>
        <v>148851</v>
      </c>
      <c r="AA678" s="122" t="str">
        <f t="shared" si="127"/>
        <v>1</v>
      </c>
      <c r="AB678" s="120">
        <f t="shared" si="123"/>
        <v>49300</v>
      </c>
      <c r="AC678" s="123">
        <v>0</v>
      </c>
      <c r="AD678" s="123">
        <f>49300</f>
        <v>49300</v>
      </c>
      <c r="AE678" s="123">
        <v>7115</v>
      </c>
      <c r="AG678" s="151">
        <f t="shared" si="124"/>
        <v>127125</v>
      </c>
      <c r="AH678" s="123">
        <v>127125</v>
      </c>
      <c r="AJ678" s="123">
        <v>40321</v>
      </c>
      <c r="AO678" s="123">
        <f>782000+391000+1250</f>
        <v>1174250</v>
      </c>
    </row>
    <row r="679" spans="1:41" s="123" customFormat="1" ht="16.2" thickBot="1" x14ac:dyDescent="0.35">
      <c r="A679" s="21">
        <v>105.2</v>
      </c>
      <c r="B679" s="212" t="s">
        <v>297</v>
      </c>
      <c r="C679" s="31" t="str">
        <f>VLOOKUP((CONCATENATE(B679)),ID!$A$2:$D$305,3,0)</f>
        <v>IC015</v>
      </c>
      <c r="D679" s="21">
        <v>1</v>
      </c>
      <c r="E679" s="21" t="s">
        <v>3876</v>
      </c>
      <c r="F679" s="21" t="s">
        <v>3880</v>
      </c>
      <c r="G679" s="21" t="s">
        <v>3853</v>
      </c>
      <c r="H679" s="88">
        <v>4565</v>
      </c>
      <c r="I679" s="43">
        <v>4639</v>
      </c>
      <c r="J679" s="43">
        <v>4632</v>
      </c>
      <c r="K679" s="21">
        <v>1</v>
      </c>
      <c r="L679" s="43">
        <v>4624</v>
      </c>
      <c r="M679" s="43">
        <v>4652</v>
      </c>
      <c r="N679" s="43">
        <v>4651</v>
      </c>
      <c r="O679" s="21" t="s">
        <v>3879</v>
      </c>
      <c r="P679" s="194" t="str">
        <f t="shared" si="129"/>
        <v>1</v>
      </c>
      <c r="Q679" s="21">
        <v>1</v>
      </c>
      <c r="R679" s="39" t="str">
        <f t="shared" si="133"/>
        <v>-</v>
      </c>
      <c r="S679" s="120">
        <f t="shared" si="131"/>
        <v>1284802</v>
      </c>
      <c r="T679" s="123">
        <v>1605830</v>
      </c>
      <c r="U679" s="123">
        <f>27940+1255151</f>
        <v>1283091</v>
      </c>
      <c r="V679" s="123">
        <f t="shared" si="132"/>
        <v>322739</v>
      </c>
      <c r="W679" s="122" t="str">
        <f t="shared" si="125"/>
        <v>1</v>
      </c>
      <c r="X679" s="123">
        <f>Y679+1872+625+68205+51026</f>
        <v>321028</v>
      </c>
      <c r="Y679" s="123">
        <f t="shared" si="134"/>
        <v>199300</v>
      </c>
      <c r="Z679" s="123">
        <f t="shared" si="126"/>
        <v>121728</v>
      </c>
      <c r="AA679" s="122" t="str">
        <f t="shared" si="127"/>
        <v>1</v>
      </c>
      <c r="AB679" s="120">
        <f t="shared" si="123"/>
        <v>199300</v>
      </c>
      <c r="AC679" s="123">
        <v>0</v>
      </c>
      <c r="AD679" s="123">
        <v>199300</v>
      </c>
      <c r="AE679" s="123">
        <v>24201</v>
      </c>
      <c r="AG679" s="151">
        <f t="shared" si="124"/>
        <v>109239</v>
      </c>
      <c r="AH679" s="123">
        <v>109239</v>
      </c>
      <c r="AJ679" s="123">
        <v>40321</v>
      </c>
      <c r="AO679" s="123">
        <f>782000+391000+1250</f>
        <v>1174250</v>
      </c>
    </row>
    <row r="680" spans="1:41" s="123" customFormat="1" ht="16.2" thickBot="1" x14ac:dyDescent="0.35">
      <c r="A680" s="21"/>
      <c r="B680" s="212" t="s">
        <v>297</v>
      </c>
      <c r="C680" s="31" t="str">
        <f>VLOOKUP((CONCATENATE(B680)),ID!$A$2:$D$305,3,0)</f>
        <v>IC015</v>
      </c>
      <c r="D680" s="21">
        <v>1</v>
      </c>
      <c r="E680" s="21" t="s">
        <v>3876</v>
      </c>
      <c r="F680" s="21" t="s">
        <v>3880</v>
      </c>
      <c r="G680" s="21" t="s">
        <v>3853</v>
      </c>
      <c r="H680" s="88">
        <v>4930</v>
      </c>
      <c r="I680" s="43">
        <v>4996</v>
      </c>
      <c r="J680" s="43">
        <v>4993</v>
      </c>
      <c r="K680" s="21">
        <v>1</v>
      </c>
      <c r="L680" s="43">
        <v>4988</v>
      </c>
      <c r="M680" s="43">
        <v>5016</v>
      </c>
      <c r="N680" s="43">
        <v>5015</v>
      </c>
      <c r="O680" s="21" t="s">
        <v>3879</v>
      </c>
      <c r="P680" s="194" t="str">
        <f t="shared" si="129"/>
        <v>1</v>
      </c>
      <c r="Q680" s="21">
        <v>1</v>
      </c>
      <c r="R680" s="39" t="str">
        <f t="shared" si="133"/>
        <v>-</v>
      </c>
      <c r="S680" s="120">
        <f t="shared" si="131"/>
        <v>1475996</v>
      </c>
      <c r="T680" s="123">
        <v>1872086</v>
      </c>
      <c r="U680" s="123">
        <f>1315923+27940</f>
        <v>1343863</v>
      </c>
      <c r="V680" s="123">
        <f t="shared" si="132"/>
        <v>528223</v>
      </c>
      <c r="W680" s="122" t="str">
        <f t="shared" si="125"/>
        <v>1</v>
      </c>
      <c r="X680" s="123">
        <f>Y680+1872+625+84455+110838</f>
        <v>396090</v>
      </c>
      <c r="Y680" s="123">
        <f t="shared" si="134"/>
        <v>198300</v>
      </c>
      <c r="Z680" s="123">
        <f t="shared" si="126"/>
        <v>197790</v>
      </c>
      <c r="AA680" s="122" t="str">
        <f t="shared" si="127"/>
        <v>1</v>
      </c>
      <c r="AB680" s="120">
        <f t="shared" ref="AB680:AB715" si="135">SUM(AC680+AD680)</f>
        <v>198300</v>
      </c>
      <c r="AC680" s="123">
        <v>0</v>
      </c>
      <c r="AD680" s="123">
        <v>198300</v>
      </c>
      <c r="AE680" s="123">
        <v>70688</v>
      </c>
      <c r="AG680" s="151">
        <f t="shared" si="124"/>
        <v>341994</v>
      </c>
      <c r="AH680" s="123">
        <v>341994</v>
      </c>
      <c r="AJ680" s="123">
        <v>80643</v>
      </c>
      <c r="AO680" s="123">
        <f>782000+391000+1250</f>
        <v>1174250</v>
      </c>
    </row>
    <row r="681" spans="1:41" s="123" customFormat="1" ht="16.2" thickBot="1" x14ac:dyDescent="0.35">
      <c r="A681" s="21"/>
      <c r="B681" s="212" t="s">
        <v>297</v>
      </c>
      <c r="C681" s="31" t="str">
        <f>VLOOKUP((CONCATENATE(B681)),ID!$A$2:$D$305,3,0)</f>
        <v>IC015</v>
      </c>
      <c r="D681" s="21">
        <v>1</v>
      </c>
      <c r="E681" s="21" t="s">
        <v>3876</v>
      </c>
      <c r="F681" s="21" t="s">
        <v>3880</v>
      </c>
      <c r="G681" s="21" t="s">
        <v>3853</v>
      </c>
      <c r="H681" s="88">
        <v>5295</v>
      </c>
      <c r="I681" s="43">
        <v>5367</v>
      </c>
      <c r="J681" s="43">
        <v>5364</v>
      </c>
      <c r="K681" s="21">
        <v>1</v>
      </c>
      <c r="L681" s="43">
        <v>5352</v>
      </c>
      <c r="M681" s="43">
        <v>5379</v>
      </c>
      <c r="N681" s="43">
        <v>5379</v>
      </c>
      <c r="O681" s="21" t="s">
        <v>3879</v>
      </c>
      <c r="P681" s="194" t="str">
        <f t="shared" si="129"/>
        <v>1</v>
      </c>
      <c r="Q681" s="21">
        <v>1</v>
      </c>
      <c r="R681" s="39" t="str">
        <f t="shared" si="133"/>
        <v>-</v>
      </c>
      <c r="S681" s="120">
        <f t="shared" si="131"/>
        <v>1481288</v>
      </c>
      <c r="T681" s="123">
        <v>1862462</v>
      </c>
      <c r="U681" s="123">
        <f>1269968+27940</f>
        <v>1297908</v>
      </c>
      <c r="V681" s="123">
        <f t="shared" si="132"/>
        <v>564554</v>
      </c>
      <c r="W681" s="122" t="str">
        <f t="shared" si="125"/>
        <v>1</v>
      </c>
      <c r="X681" s="123">
        <f>Y681+1872+625+102322+79055</f>
        <v>381174</v>
      </c>
      <c r="Y681" s="123">
        <f t="shared" si="134"/>
        <v>197300</v>
      </c>
      <c r="Z681" s="123">
        <f t="shared" si="126"/>
        <v>183874</v>
      </c>
      <c r="AA681" s="122" t="str">
        <f t="shared" si="127"/>
        <v>1</v>
      </c>
      <c r="AB681" s="120">
        <f t="shared" si="135"/>
        <v>197300</v>
      </c>
      <c r="AC681" s="123">
        <v>0</v>
      </c>
      <c r="AD681" s="123">
        <f>197300</f>
        <v>197300</v>
      </c>
      <c r="AE681" s="123">
        <v>89932</v>
      </c>
      <c r="AG681" s="151">
        <f t="shared" si="124"/>
        <v>270853</v>
      </c>
      <c r="AH681" s="123">
        <v>270853</v>
      </c>
      <c r="AJ681" s="123">
        <v>80643</v>
      </c>
      <c r="AO681" s="123">
        <f>782000+391000+1250</f>
        <v>1174250</v>
      </c>
    </row>
    <row r="682" spans="1:41" s="123" customFormat="1" ht="16.2" thickBot="1" x14ac:dyDescent="0.35">
      <c r="A682" s="21"/>
      <c r="B682" s="212" t="s">
        <v>299</v>
      </c>
      <c r="C682" s="31" t="str">
        <f>VLOOKUP((CONCATENATE(B682)),ID!$A$2:$D$305,3,0)</f>
        <v>IC016</v>
      </c>
      <c r="D682" s="21">
        <v>1</v>
      </c>
      <c r="E682" s="21" t="s">
        <v>3876</v>
      </c>
      <c r="F682" s="21" t="s">
        <v>3789</v>
      </c>
      <c r="G682" s="21" t="s">
        <v>3853</v>
      </c>
      <c r="H682" s="88">
        <v>3653</v>
      </c>
      <c r="I682" s="43">
        <v>3728</v>
      </c>
      <c r="J682" s="43">
        <v>3727</v>
      </c>
      <c r="K682" s="21">
        <v>1</v>
      </c>
      <c r="L682" s="43">
        <v>3717</v>
      </c>
      <c r="M682" s="43">
        <v>3735</v>
      </c>
      <c r="N682" s="43">
        <v>3735</v>
      </c>
      <c r="O682" s="21" t="s">
        <v>3843</v>
      </c>
      <c r="P682" s="194" t="str">
        <f t="shared" si="129"/>
        <v>1</v>
      </c>
      <c r="Q682" s="21">
        <v>1</v>
      </c>
      <c r="R682" s="39" t="str">
        <f t="shared" si="133"/>
        <v>-</v>
      </c>
      <c r="S682" s="120">
        <f t="shared" si="131"/>
        <v>1961134</v>
      </c>
      <c r="T682" s="123">
        <v>2556329</v>
      </c>
      <c r="U682" s="123">
        <f>893689+600270+91773+264381</f>
        <v>1850113</v>
      </c>
      <c r="V682" s="123">
        <f t="shared" si="132"/>
        <v>706216</v>
      </c>
      <c r="W682" s="122" t="str">
        <f t="shared" si="125"/>
        <v>1</v>
      </c>
      <c r="X682" s="123">
        <f>Y682+999</f>
        <v>595195</v>
      </c>
      <c r="Y682" s="123">
        <f t="shared" si="134"/>
        <v>594196</v>
      </c>
      <c r="Z682" s="123">
        <f t="shared" si="126"/>
        <v>999</v>
      </c>
      <c r="AA682" s="122" t="str">
        <f t="shared" si="127"/>
        <v>1</v>
      </c>
      <c r="AB682" s="120">
        <f t="shared" si="135"/>
        <v>594196</v>
      </c>
      <c r="AC682" s="123">
        <v>0</v>
      </c>
      <c r="AD682" s="123">
        <f>244196+350000</f>
        <v>594196</v>
      </c>
      <c r="AE682" s="123">
        <v>61150</v>
      </c>
      <c r="AG682" s="151">
        <f t="shared" si="124"/>
        <v>153825</v>
      </c>
      <c r="AH682" s="123">
        <f>153825+AI682+AL682</f>
        <v>175006</v>
      </c>
      <c r="AI682" s="123">
        <v>8931</v>
      </c>
      <c r="AJ682" s="123">
        <v>59000</v>
      </c>
      <c r="AK682" s="123">
        <v>70000</v>
      </c>
      <c r="AL682" s="123">
        <v>12250</v>
      </c>
      <c r="AO682" s="123">
        <f>212500+85000+55000</f>
        <v>352500</v>
      </c>
    </row>
    <row r="683" spans="1:41" s="123" customFormat="1" ht="16.2" thickBot="1" x14ac:dyDescent="0.35">
      <c r="A683" s="21">
        <v>106.1</v>
      </c>
      <c r="B683" s="212" t="s">
        <v>299</v>
      </c>
      <c r="C683" s="31" t="str">
        <f>VLOOKUP((CONCATENATE(B683)),ID!$A$2:$D$305,3,0)</f>
        <v>IC016</v>
      </c>
      <c r="D683" s="21">
        <v>1</v>
      </c>
      <c r="E683" s="21" t="s">
        <v>3876</v>
      </c>
      <c r="F683" s="21" t="s">
        <v>3789</v>
      </c>
      <c r="G683" s="21" t="s">
        <v>3853</v>
      </c>
      <c r="H683" s="88">
        <v>4018</v>
      </c>
      <c r="I683" s="43">
        <v>4091</v>
      </c>
      <c r="J683" s="43">
        <v>4088</v>
      </c>
      <c r="K683" s="21">
        <v>1</v>
      </c>
      <c r="L683" s="43">
        <v>4081</v>
      </c>
      <c r="M683" s="43">
        <v>4099</v>
      </c>
      <c r="N683" s="43">
        <v>4099</v>
      </c>
      <c r="O683" s="21" t="s">
        <v>3843</v>
      </c>
      <c r="P683" s="194" t="str">
        <f t="shared" si="129"/>
        <v>1</v>
      </c>
      <c r="Q683" s="21">
        <v>1</v>
      </c>
      <c r="R683" s="39" t="str">
        <f t="shared" si="133"/>
        <v>-</v>
      </c>
      <c r="S683" s="120">
        <f t="shared" si="131"/>
        <v>1995156</v>
      </c>
      <c r="T683" s="123">
        <v>2635728</v>
      </c>
      <c r="U683" s="123">
        <f>T683-615689-89828-72097</f>
        <v>1858114</v>
      </c>
      <c r="V683" s="123">
        <f t="shared" si="132"/>
        <v>777614</v>
      </c>
      <c r="W683" s="122" t="str">
        <f t="shared" si="125"/>
        <v>1</v>
      </c>
      <c r="X683" s="123">
        <f>Y683+681</f>
        <v>640572</v>
      </c>
      <c r="Y683" s="123">
        <f t="shared" si="134"/>
        <v>639891</v>
      </c>
      <c r="Z683" s="123">
        <f t="shared" si="126"/>
        <v>681</v>
      </c>
      <c r="AA683" s="122" t="str">
        <f t="shared" si="127"/>
        <v>1</v>
      </c>
      <c r="AB683" s="120">
        <f t="shared" si="135"/>
        <v>639891</v>
      </c>
      <c r="AC683" s="123">
        <v>0</v>
      </c>
      <c r="AD683" s="123">
        <f>289891+350000</f>
        <v>639891</v>
      </c>
      <c r="AE683" s="123">
        <v>72097</v>
      </c>
      <c r="AG683" s="151">
        <f t="shared" si="124"/>
        <v>162647</v>
      </c>
      <c r="AH683" s="123">
        <f>162647+AI683+AL683</f>
        <v>180798</v>
      </c>
      <c r="AI683" s="123">
        <v>5901</v>
      </c>
      <c r="AJ683" s="123">
        <v>59000</v>
      </c>
      <c r="AK683" s="123">
        <v>70000</v>
      </c>
      <c r="AL683" s="123">
        <v>12250</v>
      </c>
      <c r="AO683" s="123">
        <f>212500+85000+55000</f>
        <v>352500</v>
      </c>
    </row>
    <row r="684" spans="1:41" s="123" customFormat="1" ht="16.2" thickBot="1" x14ac:dyDescent="0.35">
      <c r="A684" s="21">
        <v>106.2</v>
      </c>
      <c r="B684" s="212" t="s">
        <v>299</v>
      </c>
      <c r="C684" s="31" t="str">
        <f>VLOOKUP((CONCATENATE(B684)),ID!$A$2:$D$305,3,0)</f>
        <v>IC016</v>
      </c>
      <c r="D684" s="21">
        <v>1</v>
      </c>
      <c r="E684" s="21" t="s">
        <v>3876</v>
      </c>
      <c r="F684" s="21" t="s">
        <v>3789</v>
      </c>
      <c r="G684" s="21" t="s">
        <v>3853</v>
      </c>
      <c r="H684" s="88">
        <v>4383</v>
      </c>
      <c r="I684" s="43">
        <v>4462</v>
      </c>
      <c r="J684" s="43">
        <v>4458</v>
      </c>
      <c r="K684" s="21">
        <v>1</v>
      </c>
      <c r="L684" s="43">
        <v>4450</v>
      </c>
      <c r="M684" s="43">
        <v>4471</v>
      </c>
      <c r="N684" s="43">
        <v>4471</v>
      </c>
      <c r="O684" s="21" t="s">
        <v>3843</v>
      </c>
      <c r="P684" s="194" t="str">
        <f t="shared" si="129"/>
        <v>1</v>
      </c>
      <c r="Q684" s="21">
        <v>1</v>
      </c>
      <c r="R684" s="39" t="str">
        <f t="shared" si="133"/>
        <v>-</v>
      </c>
      <c r="S684" s="120">
        <f t="shared" si="131"/>
        <v>2068665</v>
      </c>
      <c r="T684" s="123">
        <v>2750317</v>
      </c>
      <c r="U684" s="123">
        <f>T684-34034-58044-548410</f>
        <v>2109829</v>
      </c>
      <c r="V684" s="123">
        <f t="shared" si="132"/>
        <v>640488</v>
      </c>
      <c r="W684" s="122" t="str">
        <f t="shared" si="125"/>
        <v>1</v>
      </c>
      <c r="X684" s="123">
        <f>Y684+592</f>
        <v>681652</v>
      </c>
      <c r="Y684" s="123">
        <f t="shared" si="134"/>
        <v>681060</v>
      </c>
      <c r="Z684" s="123">
        <f t="shared" si="126"/>
        <v>592</v>
      </c>
      <c r="AA684" s="122" t="str">
        <f t="shared" si="127"/>
        <v>1</v>
      </c>
      <c r="AB684" s="120">
        <f t="shared" si="135"/>
        <v>681060</v>
      </c>
      <c r="AC684" s="123">
        <v>0</v>
      </c>
      <c r="AD684" s="123">
        <f>350000+331060</f>
        <v>681060</v>
      </c>
      <c r="AE684" s="123">
        <v>34034</v>
      </c>
      <c r="AG684" s="151">
        <f t="shared" si="124"/>
        <v>202133</v>
      </c>
      <c r="AH684" s="123">
        <f>202133+AI684+AL684</f>
        <v>220040</v>
      </c>
      <c r="AI684" s="123">
        <v>5657</v>
      </c>
      <c r="AJ684" s="123">
        <v>59000</v>
      </c>
      <c r="AK684" s="123">
        <v>70000</v>
      </c>
      <c r="AL684" s="123">
        <v>12250</v>
      </c>
      <c r="AO684" s="123">
        <f>212500+85000+55000</f>
        <v>352500</v>
      </c>
    </row>
    <row r="685" spans="1:41" s="123" customFormat="1" ht="16.2" thickBot="1" x14ac:dyDescent="0.35">
      <c r="A685" s="21"/>
      <c r="B685" s="212" t="s">
        <v>299</v>
      </c>
      <c r="C685" s="31" t="str">
        <f>VLOOKUP((CONCATENATE(B685)),ID!$A$2:$D$305,3,0)</f>
        <v>IC016</v>
      </c>
      <c r="D685" s="21">
        <v>1</v>
      </c>
      <c r="E685" s="21" t="s">
        <v>3876</v>
      </c>
      <c r="F685" s="21" t="s">
        <v>3789</v>
      </c>
      <c r="G685" s="21" t="s">
        <v>3853</v>
      </c>
      <c r="H685" s="88">
        <v>4749</v>
      </c>
      <c r="I685" s="43">
        <v>4827</v>
      </c>
      <c r="J685" s="43">
        <v>4823</v>
      </c>
      <c r="K685" s="21">
        <v>1</v>
      </c>
      <c r="L685" s="43">
        <v>4822</v>
      </c>
      <c r="M685" s="43">
        <v>4836</v>
      </c>
      <c r="N685" s="43">
        <v>4831</v>
      </c>
      <c r="O685" s="21" t="s">
        <v>3843</v>
      </c>
      <c r="P685" s="194" t="str">
        <f t="shared" si="129"/>
        <v>1</v>
      </c>
      <c r="Q685" s="21">
        <v>1</v>
      </c>
      <c r="R685" s="39" t="str">
        <f t="shared" si="133"/>
        <v>-</v>
      </c>
      <c r="S685" s="120">
        <f t="shared" si="131"/>
        <v>2356306</v>
      </c>
      <c r="T685" s="123">
        <v>3115944</v>
      </c>
      <c r="U685" s="123">
        <f>T685-80851-57133-605950</f>
        <v>2372010</v>
      </c>
      <c r="V685" s="123">
        <f t="shared" si="132"/>
        <v>743934</v>
      </c>
      <c r="W685" s="122" t="str">
        <f t="shared" si="125"/>
        <v>1</v>
      </c>
      <c r="X685" s="123">
        <f>Y685+483</f>
        <v>759638</v>
      </c>
      <c r="Y685" s="123">
        <f t="shared" si="134"/>
        <v>759155</v>
      </c>
      <c r="Z685" s="123">
        <f t="shared" si="126"/>
        <v>483</v>
      </c>
      <c r="AA685" s="122" t="str">
        <f t="shared" si="127"/>
        <v>1</v>
      </c>
      <c r="AB685" s="120">
        <f t="shared" si="135"/>
        <v>759155</v>
      </c>
      <c r="AC685" s="123">
        <v>0</v>
      </c>
      <c r="AD685" s="123">
        <f>350000+409155</f>
        <v>759155</v>
      </c>
      <c r="AE685" s="123">
        <v>80851</v>
      </c>
      <c r="AG685" s="151">
        <f t="shared" si="124"/>
        <v>206896</v>
      </c>
      <c r="AH685" s="123">
        <f>206896+AI685+AL685</f>
        <v>226419</v>
      </c>
      <c r="AI685" s="123">
        <v>7273</v>
      </c>
      <c r="AJ685" s="123">
        <v>64312</v>
      </c>
      <c r="AK685" s="123">
        <v>100000</v>
      </c>
      <c r="AL685" s="123">
        <v>12250</v>
      </c>
      <c r="AO685" s="123">
        <f>425000+85000+55000</f>
        <v>565000</v>
      </c>
    </row>
    <row r="686" spans="1:41" s="123" customFormat="1" ht="16.2" thickBot="1" x14ac:dyDescent="0.35">
      <c r="A686" s="21"/>
      <c r="B686" s="212" t="s">
        <v>299</v>
      </c>
      <c r="C686" s="31" t="str">
        <f>VLOOKUP((CONCATENATE(B686)),ID!$A$2:$D$305,3,0)</f>
        <v>IC016</v>
      </c>
      <c r="D686" s="21">
        <v>1</v>
      </c>
      <c r="E686" s="21" t="s">
        <v>3876</v>
      </c>
      <c r="F686" s="21" t="s">
        <v>3789</v>
      </c>
      <c r="G686" s="21" t="s">
        <v>3853</v>
      </c>
      <c r="H686" s="88">
        <v>5114</v>
      </c>
      <c r="I686" s="43">
        <v>5191</v>
      </c>
      <c r="J686" s="43">
        <v>5187</v>
      </c>
      <c r="K686" s="21">
        <v>1</v>
      </c>
      <c r="L686" s="43">
        <v>5186</v>
      </c>
      <c r="M686" s="43">
        <v>5200</v>
      </c>
      <c r="N686" s="43">
        <v>5200</v>
      </c>
      <c r="O686" s="21" t="s">
        <v>3843</v>
      </c>
      <c r="P686" s="194" t="str">
        <f t="shared" si="129"/>
        <v>1</v>
      </c>
      <c r="Q686" s="21">
        <v>1</v>
      </c>
      <c r="R686" s="39" t="str">
        <f t="shared" si="133"/>
        <v>-</v>
      </c>
      <c r="S686" s="120">
        <f t="shared" si="131"/>
        <v>2452496</v>
      </c>
      <c r="T686" s="123">
        <v>3037793</v>
      </c>
      <c r="U686" s="123">
        <f>T686-160522-41236-586227</f>
        <v>2249808</v>
      </c>
      <c r="V686" s="123">
        <f t="shared" si="132"/>
        <v>787985</v>
      </c>
      <c r="W686" s="122" t="str">
        <f t="shared" si="125"/>
        <v>1</v>
      </c>
      <c r="X686" s="123">
        <f>Y686+537</f>
        <v>585297</v>
      </c>
      <c r="Y686" s="123">
        <f t="shared" si="134"/>
        <v>584760</v>
      </c>
      <c r="Z686" s="123">
        <f t="shared" si="126"/>
        <v>537</v>
      </c>
      <c r="AA686" s="122" t="str">
        <f t="shared" si="127"/>
        <v>1</v>
      </c>
      <c r="AB686" s="120">
        <f t="shared" si="135"/>
        <v>584760</v>
      </c>
      <c r="AC686" s="123">
        <v>0</v>
      </c>
      <c r="AD686" s="123">
        <f>297800+286960</f>
        <v>584760</v>
      </c>
      <c r="AE686" s="123">
        <v>160522</v>
      </c>
      <c r="AG686" s="151">
        <f t="shared" si="124"/>
        <v>246064</v>
      </c>
      <c r="AH686" s="123">
        <f>246064+AL686</f>
        <v>257400</v>
      </c>
      <c r="AI686" s="123">
        <v>0</v>
      </c>
      <c r="AJ686" s="123">
        <v>59000</v>
      </c>
      <c r="AK686" s="123">
        <v>100000</v>
      </c>
      <c r="AL686" s="123">
        <v>11336</v>
      </c>
      <c r="AO686" s="123">
        <f>425000+85000+55000</f>
        <v>565000</v>
      </c>
    </row>
    <row r="687" spans="1:41" s="123" customFormat="1" ht="16.2" thickBot="1" x14ac:dyDescent="0.35">
      <c r="A687" s="21"/>
      <c r="B687" s="212" t="s">
        <v>301</v>
      </c>
      <c r="C687" s="31" t="str">
        <f>VLOOKUP((CONCATENATE(B687)),ID!$A$2:$D$305,3,0)</f>
        <v>IC017</v>
      </c>
      <c r="D687" s="21">
        <v>1</v>
      </c>
      <c r="E687" s="21" t="s">
        <v>3876</v>
      </c>
      <c r="F687" s="21" t="s">
        <v>3878</v>
      </c>
      <c r="G687" s="21" t="s">
        <v>3853</v>
      </c>
      <c r="H687" s="88">
        <v>3653</v>
      </c>
      <c r="I687" s="43">
        <v>3702</v>
      </c>
      <c r="J687" s="43">
        <v>3702</v>
      </c>
      <c r="K687" s="21">
        <v>1</v>
      </c>
      <c r="L687" s="43">
        <v>3703</v>
      </c>
      <c r="M687" s="43">
        <v>3714</v>
      </c>
      <c r="N687" s="43">
        <v>3712</v>
      </c>
      <c r="O687" s="21" t="s">
        <v>3893</v>
      </c>
      <c r="P687" s="194" t="str">
        <f t="shared" si="129"/>
        <v>1</v>
      </c>
      <c r="Q687" s="21">
        <v>1</v>
      </c>
      <c r="R687" s="39" t="str">
        <f t="shared" si="133"/>
        <v>-</v>
      </c>
      <c r="S687" s="120">
        <f t="shared" si="131"/>
        <v>1310944</v>
      </c>
      <c r="T687" s="123">
        <v>1746546</v>
      </c>
      <c r="U687" s="123">
        <f>T687-143248-131670-117091-42581</f>
        <v>1311956</v>
      </c>
      <c r="V687" s="123">
        <f t="shared" si="132"/>
        <v>434590</v>
      </c>
      <c r="W687" s="122" t="str">
        <f t="shared" si="125"/>
        <v>1</v>
      </c>
      <c r="X687" s="123">
        <f>Y687+5054+139736+11</f>
        <v>435602</v>
      </c>
      <c r="Y687" s="123">
        <f t="shared" si="134"/>
        <v>290801</v>
      </c>
      <c r="Z687" s="123">
        <f t="shared" si="126"/>
        <v>144801</v>
      </c>
      <c r="AA687" s="122" t="str">
        <f t="shared" si="127"/>
        <v>1</v>
      </c>
      <c r="AB687" s="120">
        <f t="shared" si="135"/>
        <v>290801</v>
      </c>
      <c r="AC687" s="123">
        <v>0</v>
      </c>
      <c r="AD687" s="123">
        <f>38201+252600</f>
        <v>290801</v>
      </c>
      <c r="AE687" s="123">
        <v>143248</v>
      </c>
      <c r="AG687" s="151">
        <f t="shared" si="124"/>
        <v>38720</v>
      </c>
      <c r="AH687" s="123">
        <v>49455</v>
      </c>
      <c r="AJ687" s="123">
        <v>13471</v>
      </c>
      <c r="AL687" s="123">
        <v>10735</v>
      </c>
      <c r="AO687" s="123">
        <v>1173577</v>
      </c>
    </row>
    <row r="688" spans="1:41" s="123" customFormat="1" ht="16.2" thickBot="1" x14ac:dyDescent="0.35">
      <c r="A688" s="21">
        <v>107.1</v>
      </c>
      <c r="B688" s="212" t="s">
        <v>301</v>
      </c>
      <c r="C688" s="31" t="str">
        <f>VLOOKUP((CONCATENATE(B688)),ID!$A$2:$D$305,3,0)</f>
        <v>IC017</v>
      </c>
      <c r="D688" s="21">
        <v>1</v>
      </c>
      <c r="E688" s="21" t="s">
        <v>3876</v>
      </c>
      <c r="F688" s="21" t="s">
        <v>3878</v>
      </c>
      <c r="G688" s="21" t="s">
        <v>3853</v>
      </c>
      <c r="H688" s="88">
        <v>4018</v>
      </c>
      <c r="I688" s="43">
        <v>4066</v>
      </c>
      <c r="J688" s="43">
        <v>4066</v>
      </c>
      <c r="K688" s="21">
        <v>1</v>
      </c>
      <c r="L688" s="43">
        <v>4066</v>
      </c>
      <c r="M688" s="43">
        <v>4077</v>
      </c>
      <c r="N688" s="43">
        <v>4076</v>
      </c>
      <c r="O688" s="21" t="s">
        <v>3893</v>
      </c>
      <c r="P688" s="194" t="str">
        <f t="shared" si="129"/>
        <v>1</v>
      </c>
      <c r="Q688" s="21">
        <v>1</v>
      </c>
      <c r="R688" s="39" t="str">
        <f t="shared" si="133"/>
        <v>-</v>
      </c>
      <c r="S688" s="120">
        <f t="shared" si="131"/>
        <v>1312403</v>
      </c>
      <c r="T688" s="123">
        <v>1903060</v>
      </c>
      <c r="U688" s="123">
        <f>T688-66983-84677-265108-148882</f>
        <v>1337410</v>
      </c>
      <c r="V688" s="123">
        <f t="shared" si="132"/>
        <v>565650</v>
      </c>
      <c r="W688" s="122" t="str">
        <f t="shared" si="125"/>
        <v>1</v>
      </c>
      <c r="X688" s="123">
        <f>Y688+5054+25841+270363+44</f>
        <v>590657</v>
      </c>
      <c r="Y688" s="123">
        <f t="shared" si="134"/>
        <v>289355</v>
      </c>
      <c r="Z688" s="123">
        <f t="shared" si="126"/>
        <v>301302</v>
      </c>
      <c r="AA688" s="122" t="str">
        <f t="shared" si="127"/>
        <v>1</v>
      </c>
      <c r="AB688" s="120">
        <f t="shared" si="135"/>
        <v>289355</v>
      </c>
      <c r="AC688" s="123">
        <v>0</v>
      </c>
      <c r="AD688" s="123">
        <f>252600+36755</f>
        <v>289355</v>
      </c>
      <c r="AE688" s="123">
        <v>66983</v>
      </c>
      <c r="AG688" s="151">
        <f t="shared" si="124"/>
        <v>68657</v>
      </c>
      <c r="AH688" s="123">
        <v>79392</v>
      </c>
      <c r="AJ688" s="123">
        <v>13471</v>
      </c>
      <c r="AL688" s="123">
        <v>10735</v>
      </c>
      <c r="AO688" s="123">
        <v>1173577</v>
      </c>
    </row>
    <row r="689" spans="1:41" s="123" customFormat="1" ht="16.2" thickBot="1" x14ac:dyDescent="0.35">
      <c r="A689" s="21">
        <v>107.2</v>
      </c>
      <c r="B689" s="212" t="s">
        <v>301</v>
      </c>
      <c r="C689" s="31" t="str">
        <f>VLOOKUP((CONCATENATE(B689)),ID!$A$2:$D$305,3,0)</f>
        <v>IC017</v>
      </c>
      <c r="D689" s="21">
        <v>1</v>
      </c>
      <c r="E689" s="21" t="s">
        <v>3876</v>
      </c>
      <c r="F689" s="21" t="s">
        <v>3878</v>
      </c>
      <c r="G689" s="21" t="s">
        <v>3853</v>
      </c>
      <c r="H689" s="88">
        <v>4383</v>
      </c>
      <c r="I689" s="43">
        <v>4433</v>
      </c>
      <c r="J689" s="43">
        <v>4433</v>
      </c>
      <c r="K689" s="21">
        <v>1</v>
      </c>
      <c r="L689" s="43">
        <v>4431</v>
      </c>
      <c r="M689" s="43">
        <v>4442</v>
      </c>
      <c r="N689" s="43">
        <v>4448</v>
      </c>
      <c r="O689" s="21" t="s">
        <v>3893</v>
      </c>
      <c r="P689" s="194" t="str">
        <f t="shared" si="129"/>
        <v>1</v>
      </c>
      <c r="Q689" s="21">
        <v>1</v>
      </c>
      <c r="R689" s="39" t="str">
        <f t="shared" si="133"/>
        <v>-</v>
      </c>
      <c r="S689" s="120">
        <f t="shared" si="131"/>
        <v>1373371</v>
      </c>
      <c r="T689" s="123">
        <v>2003199</v>
      </c>
      <c r="U689" s="123">
        <f>T689-138069-9522-113948-161089-222433</f>
        <v>1358138</v>
      </c>
      <c r="V689" s="123">
        <f t="shared" si="132"/>
        <v>645061</v>
      </c>
      <c r="W689" s="122" t="str">
        <f t="shared" si="125"/>
        <v>1</v>
      </c>
      <c r="X689" s="123">
        <f>Y689+5054+25841+309655+12</f>
        <v>629828</v>
      </c>
      <c r="Y689" s="123">
        <f t="shared" si="134"/>
        <v>289266</v>
      </c>
      <c r="Z689" s="123">
        <f t="shared" si="126"/>
        <v>340562</v>
      </c>
      <c r="AA689" s="122" t="str">
        <f t="shared" si="127"/>
        <v>1</v>
      </c>
      <c r="AB689" s="120">
        <f t="shared" si="135"/>
        <v>289266</v>
      </c>
      <c r="AC689" s="123">
        <v>0</v>
      </c>
      <c r="AD689" s="123">
        <f>252600+36666</f>
        <v>289266</v>
      </c>
      <c r="AE689" s="123">
        <v>138069</v>
      </c>
      <c r="AG689" s="151">
        <f t="shared" si="124"/>
        <v>118027</v>
      </c>
      <c r="AH689" s="123">
        <v>128762</v>
      </c>
      <c r="AJ689" s="123">
        <v>13471</v>
      </c>
      <c r="AL689" s="123">
        <v>10735</v>
      </c>
      <c r="AO689" s="123">
        <v>1173577</v>
      </c>
    </row>
    <row r="690" spans="1:41" s="123" customFormat="1" ht="16.2" thickBot="1" x14ac:dyDescent="0.35">
      <c r="A690" s="21"/>
      <c r="B690" s="212" t="s">
        <v>301</v>
      </c>
      <c r="C690" s="31" t="str">
        <f>VLOOKUP((CONCATENATE(B690)),ID!$A$2:$D$305,3,0)</f>
        <v>IC017</v>
      </c>
      <c r="D690" s="21">
        <v>1</v>
      </c>
      <c r="E690" s="21" t="s">
        <v>3876</v>
      </c>
      <c r="F690" s="21" t="s">
        <v>3878</v>
      </c>
      <c r="G690" s="21" t="s">
        <v>3853</v>
      </c>
      <c r="H690" s="88">
        <v>4749</v>
      </c>
      <c r="I690" s="43">
        <v>4804</v>
      </c>
      <c r="J690" s="43">
        <v>4804</v>
      </c>
      <c r="K690" s="21">
        <v>1</v>
      </c>
      <c r="L690" s="43">
        <v>4805</v>
      </c>
      <c r="M690" s="43">
        <v>4813</v>
      </c>
      <c r="N690" s="43">
        <v>4812</v>
      </c>
      <c r="O690" s="21" t="s">
        <v>3893</v>
      </c>
      <c r="P690" s="194" t="str">
        <f t="shared" si="129"/>
        <v>1</v>
      </c>
      <c r="Q690" s="21">
        <v>1</v>
      </c>
      <c r="R690" s="39" t="str">
        <f t="shared" si="133"/>
        <v>-</v>
      </c>
      <c r="S690" s="120">
        <f t="shared" si="131"/>
        <v>1421882</v>
      </c>
      <c r="T690" s="123">
        <v>2061402</v>
      </c>
      <c r="U690" s="123">
        <f>T690-155107-227500-154176</f>
        <v>1524619</v>
      </c>
      <c r="V690" s="123">
        <f t="shared" si="132"/>
        <v>536783</v>
      </c>
      <c r="W690" s="122" t="str">
        <f t="shared" si="125"/>
        <v>1</v>
      </c>
      <c r="X690" s="123">
        <f>Y690+5190+25841+300126+21</f>
        <v>639520</v>
      </c>
      <c r="Y690" s="123">
        <f t="shared" si="134"/>
        <v>308342</v>
      </c>
      <c r="Z690" s="123">
        <f t="shared" si="126"/>
        <v>331178</v>
      </c>
      <c r="AA690" s="122" t="str">
        <f t="shared" si="127"/>
        <v>1</v>
      </c>
      <c r="AB690" s="120">
        <f t="shared" si="135"/>
        <v>308342</v>
      </c>
      <c r="AC690" s="123">
        <v>0</v>
      </c>
      <c r="AD690" s="123">
        <f>251900+56442</f>
        <v>308342</v>
      </c>
      <c r="AE690" s="123">
        <v>154176</v>
      </c>
      <c r="AG690" s="151">
        <f t="shared" si="124"/>
        <v>114274</v>
      </c>
      <c r="AH690" s="123">
        <v>155149</v>
      </c>
      <c r="AJ690" s="123">
        <f>13471+15868</f>
        <v>29339</v>
      </c>
      <c r="AL690" s="123">
        <v>40875</v>
      </c>
      <c r="AO690" s="123">
        <v>1173577</v>
      </c>
    </row>
    <row r="691" spans="1:41" s="123" customFormat="1" ht="16.2" thickBot="1" x14ac:dyDescent="0.35">
      <c r="A691" s="21"/>
      <c r="B691" s="212" t="s">
        <v>301</v>
      </c>
      <c r="C691" s="31" t="str">
        <f>VLOOKUP((CONCATENATE(B691)),ID!$A$2:$D$305,3,0)</f>
        <v>IC017</v>
      </c>
      <c r="D691" s="21">
        <v>1</v>
      </c>
      <c r="E691" s="21" t="s">
        <v>3876</v>
      </c>
      <c r="F691" s="21" t="s">
        <v>3878</v>
      </c>
      <c r="G691" s="21" t="s">
        <v>3853</v>
      </c>
      <c r="H691" s="88">
        <v>5114</v>
      </c>
      <c r="I691" s="43">
        <v>5166</v>
      </c>
      <c r="J691" s="43">
        <v>5165</v>
      </c>
      <c r="K691" s="21">
        <v>1</v>
      </c>
      <c r="L691" s="43">
        <v>5165</v>
      </c>
      <c r="M691" s="43">
        <v>5177</v>
      </c>
      <c r="N691" s="43">
        <v>5176</v>
      </c>
      <c r="O691" s="21" t="s">
        <v>3893</v>
      </c>
      <c r="P691" s="194" t="str">
        <f t="shared" si="129"/>
        <v>1</v>
      </c>
      <c r="Q691" s="21">
        <v>1</v>
      </c>
      <c r="R691" s="39" t="str">
        <f t="shared" si="133"/>
        <v>-</v>
      </c>
      <c r="S691" s="120">
        <f t="shared" si="131"/>
        <v>2003979</v>
      </c>
      <c r="T691" s="123">
        <v>2817812</v>
      </c>
      <c r="U691" s="123">
        <f>T691-270031-211601-194174-254071</f>
        <v>1887935</v>
      </c>
      <c r="V691" s="123">
        <f t="shared" si="132"/>
        <v>929877</v>
      </c>
      <c r="W691" s="122" t="str">
        <f t="shared" si="125"/>
        <v>1</v>
      </c>
      <c r="X691" s="123">
        <f>Y691+7341+25841+350877+25</f>
        <v>813833</v>
      </c>
      <c r="Y691" s="123">
        <f t="shared" si="134"/>
        <v>429749</v>
      </c>
      <c r="Z691" s="123">
        <f t="shared" si="126"/>
        <v>384084</v>
      </c>
      <c r="AA691" s="122" t="str">
        <f t="shared" si="127"/>
        <v>1</v>
      </c>
      <c r="AB691" s="120">
        <f t="shared" si="135"/>
        <v>429749</v>
      </c>
      <c r="AC691" s="123">
        <v>0</v>
      </c>
      <c r="AD691" s="123">
        <f>366900+62849</f>
        <v>429749</v>
      </c>
      <c r="AG691" s="151">
        <f t="shared" si="124"/>
        <v>265124</v>
      </c>
      <c r="AH691" s="123">
        <v>280717</v>
      </c>
      <c r="AJ691" s="123">
        <f>18071+21388</f>
        <v>39459</v>
      </c>
      <c r="AL691" s="123">
        <v>15593</v>
      </c>
      <c r="AO691" s="123">
        <v>1578377</v>
      </c>
    </row>
    <row r="692" spans="1:41" s="123" customFormat="1" ht="16.2" thickBot="1" x14ac:dyDescent="0.35">
      <c r="A692" s="21"/>
      <c r="B692" s="212" t="s">
        <v>304</v>
      </c>
      <c r="C692" s="31" t="str">
        <f>VLOOKUP((CONCATENATE(B692)),ID!$A$2:$D$305,3,0)</f>
        <v>IC018</v>
      </c>
      <c r="D692" s="21">
        <v>1</v>
      </c>
      <c r="E692" s="21" t="s">
        <v>3876</v>
      </c>
      <c r="F692" s="21" t="s">
        <v>1117</v>
      </c>
      <c r="G692" s="21" t="s">
        <v>3853</v>
      </c>
      <c r="H692" s="88">
        <v>3743</v>
      </c>
      <c r="I692" s="43">
        <v>3814</v>
      </c>
      <c r="J692" s="43">
        <v>3806</v>
      </c>
      <c r="K692" s="21">
        <v>1</v>
      </c>
      <c r="L692" s="43">
        <v>3816</v>
      </c>
      <c r="M692" s="43">
        <v>3826</v>
      </c>
      <c r="N692" s="43">
        <v>3826</v>
      </c>
      <c r="O692" s="21" t="s">
        <v>3879</v>
      </c>
      <c r="P692" s="194" t="str">
        <f t="shared" si="129"/>
        <v>1</v>
      </c>
      <c r="Q692" s="21">
        <v>1</v>
      </c>
      <c r="R692" s="39" t="str">
        <f t="shared" si="133"/>
        <v>-</v>
      </c>
      <c r="S692" s="120">
        <f t="shared" si="131"/>
        <v>1120599</v>
      </c>
      <c r="T692" s="123">
        <v>1454100</v>
      </c>
      <c r="U692" s="123">
        <f>T692-60012-102162-31297</f>
        <v>1260629</v>
      </c>
      <c r="V692" s="123">
        <f t="shared" si="132"/>
        <v>193471</v>
      </c>
      <c r="W692" s="122" t="str">
        <f t="shared" si="125"/>
        <v>1</v>
      </c>
      <c r="X692" s="123">
        <f>Y692+17132+72649+20661</f>
        <v>333501</v>
      </c>
      <c r="Y692" s="123">
        <f t="shared" si="134"/>
        <v>223059</v>
      </c>
      <c r="Z692" s="123">
        <f t="shared" si="126"/>
        <v>110442</v>
      </c>
      <c r="AA692" s="122" t="str">
        <f t="shared" si="127"/>
        <v>1</v>
      </c>
      <c r="AB692" s="120">
        <f t="shared" si="135"/>
        <v>223059</v>
      </c>
      <c r="AC692" s="123">
        <v>0</v>
      </c>
      <c r="AD692" s="123">
        <v>223059</v>
      </c>
      <c r="AE692" s="123">
        <v>60012</v>
      </c>
      <c r="AG692" s="151">
        <f t="shared" si="124"/>
        <v>106310</v>
      </c>
      <c r="AH692" s="123">
        <v>112112</v>
      </c>
      <c r="AJ692" s="123">
        <v>20608</v>
      </c>
      <c r="AL692" s="123">
        <v>5802</v>
      </c>
      <c r="AO692" s="123">
        <f>880000+208335</f>
        <v>1088335</v>
      </c>
    </row>
    <row r="693" spans="1:41" s="123" customFormat="1" ht="16.2" thickBot="1" x14ac:dyDescent="0.35">
      <c r="A693" s="21">
        <v>108.1</v>
      </c>
      <c r="B693" s="212" t="s">
        <v>304</v>
      </c>
      <c r="C693" s="31" t="str">
        <f>VLOOKUP((CONCATENATE(B693)),ID!$A$2:$D$305,3,0)</f>
        <v>IC018</v>
      </c>
      <c r="D693" s="21">
        <v>1</v>
      </c>
      <c r="E693" s="21" t="s">
        <v>3876</v>
      </c>
      <c r="F693" s="21" t="s">
        <v>1117</v>
      </c>
      <c r="G693" s="21" t="s">
        <v>3853</v>
      </c>
      <c r="H693" s="88">
        <v>4108</v>
      </c>
      <c r="I693" s="43">
        <v>4181</v>
      </c>
      <c r="J693" s="43">
        <v>4169</v>
      </c>
      <c r="K693" s="21">
        <v>1</v>
      </c>
      <c r="L693" s="43">
        <v>4181</v>
      </c>
      <c r="M693" s="43">
        <v>4197</v>
      </c>
      <c r="N693" s="43">
        <v>4197</v>
      </c>
      <c r="O693" s="21" t="s">
        <v>3879</v>
      </c>
      <c r="P693" s="194" t="str">
        <f t="shared" si="129"/>
        <v>1</v>
      </c>
      <c r="Q693" s="21">
        <v>1</v>
      </c>
      <c r="R693" s="39" t="str">
        <f t="shared" si="133"/>
        <v>-</v>
      </c>
      <c r="S693" s="120">
        <f t="shared" si="131"/>
        <v>1173452</v>
      </c>
      <c r="T693" s="123">
        <v>1499790</v>
      </c>
      <c r="U693" s="123">
        <f>381407+923169</f>
        <v>1304576</v>
      </c>
      <c r="V693" s="123">
        <f t="shared" si="132"/>
        <v>195214</v>
      </c>
      <c r="W693" s="122" t="str">
        <f t="shared" si="125"/>
        <v>1</v>
      </c>
      <c r="X693" s="123">
        <f>Y693+21928+67811+24008</f>
        <v>326338</v>
      </c>
      <c r="Y693" s="123">
        <f t="shared" si="134"/>
        <v>212591</v>
      </c>
      <c r="Z693" s="123">
        <f t="shared" si="126"/>
        <v>113747</v>
      </c>
      <c r="AA693" s="122" t="str">
        <f t="shared" si="127"/>
        <v>1</v>
      </c>
      <c r="AB693" s="120">
        <f t="shared" si="135"/>
        <v>212591</v>
      </c>
      <c r="AC693" s="123">
        <v>0</v>
      </c>
      <c r="AD693" s="123">
        <v>212591</v>
      </c>
      <c r="AE693" s="123">
        <v>44348</v>
      </c>
      <c r="AG693" s="151">
        <f t="shared" si="124"/>
        <v>124680</v>
      </c>
      <c r="AH693" s="123">
        <v>127349</v>
      </c>
      <c r="AJ693" s="123">
        <v>20608</v>
      </c>
      <c r="AL693" s="123">
        <v>2669</v>
      </c>
      <c r="AO693" s="123">
        <f>880000+208335</f>
        <v>1088335</v>
      </c>
    </row>
    <row r="694" spans="1:41" s="123" customFormat="1" ht="16.2" thickBot="1" x14ac:dyDescent="0.35">
      <c r="A694" s="21">
        <v>108.2</v>
      </c>
      <c r="B694" s="212" t="s">
        <v>304</v>
      </c>
      <c r="C694" s="31" t="str">
        <f>VLOOKUP((CONCATENATE(B694)),ID!$A$2:$D$305,3,0)</f>
        <v>IC018</v>
      </c>
      <c r="D694" s="21">
        <v>1</v>
      </c>
      <c r="E694" s="21" t="s">
        <v>3876</v>
      </c>
      <c r="F694" s="21" t="s">
        <v>1117</v>
      </c>
      <c r="G694" s="21" t="s">
        <v>3853</v>
      </c>
      <c r="H694" s="88">
        <v>4474</v>
      </c>
      <c r="I694" s="43">
        <v>4534</v>
      </c>
      <c r="J694" s="43">
        <v>4535</v>
      </c>
      <c r="K694" s="21">
        <v>1</v>
      </c>
      <c r="L694" s="43">
        <v>4547</v>
      </c>
      <c r="M694" s="43">
        <v>4561</v>
      </c>
      <c r="N694" s="43">
        <v>4561</v>
      </c>
      <c r="O694" s="21" t="s">
        <v>3879</v>
      </c>
      <c r="P694" s="194" t="str">
        <f t="shared" si="129"/>
        <v>1</v>
      </c>
      <c r="Q694" s="21">
        <v>1</v>
      </c>
      <c r="R694" s="39" t="str">
        <f t="shared" si="133"/>
        <v>-</v>
      </c>
      <c r="S694" s="120">
        <f t="shared" si="131"/>
        <v>1145085</v>
      </c>
      <c r="T694" s="123">
        <v>1463869</v>
      </c>
      <c r="U694" s="123">
        <f>906367+398199</f>
        <v>1304566</v>
      </c>
      <c r="V694" s="123">
        <f t="shared" si="132"/>
        <v>159303</v>
      </c>
      <c r="W694" s="122" t="str">
        <f t="shared" si="125"/>
        <v>1</v>
      </c>
      <c r="X694" s="123">
        <f>Y694+42642+3275+23266</f>
        <v>318784</v>
      </c>
      <c r="Y694" s="123">
        <f t="shared" si="134"/>
        <v>249601</v>
      </c>
      <c r="Z694" s="123">
        <f t="shared" si="126"/>
        <v>69183</v>
      </c>
      <c r="AA694" s="122" t="str">
        <f t="shared" si="127"/>
        <v>1</v>
      </c>
      <c r="AB694" s="120">
        <f t="shared" si="135"/>
        <v>249601</v>
      </c>
      <c r="AC694" s="123">
        <v>0</v>
      </c>
      <c r="AD694" s="123">
        <f>249601</f>
        <v>249601</v>
      </c>
      <c r="AE694" s="123">
        <v>62262</v>
      </c>
      <c r="AG694" s="151">
        <f t="shared" ref="AG694:AG757" si="136">AH694-AL694-AI694</f>
        <v>63998</v>
      </c>
      <c r="AH694" s="123">
        <v>68369</v>
      </c>
      <c r="AJ694" s="123">
        <v>20608</v>
      </c>
      <c r="AL694" s="123">
        <v>4371</v>
      </c>
      <c r="AO694" s="123">
        <f>880000+208335</f>
        <v>1088335</v>
      </c>
    </row>
    <row r="695" spans="1:41" s="123" customFormat="1" ht="16.2" thickBot="1" x14ac:dyDescent="0.35">
      <c r="A695" s="21"/>
      <c r="B695" s="212" t="s">
        <v>304</v>
      </c>
      <c r="C695" s="31" t="str">
        <f>VLOOKUP((CONCATENATE(B695)),ID!$A$2:$D$305,3,0)</f>
        <v>IC018</v>
      </c>
      <c r="D695" s="21">
        <v>1</v>
      </c>
      <c r="E695" s="21" t="s">
        <v>3876</v>
      </c>
      <c r="F695" s="21" t="s">
        <v>1117</v>
      </c>
      <c r="G695" s="21" t="s">
        <v>3853</v>
      </c>
      <c r="H695" s="88">
        <v>4839</v>
      </c>
      <c r="I695" s="43">
        <v>4912</v>
      </c>
      <c r="J695" s="43">
        <v>4899</v>
      </c>
      <c r="K695" s="21">
        <v>1</v>
      </c>
      <c r="L695" s="43">
        <v>4916</v>
      </c>
      <c r="M695" s="43">
        <v>4927</v>
      </c>
      <c r="N695" s="43">
        <v>4927</v>
      </c>
      <c r="O695" s="21" t="s">
        <v>3879</v>
      </c>
      <c r="P695" s="194" t="str">
        <f t="shared" si="129"/>
        <v>1</v>
      </c>
      <c r="Q695" s="21">
        <v>1</v>
      </c>
      <c r="R695" s="39" t="str">
        <f t="shared" si="133"/>
        <v>-</v>
      </c>
      <c r="S695" s="120">
        <f t="shared" si="131"/>
        <v>1193381</v>
      </c>
      <c r="T695" s="123">
        <v>1577894</v>
      </c>
      <c r="U695" s="123">
        <f>480614+895382</f>
        <v>1375996</v>
      </c>
      <c r="V695" s="123">
        <f t="shared" si="132"/>
        <v>201898</v>
      </c>
      <c r="W695" s="122" t="str">
        <f t="shared" si="125"/>
        <v>1</v>
      </c>
      <c r="X695" s="123">
        <f>Y695+81+99913+7870+24671</f>
        <v>384513</v>
      </c>
      <c r="Y695" s="123">
        <f t="shared" si="134"/>
        <v>251978</v>
      </c>
      <c r="Z695" s="123">
        <f t="shared" si="126"/>
        <v>132535</v>
      </c>
      <c r="AA695" s="122" t="str">
        <f t="shared" si="127"/>
        <v>1</v>
      </c>
      <c r="AB695" s="120">
        <f t="shared" si="135"/>
        <v>251978</v>
      </c>
      <c r="AC695" s="123">
        <v>0</v>
      </c>
      <c r="AD695" s="123">
        <f>251978</f>
        <v>251978</v>
      </c>
      <c r="AE695" s="123">
        <v>6278</v>
      </c>
      <c r="AG695" s="151">
        <f t="shared" si="136"/>
        <v>120188</v>
      </c>
      <c r="AH695" s="123">
        <v>127169</v>
      </c>
      <c r="AJ695" s="123">
        <v>32973</v>
      </c>
      <c r="AL695" s="123">
        <v>6981</v>
      </c>
      <c r="AO695" s="123">
        <f>880000+208335</f>
        <v>1088335</v>
      </c>
    </row>
    <row r="696" spans="1:41" s="123" customFormat="1" ht="16.2" thickBot="1" x14ac:dyDescent="0.35">
      <c r="A696" s="21"/>
      <c r="B696" s="212" t="s">
        <v>304</v>
      </c>
      <c r="C696" s="31" t="str">
        <f>VLOOKUP((CONCATENATE(B696)),ID!$A$2:$D$305,3,0)</f>
        <v>IC018</v>
      </c>
      <c r="D696" s="21">
        <v>1</v>
      </c>
      <c r="E696" s="21" t="s">
        <v>3876</v>
      </c>
      <c r="F696" s="21" t="s">
        <v>1117</v>
      </c>
      <c r="G696" s="21" t="s">
        <v>3853</v>
      </c>
      <c r="H696" s="88">
        <v>5204</v>
      </c>
      <c r="I696" s="43">
        <v>5282</v>
      </c>
      <c r="J696" s="43">
        <v>5271</v>
      </c>
      <c r="K696" s="21">
        <v>1</v>
      </c>
      <c r="L696" s="43">
        <v>5280</v>
      </c>
      <c r="M696" s="43">
        <v>5292</v>
      </c>
      <c r="N696" s="43">
        <v>5291</v>
      </c>
      <c r="O696" s="21" t="s">
        <v>3879</v>
      </c>
      <c r="P696" s="194" t="str">
        <f t="shared" si="129"/>
        <v>1</v>
      </c>
      <c r="Q696" s="21">
        <v>1</v>
      </c>
      <c r="R696" s="39" t="str">
        <f t="shared" si="133"/>
        <v>-</v>
      </c>
      <c r="S696" s="120">
        <f t="shared" si="131"/>
        <v>1240576</v>
      </c>
      <c r="T696" s="123">
        <v>1639061</v>
      </c>
      <c r="U696" s="123">
        <f>517637+898839</f>
        <v>1416476</v>
      </c>
      <c r="V696" s="123">
        <f t="shared" si="132"/>
        <v>222585</v>
      </c>
      <c r="W696" s="122" t="str">
        <f t="shared" ref="W696:W715" si="137">IF(V696+U696=T696,"1","0")</f>
        <v>1</v>
      </c>
      <c r="X696" s="123">
        <f>Y696+26148+14+108391+13800</f>
        <v>398485</v>
      </c>
      <c r="Y696" s="123">
        <f t="shared" si="134"/>
        <v>250132</v>
      </c>
      <c r="Z696" s="123">
        <f t="shared" si="126"/>
        <v>148353</v>
      </c>
      <c r="AA696" s="122" t="str">
        <f t="shared" si="127"/>
        <v>1</v>
      </c>
      <c r="AB696" s="120">
        <f t="shared" si="135"/>
        <v>250132</v>
      </c>
      <c r="AC696" s="123">
        <v>0</v>
      </c>
      <c r="AD696" s="123">
        <f>250132</f>
        <v>250132</v>
      </c>
      <c r="AE696" s="123">
        <v>30248</v>
      </c>
      <c r="AG696" s="151">
        <f t="shared" si="136"/>
        <v>147872</v>
      </c>
      <c r="AH696" s="123">
        <v>155383</v>
      </c>
      <c r="AJ696" s="123">
        <v>41216</v>
      </c>
      <c r="AL696" s="123">
        <v>7511</v>
      </c>
      <c r="AO696" s="123">
        <f>880000+208335</f>
        <v>1088335</v>
      </c>
    </row>
    <row r="697" spans="1:41" s="123" customFormat="1" ht="16.2" thickBot="1" x14ac:dyDescent="0.35">
      <c r="A697" s="21">
        <v>109.1</v>
      </c>
      <c r="B697" s="212" t="s">
        <v>314</v>
      </c>
      <c r="C697" s="31" t="str">
        <f>VLOOKUP((CONCATENATE(B697)),ID!$A$2:$D$305,3,0)</f>
        <v>IC019</v>
      </c>
      <c r="D697" s="21">
        <v>1</v>
      </c>
      <c r="E697" s="21" t="s">
        <v>3876</v>
      </c>
      <c r="F697" s="21" t="s">
        <v>3789</v>
      </c>
      <c r="G697" s="21" t="s">
        <v>3853</v>
      </c>
      <c r="H697" s="88">
        <v>4018</v>
      </c>
      <c r="I697" s="43">
        <v>4095</v>
      </c>
      <c r="J697" s="43">
        <v>4094</v>
      </c>
      <c r="K697" s="21">
        <v>0</v>
      </c>
      <c r="L697" s="21"/>
      <c r="M697" s="21"/>
      <c r="N697" s="43">
        <v>4106</v>
      </c>
      <c r="O697" s="21" t="s">
        <v>3894</v>
      </c>
      <c r="P697" s="194">
        <v>0</v>
      </c>
      <c r="Q697" s="21">
        <v>1</v>
      </c>
      <c r="R697" s="39" t="str">
        <f t="shared" si="133"/>
        <v>-</v>
      </c>
      <c r="S697" s="120">
        <f t="shared" si="131"/>
        <v>1853368</v>
      </c>
      <c r="T697" s="123">
        <v>3693985</v>
      </c>
      <c r="U697" s="123">
        <f>68964+2815240+2528+103579+159435+40</f>
        <v>3149786</v>
      </c>
      <c r="V697" s="123">
        <f t="shared" si="132"/>
        <v>544199</v>
      </c>
      <c r="W697" s="122" t="str">
        <f t="shared" si="137"/>
        <v>1</v>
      </c>
      <c r="X697" s="123">
        <f>Y697+339924+90939+2336</f>
        <v>1840617</v>
      </c>
      <c r="Y697" s="123">
        <f t="shared" si="134"/>
        <v>1407418</v>
      </c>
      <c r="Z697" s="123">
        <f t="shared" si="126"/>
        <v>433199</v>
      </c>
      <c r="AA697" s="122" t="str">
        <f t="shared" si="127"/>
        <v>1</v>
      </c>
      <c r="AB697" s="120">
        <f t="shared" si="135"/>
        <v>1407418</v>
      </c>
      <c r="AC697" s="123">
        <v>0</v>
      </c>
      <c r="AD697" s="123">
        <f>942900+348241+116277</f>
        <v>1407418</v>
      </c>
      <c r="AE697" s="123">
        <v>44462</v>
      </c>
      <c r="AG697" s="151">
        <f t="shared" si="136"/>
        <v>31351</v>
      </c>
      <c r="AH697" s="123">
        <v>31351</v>
      </c>
      <c r="AM697" s="123">
        <v>94556</v>
      </c>
      <c r="AO697" s="123">
        <v>1800572</v>
      </c>
    </row>
    <row r="698" spans="1:41" s="123" customFormat="1" ht="16.2" thickBot="1" x14ac:dyDescent="0.35">
      <c r="A698" s="21">
        <v>109.2</v>
      </c>
      <c r="B698" s="212" t="s">
        <v>314</v>
      </c>
      <c r="C698" s="31" t="str">
        <f>VLOOKUP((CONCATENATE(B698)),ID!$A$2:$D$305,3,0)</f>
        <v>IC019</v>
      </c>
      <c r="D698" s="21">
        <v>1</v>
      </c>
      <c r="E698" s="21" t="s">
        <v>3876</v>
      </c>
      <c r="F698" s="21" t="s">
        <v>3789</v>
      </c>
      <c r="G698" s="21" t="s">
        <v>3853</v>
      </c>
      <c r="H698" s="88">
        <v>4383</v>
      </c>
      <c r="I698" s="43">
        <v>4459</v>
      </c>
      <c r="J698" s="43">
        <v>4458</v>
      </c>
      <c r="K698" s="21">
        <v>0</v>
      </c>
      <c r="L698" s="21"/>
      <c r="M698" s="21"/>
      <c r="N698" s="43">
        <v>4470</v>
      </c>
      <c r="O698" s="21" t="s">
        <v>3894</v>
      </c>
      <c r="P698" s="194">
        <v>0</v>
      </c>
      <c r="Q698" s="21">
        <v>1</v>
      </c>
      <c r="R698" s="39" t="str">
        <f t="shared" si="133"/>
        <v>-</v>
      </c>
      <c r="S698" s="120">
        <f t="shared" si="131"/>
        <v>1834166</v>
      </c>
      <c r="T698" s="123">
        <v>3453536</v>
      </c>
      <c r="U698" s="123">
        <f>T698-99859-20823-16236-105540-32432</f>
        <v>3178646</v>
      </c>
      <c r="V698" s="123">
        <f t="shared" si="132"/>
        <v>274890</v>
      </c>
      <c r="W698" s="122" t="str">
        <f t="shared" si="137"/>
        <v>1</v>
      </c>
      <c r="X698" s="123">
        <f>Y698+13080+99859+97248+1765</f>
        <v>1619370</v>
      </c>
      <c r="Y698" s="123">
        <f t="shared" si="134"/>
        <v>1407418</v>
      </c>
      <c r="Z698" s="123">
        <f t="shared" si="126"/>
        <v>211952</v>
      </c>
      <c r="AA698" s="122" t="str">
        <f t="shared" si="127"/>
        <v>1</v>
      </c>
      <c r="AB698" s="120">
        <f t="shared" si="135"/>
        <v>1407418</v>
      </c>
      <c r="AC698" s="123">
        <v>0</v>
      </c>
      <c r="AD698" s="123">
        <f>942900+348241+116277</f>
        <v>1407418</v>
      </c>
      <c r="AE698" s="123">
        <v>20823</v>
      </c>
      <c r="AG698" s="151">
        <f t="shared" si="136"/>
        <v>17450</v>
      </c>
      <c r="AH698" s="123">
        <v>17450</v>
      </c>
      <c r="AM698" s="123">
        <v>85928</v>
      </c>
      <c r="AO698" s="123">
        <v>1800572</v>
      </c>
    </row>
    <row r="699" spans="1:41" s="123" customFormat="1" ht="16.2" thickBot="1" x14ac:dyDescent="0.35">
      <c r="A699" s="21"/>
      <c r="B699" s="212" t="s">
        <v>314</v>
      </c>
      <c r="C699" s="31" t="str">
        <f>VLOOKUP((CONCATENATE(B699)),ID!$A$2:$D$305,3,0)</f>
        <v>IC019</v>
      </c>
      <c r="D699" s="21">
        <v>1</v>
      </c>
      <c r="E699" s="21" t="s">
        <v>3876</v>
      </c>
      <c r="F699" s="21" t="s">
        <v>3789</v>
      </c>
      <c r="G699" s="21" t="s">
        <v>3853</v>
      </c>
      <c r="H699" s="88">
        <v>4749</v>
      </c>
      <c r="I699" s="43">
        <v>4823</v>
      </c>
      <c r="J699" s="43">
        <v>4795</v>
      </c>
      <c r="K699" s="21">
        <v>0</v>
      </c>
      <c r="L699" s="21"/>
      <c r="M699" s="21"/>
      <c r="N699" s="43">
        <v>4834</v>
      </c>
      <c r="O699" s="21" t="s">
        <v>3894</v>
      </c>
      <c r="P699" s="194">
        <v>0</v>
      </c>
      <c r="Q699" s="21">
        <v>1</v>
      </c>
      <c r="R699" s="39" t="str">
        <f t="shared" si="133"/>
        <v>-</v>
      </c>
      <c r="S699" s="120">
        <f t="shared" si="131"/>
        <v>1800574</v>
      </c>
      <c r="T699" s="123">
        <v>3455306</v>
      </c>
      <c r="U699" s="123">
        <f>T699-103867-9960-14343-119873-46177-157305</f>
        <v>3003781</v>
      </c>
      <c r="V699" s="123">
        <f t="shared" si="132"/>
        <v>451525</v>
      </c>
      <c r="W699" s="122" t="str">
        <f t="shared" si="137"/>
        <v>1</v>
      </c>
      <c r="X699" s="123">
        <f>Y699+103867+112151+2599+27446</f>
        <v>1654732</v>
      </c>
      <c r="Y699" s="123">
        <f t="shared" si="134"/>
        <v>1408669</v>
      </c>
      <c r="Z699" s="123">
        <f t="shared" ref="Z699:Z715" si="138">X699-Y699</f>
        <v>246063</v>
      </c>
      <c r="AA699" s="122" t="str">
        <f t="shared" si="127"/>
        <v>1</v>
      </c>
      <c r="AB699" s="120">
        <f t="shared" si="135"/>
        <v>1408669</v>
      </c>
      <c r="AC699" s="123">
        <v>0</v>
      </c>
      <c r="AD699" s="123">
        <f>24451+454150+465550+348241+116277</f>
        <v>1408669</v>
      </c>
      <c r="AE699" s="123">
        <v>9960</v>
      </c>
      <c r="AG699" s="151">
        <f t="shared" si="136"/>
        <v>120582</v>
      </c>
      <c r="AH699" s="123">
        <f>120582</f>
        <v>120582</v>
      </c>
      <c r="AM699" s="123">
        <v>200817</v>
      </c>
      <c r="AO699" s="123">
        <v>1800572</v>
      </c>
    </row>
    <row r="700" spans="1:41" s="123" customFormat="1" ht="16.2" thickBot="1" x14ac:dyDescent="0.35">
      <c r="A700" s="21"/>
      <c r="B700" s="212" t="s">
        <v>314</v>
      </c>
      <c r="C700" s="31" t="str">
        <f>VLOOKUP((CONCATENATE(B700)),ID!$A$2:$D$305,3,0)</f>
        <v>IC019</v>
      </c>
      <c r="D700" s="21">
        <v>1</v>
      </c>
      <c r="E700" s="21" t="s">
        <v>3876</v>
      </c>
      <c r="F700" s="21" t="s">
        <v>3789</v>
      </c>
      <c r="G700" s="21" t="s">
        <v>3853</v>
      </c>
      <c r="H700" s="88">
        <v>5114</v>
      </c>
      <c r="I700" s="43">
        <v>5187</v>
      </c>
      <c r="J700" s="43">
        <v>5183</v>
      </c>
      <c r="K700" s="21">
        <v>0</v>
      </c>
      <c r="L700" s="21"/>
      <c r="M700" s="21"/>
      <c r="N700" s="43">
        <v>5198</v>
      </c>
      <c r="O700" s="21" t="s">
        <v>3894</v>
      </c>
      <c r="P700" s="194">
        <v>0</v>
      </c>
      <c r="Q700" s="21">
        <v>1</v>
      </c>
      <c r="R700" s="39" t="str">
        <f t="shared" si="133"/>
        <v>-</v>
      </c>
      <c r="S700" s="120">
        <f t="shared" si="131"/>
        <v>1840253</v>
      </c>
      <c r="T700" s="123">
        <v>3459040</v>
      </c>
      <c r="U700" s="123">
        <f>T700-131303-13910-15110-122976-50901-155457</f>
        <v>2969383</v>
      </c>
      <c r="V700" s="123">
        <f t="shared" si="132"/>
        <v>489657</v>
      </c>
      <c r="W700" s="122" t="str">
        <f t="shared" si="137"/>
        <v>1</v>
      </c>
      <c r="X700" s="123">
        <f>Y700+131303+122066</f>
        <v>1618787</v>
      </c>
      <c r="Y700" s="123">
        <f t="shared" si="134"/>
        <v>1365418</v>
      </c>
      <c r="Z700" s="123">
        <f t="shared" si="138"/>
        <v>253369</v>
      </c>
      <c r="AA700" s="122" t="str">
        <f t="shared" ref="AA700:AA715" si="139">IF(Z700+Y700=X700,"1","0")</f>
        <v>1</v>
      </c>
      <c r="AB700" s="120">
        <f t="shared" si="135"/>
        <v>1365418</v>
      </c>
      <c r="AC700" s="123">
        <v>0</v>
      </c>
      <c r="AD700" s="123">
        <f>16000+428850+456050+348241+116277</f>
        <v>1365418</v>
      </c>
      <c r="AE700" s="123">
        <v>13910</v>
      </c>
      <c r="AG700" s="151">
        <f t="shared" si="136"/>
        <v>100503</v>
      </c>
      <c r="AH700" s="123">
        <v>100503</v>
      </c>
      <c r="AM700" s="123">
        <v>185698</v>
      </c>
      <c r="AO700" s="123">
        <v>1800572</v>
      </c>
    </row>
    <row r="701" spans="1:41" s="123" customFormat="1" ht="16.2" thickBot="1" x14ac:dyDescent="0.35">
      <c r="A701" s="21"/>
      <c r="B701" s="212" t="s">
        <v>319</v>
      </c>
      <c r="C701" s="31" t="str">
        <f>VLOOKUP((CONCATENATE(B701)),ID!$A$2:$D$305,3,0)</f>
        <v>IC020</v>
      </c>
      <c r="D701" s="21">
        <v>1</v>
      </c>
      <c r="E701" s="21" t="s">
        <v>3876</v>
      </c>
      <c r="F701" s="21" t="s">
        <v>3880</v>
      </c>
      <c r="G701" s="21" t="s">
        <v>3853</v>
      </c>
      <c r="H701" s="88">
        <v>3653</v>
      </c>
      <c r="I701" s="43">
        <v>3727</v>
      </c>
      <c r="J701" s="43">
        <v>3723</v>
      </c>
      <c r="K701" s="21">
        <v>1</v>
      </c>
      <c r="L701" s="43">
        <v>3728</v>
      </c>
      <c r="M701" s="43">
        <v>3742</v>
      </c>
      <c r="N701" s="43">
        <v>3735</v>
      </c>
      <c r="O701" s="21" t="s">
        <v>3895</v>
      </c>
      <c r="P701" s="194" t="str">
        <f t="shared" si="129"/>
        <v>1</v>
      </c>
      <c r="Q701" s="21">
        <v>1</v>
      </c>
      <c r="R701" s="39" t="str">
        <f t="shared" si="133"/>
        <v>-</v>
      </c>
      <c r="S701" s="120">
        <f t="shared" si="131"/>
        <v>5454240</v>
      </c>
      <c r="T701" s="123">
        <v>9353493</v>
      </c>
      <c r="U701" s="123">
        <f>T701-313752-907626-993859</f>
        <v>7138256</v>
      </c>
      <c r="V701" s="123">
        <f t="shared" si="132"/>
        <v>2215237</v>
      </c>
      <c r="W701" s="122" t="str">
        <f t="shared" si="137"/>
        <v>1</v>
      </c>
      <c r="X701" s="123">
        <f>Y701+943053+10500</f>
        <v>3899253</v>
      </c>
      <c r="Y701" s="123">
        <f t="shared" si="134"/>
        <v>2945700</v>
      </c>
      <c r="Z701" s="123">
        <f t="shared" si="138"/>
        <v>953553</v>
      </c>
      <c r="AA701" s="122" t="str">
        <f t="shared" si="139"/>
        <v>1</v>
      </c>
      <c r="AB701" s="120">
        <f t="shared" si="135"/>
        <v>2945700</v>
      </c>
      <c r="AC701" s="123">
        <v>0</v>
      </c>
      <c r="AD701" s="123">
        <f>2956200-10500</f>
        <v>2945700</v>
      </c>
      <c r="AE701" s="123">
        <v>313752</v>
      </c>
      <c r="AF701" s="123">
        <v>100000</v>
      </c>
      <c r="AG701" s="151">
        <f t="shared" si="136"/>
        <v>288044</v>
      </c>
      <c r="AH701" s="123">
        <v>288044</v>
      </c>
      <c r="AJ701" s="123">
        <v>220476</v>
      </c>
      <c r="AO701" s="123">
        <f>3700000+750000</f>
        <v>4450000</v>
      </c>
    </row>
    <row r="702" spans="1:41" s="123" customFormat="1" ht="16.2" thickBot="1" x14ac:dyDescent="0.35">
      <c r="A702" s="21">
        <v>110.1</v>
      </c>
      <c r="B702" s="212" t="s">
        <v>319</v>
      </c>
      <c r="C702" s="31" t="str">
        <f>VLOOKUP((CONCATENATE(B702)),ID!$A$2:$D$305,3,0)</f>
        <v>IC020</v>
      </c>
      <c r="D702" s="21">
        <v>1</v>
      </c>
      <c r="E702" s="21" t="s">
        <v>3876</v>
      </c>
      <c r="F702" s="21" t="s">
        <v>3880</v>
      </c>
      <c r="G702" s="21" t="s">
        <v>3853</v>
      </c>
      <c r="H702" s="88">
        <v>4018</v>
      </c>
      <c r="I702" s="43">
        <v>4097</v>
      </c>
      <c r="J702" s="43">
        <v>4092</v>
      </c>
      <c r="K702" s="21">
        <v>1</v>
      </c>
      <c r="L702" s="43">
        <v>4098</v>
      </c>
      <c r="M702" s="43">
        <v>4112</v>
      </c>
      <c r="N702" s="43">
        <v>4105</v>
      </c>
      <c r="O702" s="21" t="s">
        <v>3895</v>
      </c>
      <c r="P702" s="194" t="str">
        <f t="shared" si="129"/>
        <v>1</v>
      </c>
      <c r="Q702" s="21">
        <v>1</v>
      </c>
      <c r="R702" s="39" t="str">
        <f t="shared" si="133"/>
        <v>-</v>
      </c>
      <c r="S702" s="120">
        <f t="shared" si="131"/>
        <v>6524284</v>
      </c>
      <c r="T702" s="123">
        <v>9546704</v>
      </c>
      <c r="U702" s="123">
        <f>T702-232859-898215</f>
        <v>8415630</v>
      </c>
      <c r="V702" s="123">
        <f t="shared" si="132"/>
        <v>1131074</v>
      </c>
      <c r="W702" s="122" t="str">
        <f t="shared" si="137"/>
        <v>1</v>
      </c>
      <c r="X702" s="123">
        <f>Y702+161274+10146</f>
        <v>3022420</v>
      </c>
      <c r="Y702" s="123">
        <f t="shared" si="134"/>
        <v>2851000</v>
      </c>
      <c r="Z702" s="123">
        <f t="shared" si="138"/>
        <v>171420</v>
      </c>
      <c r="AA702" s="122" t="str">
        <f t="shared" si="139"/>
        <v>1</v>
      </c>
      <c r="AB702" s="120">
        <f t="shared" si="135"/>
        <v>2851000</v>
      </c>
      <c r="AC702" s="123">
        <v>0</v>
      </c>
      <c r="AD702" s="123">
        <f>2861146-10146</f>
        <v>2851000</v>
      </c>
      <c r="AE702" s="123">
        <f>232859</f>
        <v>232859</v>
      </c>
      <c r="AF702" s="123">
        <v>100000</v>
      </c>
      <c r="AG702" s="151">
        <f t="shared" si="136"/>
        <v>510668</v>
      </c>
      <c r="AH702" s="123">
        <v>510668</v>
      </c>
      <c r="AJ702" s="123">
        <v>220312</v>
      </c>
      <c r="AO702" s="123">
        <f>3700000+750000</f>
        <v>4450000</v>
      </c>
    </row>
    <row r="703" spans="1:41" s="123" customFormat="1" ht="16.2" thickBot="1" x14ac:dyDescent="0.35">
      <c r="A703" s="21">
        <v>110.2</v>
      </c>
      <c r="B703" s="212" t="s">
        <v>319</v>
      </c>
      <c r="C703" s="31" t="str">
        <f>VLOOKUP((CONCATENATE(B703)),ID!$A$2:$D$305,3,0)</f>
        <v>IC020</v>
      </c>
      <c r="D703" s="21">
        <v>1</v>
      </c>
      <c r="E703" s="21" t="s">
        <v>3876</v>
      </c>
      <c r="F703" s="21" t="s">
        <v>3880</v>
      </c>
      <c r="G703" s="21" t="s">
        <v>3853</v>
      </c>
      <c r="H703" s="88">
        <v>4383</v>
      </c>
      <c r="I703" s="43">
        <v>4464</v>
      </c>
      <c r="J703" s="43">
        <v>4447</v>
      </c>
      <c r="K703" s="21">
        <v>1</v>
      </c>
      <c r="L703" s="43">
        <v>4465</v>
      </c>
      <c r="M703" s="43">
        <v>4479</v>
      </c>
      <c r="N703" s="43">
        <v>4472</v>
      </c>
      <c r="O703" s="21" t="s">
        <v>3895</v>
      </c>
      <c r="P703" s="194" t="str">
        <f t="shared" si="129"/>
        <v>1</v>
      </c>
      <c r="Q703" s="21">
        <v>1</v>
      </c>
      <c r="R703" s="39" t="str">
        <f t="shared" si="133"/>
        <v>-</v>
      </c>
      <c r="S703" s="120">
        <f t="shared" si="131"/>
        <v>5625344</v>
      </c>
      <c r="T703" s="123">
        <v>9558749</v>
      </c>
      <c r="U703" s="123">
        <f>T703-162225-539614</f>
        <v>8856910</v>
      </c>
      <c r="V703" s="123">
        <f t="shared" si="132"/>
        <v>701839</v>
      </c>
      <c r="W703" s="122" t="str">
        <f t="shared" si="137"/>
        <v>1</v>
      </c>
      <c r="X703" s="123">
        <f>Y703+1171629+9776</f>
        <v>3933405</v>
      </c>
      <c r="Y703" s="123">
        <f t="shared" si="134"/>
        <v>2752000</v>
      </c>
      <c r="Z703" s="123">
        <f t="shared" si="138"/>
        <v>1181405</v>
      </c>
      <c r="AA703" s="122" t="str">
        <f t="shared" si="139"/>
        <v>1</v>
      </c>
      <c r="AB703" s="120">
        <f t="shared" si="135"/>
        <v>2752000</v>
      </c>
      <c r="AC703" s="123">
        <v>0</v>
      </c>
      <c r="AD703" s="123">
        <f>2761776-9776</f>
        <v>2752000</v>
      </c>
      <c r="AE703" s="123">
        <v>162225</v>
      </c>
      <c r="AF703" s="123">
        <v>0</v>
      </c>
      <c r="AG703" s="151">
        <f t="shared" si="136"/>
        <v>641685</v>
      </c>
      <c r="AH703" s="123">
        <v>641685</v>
      </c>
      <c r="AJ703" s="123">
        <v>220312</v>
      </c>
      <c r="AO703" s="123">
        <f>3700000+750000</f>
        <v>4450000</v>
      </c>
    </row>
    <row r="704" spans="1:41" s="123" customFormat="1" ht="16.2" thickBot="1" x14ac:dyDescent="0.35">
      <c r="A704" s="21"/>
      <c r="B704" s="212" t="s">
        <v>319</v>
      </c>
      <c r="C704" s="31" t="str">
        <f>VLOOKUP((CONCATENATE(B704)),ID!$A$2:$D$305,3,0)</f>
        <v>IC020</v>
      </c>
      <c r="D704" s="21">
        <v>1</v>
      </c>
      <c r="E704" s="21" t="s">
        <v>3876</v>
      </c>
      <c r="F704" s="21" t="s">
        <v>3880</v>
      </c>
      <c r="G704" s="21" t="s">
        <v>3853</v>
      </c>
      <c r="H704" s="88">
        <v>4749</v>
      </c>
      <c r="I704" s="43">
        <v>4827</v>
      </c>
      <c r="J704" s="43">
        <v>4821</v>
      </c>
      <c r="K704" s="21">
        <v>1</v>
      </c>
      <c r="L704" s="43">
        <v>4829</v>
      </c>
      <c r="M704" s="43">
        <v>4843</v>
      </c>
      <c r="N704" s="43">
        <v>4836</v>
      </c>
      <c r="O704" s="21" t="s">
        <v>3895</v>
      </c>
      <c r="P704" s="194" t="str">
        <f t="shared" si="129"/>
        <v>1</v>
      </c>
      <c r="Q704" s="21">
        <v>1</v>
      </c>
      <c r="R704" s="39" t="str">
        <f t="shared" si="133"/>
        <v>-</v>
      </c>
      <c r="S704" s="120">
        <f t="shared" si="131"/>
        <v>6056753</v>
      </c>
      <c r="T704" s="123">
        <v>10726526</v>
      </c>
      <c r="U704" s="123">
        <f>T704-264396-1120738</f>
        <v>9341392</v>
      </c>
      <c r="V704" s="123">
        <f t="shared" si="132"/>
        <v>1385134</v>
      </c>
      <c r="W704" s="122" t="str">
        <f t="shared" si="137"/>
        <v>1</v>
      </c>
      <c r="X704" s="123">
        <f>Y704+2011884+9389</f>
        <v>4669773</v>
      </c>
      <c r="Y704" s="123">
        <f t="shared" si="134"/>
        <v>2648500</v>
      </c>
      <c r="Z704" s="123">
        <f t="shared" si="138"/>
        <v>2021273</v>
      </c>
      <c r="AA704" s="122" t="str">
        <f t="shared" si="139"/>
        <v>1</v>
      </c>
      <c r="AB704" s="120">
        <f t="shared" si="135"/>
        <v>2648500</v>
      </c>
      <c r="AC704" s="123">
        <v>0</v>
      </c>
      <c r="AD704" s="123">
        <f>2657889-9389</f>
        <v>2648500</v>
      </c>
      <c r="AE704" s="123">
        <v>264396</v>
      </c>
      <c r="AF704" s="123">
        <v>0</v>
      </c>
      <c r="AG704" s="151">
        <f t="shared" si="136"/>
        <v>872033</v>
      </c>
      <c r="AH704" s="123">
        <v>872033</v>
      </c>
      <c r="AJ704" s="123">
        <v>220312</v>
      </c>
      <c r="AO704" s="123">
        <f>3700000+750000</f>
        <v>4450000</v>
      </c>
    </row>
    <row r="705" spans="1:41" s="123" customFormat="1" ht="16.2" thickBot="1" x14ac:dyDescent="0.35">
      <c r="A705" s="21"/>
      <c r="B705" s="212" t="s">
        <v>319</v>
      </c>
      <c r="C705" s="31" t="str">
        <f>VLOOKUP((CONCATENATE(B705)),ID!$A$2:$D$305,3,0)</f>
        <v>IC020</v>
      </c>
      <c r="D705" s="21">
        <v>1</v>
      </c>
      <c r="E705" s="21" t="s">
        <v>3876</v>
      </c>
      <c r="F705" s="21" t="s">
        <v>3880</v>
      </c>
      <c r="G705" s="21" t="s">
        <v>3853</v>
      </c>
      <c r="H705" s="88">
        <v>5114</v>
      </c>
      <c r="I705" s="43">
        <v>5192</v>
      </c>
      <c r="J705" s="43">
        <v>5191</v>
      </c>
      <c r="K705" s="21">
        <v>1</v>
      </c>
      <c r="L705" s="43">
        <v>5189</v>
      </c>
      <c r="M705" s="43">
        <v>5200</v>
      </c>
      <c r="N705" s="43">
        <v>5200</v>
      </c>
      <c r="O705" s="21" t="s">
        <v>3895</v>
      </c>
      <c r="P705" s="194" t="str">
        <f t="shared" si="129"/>
        <v>1</v>
      </c>
      <c r="Q705" s="21">
        <v>1</v>
      </c>
      <c r="R705" s="39" t="str">
        <f t="shared" si="133"/>
        <v>-</v>
      </c>
      <c r="S705" s="120">
        <f t="shared" si="131"/>
        <v>7601124</v>
      </c>
      <c r="T705" s="123">
        <v>12331260</v>
      </c>
      <c r="U705" s="123">
        <f>T705-269688-1656701</f>
        <v>10404871</v>
      </c>
      <c r="V705" s="123">
        <f t="shared" si="132"/>
        <v>1926389</v>
      </c>
      <c r="W705" s="122" t="str">
        <f t="shared" si="137"/>
        <v>1</v>
      </c>
      <c r="X705" s="123">
        <f>Y705+8985+2180951</f>
        <v>4730136</v>
      </c>
      <c r="Y705" s="123">
        <f t="shared" si="134"/>
        <v>2540200</v>
      </c>
      <c r="Z705" s="123">
        <f t="shared" si="138"/>
        <v>2189936</v>
      </c>
      <c r="AA705" s="122" t="str">
        <f t="shared" si="139"/>
        <v>1</v>
      </c>
      <c r="AB705" s="120">
        <f t="shared" si="135"/>
        <v>2540200</v>
      </c>
      <c r="AC705" s="123">
        <v>0</v>
      </c>
      <c r="AD705" s="123">
        <f>2549185-8985</f>
        <v>2540200</v>
      </c>
      <c r="AE705" s="123">
        <v>269688</v>
      </c>
      <c r="AF705" s="123">
        <v>0</v>
      </c>
      <c r="AG705" s="151">
        <f t="shared" si="136"/>
        <v>911996</v>
      </c>
      <c r="AH705" s="123">
        <f>1148435-236439</f>
        <v>911996</v>
      </c>
      <c r="AJ705" s="123">
        <v>257312</v>
      </c>
      <c r="AO705" s="123">
        <f>4440000+750000</f>
        <v>5190000</v>
      </c>
    </row>
    <row r="706" spans="1:41" s="123" customFormat="1" ht="16.2" thickBot="1" x14ac:dyDescent="0.35">
      <c r="A706" s="21"/>
      <c r="B706" s="212" t="s">
        <v>331</v>
      </c>
      <c r="C706" s="31" t="str">
        <f>VLOOKUP((CONCATENATE(B706)),ID!$A$2:$D$305,3,0)</f>
        <v>IC021</v>
      </c>
      <c r="D706" s="21">
        <v>1</v>
      </c>
      <c r="E706" s="21" t="s">
        <v>3876</v>
      </c>
      <c r="F706" s="21" t="s">
        <v>3897</v>
      </c>
      <c r="G706" s="21" t="s">
        <v>3853</v>
      </c>
      <c r="H706" s="88">
        <v>3653</v>
      </c>
      <c r="I706" s="43">
        <v>3692</v>
      </c>
      <c r="J706" s="43">
        <v>3692</v>
      </c>
      <c r="K706" s="21">
        <v>1</v>
      </c>
      <c r="L706" s="43">
        <v>3691</v>
      </c>
      <c r="M706" s="43">
        <v>3702</v>
      </c>
      <c r="N706" s="43">
        <v>3702</v>
      </c>
      <c r="O706" s="21" t="s">
        <v>3896</v>
      </c>
      <c r="P706" s="194" t="str">
        <f t="shared" ref="P706:P769" si="140">IF(AJ706=0,"?","1")</f>
        <v>1</v>
      </c>
      <c r="Q706" s="21">
        <v>1</v>
      </c>
      <c r="R706" s="39" t="str">
        <f t="shared" si="133"/>
        <v>-</v>
      </c>
      <c r="S706" s="120">
        <f t="shared" si="131"/>
        <v>1877026</v>
      </c>
      <c r="T706" s="123">
        <v>1996014</v>
      </c>
      <c r="U706" s="123">
        <f>T706-15217-7455-199994-217339</f>
        <v>1556009</v>
      </c>
      <c r="V706" s="123">
        <f t="shared" si="132"/>
        <v>440005</v>
      </c>
      <c r="W706" s="122" t="str">
        <f t="shared" si="137"/>
        <v>1</v>
      </c>
      <c r="X706" s="123">
        <f t="shared" ref="X706:X715" si="141">Y706</f>
        <v>118988</v>
      </c>
      <c r="Y706" s="123">
        <f t="shared" si="134"/>
        <v>118988</v>
      </c>
      <c r="Z706" s="123">
        <f t="shared" si="138"/>
        <v>0</v>
      </c>
      <c r="AA706" s="122" t="str">
        <f t="shared" si="139"/>
        <v>1</v>
      </c>
      <c r="AB706" s="120">
        <f t="shared" si="135"/>
        <v>118988</v>
      </c>
      <c r="AC706" s="123">
        <v>0</v>
      </c>
      <c r="AD706" s="123">
        <v>118988</v>
      </c>
      <c r="AE706" s="123">
        <v>527</v>
      </c>
      <c r="AG706" s="151">
        <f t="shared" si="136"/>
        <v>44689</v>
      </c>
      <c r="AH706" s="123">
        <v>44689</v>
      </c>
      <c r="AJ706" s="123">
        <v>22621</v>
      </c>
      <c r="AO706" s="123">
        <f>65960+153350</f>
        <v>219310</v>
      </c>
    </row>
    <row r="707" spans="1:41" s="123" customFormat="1" ht="16.2" thickBot="1" x14ac:dyDescent="0.35">
      <c r="A707" s="21">
        <v>111.1</v>
      </c>
      <c r="B707" s="212" t="s">
        <v>331</v>
      </c>
      <c r="C707" s="31" t="str">
        <f>VLOOKUP((CONCATENATE(B707)),ID!$A$2:$D$305,3,0)</f>
        <v>IC021</v>
      </c>
      <c r="D707" s="21">
        <v>1</v>
      </c>
      <c r="E707" s="21" t="s">
        <v>3876</v>
      </c>
      <c r="F707" s="21" t="s">
        <v>3897</v>
      </c>
      <c r="G707" s="21" t="s">
        <v>3853</v>
      </c>
      <c r="H707" s="88">
        <v>4018</v>
      </c>
      <c r="I707" s="43">
        <v>4056</v>
      </c>
      <c r="J707" s="43">
        <v>4056</v>
      </c>
      <c r="K707" s="21">
        <v>0</v>
      </c>
      <c r="L707" s="21"/>
      <c r="M707" s="21"/>
      <c r="N707" s="43">
        <v>4066</v>
      </c>
      <c r="O707" s="21" t="s">
        <v>3896</v>
      </c>
      <c r="P707" s="194" t="str">
        <f t="shared" si="140"/>
        <v>1</v>
      </c>
      <c r="Q707" s="21">
        <v>1</v>
      </c>
      <c r="R707" s="39" t="str">
        <f t="shared" si="133"/>
        <v>-</v>
      </c>
      <c r="S707" s="120">
        <f t="shared" si="131"/>
        <v>1904507</v>
      </c>
      <c r="T707" s="123">
        <v>2045573</v>
      </c>
      <c r="U707" s="123">
        <f>T707-73032-217024-220901</f>
        <v>1534616</v>
      </c>
      <c r="V707" s="123">
        <f t="shared" si="132"/>
        <v>510957</v>
      </c>
      <c r="W707" s="122" t="str">
        <f t="shared" si="137"/>
        <v>1</v>
      </c>
      <c r="X707" s="123">
        <f t="shared" si="141"/>
        <v>141066</v>
      </c>
      <c r="Y707" s="123">
        <f t="shared" si="134"/>
        <v>141066</v>
      </c>
      <c r="Z707" s="123">
        <f t="shared" si="138"/>
        <v>0</v>
      </c>
      <c r="AA707" s="122" t="str">
        <f t="shared" si="139"/>
        <v>1</v>
      </c>
      <c r="AB707" s="120">
        <f t="shared" si="135"/>
        <v>141066</v>
      </c>
      <c r="AC707" s="123">
        <v>0</v>
      </c>
      <c r="AD707" s="123">
        <v>141066</v>
      </c>
      <c r="AE707" s="123">
        <v>185</v>
      </c>
      <c r="AG707" s="151">
        <f t="shared" si="136"/>
        <v>77237</v>
      </c>
      <c r="AH707" s="123">
        <v>77237</v>
      </c>
      <c r="AJ707" s="123">
        <v>27145</v>
      </c>
      <c r="AO707" s="123">
        <f>65960+153350</f>
        <v>219310</v>
      </c>
    </row>
    <row r="708" spans="1:41" s="123" customFormat="1" ht="16.2" thickBot="1" x14ac:dyDescent="0.35">
      <c r="A708" s="21">
        <v>111.2</v>
      </c>
      <c r="B708" s="212" t="s">
        <v>331</v>
      </c>
      <c r="C708" s="31" t="str">
        <f>VLOOKUP((CONCATENATE(B708)),ID!$A$2:$D$305,3,0)</f>
        <v>IC021</v>
      </c>
      <c r="D708" s="21">
        <v>1</v>
      </c>
      <c r="E708" s="21" t="s">
        <v>3876</v>
      </c>
      <c r="F708" s="21" t="s">
        <v>3897</v>
      </c>
      <c r="G708" s="21" t="s">
        <v>3853</v>
      </c>
      <c r="H708" s="88">
        <v>4383</v>
      </c>
      <c r="I708" s="43">
        <v>4416</v>
      </c>
      <c r="J708" s="43">
        <v>4420</v>
      </c>
      <c r="K708" s="21">
        <v>0</v>
      </c>
      <c r="L708" s="21"/>
      <c r="M708" s="21"/>
      <c r="N708" s="43">
        <v>4430</v>
      </c>
      <c r="O708" s="21" t="s">
        <v>3896</v>
      </c>
      <c r="P708" s="194" t="str">
        <f t="shared" si="140"/>
        <v>1</v>
      </c>
      <c r="Q708" s="21">
        <v>1</v>
      </c>
      <c r="R708" s="39" t="str">
        <f t="shared" si="133"/>
        <v>-</v>
      </c>
      <c r="S708" s="120">
        <f t="shared" si="131"/>
        <v>1904576</v>
      </c>
      <c r="T708" s="123">
        <v>2031495</v>
      </c>
      <c r="U708" s="123">
        <f>T708-38030-234415-225650</f>
        <v>1533400</v>
      </c>
      <c r="V708" s="123">
        <f t="shared" si="132"/>
        <v>498095</v>
      </c>
      <c r="W708" s="122" t="str">
        <f t="shared" si="137"/>
        <v>1</v>
      </c>
      <c r="X708" s="123">
        <f t="shared" si="141"/>
        <v>126919</v>
      </c>
      <c r="Y708" s="123">
        <f t="shared" si="134"/>
        <v>126919</v>
      </c>
      <c r="Z708" s="123">
        <f t="shared" si="138"/>
        <v>0</v>
      </c>
      <c r="AA708" s="122" t="str">
        <f t="shared" si="139"/>
        <v>1</v>
      </c>
      <c r="AB708" s="120">
        <f t="shared" si="135"/>
        <v>126919</v>
      </c>
      <c r="AC708" s="123">
        <v>0</v>
      </c>
      <c r="AD708" s="123">
        <f>126919</f>
        <v>126919</v>
      </c>
      <c r="AE708" s="123">
        <v>785</v>
      </c>
      <c r="AG708" s="151">
        <f t="shared" si="136"/>
        <v>72449</v>
      </c>
      <c r="AH708" s="123">
        <v>72449</v>
      </c>
      <c r="AJ708" s="123">
        <v>27145</v>
      </c>
      <c r="AO708" s="123">
        <f>65960+153350</f>
        <v>219310</v>
      </c>
    </row>
    <row r="709" spans="1:41" s="123" customFormat="1" ht="16.2" thickBot="1" x14ac:dyDescent="0.35">
      <c r="A709" s="21"/>
      <c r="B709" s="212" t="s">
        <v>331</v>
      </c>
      <c r="C709" s="31" t="str">
        <f>VLOOKUP((CONCATENATE(B709)),ID!$A$2:$D$305,3,0)</f>
        <v>IC021</v>
      </c>
      <c r="D709" s="21">
        <v>1</v>
      </c>
      <c r="E709" s="21" t="s">
        <v>3876</v>
      </c>
      <c r="F709" s="21" t="s">
        <v>3897</v>
      </c>
      <c r="G709" s="21" t="s">
        <v>3853</v>
      </c>
      <c r="H709" s="88">
        <v>4749</v>
      </c>
      <c r="I709" s="43">
        <v>4785</v>
      </c>
      <c r="J709" s="43">
        <v>4786</v>
      </c>
      <c r="K709" s="21">
        <v>0</v>
      </c>
      <c r="L709" s="21"/>
      <c r="M709" s="21"/>
      <c r="N709" s="43">
        <v>4794</v>
      </c>
      <c r="O709" s="21" t="s">
        <v>3896</v>
      </c>
      <c r="P709" s="194" t="str">
        <f t="shared" si="140"/>
        <v>1</v>
      </c>
      <c r="Q709" s="21">
        <v>1</v>
      </c>
      <c r="R709" s="39" t="str">
        <f t="shared" si="133"/>
        <v>-</v>
      </c>
      <c r="S709" s="120">
        <f t="shared" si="131"/>
        <v>1931750</v>
      </c>
      <c r="T709" s="123">
        <v>2073589</v>
      </c>
      <c r="U709" s="123">
        <f>T709-153744-240816-228287</f>
        <v>1450742</v>
      </c>
      <c r="V709" s="123">
        <f t="shared" si="132"/>
        <v>622847</v>
      </c>
      <c r="W709" s="122" t="str">
        <f t="shared" si="137"/>
        <v>1</v>
      </c>
      <c r="X709" s="123">
        <f t="shared" si="141"/>
        <v>141839</v>
      </c>
      <c r="Y709" s="123">
        <f t="shared" si="134"/>
        <v>141839</v>
      </c>
      <c r="Z709" s="123">
        <f t="shared" si="138"/>
        <v>0</v>
      </c>
      <c r="AA709" s="122" t="str">
        <f t="shared" si="139"/>
        <v>1</v>
      </c>
      <c r="AB709" s="120">
        <f t="shared" si="135"/>
        <v>141839</v>
      </c>
      <c r="AC709" s="123">
        <v>0</v>
      </c>
      <c r="AD709" s="123">
        <v>141839</v>
      </c>
      <c r="AE709" s="123">
        <v>149</v>
      </c>
      <c r="AG709" s="151">
        <f t="shared" si="136"/>
        <v>108561</v>
      </c>
      <c r="AH709" s="123">
        <v>108561</v>
      </c>
      <c r="AJ709" s="123">
        <v>36194</v>
      </c>
      <c r="AO709" s="123">
        <f>65960+153350</f>
        <v>219310</v>
      </c>
    </row>
    <row r="710" spans="1:41" s="123" customFormat="1" ht="16.2" thickBot="1" x14ac:dyDescent="0.35">
      <c r="A710" s="21"/>
      <c r="B710" s="212" t="s">
        <v>331</v>
      </c>
      <c r="C710" s="31" t="str">
        <f>VLOOKUP((CONCATENATE(B710)),ID!$A$2:$D$305,3,0)</f>
        <v>IC021</v>
      </c>
      <c r="D710" s="21">
        <v>1</v>
      </c>
      <c r="E710" s="21" t="s">
        <v>3876</v>
      </c>
      <c r="F710" s="21" t="s">
        <v>3897</v>
      </c>
      <c r="G710" s="21" t="s">
        <v>3853</v>
      </c>
      <c r="H710" s="88">
        <v>5114</v>
      </c>
      <c r="I710" s="43">
        <v>5154</v>
      </c>
      <c r="J710" s="43">
        <v>5154</v>
      </c>
      <c r="K710" s="21">
        <v>1</v>
      </c>
      <c r="L710" s="43">
        <v>5154</v>
      </c>
      <c r="M710" s="43">
        <v>5163</v>
      </c>
      <c r="N710" s="43">
        <v>5162</v>
      </c>
      <c r="O710" s="21" t="s">
        <v>3896</v>
      </c>
      <c r="P710" s="194" t="str">
        <f t="shared" si="140"/>
        <v>1</v>
      </c>
      <c r="Q710" s="21">
        <v>1</v>
      </c>
      <c r="R710" s="39" t="str">
        <f t="shared" si="133"/>
        <v>-</v>
      </c>
      <c r="S710" s="120">
        <f t="shared" si="131"/>
        <v>1952186</v>
      </c>
      <c r="T710" s="123">
        <v>2096210</v>
      </c>
      <c r="U710" s="123">
        <f>T710-123899-235620-228342</f>
        <v>1508349</v>
      </c>
      <c r="V710" s="123">
        <f t="shared" si="132"/>
        <v>587861</v>
      </c>
      <c r="W710" s="122" t="str">
        <f t="shared" si="137"/>
        <v>1</v>
      </c>
      <c r="X710" s="123">
        <f t="shared" si="141"/>
        <v>144024</v>
      </c>
      <c r="Y710" s="123">
        <f t="shared" si="134"/>
        <v>144024</v>
      </c>
      <c r="Z710" s="123">
        <f t="shared" si="138"/>
        <v>0</v>
      </c>
      <c r="AA710" s="122" t="str">
        <f t="shared" si="139"/>
        <v>1</v>
      </c>
      <c r="AB710" s="120">
        <f t="shared" si="135"/>
        <v>144024</v>
      </c>
      <c r="AC710" s="123">
        <v>0</v>
      </c>
      <c r="AD710" s="123">
        <v>144024</v>
      </c>
      <c r="AE710" s="123">
        <v>405</v>
      </c>
      <c r="AG710" s="151">
        <f t="shared" si="136"/>
        <v>138118</v>
      </c>
      <c r="AH710" s="123">
        <v>138118</v>
      </c>
      <c r="AJ710" s="123">
        <v>45243</v>
      </c>
      <c r="AO710" s="123">
        <f>65960+153350</f>
        <v>219310</v>
      </c>
    </row>
    <row r="711" spans="1:41" s="123" customFormat="1" ht="16.2" thickBot="1" x14ac:dyDescent="0.35">
      <c r="A711" s="21"/>
      <c r="B711" s="212" t="s">
        <v>335</v>
      </c>
      <c r="C711" s="31" t="str">
        <f>VLOOKUP((CONCATENATE(B711)),ID!$A$2:$D$305,3,0)</f>
        <v>IC022</v>
      </c>
      <c r="D711" s="21">
        <v>1</v>
      </c>
      <c r="E711" s="21" t="s">
        <v>3876</v>
      </c>
      <c r="F711" s="21" t="s">
        <v>3898</v>
      </c>
      <c r="G711" s="21" t="s">
        <v>3853</v>
      </c>
      <c r="H711" s="88">
        <v>3834</v>
      </c>
      <c r="I711" s="43">
        <v>3904</v>
      </c>
      <c r="J711" s="43">
        <v>3895</v>
      </c>
      <c r="K711" s="21">
        <v>0</v>
      </c>
      <c r="L711" s="21"/>
      <c r="M711" s="21"/>
      <c r="N711" s="43">
        <v>3916</v>
      </c>
      <c r="O711" s="21" t="s">
        <v>3895</v>
      </c>
      <c r="P711" s="194" t="str">
        <f t="shared" si="140"/>
        <v>1</v>
      </c>
      <c r="Q711" s="21">
        <v>1</v>
      </c>
      <c r="R711" s="39" t="str">
        <f t="shared" si="133"/>
        <v>-</v>
      </c>
      <c r="S711" s="120">
        <f t="shared" si="131"/>
        <v>1955595</v>
      </c>
      <c r="T711" s="123">
        <v>2292203</v>
      </c>
      <c r="U711" s="123">
        <f>T711-22579-1790-294-150554-364138</f>
        <v>1752848</v>
      </c>
      <c r="V711" s="123">
        <f t="shared" si="132"/>
        <v>539355</v>
      </c>
      <c r="W711" s="122" t="str">
        <f t="shared" si="137"/>
        <v>1</v>
      </c>
      <c r="X711" s="123">
        <f t="shared" si="141"/>
        <v>336608</v>
      </c>
      <c r="Y711" s="123">
        <f t="shared" si="134"/>
        <v>336608</v>
      </c>
      <c r="Z711" s="123">
        <f t="shared" si="138"/>
        <v>0</v>
      </c>
      <c r="AA711" s="122" t="str">
        <f t="shared" si="139"/>
        <v>1</v>
      </c>
      <c r="AB711" s="120">
        <f t="shared" si="135"/>
        <v>336608</v>
      </c>
      <c r="AC711" s="123">
        <v>0</v>
      </c>
      <c r="AD711" s="123">
        <v>336608</v>
      </c>
      <c r="AE711" s="123">
        <v>1790</v>
      </c>
      <c r="AG711" s="151">
        <f t="shared" si="136"/>
        <v>80998</v>
      </c>
      <c r="AH711" s="123">
        <v>80998</v>
      </c>
      <c r="AJ711" s="123">
        <v>22506</v>
      </c>
      <c r="AO711" s="123">
        <v>1897103</v>
      </c>
    </row>
    <row r="712" spans="1:41" s="123" customFormat="1" ht="16.2" thickBot="1" x14ac:dyDescent="0.35">
      <c r="A712" s="21">
        <v>112.1</v>
      </c>
      <c r="B712" s="212" t="s">
        <v>335</v>
      </c>
      <c r="C712" s="31" t="str">
        <f>VLOOKUP((CONCATENATE(B712)),ID!$A$2:$D$305,3,0)</f>
        <v>IC022</v>
      </c>
      <c r="D712" s="21">
        <v>1</v>
      </c>
      <c r="E712" s="21" t="s">
        <v>3876</v>
      </c>
      <c r="F712" s="21" t="s">
        <v>3898</v>
      </c>
      <c r="G712" s="21" t="s">
        <v>3853</v>
      </c>
      <c r="H712" s="88">
        <v>4199</v>
      </c>
      <c r="I712" s="43">
        <v>4251</v>
      </c>
      <c r="J712" s="43">
        <v>4248</v>
      </c>
      <c r="K712" s="21">
        <v>1</v>
      </c>
      <c r="L712" s="43">
        <v>4248</v>
      </c>
      <c r="M712" s="43">
        <v>4262</v>
      </c>
      <c r="N712" s="43">
        <v>4262</v>
      </c>
      <c r="O712" s="21" t="s">
        <v>3895</v>
      </c>
      <c r="P712" s="194" t="str">
        <f t="shared" si="140"/>
        <v>1</v>
      </c>
      <c r="Q712" s="21">
        <v>1</v>
      </c>
      <c r="R712" s="39" t="str">
        <f t="shared" si="133"/>
        <v>-</v>
      </c>
      <c r="S712" s="120">
        <f t="shared" si="131"/>
        <v>2209139</v>
      </c>
      <c r="T712" s="123">
        <v>2376396</v>
      </c>
      <c r="U712" s="123">
        <f>1629603+102774</f>
        <v>1732377</v>
      </c>
      <c r="V712" s="123">
        <f t="shared" si="132"/>
        <v>644019</v>
      </c>
      <c r="W712" s="122" t="str">
        <f t="shared" si="137"/>
        <v>1</v>
      </c>
      <c r="X712" s="123">
        <f t="shared" si="141"/>
        <v>167257</v>
      </c>
      <c r="Y712" s="123">
        <f t="shared" si="134"/>
        <v>167257</v>
      </c>
      <c r="Z712" s="123">
        <f t="shared" si="138"/>
        <v>0</v>
      </c>
      <c r="AA712" s="122" t="str">
        <f t="shared" si="139"/>
        <v>1</v>
      </c>
      <c r="AB712" s="120">
        <f t="shared" si="135"/>
        <v>167257</v>
      </c>
      <c r="AC712" s="123">
        <v>0</v>
      </c>
      <c r="AD712" s="123">
        <v>167257</v>
      </c>
      <c r="AE712" s="123">
        <f>111021+1072</f>
        <v>112093</v>
      </c>
      <c r="AG712" s="151">
        <f t="shared" si="136"/>
        <v>126531</v>
      </c>
      <c r="AH712" s="123">
        <f>136022-9491</f>
        <v>126531</v>
      </c>
      <c r="AJ712" s="123">
        <v>24000</v>
      </c>
      <c r="AO712" s="123">
        <f>2097117</f>
        <v>2097117</v>
      </c>
    </row>
    <row r="713" spans="1:41" s="123" customFormat="1" ht="16.2" thickBot="1" x14ac:dyDescent="0.35">
      <c r="A713" s="21">
        <v>112.2</v>
      </c>
      <c r="B713" s="212" t="s">
        <v>335</v>
      </c>
      <c r="C713" s="31" t="str">
        <f>VLOOKUP((CONCATENATE(B713)),ID!$A$2:$D$305,3,0)</f>
        <v>IC022</v>
      </c>
      <c r="D713" s="21">
        <v>1</v>
      </c>
      <c r="E713" s="21" t="s">
        <v>3876</v>
      </c>
      <c r="F713" s="21" t="s">
        <v>3898</v>
      </c>
      <c r="G713" s="21" t="s">
        <v>3853</v>
      </c>
      <c r="H713" s="88">
        <v>4565</v>
      </c>
      <c r="I713" s="43">
        <v>4616</v>
      </c>
      <c r="J713" s="43">
        <v>4612</v>
      </c>
      <c r="K713" s="21">
        <v>1</v>
      </c>
      <c r="L713" s="43">
        <v>4612</v>
      </c>
      <c r="M713" s="43">
        <v>4626</v>
      </c>
      <c r="N713" s="43">
        <v>4626</v>
      </c>
      <c r="O713" s="21" t="s">
        <v>3895</v>
      </c>
      <c r="P713" s="194" t="str">
        <f t="shared" si="140"/>
        <v>1</v>
      </c>
      <c r="Q713" s="21">
        <v>1</v>
      </c>
      <c r="R713" s="39" t="str">
        <f t="shared" si="133"/>
        <v>-</v>
      </c>
      <c r="S713" s="120">
        <f t="shared" si="131"/>
        <v>2172956</v>
      </c>
      <c r="T713" s="123">
        <v>2341409</v>
      </c>
      <c r="U713" s="123">
        <f>1664893+110249</f>
        <v>1775142</v>
      </c>
      <c r="V713" s="123">
        <f t="shared" si="132"/>
        <v>566267</v>
      </c>
      <c r="W713" s="122" t="str">
        <f t="shared" si="137"/>
        <v>1</v>
      </c>
      <c r="X713" s="123">
        <f t="shared" si="141"/>
        <v>168453</v>
      </c>
      <c r="Y713" s="123">
        <f t="shared" si="134"/>
        <v>168453</v>
      </c>
      <c r="Z713" s="123">
        <f t="shared" si="138"/>
        <v>0</v>
      </c>
      <c r="AA713" s="122" t="str">
        <f t="shared" si="139"/>
        <v>1</v>
      </c>
      <c r="AB713" s="120">
        <f t="shared" si="135"/>
        <v>168453</v>
      </c>
      <c r="AC713" s="123">
        <v>0</v>
      </c>
      <c r="AD713" s="123">
        <v>168453</v>
      </c>
      <c r="AE713" s="123">
        <f>1832+948</f>
        <v>2780</v>
      </c>
      <c r="AG713" s="151">
        <f t="shared" si="136"/>
        <v>86780</v>
      </c>
      <c r="AH713" s="123">
        <v>86780</v>
      </c>
      <c r="AJ713" s="123">
        <v>30000</v>
      </c>
      <c r="AO713" s="123">
        <f>2097117</f>
        <v>2097117</v>
      </c>
    </row>
    <row r="714" spans="1:41" s="123" customFormat="1" ht="16.2" thickBot="1" x14ac:dyDescent="0.35">
      <c r="A714" s="21"/>
      <c r="B714" s="212" t="s">
        <v>335</v>
      </c>
      <c r="C714" s="31" t="str">
        <f>VLOOKUP((CONCATENATE(B714)),ID!$A$2:$D$305,3,0)</f>
        <v>IC022</v>
      </c>
      <c r="D714" s="21">
        <v>1</v>
      </c>
      <c r="E714" s="21" t="s">
        <v>3876</v>
      </c>
      <c r="F714" s="21" t="s">
        <v>3898</v>
      </c>
      <c r="G714" s="21" t="s">
        <v>3853</v>
      </c>
      <c r="H714" s="88">
        <v>4930</v>
      </c>
      <c r="I714" s="43">
        <v>4977</v>
      </c>
      <c r="J714" s="43">
        <v>4973</v>
      </c>
      <c r="K714" s="21">
        <v>1</v>
      </c>
      <c r="L714" s="43">
        <v>4976</v>
      </c>
      <c r="M714" s="43">
        <v>4990</v>
      </c>
      <c r="N714" s="43">
        <v>4990</v>
      </c>
      <c r="O714" s="21" t="s">
        <v>3895</v>
      </c>
      <c r="P714" s="194" t="str">
        <f t="shared" si="140"/>
        <v>1</v>
      </c>
      <c r="Q714" s="21">
        <v>1</v>
      </c>
      <c r="R714" s="39" t="str">
        <f t="shared" si="133"/>
        <v>-</v>
      </c>
      <c r="S714" s="120">
        <f t="shared" si="131"/>
        <v>2275054</v>
      </c>
      <c r="T714" s="123">
        <v>2552942</v>
      </c>
      <c r="U714" s="123">
        <f>157274+1785670</f>
        <v>1942944</v>
      </c>
      <c r="V714" s="123">
        <f t="shared" si="132"/>
        <v>609998</v>
      </c>
      <c r="W714" s="122" t="str">
        <f t="shared" si="137"/>
        <v>1</v>
      </c>
      <c r="X714" s="123">
        <f t="shared" si="141"/>
        <v>277888</v>
      </c>
      <c r="Y714" s="123">
        <f t="shared" si="134"/>
        <v>277888</v>
      </c>
      <c r="Z714" s="123">
        <f t="shared" si="138"/>
        <v>0</v>
      </c>
      <c r="AA714" s="122" t="str">
        <f t="shared" si="139"/>
        <v>1</v>
      </c>
      <c r="AB714" s="120">
        <f t="shared" si="135"/>
        <v>277888</v>
      </c>
      <c r="AC714" s="123">
        <v>0</v>
      </c>
      <c r="AD714" s="123">
        <v>277888</v>
      </c>
      <c r="AE714" s="123">
        <f>26002+1282</f>
        <v>27284</v>
      </c>
      <c r="AG714" s="151">
        <f t="shared" si="136"/>
        <v>219525</v>
      </c>
      <c r="AH714" s="123">
        <v>219525</v>
      </c>
      <c r="AJ714" s="123">
        <v>27427</v>
      </c>
      <c r="AO714" s="123">
        <f>2097117</f>
        <v>2097117</v>
      </c>
    </row>
    <row r="715" spans="1:41" s="123" customFormat="1" ht="16.2" thickBot="1" x14ac:dyDescent="0.35">
      <c r="A715" s="21"/>
      <c r="B715" s="212" t="s">
        <v>335</v>
      </c>
      <c r="C715" s="31" t="str">
        <f>VLOOKUP((CONCATENATE(B715)),ID!$A$2:$D$305,3,0)</f>
        <v>IC022</v>
      </c>
      <c r="D715" s="21">
        <v>1</v>
      </c>
      <c r="E715" s="21" t="s">
        <v>3876</v>
      </c>
      <c r="F715" s="21" t="s">
        <v>3898</v>
      </c>
      <c r="G715" s="21" t="s">
        <v>3853</v>
      </c>
      <c r="H715" s="88">
        <v>5295</v>
      </c>
      <c r="I715" s="43">
        <v>5343</v>
      </c>
      <c r="J715" s="43">
        <v>5337</v>
      </c>
      <c r="K715" s="21">
        <v>1</v>
      </c>
      <c r="L715" s="43">
        <v>5341</v>
      </c>
      <c r="M715" s="43">
        <v>5355</v>
      </c>
      <c r="N715" s="43">
        <v>5354</v>
      </c>
      <c r="O715" s="21" t="s">
        <v>3895</v>
      </c>
      <c r="P715" s="194" t="str">
        <f t="shared" si="140"/>
        <v>1</v>
      </c>
      <c r="Q715" s="21">
        <v>1</v>
      </c>
      <c r="R715" s="39" t="str">
        <f t="shared" si="133"/>
        <v>-</v>
      </c>
      <c r="S715" s="120">
        <f t="shared" si="131"/>
        <v>2298127</v>
      </c>
      <c r="T715" s="123">
        <v>2516105</v>
      </c>
      <c r="U715" s="123">
        <f>1768530+121774</f>
        <v>1890304</v>
      </c>
      <c r="V715" s="123">
        <f t="shared" si="132"/>
        <v>625801</v>
      </c>
      <c r="W715" s="122" t="str">
        <f t="shared" si="137"/>
        <v>1</v>
      </c>
      <c r="X715" s="123">
        <f t="shared" si="141"/>
        <v>217978</v>
      </c>
      <c r="Y715" s="123">
        <f t="shared" si="134"/>
        <v>217978</v>
      </c>
      <c r="Z715" s="123">
        <f t="shared" si="138"/>
        <v>0</v>
      </c>
      <c r="AA715" s="122" t="str">
        <f t="shared" si="139"/>
        <v>1</v>
      </c>
      <c r="AB715" s="120">
        <f t="shared" si="135"/>
        <v>217978</v>
      </c>
      <c r="AC715" s="123">
        <v>0</v>
      </c>
      <c r="AD715" s="123">
        <v>217978</v>
      </c>
      <c r="AE715" s="123">
        <f>20703+1634</f>
        <v>22337</v>
      </c>
      <c r="AG715" s="151">
        <f t="shared" si="136"/>
        <v>206480</v>
      </c>
      <c r="AH715" s="123">
        <v>206480</v>
      </c>
      <c r="AJ715" s="123">
        <v>27427</v>
      </c>
      <c r="AO715" s="123">
        <f>2097117</f>
        <v>2097117</v>
      </c>
    </row>
    <row r="716" spans="1:41" s="123" customFormat="1" ht="16.2" thickBot="1" x14ac:dyDescent="0.35">
      <c r="A716" s="21"/>
      <c r="B716" s="212" t="s">
        <v>12</v>
      </c>
      <c r="C716" s="31" t="str">
        <f>VLOOKUP((CONCATENATE(B716)),ID!$A$2:$D$305,3,0)</f>
        <v>OT001</v>
      </c>
      <c r="D716" s="21">
        <v>1</v>
      </c>
      <c r="E716" s="21" t="s">
        <v>3903</v>
      </c>
      <c r="F716" s="21" t="s">
        <v>1117</v>
      </c>
      <c r="G716" s="21" t="s">
        <v>3853</v>
      </c>
      <c r="H716" s="88">
        <v>3743</v>
      </c>
      <c r="I716" s="43">
        <v>3842</v>
      </c>
      <c r="J716" s="43">
        <v>3842</v>
      </c>
      <c r="K716" s="21">
        <v>1</v>
      </c>
      <c r="L716" s="43">
        <v>3843</v>
      </c>
      <c r="M716" s="43">
        <v>3855</v>
      </c>
      <c r="N716" s="43">
        <v>3855</v>
      </c>
      <c r="O716" s="21" t="s">
        <v>3899</v>
      </c>
      <c r="P716" s="194" t="str">
        <f t="shared" si="140"/>
        <v>1</v>
      </c>
      <c r="Q716" s="21">
        <v>1</v>
      </c>
      <c r="R716" s="39" t="str">
        <f t="shared" si="133"/>
        <v>-</v>
      </c>
      <c r="S716" s="120">
        <f t="shared" si="131"/>
        <v>2606110</v>
      </c>
      <c r="T716" s="123">
        <v>3482863</v>
      </c>
      <c r="U716" s="123">
        <v>3243723</v>
      </c>
      <c r="V716" s="123">
        <f>T716-U716</f>
        <v>239140</v>
      </c>
      <c r="W716" s="122" t="str">
        <f>IF(V716+U716=T716,"1","0")</f>
        <v>1</v>
      </c>
      <c r="X716" s="123">
        <f>385+9368+17000+AD716</f>
        <v>876753</v>
      </c>
      <c r="Y716" s="123">
        <f t="shared" ref="Y716:Y721" si="142">AD716</f>
        <v>850000</v>
      </c>
      <c r="Z716" s="123">
        <f>X716-Y716</f>
        <v>26753</v>
      </c>
      <c r="AA716" s="122" t="str">
        <f>IF(Z716+Y716=X716,"1","0")</f>
        <v>1</v>
      </c>
      <c r="AB716" s="120">
        <f>SUM(AC716+AD716)</f>
        <v>850000</v>
      </c>
      <c r="AC716" s="123">
        <v>0</v>
      </c>
      <c r="AD716" s="123">
        <v>850000</v>
      </c>
      <c r="AE716" s="123">
        <v>16859</v>
      </c>
      <c r="AG716" s="151">
        <f t="shared" si="136"/>
        <v>134542</v>
      </c>
      <c r="AH716" s="123">
        <f>134542+AI716+AL716</f>
        <v>135745</v>
      </c>
      <c r="AI716" s="123">
        <v>1175</v>
      </c>
      <c r="AJ716" s="123">
        <v>29750</v>
      </c>
      <c r="AL716" s="123">
        <v>28</v>
      </c>
      <c r="AO716" s="123">
        <f>119000+119000</f>
        <v>238000</v>
      </c>
    </row>
    <row r="717" spans="1:41" s="123" customFormat="1" ht="16.2" thickBot="1" x14ac:dyDescent="0.35">
      <c r="A717" s="21">
        <v>113.1</v>
      </c>
      <c r="B717" s="212" t="s">
        <v>12</v>
      </c>
      <c r="C717" s="31" t="str">
        <f>VLOOKUP((CONCATENATE(B717)),ID!$A$2:$D$305,3,0)</f>
        <v>OT001</v>
      </c>
      <c r="D717" s="21">
        <v>1</v>
      </c>
      <c r="E717" s="21" t="s">
        <v>3903</v>
      </c>
      <c r="F717" s="21" t="s">
        <v>1117</v>
      </c>
      <c r="G717" s="21" t="s">
        <v>3853</v>
      </c>
      <c r="H717" s="88">
        <v>4108</v>
      </c>
      <c r="I717" s="43">
        <v>4203</v>
      </c>
      <c r="J717" s="43">
        <v>4203</v>
      </c>
      <c r="K717" s="21">
        <v>1</v>
      </c>
      <c r="L717" s="43">
        <v>4205</v>
      </c>
      <c r="M717" s="43">
        <v>28326</v>
      </c>
      <c r="N717" s="43">
        <v>4219</v>
      </c>
      <c r="O717" s="21" t="s">
        <v>3899</v>
      </c>
      <c r="P717" s="194" t="str">
        <f t="shared" si="140"/>
        <v>1</v>
      </c>
      <c r="Q717" s="21">
        <v>1</v>
      </c>
      <c r="R717" s="39" t="str">
        <f t="shared" si="133"/>
        <v>-</v>
      </c>
      <c r="S717" s="120">
        <f t="shared" si="131"/>
        <v>2617881</v>
      </c>
      <c r="T717" s="123">
        <v>3485765</v>
      </c>
      <c r="U717" s="123">
        <v>3243723</v>
      </c>
      <c r="V717" s="123">
        <f t="shared" ref="V717:V780" si="143">T717-U717</f>
        <v>242042</v>
      </c>
      <c r="W717" s="122" t="str">
        <f t="shared" ref="W717:W780" si="144">IF(V717+U717=T717,"1","0")</f>
        <v>1</v>
      </c>
      <c r="X717" s="123">
        <f>17000+463+421+AD717</f>
        <v>867884</v>
      </c>
      <c r="Y717" s="123">
        <f t="shared" si="142"/>
        <v>850000</v>
      </c>
      <c r="Z717" s="123">
        <f t="shared" ref="Z717:Z780" si="145">X717-Y717</f>
        <v>17884</v>
      </c>
      <c r="AA717" s="122" t="str">
        <f t="shared" ref="AA717:AA780" si="146">IF(Z717+Y717=X717,"1","0")</f>
        <v>1</v>
      </c>
      <c r="AB717" s="120">
        <f t="shared" ref="AB717:AB780" si="147">SUM(AC717+AD717)</f>
        <v>850000</v>
      </c>
      <c r="AC717" s="123">
        <v>0</v>
      </c>
      <c r="AD717" s="123">
        <v>850000</v>
      </c>
      <c r="AE717" s="123">
        <v>17251</v>
      </c>
      <c r="AG717" s="151">
        <f t="shared" si="136"/>
        <v>164770</v>
      </c>
      <c r="AH717" s="123">
        <f>169780-5010+55</f>
        <v>164825</v>
      </c>
      <c r="AI717" s="123">
        <v>0</v>
      </c>
      <c r="AJ717" s="123">
        <f>29750+23800</f>
        <v>53550</v>
      </c>
      <c r="AL717" s="123">
        <v>55</v>
      </c>
      <c r="AO717" s="123">
        <f>119000+119000</f>
        <v>238000</v>
      </c>
    </row>
    <row r="718" spans="1:41" s="123" customFormat="1" ht="16.2" thickBot="1" x14ac:dyDescent="0.35">
      <c r="A718" s="21">
        <v>113.2</v>
      </c>
      <c r="B718" s="212" t="s">
        <v>12</v>
      </c>
      <c r="C718" s="31" t="str">
        <f>VLOOKUP((CONCATENATE(B718)),ID!$A$2:$D$305,3,0)</f>
        <v>OT001</v>
      </c>
      <c r="D718" s="21">
        <v>1</v>
      </c>
      <c r="E718" s="21" t="s">
        <v>3903</v>
      </c>
      <c r="F718" s="21" t="s">
        <v>1117</v>
      </c>
      <c r="G718" s="21" t="s">
        <v>3853</v>
      </c>
      <c r="H718" s="88">
        <v>4474</v>
      </c>
      <c r="I718" s="43">
        <v>4567</v>
      </c>
      <c r="J718" s="43">
        <v>4567</v>
      </c>
      <c r="K718" s="21">
        <v>1</v>
      </c>
      <c r="L718" s="43">
        <v>4569</v>
      </c>
      <c r="M718" s="43">
        <v>4583</v>
      </c>
      <c r="N718" s="43">
        <v>4583</v>
      </c>
      <c r="O718" s="21" t="s">
        <v>3899</v>
      </c>
      <c r="P718" s="194" t="str">
        <f t="shared" si="140"/>
        <v>1</v>
      </c>
      <c r="Q718" s="21">
        <v>1</v>
      </c>
      <c r="R718" s="39" t="str">
        <f t="shared" si="133"/>
        <v>-</v>
      </c>
      <c r="S718" s="120">
        <f t="shared" si="131"/>
        <v>2659601</v>
      </c>
      <c r="T718" s="123">
        <v>3529477</v>
      </c>
      <c r="U718" s="123">
        <v>3243723</v>
      </c>
      <c r="V718" s="123">
        <f t="shared" si="143"/>
        <v>285754</v>
      </c>
      <c r="W718" s="122" t="str">
        <f t="shared" si="144"/>
        <v>1</v>
      </c>
      <c r="X718" s="123">
        <f>850000+17000+2460+416</f>
        <v>869876</v>
      </c>
      <c r="Y718" s="123">
        <f t="shared" si="142"/>
        <v>850000</v>
      </c>
      <c r="Z718" s="123">
        <f t="shared" si="145"/>
        <v>19876</v>
      </c>
      <c r="AA718" s="122" t="str">
        <f t="shared" si="146"/>
        <v>1</v>
      </c>
      <c r="AB718" s="120">
        <f t="shared" si="147"/>
        <v>850000</v>
      </c>
      <c r="AC718" s="123">
        <v>0</v>
      </c>
      <c r="AD718" s="123">
        <v>850000</v>
      </c>
      <c r="AE718" s="123">
        <v>17304</v>
      </c>
      <c r="AG718" s="151">
        <f t="shared" si="136"/>
        <v>200670</v>
      </c>
      <c r="AH718" s="123">
        <f>207592-6922</f>
        <v>200670</v>
      </c>
      <c r="AI718" s="123">
        <v>0</v>
      </c>
      <c r="AJ718" s="123">
        <f>29750*2</f>
        <v>59500</v>
      </c>
      <c r="AL718" s="123">
        <v>0</v>
      </c>
      <c r="AO718" s="123">
        <f>119000+119000</f>
        <v>238000</v>
      </c>
    </row>
    <row r="719" spans="1:41" s="123" customFormat="1" ht="16.2" thickBot="1" x14ac:dyDescent="0.35">
      <c r="A719" s="21"/>
      <c r="B719" s="212" t="s">
        <v>12</v>
      </c>
      <c r="C719" s="31" t="str">
        <f>VLOOKUP((CONCATENATE(B719)),ID!$A$2:$D$305,3,0)</f>
        <v>OT001</v>
      </c>
      <c r="D719" s="21">
        <v>1</v>
      </c>
      <c r="E719" s="21" t="s">
        <v>3903</v>
      </c>
      <c r="F719" s="21" t="s">
        <v>1117</v>
      </c>
      <c r="G719" s="21" t="s">
        <v>3853</v>
      </c>
      <c r="H719" s="88">
        <v>4839</v>
      </c>
      <c r="I719" s="43">
        <v>4931</v>
      </c>
      <c r="J719" s="43">
        <v>4931</v>
      </c>
      <c r="K719" s="21">
        <v>1</v>
      </c>
      <c r="L719" s="43">
        <v>4933</v>
      </c>
      <c r="M719" s="43">
        <v>4947</v>
      </c>
      <c r="N719" s="43">
        <v>4947</v>
      </c>
      <c r="O719" s="21" t="s">
        <v>3899</v>
      </c>
      <c r="P719" s="194" t="str">
        <f t="shared" si="140"/>
        <v>1</v>
      </c>
      <c r="Q719" s="21">
        <v>1</v>
      </c>
      <c r="R719" s="39" t="str">
        <f t="shared" si="133"/>
        <v>-</v>
      </c>
      <c r="S719" s="120">
        <f t="shared" si="131"/>
        <v>2680808</v>
      </c>
      <c r="T719" s="123">
        <v>3550470</v>
      </c>
      <c r="U719" s="123">
        <v>3243723</v>
      </c>
      <c r="V719" s="123">
        <f t="shared" si="143"/>
        <v>306747</v>
      </c>
      <c r="W719" s="122" t="str">
        <f t="shared" si="144"/>
        <v>1</v>
      </c>
      <c r="X719" s="123">
        <f>Y719+17000+2220+442</f>
        <v>869662</v>
      </c>
      <c r="Y719" s="123">
        <f t="shared" si="142"/>
        <v>850000</v>
      </c>
      <c r="Z719" s="123">
        <f t="shared" si="145"/>
        <v>19662</v>
      </c>
      <c r="AA719" s="122" t="str">
        <f t="shared" si="146"/>
        <v>1</v>
      </c>
      <c r="AB719" s="120">
        <f t="shared" si="147"/>
        <v>850000</v>
      </c>
      <c r="AC719" s="123">
        <v>0</v>
      </c>
      <c r="AD719" s="123">
        <v>850000</v>
      </c>
      <c r="AE719" s="123">
        <v>17454</v>
      </c>
      <c r="AG719" s="151">
        <f t="shared" si="136"/>
        <v>198007</v>
      </c>
      <c r="AH719" s="123">
        <f>198007+AL719</f>
        <v>198071</v>
      </c>
      <c r="AI719" s="123">
        <v>0</v>
      </c>
      <c r="AJ719" s="123">
        <f>29750*2</f>
        <v>59500</v>
      </c>
      <c r="AL719" s="123">
        <v>64</v>
      </c>
      <c r="AO719" s="123">
        <v>238000</v>
      </c>
    </row>
    <row r="720" spans="1:41" s="123" customFormat="1" ht="16.2" thickBot="1" x14ac:dyDescent="0.35">
      <c r="A720" s="21"/>
      <c r="B720" s="212" t="s">
        <v>12</v>
      </c>
      <c r="C720" s="31" t="str">
        <f>VLOOKUP((CONCATENATE(B720)),ID!$A$2:$D$305,3,0)</f>
        <v>OT001</v>
      </c>
      <c r="D720" s="21">
        <v>1</v>
      </c>
      <c r="E720" s="21" t="s">
        <v>3903</v>
      </c>
      <c r="F720" s="21" t="s">
        <v>1117</v>
      </c>
      <c r="G720" s="21" t="s">
        <v>3853</v>
      </c>
      <c r="H720" s="88">
        <v>5204</v>
      </c>
      <c r="I720" s="43">
        <v>5298</v>
      </c>
      <c r="J720" s="43">
        <v>5298</v>
      </c>
      <c r="K720" s="21">
        <v>1</v>
      </c>
      <c r="L720" s="43">
        <v>5298</v>
      </c>
      <c r="M720" s="43">
        <v>5311</v>
      </c>
      <c r="N720" s="43">
        <v>5311</v>
      </c>
      <c r="O720" s="21" t="s">
        <v>3899</v>
      </c>
      <c r="P720" s="194" t="str">
        <f t="shared" si="140"/>
        <v>1</v>
      </c>
      <c r="Q720" s="21">
        <v>1</v>
      </c>
      <c r="R720" s="39" t="str">
        <f t="shared" si="133"/>
        <v>-</v>
      </c>
      <c r="S720" s="120">
        <f t="shared" si="131"/>
        <v>2694442</v>
      </c>
      <c r="T720" s="123">
        <v>3563789</v>
      </c>
      <c r="U720" s="123">
        <v>3243723</v>
      </c>
      <c r="V720" s="123">
        <f t="shared" si="143"/>
        <v>320066</v>
      </c>
      <c r="W720" s="122" t="str">
        <f t="shared" si="144"/>
        <v>1</v>
      </c>
      <c r="X720" s="123">
        <f>Y720+17000+1605+742</f>
        <v>869347</v>
      </c>
      <c r="Y720" s="123">
        <f t="shared" si="142"/>
        <v>850000</v>
      </c>
      <c r="Z720" s="123">
        <f t="shared" si="145"/>
        <v>19347</v>
      </c>
      <c r="AA720" s="122" t="str">
        <f t="shared" si="146"/>
        <v>1</v>
      </c>
      <c r="AB720" s="120">
        <f t="shared" si="147"/>
        <v>850000</v>
      </c>
      <c r="AC720" s="123">
        <v>0</v>
      </c>
      <c r="AD720" s="123">
        <v>850000</v>
      </c>
      <c r="AE720" s="123">
        <v>17704</v>
      </c>
      <c r="AG720" s="151">
        <f t="shared" si="136"/>
        <v>190432</v>
      </c>
      <c r="AH720" s="123">
        <f>190432+AL720</f>
        <v>190513</v>
      </c>
      <c r="AI720" s="123">
        <v>0</v>
      </c>
      <c r="AJ720" s="123">
        <f>29750*2</f>
        <v>59500</v>
      </c>
      <c r="AL720" s="123">
        <v>81</v>
      </c>
      <c r="AO720" s="123">
        <v>238000</v>
      </c>
    </row>
    <row r="721" spans="1:41" s="123" customFormat="1" ht="16.2" thickBot="1" x14ac:dyDescent="0.35">
      <c r="A721" s="21"/>
      <c r="B721" s="212" t="s">
        <v>17</v>
      </c>
      <c r="C721" s="31" t="str">
        <f>VLOOKUP((CONCATENATE(B721)),ID!$A$2:$D$305,3,0)</f>
        <v>OT002</v>
      </c>
      <c r="D721" s="21">
        <v>1</v>
      </c>
      <c r="E721" s="21" t="s">
        <v>3903</v>
      </c>
      <c r="F721" s="21" t="s">
        <v>4062</v>
      </c>
      <c r="G721" s="21" t="s">
        <v>3853</v>
      </c>
      <c r="H721" s="88">
        <v>3653</v>
      </c>
      <c r="I721" s="43">
        <v>3700</v>
      </c>
      <c r="J721" s="43">
        <v>3702</v>
      </c>
      <c r="K721" s="21">
        <v>1</v>
      </c>
      <c r="L721" s="43">
        <v>3709</v>
      </c>
      <c r="M721" s="43">
        <v>3722</v>
      </c>
      <c r="N721" s="43">
        <v>3721</v>
      </c>
      <c r="O721" s="21" t="s">
        <v>3900</v>
      </c>
      <c r="P721" s="194" t="str">
        <f t="shared" si="140"/>
        <v>1</v>
      </c>
      <c r="Q721" s="21">
        <v>1</v>
      </c>
      <c r="R721" s="39" t="str">
        <f t="shared" si="133"/>
        <v>-</v>
      </c>
      <c r="S721" s="120">
        <f t="shared" si="131"/>
        <v>3267781</v>
      </c>
      <c r="T721" s="123">
        <v>3389162</v>
      </c>
      <c r="U721" s="123">
        <f>372752+781476+810500+799100+527383+17508+55108</f>
        <v>3363827</v>
      </c>
      <c r="V721" s="123">
        <f t="shared" si="143"/>
        <v>25335</v>
      </c>
      <c r="W721" s="122" t="str">
        <f t="shared" si="144"/>
        <v>1</v>
      </c>
      <c r="X721" s="123">
        <f>75271+33000+11264+1846</f>
        <v>121381</v>
      </c>
      <c r="Y721" s="123">
        <f t="shared" si="142"/>
        <v>0</v>
      </c>
      <c r="Z721" s="123">
        <f t="shared" si="145"/>
        <v>121381</v>
      </c>
      <c r="AA721" s="122" t="str">
        <f t="shared" si="146"/>
        <v>1</v>
      </c>
      <c r="AB721" s="120">
        <f t="shared" si="147"/>
        <v>33000</v>
      </c>
      <c r="AC721" s="123">
        <v>33000</v>
      </c>
      <c r="AD721" s="123">
        <v>0</v>
      </c>
      <c r="AE721" s="123">
        <v>8981</v>
      </c>
      <c r="AG721" s="151">
        <f t="shared" si="136"/>
        <v>114369</v>
      </c>
      <c r="AH721" s="123">
        <f>114369+AI721+AL721</f>
        <v>126708</v>
      </c>
      <c r="AI721" s="123">
        <v>8092</v>
      </c>
      <c r="AJ721" s="123">
        <v>58152</v>
      </c>
      <c r="AL721" s="123">
        <v>4247</v>
      </c>
      <c r="AM721" s="123">
        <v>217126</v>
      </c>
      <c r="AO721" s="123">
        <f>(1758660/10)+25000+93047+10</f>
        <v>293923</v>
      </c>
    </row>
    <row r="722" spans="1:41" s="123" customFormat="1" ht="16.2" thickBot="1" x14ac:dyDescent="0.35">
      <c r="A722" s="21">
        <v>114.1</v>
      </c>
      <c r="B722" s="212" t="s">
        <v>17</v>
      </c>
      <c r="C722" s="31" t="str">
        <f>VLOOKUP((CONCATENATE(B722)),ID!$A$2:$D$305,3,0)</f>
        <v>OT002</v>
      </c>
      <c r="D722" s="21">
        <v>1</v>
      </c>
      <c r="E722" s="21" t="s">
        <v>3903</v>
      </c>
      <c r="F722" s="21" t="s">
        <v>4062</v>
      </c>
      <c r="G722" s="21" t="s">
        <v>3853</v>
      </c>
      <c r="H722" s="88">
        <v>4018</v>
      </c>
      <c r="I722" s="43">
        <v>4057</v>
      </c>
      <c r="J722" s="43">
        <v>4060</v>
      </c>
      <c r="K722" s="21">
        <v>1</v>
      </c>
      <c r="L722" s="43">
        <v>4073</v>
      </c>
      <c r="M722" s="43">
        <v>4086</v>
      </c>
      <c r="N722" s="43">
        <v>4085</v>
      </c>
      <c r="O722" s="21" t="s">
        <v>3900</v>
      </c>
      <c r="P722" s="194" t="str">
        <f t="shared" si="140"/>
        <v>1</v>
      </c>
      <c r="Q722" s="21">
        <v>1</v>
      </c>
      <c r="R722" s="39" t="str">
        <f t="shared" si="133"/>
        <v>-</v>
      </c>
      <c r="S722" s="120">
        <f t="shared" si="131"/>
        <v>3263688</v>
      </c>
      <c r="T722" s="123">
        <v>3385767</v>
      </c>
      <c r="U722" s="123">
        <f>T722-V722</f>
        <v>3363611</v>
      </c>
      <c r="V722" s="123">
        <f>7926+671+1484+851+5269+522+5433</f>
        <v>22156</v>
      </c>
      <c r="W722" s="122" t="str">
        <f t="shared" si="144"/>
        <v>1</v>
      </c>
      <c r="X722" s="123">
        <f>80946+25500+13874+1759</f>
        <v>122079</v>
      </c>
      <c r="Y722" s="123">
        <v>0</v>
      </c>
      <c r="Z722" s="123">
        <f t="shared" si="145"/>
        <v>122079</v>
      </c>
      <c r="AA722" s="122" t="str">
        <f t="shared" si="146"/>
        <v>1</v>
      </c>
      <c r="AB722" s="120">
        <f t="shared" si="147"/>
        <v>25500</v>
      </c>
      <c r="AC722" s="123">
        <v>25500</v>
      </c>
      <c r="AD722" s="123">
        <v>0</v>
      </c>
      <c r="AE722" s="123">
        <v>5433</v>
      </c>
      <c r="AG722" s="151">
        <f t="shared" si="136"/>
        <v>114892</v>
      </c>
      <c r="AH722" s="123">
        <f>114892+AI722+AL722</f>
        <v>127874</v>
      </c>
      <c r="AI722" s="123">
        <v>8388</v>
      </c>
      <c r="AJ722" s="123">
        <v>58132</v>
      </c>
      <c r="AL722" s="123">
        <v>4594</v>
      </c>
      <c r="AM722" s="123">
        <v>216426</v>
      </c>
      <c r="AO722" s="123">
        <f>(1758660/10)+25000+93047+10</f>
        <v>293923</v>
      </c>
    </row>
    <row r="723" spans="1:41" s="123" customFormat="1" ht="16.2" thickBot="1" x14ac:dyDescent="0.35">
      <c r="A723" s="21">
        <v>114.2</v>
      </c>
      <c r="B723" s="212" t="s">
        <v>17</v>
      </c>
      <c r="C723" s="31" t="str">
        <f>VLOOKUP((CONCATENATE(B723)),ID!$A$2:$D$305,3,0)</f>
        <v>OT002</v>
      </c>
      <c r="D723" s="21">
        <v>1</v>
      </c>
      <c r="E723" s="21" t="s">
        <v>3903</v>
      </c>
      <c r="F723" s="21" t="s">
        <v>4062</v>
      </c>
      <c r="G723" s="21" t="s">
        <v>3853</v>
      </c>
      <c r="H723" s="88">
        <v>4383</v>
      </c>
      <c r="I723" s="43">
        <v>4428</v>
      </c>
      <c r="J723" s="43">
        <v>4436</v>
      </c>
      <c r="K723" s="21">
        <v>1</v>
      </c>
      <c r="L723" s="43">
        <v>4443</v>
      </c>
      <c r="M723" s="43">
        <v>4456</v>
      </c>
      <c r="N723" s="43">
        <v>4456</v>
      </c>
      <c r="O723" s="21" t="s">
        <v>3900</v>
      </c>
      <c r="P723" s="194" t="str">
        <f t="shared" si="140"/>
        <v>1</v>
      </c>
      <c r="Q723" s="21">
        <v>1</v>
      </c>
      <c r="R723" s="39" t="str">
        <f t="shared" si="133"/>
        <v>-</v>
      </c>
      <c r="S723" s="120">
        <f t="shared" si="131"/>
        <v>3262438</v>
      </c>
      <c r="T723" s="123">
        <v>3383805</v>
      </c>
      <c r="U723" s="123">
        <f>T723-V723</f>
        <v>3361634</v>
      </c>
      <c r="V723" s="123">
        <f>8545+462+1481+845+5195+516+5127</f>
        <v>22171</v>
      </c>
      <c r="W723" s="122" t="str">
        <f t="shared" si="144"/>
        <v>1</v>
      </c>
      <c r="X723" s="123">
        <f>76192+32000+11297+1878</f>
        <v>121367</v>
      </c>
      <c r="Y723" s="123">
        <v>0</v>
      </c>
      <c r="Z723" s="123">
        <f t="shared" si="145"/>
        <v>121367</v>
      </c>
      <c r="AA723" s="122" t="str">
        <f t="shared" si="146"/>
        <v>1</v>
      </c>
      <c r="AB723" s="120">
        <f t="shared" si="147"/>
        <v>32000</v>
      </c>
      <c r="AC723" s="123">
        <v>32000</v>
      </c>
      <c r="AD723" s="123">
        <v>0</v>
      </c>
      <c r="AE723" s="123">
        <v>5127</v>
      </c>
      <c r="AG723" s="151">
        <f t="shared" si="136"/>
        <v>117565</v>
      </c>
      <c r="AH723" s="123">
        <f>117565+AI723+AL723</f>
        <v>130684</v>
      </c>
      <c r="AI723" s="123">
        <v>8382</v>
      </c>
      <c r="AJ723" s="123">
        <v>58134</v>
      </c>
      <c r="AL723" s="123">
        <v>4737</v>
      </c>
      <c r="AM723" s="123">
        <v>216482</v>
      </c>
      <c r="AO723" s="123">
        <f>(1758660/10)+25000+93057</f>
        <v>293923</v>
      </c>
    </row>
    <row r="724" spans="1:41" s="123" customFormat="1" ht="16.2" thickBot="1" x14ac:dyDescent="0.35">
      <c r="A724" s="21"/>
      <c r="B724" s="212" t="s">
        <v>17</v>
      </c>
      <c r="C724" s="31" t="str">
        <f>VLOOKUP((CONCATENATE(B724)),ID!$A$2:$D$305,3,0)</f>
        <v>OT002</v>
      </c>
      <c r="D724" s="21">
        <v>1</v>
      </c>
      <c r="E724" s="21" t="s">
        <v>3903</v>
      </c>
      <c r="F724" s="21" t="s">
        <v>4062</v>
      </c>
      <c r="G724" s="21" t="s">
        <v>3853</v>
      </c>
      <c r="H724" s="88">
        <v>4749</v>
      </c>
      <c r="I724" s="43">
        <v>4799</v>
      </c>
      <c r="J724" s="43">
        <v>4800</v>
      </c>
      <c r="K724" s="21">
        <v>1</v>
      </c>
      <c r="L724" s="43">
        <v>4807</v>
      </c>
      <c r="M724" s="43">
        <v>4820</v>
      </c>
      <c r="N724" s="43">
        <v>4820</v>
      </c>
      <c r="O724" s="21" t="s">
        <v>3900</v>
      </c>
      <c r="P724" s="194" t="str">
        <f t="shared" si="140"/>
        <v>1</v>
      </c>
      <c r="Q724" s="21">
        <v>1</v>
      </c>
      <c r="R724" s="39" t="str">
        <f t="shared" si="133"/>
        <v>-</v>
      </c>
      <c r="S724" s="120">
        <f t="shared" si="131"/>
        <v>3262820</v>
      </c>
      <c r="T724" s="123">
        <v>3385775</v>
      </c>
      <c r="U724" s="123">
        <f>T724-V724</f>
        <v>3362634</v>
      </c>
      <c r="V724" s="123">
        <f>7086+748+409+442+750+5529+511+7666</f>
        <v>23141</v>
      </c>
      <c r="W724" s="122" t="str">
        <f t="shared" si="144"/>
        <v>1</v>
      </c>
      <c r="X724" s="123">
        <f>40000+66308+14608+2039</f>
        <v>122955</v>
      </c>
      <c r="Y724" s="123">
        <v>0</v>
      </c>
      <c r="Z724" s="123">
        <f t="shared" si="145"/>
        <v>122955</v>
      </c>
      <c r="AA724" s="122" t="str">
        <f t="shared" si="146"/>
        <v>1</v>
      </c>
      <c r="AB724" s="120">
        <f t="shared" si="147"/>
        <v>40000</v>
      </c>
      <c r="AC724" s="123">
        <v>40000</v>
      </c>
      <c r="AD724" s="123">
        <v>0</v>
      </c>
      <c r="AE724" s="123">
        <v>7666</v>
      </c>
      <c r="AG724" s="151">
        <f t="shared" si="136"/>
        <v>117660</v>
      </c>
      <c r="AH724" s="123">
        <f>117660+AI724+AL724</f>
        <v>131082</v>
      </c>
      <c r="AI724" s="123">
        <v>8467</v>
      </c>
      <c r="AJ724" s="123">
        <v>58134</v>
      </c>
      <c r="AL724" s="123">
        <v>4955</v>
      </c>
      <c r="AM724" s="123">
        <v>227177</v>
      </c>
      <c r="AO724" s="123">
        <f>(1758660/10)+25000+93057</f>
        <v>293923</v>
      </c>
    </row>
    <row r="725" spans="1:41" s="123" customFormat="1" ht="16.2" thickBot="1" x14ac:dyDescent="0.35">
      <c r="A725" s="21"/>
      <c r="B725" s="212" t="s">
        <v>17</v>
      </c>
      <c r="C725" s="31" t="str">
        <f>VLOOKUP((CONCATENATE(B725)),ID!$A$2:$D$305,3,0)</f>
        <v>OT002</v>
      </c>
      <c r="D725" s="21">
        <v>1</v>
      </c>
      <c r="E725" s="21" t="s">
        <v>3903</v>
      </c>
      <c r="F725" s="21" t="s">
        <v>4062</v>
      </c>
      <c r="G725" s="21" t="s">
        <v>3853</v>
      </c>
      <c r="H725" s="88">
        <v>5114</v>
      </c>
      <c r="I725" s="43">
        <v>5163</v>
      </c>
      <c r="J725" s="43">
        <v>5163</v>
      </c>
      <c r="K725" s="21">
        <v>1</v>
      </c>
      <c r="L725" s="43">
        <v>5171</v>
      </c>
      <c r="M725" s="43">
        <v>5184</v>
      </c>
      <c r="N725" s="43">
        <v>5184</v>
      </c>
      <c r="O725" s="21" t="s">
        <v>3900</v>
      </c>
      <c r="P725" s="194" t="str">
        <f t="shared" si="140"/>
        <v>1</v>
      </c>
      <c r="Q725" s="21">
        <v>1</v>
      </c>
      <c r="R725" s="39" t="str">
        <f t="shared" si="133"/>
        <v>-</v>
      </c>
      <c r="S725" s="120">
        <f t="shared" si="131"/>
        <v>3264001</v>
      </c>
      <c r="T725" s="123">
        <v>3381314</v>
      </c>
      <c r="U725" s="123">
        <f>T725-V725</f>
        <v>3369106</v>
      </c>
      <c r="V725" s="123">
        <f>522+1415+672+4961+523+4115</f>
        <v>12208</v>
      </c>
      <c r="W725" s="122" t="str">
        <f t="shared" si="144"/>
        <v>1</v>
      </c>
      <c r="X725" s="123">
        <f>AC725+11394+2023+68396</f>
        <v>117313</v>
      </c>
      <c r="Y725" s="123">
        <v>0</v>
      </c>
      <c r="Z725" s="123">
        <f t="shared" si="145"/>
        <v>117313</v>
      </c>
      <c r="AA725" s="122" t="str">
        <f t="shared" si="146"/>
        <v>1</v>
      </c>
      <c r="AB725" s="120">
        <f t="shared" si="147"/>
        <v>35500</v>
      </c>
      <c r="AC725" s="123">
        <v>35500</v>
      </c>
      <c r="AD725" s="123">
        <v>0</v>
      </c>
      <c r="AE725" s="123">
        <v>4115</v>
      </c>
      <c r="AG725" s="151">
        <f t="shared" si="136"/>
        <v>119413</v>
      </c>
      <c r="AH725" s="123">
        <f>119413+AI725+AL725</f>
        <v>133769</v>
      </c>
      <c r="AI725" s="123">
        <v>8645</v>
      </c>
      <c r="AJ725" s="123">
        <v>58134</v>
      </c>
      <c r="AL725" s="123">
        <v>5711</v>
      </c>
      <c r="AM725" s="123">
        <v>233215</v>
      </c>
      <c r="AO725" s="123">
        <f>(1758660/10)+25000+93057</f>
        <v>293923</v>
      </c>
    </row>
    <row r="726" spans="1:41" s="123" customFormat="1" ht="16.2" thickBot="1" x14ac:dyDescent="0.35">
      <c r="A726" s="21"/>
      <c r="B726" s="212" t="s">
        <v>3901</v>
      </c>
      <c r="C726" s="31" t="str">
        <f>VLOOKUP((CONCATENATE(B726)),ID!$A$2:$D$305,3,0)</f>
        <v>OT003</v>
      </c>
      <c r="D726" s="21">
        <v>1</v>
      </c>
      <c r="E726" s="21" t="s">
        <v>3903</v>
      </c>
      <c r="F726" s="21" t="s">
        <v>1117</v>
      </c>
      <c r="G726" s="21" t="s">
        <v>3853</v>
      </c>
      <c r="H726" s="88">
        <v>3743</v>
      </c>
      <c r="I726" s="43">
        <v>3804</v>
      </c>
      <c r="J726" s="43">
        <v>3797</v>
      </c>
      <c r="K726" s="21">
        <v>0</v>
      </c>
      <c r="L726" s="43"/>
      <c r="M726" s="43"/>
      <c r="N726" s="43"/>
      <c r="O726" s="27" t="s">
        <v>3800</v>
      </c>
      <c r="P726" s="194" t="str">
        <f t="shared" si="140"/>
        <v>1</v>
      </c>
      <c r="Q726" s="21">
        <v>1</v>
      </c>
      <c r="R726" s="39" t="str">
        <f t="shared" si="133"/>
        <v>-</v>
      </c>
      <c r="S726" s="120">
        <f t="shared" si="131"/>
        <v>1796724</v>
      </c>
      <c r="T726" s="123">
        <v>1962040</v>
      </c>
      <c r="U726" s="123">
        <f>1360404+381479</f>
        <v>1741883</v>
      </c>
      <c r="V726" s="123">
        <f t="shared" si="143"/>
        <v>220157</v>
      </c>
      <c r="W726" s="122" t="str">
        <f t="shared" si="144"/>
        <v>1</v>
      </c>
      <c r="X726" s="123">
        <f>133210+32100+6</f>
        <v>165316</v>
      </c>
      <c r="Y726" s="123">
        <v>0</v>
      </c>
      <c r="Z726" s="123">
        <f t="shared" si="145"/>
        <v>165316</v>
      </c>
      <c r="AA726" s="122" t="str">
        <f t="shared" si="146"/>
        <v>1</v>
      </c>
      <c r="AB726" s="120">
        <f t="shared" si="147"/>
        <v>0</v>
      </c>
      <c r="AC726" s="123">
        <v>0</v>
      </c>
      <c r="AD726" s="123">
        <v>0</v>
      </c>
      <c r="AE726" s="123">
        <v>64955</v>
      </c>
      <c r="AG726" s="151">
        <f t="shared" si="136"/>
        <v>159937</v>
      </c>
      <c r="AH726" s="123">
        <v>162330</v>
      </c>
      <c r="AI726" s="123">
        <v>2393</v>
      </c>
      <c r="AJ726" s="123">
        <f>20000+66996+30000</f>
        <v>116996</v>
      </c>
      <c r="AO726" s="123">
        <v>1599955</v>
      </c>
    </row>
    <row r="727" spans="1:41" s="123" customFormat="1" ht="16.2" thickBot="1" x14ac:dyDescent="0.35">
      <c r="A727" s="21">
        <v>115.1</v>
      </c>
      <c r="B727" s="212" t="s">
        <v>3901</v>
      </c>
      <c r="C727" s="31" t="str">
        <f>VLOOKUP((CONCATENATE(B727)),ID!$A$2:$D$305,3,0)</f>
        <v>OT003</v>
      </c>
      <c r="D727" s="21">
        <v>1</v>
      </c>
      <c r="E727" s="21" t="s">
        <v>3903</v>
      </c>
      <c r="F727" s="21" t="s">
        <v>1117</v>
      </c>
      <c r="G727" s="21" t="s">
        <v>3853</v>
      </c>
      <c r="H727" s="88">
        <v>4108</v>
      </c>
      <c r="I727" s="43">
        <v>4163</v>
      </c>
      <c r="J727" s="43">
        <v>4162</v>
      </c>
      <c r="K727" s="21">
        <v>0</v>
      </c>
      <c r="L727" s="21"/>
      <c r="M727" s="21"/>
      <c r="N727" s="21"/>
      <c r="O727" s="27" t="s">
        <v>3800</v>
      </c>
      <c r="P727" s="194" t="str">
        <f t="shared" si="140"/>
        <v>1</v>
      </c>
      <c r="Q727" s="21">
        <v>1</v>
      </c>
      <c r="R727" s="39" t="str">
        <f t="shared" si="133"/>
        <v>-</v>
      </c>
      <c r="S727" s="120">
        <f t="shared" si="131"/>
        <v>1836428</v>
      </c>
      <c r="T727" s="123">
        <v>2073773</v>
      </c>
      <c r="U727" s="123">
        <f>1368524+473517</f>
        <v>1842041</v>
      </c>
      <c r="V727" s="123">
        <f t="shared" si="143"/>
        <v>231732</v>
      </c>
      <c r="W727" s="122" t="str">
        <f t="shared" si="144"/>
        <v>1</v>
      </c>
      <c r="X727" s="123">
        <f>32235+205104+6</f>
        <v>237345</v>
      </c>
      <c r="Y727" s="123">
        <v>0</v>
      </c>
      <c r="Z727" s="123">
        <f t="shared" si="145"/>
        <v>237345</v>
      </c>
      <c r="AA727" s="122" t="str">
        <f t="shared" si="146"/>
        <v>1</v>
      </c>
      <c r="AB727" s="120">
        <f t="shared" si="147"/>
        <v>0</v>
      </c>
      <c r="AC727" s="123">
        <v>0</v>
      </c>
      <c r="AD727" s="123">
        <v>0</v>
      </c>
      <c r="AE727" s="123">
        <v>67863</v>
      </c>
      <c r="AG727" s="151">
        <f t="shared" si="136"/>
        <v>161701</v>
      </c>
      <c r="AH727" s="123">
        <f>162800</f>
        <v>162800</v>
      </c>
      <c r="AI727" s="123">
        <v>1099</v>
      </c>
      <c r="AJ727" s="123">
        <f>30000+66996+25000</f>
        <v>121996</v>
      </c>
      <c r="AO727" s="123">
        <v>1599955</v>
      </c>
    </row>
    <row r="728" spans="1:41" s="123" customFormat="1" ht="16.2" thickBot="1" x14ac:dyDescent="0.35">
      <c r="A728" s="21">
        <v>115.2</v>
      </c>
      <c r="B728" s="212" t="s">
        <v>3901</v>
      </c>
      <c r="C728" s="31" t="str">
        <f>VLOOKUP((CONCATENATE(B728)),ID!$A$2:$D$305,3,0)</f>
        <v>OT003</v>
      </c>
      <c r="D728" s="21">
        <v>1</v>
      </c>
      <c r="E728" s="21" t="s">
        <v>3903</v>
      </c>
      <c r="F728" s="21" t="s">
        <v>1117</v>
      </c>
      <c r="G728" s="21" t="s">
        <v>3853</v>
      </c>
      <c r="H728" s="88">
        <v>4474</v>
      </c>
      <c r="I728" s="43">
        <v>4532</v>
      </c>
      <c r="J728" s="43">
        <v>4532</v>
      </c>
      <c r="K728" s="21">
        <v>0</v>
      </c>
      <c r="L728" s="21"/>
      <c r="M728" s="21"/>
      <c r="N728" s="43"/>
      <c r="O728" s="27" t="s">
        <v>3800</v>
      </c>
      <c r="P728" s="194" t="str">
        <f t="shared" si="140"/>
        <v>1</v>
      </c>
      <c r="Q728" s="21">
        <v>1</v>
      </c>
      <c r="R728" s="39" t="str">
        <f t="shared" si="133"/>
        <v>-</v>
      </c>
      <c r="S728" s="120">
        <f t="shared" si="131"/>
        <v>1871789</v>
      </c>
      <c r="T728" s="123">
        <v>2092011</v>
      </c>
      <c r="U728" s="123">
        <f>1401515+440277</f>
        <v>1841792</v>
      </c>
      <c r="V728" s="123">
        <f t="shared" si="143"/>
        <v>250219</v>
      </c>
      <c r="W728" s="122" t="str">
        <f t="shared" si="144"/>
        <v>1</v>
      </c>
      <c r="X728" s="123">
        <f>32494+187722+6</f>
        <v>220222</v>
      </c>
      <c r="Y728" s="123">
        <v>0</v>
      </c>
      <c r="Z728" s="123">
        <f t="shared" si="145"/>
        <v>220222</v>
      </c>
      <c r="AA728" s="122" t="str">
        <f t="shared" si="146"/>
        <v>1</v>
      </c>
      <c r="AB728" s="120">
        <f t="shared" si="147"/>
        <v>0</v>
      </c>
      <c r="AC728" s="123">
        <v>0</v>
      </c>
      <c r="AD728" s="123">
        <v>0</v>
      </c>
      <c r="AE728" s="123">
        <v>104830</v>
      </c>
      <c r="AG728" s="151">
        <f t="shared" si="136"/>
        <v>157357</v>
      </c>
      <c r="AH728" s="123">
        <v>159519</v>
      </c>
      <c r="AI728" s="123">
        <v>2162</v>
      </c>
      <c r="AJ728" s="123">
        <f>35000+66996+20000</f>
        <v>121996</v>
      </c>
      <c r="AO728" s="123">
        <v>1599955</v>
      </c>
    </row>
    <row r="729" spans="1:41" s="123" customFormat="1" ht="16.2" thickBot="1" x14ac:dyDescent="0.35">
      <c r="A729" s="21"/>
      <c r="B729" s="212" t="s">
        <v>3901</v>
      </c>
      <c r="C729" s="31" t="str">
        <f>VLOOKUP((CONCATENATE(B729)),ID!$A$2:$D$305,3,0)</f>
        <v>OT003</v>
      </c>
      <c r="D729" s="21">
        <v>1</v>
      </c>
      <c r="E729" s="21" t="s">
        <v>3903</v>
      </c>
      <c r="F729" s="21" t="s">
        <v>1117</v>
      </c>
      <c r="G729" s="21" t="s">
        <v>3853</v>
      </c>
      <c r="H729" s="88">
        <v>4839</v>
      </c>
      <c r="I729" s="43">
        <v>4895</v>
      </c>
      <c r="J729" s="43">
        <v>4895</v>
      </c>
      <c r="K729" s="21">
        <v>0</v>
      </c>
      <c r="L729" s="21"/>
      <c r="M729" s="21"/>
      <c r="N729" s="43"/>
      <c r="O729" s="27" t="s">
        <v>3800</v>
      </c>
      <c r="P729" s="194" t="str">
        <f t="shared" si="140"/>
        <v>1</v>
      </c>
      <c r="Q729" s="21">
        <v>1</v>
      </c>
      <c r="R729" s="39" t="str">
        <f t="shared" si="133"/>
        <v>-</v>
      </c>
      <c r="S729" s="120">
        <f t="shared" ref="S729:S792" si="148">T729-X729</f>
        <v>1898012</v>
      </c>
      <c r="T729" s="123">
        <v>2144825</v>
      </c>
      <c r="U729" s="123">
        <f>1383631+426107</f>
        <v>1809738</v>
      </c>
      <c r="V729" s="123">
        <f t="shared" si="143"/>
        <v>335087</v>
      </c>
      <c r="W729" s="122" t="str">
        <f t="shared" si="144"/>
        <v>1</v>
      </c>
      <c r="X729" s="123">
        <f>6+32381+214426</f>
        <v>246813</v>
      </c>
      <c r="Y729" s="123">
        <v>0</v>
      </c>
      <c r="Z729" s="123">
        <f t="shared" si="145"/>
        <v>246813</v>
      </c>
      <c r="AA729" s="122" t="str">
        <f t="shared" si="146"/>
        <v>1</v>
      </c>
      <c r="AB729" s="120">
        <f t="shared" si="147"/>
        <v>0</v>
      </c>
      <c r="AC729" s="123">
        <v>0</v>
      </c>
      <c r="AD729" s="123">
        <v>0</v>
      </c>
      <c r="AE729" s="123">
        <v>168626</v>
      </c>
      <c r="AG729" s="151">
        <f t="shared" si="136"/>
        <v>158220</v>
      </c>
      <c r="AH729" s="123">
        <v>160783</v>
      </c>
      <c r="AI729" s="123">
        <v>2563</v>
      </c>
      <c r="AJ729" s="123">
        <f>40000+66996+25000</f>
        <v>131996</v>
      </c>
      <c r="AO729" s="123">
        <v>1599955</v>
      </c>
    </row>
    <row r="730" spans="1:41" s="123" customFormat="1" ht="16.2" thickBot="1" x14ac:dyDescent="0.35">
      <c r="A730" s="21"/>
      <c r="B730" s="212" t="s">
        <v>3901</v>
      </c>
      <c r="C730" s="31" t="str">
        <f>VLOOKUP((CONCATENATE(B730)),ID!$A$2:$D$305,3,0)</f>
        <v>OT003</v>
      </c>
      <c r="D730" s="21">
        <v>1</v>
      </c>
      <c r="E730" s="21" t="s">
        <v>3903</v>
      </c>
      <c r="F730" s="21" t="s">
        <v>1117</v>
      </c>
      <c r="G730" s="21" t="s">
        <v>3853</v>
      </c>
      <c r="H730" s="88">
        <v>5204</v>
      </c>
      <c r="I730" s="43">
        <v>5260</v>
      </c>
      <c r="J730" s="43">
        <v>5260</v>
      </c>
      <c r="K730" s="21">
        <v>0</v>
      </c>
      <c r="L730" s="21"/>
      <c r="M730" s="21"/>
      <c r="N730" s="43"/>
      <c r="O730" s="27" t="s">
        <v>3800</v>
      </c>
      <c r="P730" s="194" t="str">
        <f t="shared" si="140"/>
        <v>1</v>
      </c>
      <c r="Q730" s="21">
        <v>1</v>
      </c>
      <c r="R730" s="39" t="str">
        <f t="shared" ref="R730:R780" si="149">IF(Q730=0,"?","-")</f>
        <v>-</v>
      </c>
      <c r="S730" s="120">
        <f t="shared" si="148"/>
        <v>1933731</v>
      </c>
      <c r="T730" s="123">
        <v>2204141</v>
      </c>
      <c r="U730" s="123">
        <f>1306933+475412</f>
        <v>1782345</v>
      </c>
      <c r="V730" s="123">
        <f t="shared" si="143"/>
        <v>421796</v>
      </c>
      <c r="W730" s="122" t="str">
        <f t="shared" si="144"/>
        <v>1</v>
      </c>
      <c r="X730" s="123">
        <f>6+32505+237899</f>
        <v>270410</v>
      </c>
      <c r="Y730" s="123">
        <v>0</v>
      </c>
      <c r="Z730" s="123">
        <f t="shared" si="145"/>
        <v>270410</v>
      </c>
      <c r="AA730" s="122" t="str">
        <f t="shared" si="146"/>
        <v>1</v>
      </c>
      <c r="AB730" s="120">
        <f t="shared" si="147"/>
        <v>0</v>
      </c>
      <c r="AC730" s="123">
        <v>0</v>
      </c>
      <c r="AD730" s="123">
        <v>0</v>
      </c>
      <c r="AE730" s="123">
        <v>250096</v>
      </c>
      <c r="AG730" s="151">
        <f t="shared" si="136"/>
        <v>163171</v>
      </c>
      <c r="AH730" s="123">
        <v>165563</v>
      </c>
      <c r="AI730" s="123">
        <v>2392</v>
      </c>
      <c r="AJ730" s="123">
        <f>35000+66998+25000</f>
        <v>126998</v>
      </c>
      <c r="AO730" s="123">
        <v>1600000</v>
      </c>
    </row>
    <row r="731" spans="1:41" s="123" customFormat="1" ht="16.2" thickBot="1" x14ac:dyDescent="0.35">
      <c r="A731" s="21"/>
      <c r="B731" s="212" t="s">
        <v>21</v>
      </c>
      <c r="C731" s="31" t="str">
        <f>VLOOKUP((CONCATENATE(B731)),ID!$A$2:$D$305,3,0)</f>
        <v>OT004</v>
      </c>
      <c r="D731" s="21">
        <v>1</v>
      </c>
      <c r="E731" s="21" t="s">
        <v>3903</v>
      </c>
      <c r="F731" s="21" t="s">
        <v>1117</v>
      </c>
      <c r="G731" s="21" t="s">
        <v>3853</v>
      </c>
      <c r="H731" s="88">
        <v>3834</v>
      </c>
      <c r="I731" s="43">
        <v>3909</v>
      </c>
      <c r="J731" s="43">
        <v>3903</v>
      </c>
      <c r="K731" s="21">
        <v>0</v>
      </c>
      <c r="L731" s="21"/>
      <c r="M731" s="21"/>
      <c r="N731" s="43">
        <v>3918</v>
      </c>
      <c r="O731" s="21" t="s">
        <v>3902</v>
      </c>
      <c r="P731" s="194">
        <v>1</v>
      </c>
      <c r="Q731" s="21">
        <v>1</v>
      </c>
      <c r="R731" s="39" t="str">
        <f t="shared" si="149"/>
        <v>-</v>
      </c>
      <c r="S731" s="120">
        <f t="shared" si="148"/>
        <v>4592843</v>
      </c>
      <c r="T731" s="123">
        <v>7827261</v>
      </c>
      <c r="U731" s="123">
        <f>T731-V731</f>
        <v>7158784</v>
      </c>
      <c r="V731" s="123">
        <f>110115+18232+298824+241306</f>
        <v>668477</v>
      </c>
      <c r="W731" s="122" t="str">
        <f t="shared" si="144"/>
        <v>1</v>
      </c>
      <c r="X731" s="123">
        <f>Y731+Z731</f>
        <v>3234418</v>
      </c>
      <c r="Y731" s="123">
        <f>267047+78966+236751+2487644+23924</f>
        <v>3094332</v>
      </c>
      <c r="Z731" s="123">
        <v>140086</v>
      </c>
      <c r="AA731" s="122" t="str">
        <f t="shared" si="146"/>
        <v>1</v>
      </c>
      <c r="AB731" s="120">
        <f t="shared" si="147"/>
        <v>3070408</v>
      </c>
      <c r="AC731" s="123">
        <v>0</v>
      </c>
      <c r="AD731" s="123">
        <v>3070408</v>
      </c>
      <c r="AE731" s="123">
        <v>11115</v>
      </c>
      <c r="AG731" s="151">
        <f t="shared" si="136"/>
        <v>171824</v>
      </c>
      <c r="AH731" s="123">
        <f>332254-AK731-3648-15847</f>
        <v>312759</v>
      </c>
      <c r="AL731" s="123">
        <f>12022+105724+3236+19953</f>
        <v>140935</v>
      </c>
      <c r="AM731" s="123">
        <v>331570</v>
      </c>
      <c r="AO731" s="123">
        <f>216167+192503-284</f>
        <v>408386</v>
      </c>
    </row>
    <row r="732" spans="1:41" s="123" customFormat="1" ht="16.2" thickBot="1" x14ac:dyDescent="0.35">
      <c r="A732" s="21">
        <v>116.1</v>
      </c>
      <c r="B732" s="212" t="s">
        <v>21</v>
      </c>
      <c r="C732" s="31" t="str">
        <f>VLOOKUP((CONCATENATE(B732)),ID!$A$2:$D$305,3,0)</f>
        <v>OT004</v>
      </c>
      <c r="D732" s="21">
        <v>1</v>
      </c>
      <c r="E732" s="21" t="s">
        <v>3903</v>
      </c>
      <c r="F732" s="21" t="s">
        <v>1117</v>
      </c>
      <c r="G732" s="21" t="s">
        <v>3853</v>
      </c>
      <c r="H732" s="88">
        <v>4199</v>
      </c>
      <c r="I732" s="43">
        <v>4311</v>
      </c>
      <c r="J732" s="43">
        <v>4302</v>
      </c>
      <c r="K732" s="21">
        <v>0</v>
      </c>
      <c r="L732" s="21"/>
      <c r="M732" s="21"/>
      <c r="N732" s="43">
        <v>4321</v>
      </c>
      <c r="O732" s="21" t="s">
        <v>3902</v>
      </c>
      <c r="P732" s="194">
        <v>1</v>
      </c>
      <c r="Q732" s="21">
        <v>1</v>
      </c>
      <c r="R732" s="39" t="str">
        <f t="shared" si="149"/>
        <v>-</v>
      </c>
      <c r="S732" s="120">
        <f t="shared" si="148"/>
        <v>4835308</v>
      </c>
      <c r="T732" s="123">
        <v>7957638</v>
      </c>
      <c r="U732" s="123">
        <f>T732-V732</f>
        <v>7087844</v>
      </c>
      <c r="V732" s="123">
        <f>15149+208753+341703+304189</f>
        <v>869794</v>
      </c>
      <c r="W732" s="122" t="str">
        <f t="shared" si="144"/>
        <v>1</v>
      </c>
      <c r="X732" s="123">
        <f>Y732+Z732</f>
        <v>3122330</v>
      </c>
      <c r="Y732" s="123">
        <f>62468+64710+228916+280224+2327108+25336</f>
        <v>2988762</v>
      </c>
      <c r="Z732" s="123">
        <v>133568</v>
      </c>
      <c r="AA732" s="122" t="str">
        <f t="shared" si="146"/>
        <v>1</v>
      </c>
      <c r="AB732" s="120">
        <f t="shared" si="147"/>
        <v>2963426</v>
      </c>
      <c r="AC732" s="123">
        <v>0</v>
      </c>
      <c r="AD732" s="123">
        <v>2963426</v>
      </c>
      <c r="AE732" s="123">
        <v>208753</v>
      </c>
      <c r="AG732" s="151">
        <f t="shared" si="136"/>
        <v>230628</v>
      </c>
      <c r="AH732" s="123">
        <f>388244-4167-5640-8576</f>
        <v>369861</v>
      </c>
      <c r="AL732" s="123">
        <f>11656+103262+2702+19904+1709</f>
        <v>139233</v>
      </c>
      <c r="AM732" s="123">
        <v>387612</v>
      </c>
      <c r="AO732" s="123">
        <f>216167+192503-284</f>
        <v>408386</v>
      </c>
    </row>
    <row r="733" spans="1:41" s="123" customFormat="1" ht="16.2" thickBot="1" x14ac:dyDescent="0.35">
      <c r="A733" s="21">
        <v>116.2</v>
      </c>
      <c r="B733" s="212" t="s">
        <v>21</v>
      </c>
      <c r="C733" s="31" t="str">
        <f>VLOOKUP((CONCATENATE(B733)),ID!$A$2:$D$305,3,0)</f>
        <v>OT004</v>
      </c>
      <c r="D733" s="21">
        <v>1</v>
      </c>
      <c r="E733" s="21" t="s">
        <v>3903</v>
      </c>
      <c r="F733" s="21" t="s">
        <v>1117</v>
      </c>
      <c r="G733" s="21" t="s">
        <v>3853</v>
      </c>
      <c r="H733" s="88">
        <v>4565</v>
      </c>
      <c r="I733" s="43">
        <v>4654</v>
      </c>
      <c r="J733" s="43">
        <v>4645</v>
      </c>
      <c r="K733" s="21">
        <v>0</v>
      </c>
      <c r="L733" s="21"/>
      <c r="M733" s="21"/>
      <c r="N733" s="43">
        <v>4664</v>
      </c>
      <c r="O733" s="21" t="s">
        <v>3902</v>
      </c>
      <c r="P733" s="194">
        <v>1</v>
      </c>
      <c r="Q733" s="21">
        <v>1</v>
      </c>
      <c r="R733" s="39" t="str">
        <f t="shared" si="149"/>
        <v>-</v>
      </c>
      <c r="S733" s="120">
        <f t="shared" si="148"/>
        <v>4748758</v>
      </c>
      <c r="T733" s="123">
        <v>9942676</v>
      </c>
      <c r="U733" s="123">
        <f>T733-V733</f>
        <v>8927383</v>
      </c>
      <c r="V733" s="123">
        <f>155055+11895+532191+316152</f>
        <v>1015293</v>
      </c>
      <c r="W733" s="122" t="str">
        <f t="shared" si="144"/>
        <v>1</v>
      </c>
      <c r="X733" s="123">
        <f>2308360+2115000+220368+49729+318094+156639+25728</f>
        <v>5193918</v>
      </c>
      <c r="Y733" s="123">
        <f>X733-Z733+25728</f>
        <v>5063007</v>
      </c>
      <c r="Z733" s="123">
        <v>156639</v>
      </c>
      <c r="AA733" s="122" t="str">
        <f t="shared" si="146"/>
        <v>0</v>
      </c>
      <c r="AB733" s="120">
        <f t="shared" si="147"/>
        <v>5011551</v>
      </c>
      <c r="AC733" s="123">
        <v>0</v>
      </c>
      <c r="AD733" s="123">
        <v>5011551</v>
      </c>
      <c r="AE733" s="123">
        <v>155055</v>
      </c>
      <c r="AG733" s="151">
        <f t="shared" si="136"/>
        <v>163535</v>
      </c>
      <c r="AH733" s="123">
        <f>361957-6450</f>
        <v>355507</v>
      </c>
      <c r="AL733" s="123">
        <f>10483+98308+53027+2144+28010</f>
        <v>191972</v>
      </c>
      <c r="AM733" s="123">
        <v>334768</v>
      </c>
      <c r="AO733" s="123">
        <f>225854+192232</f>
        <v>418086</v>
      </c>
    </row>
    <row r="734" spans="1:41" s="123" customFormat="1" ht="16.2" thickBot="1" x14ac:dyDescent="0.35">
      <c r="A734" s="21"/>
      <c r="B734" s="212" t="s">
        <v>21</v>
      </c>
      <c r="C734" s="31" t="str">
        <f>VLOOKUP((CONCATENATE(B734)),ID!$A$2:$D$305,3,0)</f>
        <v>OT004</v>
      </c>
      <c r="D734" s="21">
        <v>1</v>
      </c>
      <c r="E734" s="21" t="s">
        <v>3903</v>
      </c>
      <c r="F734" s="21" t="s">
        <v>1117</v>
      </c>
      <c r="G734" s="21" t="s">
        <v>3853</v>
      </c>
      <c r="H734" s="88">
        <v>4930</v>
      </c>
      <c r="I734" s="43">
        <v>5012</v>
      </c>
      <c r="J734" s="43">
        <v>5009</v>
      </c>
      <c r="K734" s="21">
        <v>0</v>
      </c>
      <c r="L734" s="21"/>
      <c r="M734" s="21"/>
      <c r="N734" s="43">
        <v>5021</v>
      </c>
      <c r="O734" s="21" t="s">
        <v>3902</v>
      </c>
      <c r="P734" s="194">
        <v>1</v>
      </c>
      <c r="Q734" s="21">
        <v>1</v>
      </c>
      <c r="R734" s="39" t="str">
        <f t="shared" si="149"/>
        <v>-</v>
      </c>
      <c r="S734" s="120">
        <f t="shared" si="148"/>
        <v>4958582</v>
      </c>
      <c r="T734" s="123">
        <v>10153946</v>
      </c>
      <c r="U734" s="123">
        <f>T734-V734</f>
        <v>9117329</v>
      </c>
      <c r="V734" s="123">
        <f>167922+8457+488136+372102</f>
        <v>1036617</v>
      </c>
      <c r="W734" s="122" t="str">
        <f t="shared" si="144"/>
        <v>1</v>
      </c>
      <c r="X734" s="123">
        <f>Y734+Z734</f>
        <v>5195364</v>
      </c>
      <c r="Y734" s="123">
        <f>265967+33975+216706+2115000+2289153+28000</f>
        <v>4948801</v>
      </c>
      <c r="Z734" s="123">
        <v>246563</v>
      </c>
      <c r="AA734" s="122" t="str">
        <f t="shared" si="146"/>
        <v>1</v>
      </c>
      <c r="AB734" s="120">
        <f t="shared" si="147"/>
        <v>4920801</v>
      </c>
      <c r="AC734" s="123">
        <v>0</v>
      </c>
      <c r="AD734" s="123">
        <v>4920801</v>
      </c>
      <c r="AE734" s="123">
        <v>167922</v>
      </c>
      <c r="AG734" s="151">
        <f t="shared" si="136"/>
        <v>350331</v>
      </c>
      <c r="AH734" s="123">
        <f>627258-6500-35313</f>
        <v>585445</v>
      </c>
      <c r="AL734" s="123">
        <f>10078+97496+105750+1550+20240</f>
        <v>235114</v>
      </c>
      <c r="AM734" s="123">
        <v>493568</v>
      </c>
      <c r="AO734" s="123">
        <f>225854+192232</f>
        <v>418086</v>
      </c>
    </row>
    <row r="735" spans="1:41" s="123" customFormat="1" ht="16.2" thickBot="1" x14ac:dyDescent="0.35">
      <c r="A735" s="21"/>
      <c r="B735" s="212" t="s">
        <v>21</v>
      </c>
      <c r="C735" s="31" t="str">
        <f>VLOOKUP((CONCATENATE(B735)),ID!$A$2:$D$305,3,0)</f>
        <v>OT004</v>
      </c>
      <c r="D735" s="21">
        <v>1</v>
      </c>
      <c r="E735" s="21" t="s">
        <v>3903</v>
      </c>
      <c r="F735" s="21" t="s">
        <v>1117</v>
      </c>
      <c r="G735" s="21" t="s">
        <v>3853</v>
      </c>
      <c r="H735" s="88">
        <v>5295</v>
      </c>
      <c r="I735" s="43">
        <v>5378</v>
      </c>
      <c r="J735" s="43">
        <v>5373</v>
      </c>
      <c r="K735" s="21">
        <v>0</v>
      </c>
      <c r="L735" s="21"/>
      <c r="M735" s="21"/>
      <c r="N735" s="43">
        <v>5387</v>
      </c>
      <c r="O735" s="21" t="s">
        <v>3902</v>
      </c>
      <c r="P735" s="194">
        <v>1</v>
      </c>
      <c r="Q735" s="21">
        <v>1</v>
      </c>
      <c r="R735" s="39" t="str">
        <f t="shared" si="149"/>
        <v>-</v>
      </c>
      <c r="S735" s="120">
        <f t="shared" si="148"/>
        <v>5085218</v>
      </c>
      <c r="T735" s="123">
        <v>10204212</v>
      </c>
      <c r="U735" s="123">
        <f>T735-V735</f>
        <v>9099943</v>
      </c>
      <c r="V735" s="123">
        <f>120202+174623+4826+449603+355015</f>
        <v>1104269</v>
      </c>
      <c r="W735" s="122" t="str">
        <f t="shared" si="144"/>
        <v>1</v>
      </c>
      <c r="X735" s="123">
        <f>Y735+Z735</f>
        <v>5118994</v>
      </c>
      <c r="Y735" s="123">
        <f>AD735+28524</f>
        <v>4828050</v>
      </c>
      <c r="Z735" s="123">
        <v>290944</v>
      </c>
      <c r="AA735" s="122" t="str">
        <f t="shared" si="146"/>
        <v>1</v>
      </c>
      <c r="AB735" s="120">
        <f t="shared" si="147"/>
        <v>4799526</v>
      </c>
      <c r="AC735" s="123">
        <v>0</v>
      </c>
      <c r="AD735" s="123">
        <v>4799526</v>
      </c>
      <c r="AE735" s="123">
        <v>120202</v>
      </c>
      <c r="AG735" s="151">
        <f t="shared" si="136"/>
        <v>326690</v>
      </c>
      <c r="AH735" s="123">
        <f>563750-6500-909</f>
        <v>556341</v>
      </c>
      <c r="AL735" s="123">
        <f>9702+96636+104975+939+17399</f>
        <v>229651</v>
      </c>
      <c r="AM735" s="123">
        <v>454055</v>
      </c>
      <c r="AO735" s="123">
        <f>225854+192232</f>
        <v>418086</v>
      </c>
    </row>
    <row r="736" spans="1:41" s="123" customFormat="1" ht="16.2" thickBot="1" x14ac:dyDescent="0.35">
      <c r="A736" s="21"/>
      <c r="B736" s="212" t="s">
        <v>36</v>
      </c>
      <c r="C736" s="31" t="str">
        <f>VLOOKUP((CONCATENATE(B736)),ID!$A$2:$D$305,3,0)</f>
        <v>OT005</v>
      </c>
      <c r="D736" s="21">
        <v>1</v>
      </c>
      <c r="E736" s="21" t="s">
        <v>3903</v>
      </c>
      <c r="F736" s="21" t="s">
        <v>3812</v>
      </c>
      <c r="G736" s="21" t="s">
        <v>3853</v>
      </c>
      <c r="H736" s="88">
        <v>3743</v>
      </c>
      <c r="I736" s="43">
        <v>3786</v>
      </c>
      <c r="J736" s="43">
        <v>3786</v>
      </c>
      <c r="K736" s="21">
        <v>1</v>
      </c>
      <c r="L736" s="43">
        <v>3793</v>
      </c>
      <c r="M736" s="43">
        <v>3806</v>
      </c>
      <c r="N736" s="43">
        <v>3800</v>
      </c>
      <c r="O736" s="21" t="s">
        <v>3904</v>
      </c>
      <c r="P736" s="194" t="str">
        <f t="shared" si="140"/>
        <v>1</v>
      </c>
      <c r="Q736" s="21">
        <v>1</v>
      </c>
      <c r="R736" s="39" t="str">
        <f t="shared" si="149"/>
        <v>-</v>
      </c>
      <c r="S736" s="120">
        <f t="shared" si="148"/>
        <v>5566761</v>
      </c>
      <c r="T736" s="123">
        <v>7971815</v>
      </c>
      <c r="U736" s="123">
        <f>7220009+173170</f>
        <v>7393179</v>
      </c>
      <c r="V736" s="123">
        <f t="shared" si="143"/>
        <v>578636</v>
      </c>
      <c r="W736" s="122" t="str">
        <f t="shared" si="144"/>
        <v>1</v>
      </c>
      <c r="X736" s="123">
        <f>2250000+287+154767</f>
        <v>2405054</v>
      </c>
      <c r="Y736" s="123">
        <v>2250000</v>
      </c>
      <c r="Z736" s="123">
        <f t="shared" si="145"/>
        <v>155054</v>
      </c>
      <c r="AA736" s="122" t="str">
        <f t="shared" si="146"/>
        <v>1</v>
      </c>
      <c r="AB736" s="120">
        <f t="shared" si="147"/>
        <v>2250000</v>
      </c>
      <c r="AC736" s="123">
        <v>0</v>
      </c>
      <c r="AD736" s="123">
        <f>Y736</f>
        <v>2250000</v>
      </c>
      <c r="AE736" s="123">
        <v>38419</v>
      </c>
      <c r="AG736" s="151">
        <f t="shared" si="136"/>
        <v>313036</v>
      </c>
      <c r="AH736" s="123">
        <f>503679-22619-AK736</f>
        <v>416860</v>
      </c>
      <c r="AJ736" s="123">
        <f>94091+45781</f>
        <v>139872</v>
      </c>
      <c r="AK736" s="123">
        <f>14200+50000</f>
        <v>64200</v>
      </c>
      <c r="AL736" s="123">
        <f>2574+101250</f>
        <v>103824</v>
      </c>
      <c r="AM736" s="123">
        <f>503679+151034</f>
        <v>654713</v>
      </c>
      <c r="AO736" s="123">
        <f>2289096+2281000</f>
        <v>4570096</v>
      </c>
    </row>
    <row r="737" spans="1:41" s="123" customFormat="1" ht="16.2" thickBot="1" x14ac:dyDescent="0.35">
      <c r="A737" s="21">
        <v>117.1</v>
      </c>
      <c r="B737" s="212" t="s">
        <v>36</v>
      </c>
      <c r="C737" s="31" t="str">
        <f>VLOOKUP((CONCATENATE(B737)),ID!$A$2:$D$305,3,0)</f>
        <v>OT005</v>
      </c>
      <c r="D737" s="21">
        <v>1</v>
      </c>
      <c r="E737" s="21" t="s">
        <v>3903</v>
      </c>
      <c r="F737" s="21" t="s">
        <v>3812</v>
      </c>
      <c r="G737" s="21" t="s">
        <v>3853</v>
      </c>
      <c r="H737" s="88">
        <v>4108</v>
      </c>
      <c r="I737" s="43">
        <v>4157</v>
      </c>
      <c r="J737" s="43">
        <v>4157</v>
      </c>
      <c r="K737" s="21">
        <v>1</v>
      </c>
      <c r="L737" s="43">
        <v>4158</v>
      </c>
      <c r="M737" s="43">
        <v>4171</v>
      </c>
      <c r="N737" s="43">
        <v>4168</v>
      </c>
      <c r="O737" s="21" t="s">
        <v>3904</v>
      </c>
      <c r="P737" s="194" t="str">
        <f t="shared" si="140"/>
        <v>1</v>
      </c>
      <c r="Q737" s="21">
        <v>1</v>
      </c>
      <c r="R737" s="39" t="str">
        <f t="shared" si="149"/>
        <v>-</v>
      </c>
      <c r="S737" s="120">
        <f t="shared" si="148"/>
        <v>5331949</v>
      </c>
      <c r="T737" s="123">
        <v>8104658</v>
      </c>
      <c r="U737" s="123">
        <f>7278991+126100</f>
        <v>7405091</v>
      </c>
      <c r="V737" s="123">
        <f t="shared" si="143"/>
        <v>699567</v>
      </c>
      <c r="W737" s="122" t="str">
        <f t="shared" si="144"/>
        <v>1</v>
      </c>
      <c r="X737" s="123">
        <f>2250000+480+522229</f>
        <v>2772709</v>
      </c>
      <c r="Y737" s="123">
        <f>AD737</f>
        <v>2250000</v>
      </c>
      <c r="Z737" s="123">
        <f t="shared" si="145"/>
        <v>522709</v>
      </c>
      <c r="AA737" s="122" t="str">
        <f t="shared" si="146"/>
        <v>1</v>
      </c>
      <c r="AB737" s="120">
        <f t="shared" si="147"/>
        <v>2250000</v>
      </c>
      <c r="AC737" s="123">
        <v>0</v>
      </c>
      <c r="AD737" s="123">
        <f>2250000</f>
        <v>2250000</v>
      </c>
      <c r="AE737" s="123">
        <v>12086</v>
      </c>
      <c r="AG737" s="151">
        <f t="shared" si="136"/>
        <v>312983</v>
      </c>
      <c r="AH737" s="123">
        <f>515783-21497-AK737</f>
        <v>429286</v>
      </c>
      <c r="AJ737" s="123">
        <f>94091+45781</f>
        <v>139872</v>
      </c>
      <c r="AK737" s="123">
        <v>65000</v>
      </c>
      <c r="AL737" s="123">
        <f>15053+101250</f>
        <v>116303</v>
      </c>
      <c r="AM737" s="123">
        <f>515783+163218</f>
        <v>679001</v>
      </c>
      <c r="AO737" s="123">
        <f>2289096+2281000</f>
        <v>4570096</v>
      </c>
    </row>
    <row r="738" spans="1:41" s="123" customFormat="1" ht="16.2" thickBot="1" x14ac:dyDescent="0.35">
      <c r="A738" s="21">
        <v>117.2</v>
      </c>
      <c r="B738" s="212" t="s">
        <v>36</v>
      </c>
      <c r="C738" s="31" t="str">
        <f>VLOOKUP((CONCATENATE(B738)),ID!$A$2:$D$305,3,0)</f>
        <v>OT005</v>
      </c>
      <c r="D738" s="21">
        <v>1</v>
      </c>
      <c r="E738" s="21" t="s">
        <v>3903</v>
      </c>
      <c r="F738" s="21" t="s">
        <v>3812</v>
      </c>
      <c r="G738" s="21" t="s">
        <v>3853</v>
      </c>
      <c r="H738" s="88">
        <v>4474</v>
      </c>
      <c r="I738" s="43">
        <v>4518</v>
      </c>
      <c r="J738" s="43">
        <v>4518</v>
      </c>
      <c r="K738" s="21">
        <v>1</v>
      </c>
      <c r="L738" s="43">
        <v>4519</v>
      </c>
      <c r="M738" s="43">
        <v>4529</v>
      </c>
      <c r="N738" s="43">
        <v>4528</v>
      </c>
      <c r="O738" s="21" t="s">
        <v>3904</v>
      </c>
      <c r="P738" s="194" t="str">
        <f t="shared" si="140"/>
        <v>1</v>
      </c>
      <c r="Q738" s="21">
        <v>1</v>
      </c>
      <c r="R738" s="39" t="str">
        <f t="shared" si="149"/>
        <v>-</v>
      </c>
      <c r="S738" s="120">
        <f t="shared" si="148"/>
        <v>5636354</v>
      </c>
      <c r="T738" s="123">
        <v>8580711</v>
      </c>
      <c r="U738" s="123">
        <f>7750963+90200</f>
        <v>7841163</v>
      </c>
      <c r="V738" s="123">
        <f t="shared" si="143"/>
        <v>739548</v>
      </c>
      <c r="W738" s="122" t="str">
        <f t="shared" si="144"/>
        <v>1</v>
      </c>
      <c r="X738" s="123">
        <f>2250000+500+693857</f>
        <v>2944357</v>
      </c>
      <c r="Y738" s="123">
        <f>2250000</f>
        <v>2250000</v>
      </c>
      <c r="Z738" s="123">
        <f t="shared" si="145"/>
        <v>694357</v>
      </c>
      <c r="AA738" s="122" t="str">
        <f t="shared" si="146"/>
        <v>1</v>
      </c>
      <c r="AB738" s="120">
        <f t="shared" si="147"/>
        <v>2250000</v>
      </c>
      <c r="AC738" s="123">
        <v>0</v>
      </c>
      <c r="AD738" s="123">
        <f>2250000</f>
        <v>2250000</v>
      </c>
      <c r="AE738" s="123">
        <v>11234</v>
      </c>
      <c r="AG738" s="151">
        <f t="shared" si="136"/>
        <v>371606</v>
      </c>
      <c r="AH738" s="123">
        <f>588121-25955-AK738</f>
        <v>487166</v>
      </c>
      <c r="AJ738" s="123">
        <f>94091+45781</f>
        <v>139872</v>
      </c>
      <c r="AK738" s="123">
        <v>75000</v>
      </c>
      <c r="AL738" s="123">
        <f>14310+101250</f>
        <v>115560</v>
      </c>
      <c r="AM738" s="123">
        <f>588121+191875</f>
        <v>779996</v>
      </c>
      <c r="AO738" s="123">
        <f>2289096+2381000</f>
        <v>4670096</v>
      </c>
    </row>
    <row r="739" spans="1:41" s="123" customFormat="1" ht="16.2" thickBot="1" x14ac:dyDescent="0.35">
      <c r="A739" s="21"/>
      <c r="B739" s="212" t="s">
        <v>36</v>
      </c>
      <c r="C739" s="31" t="str">
        <f>VLOOKUP((CONCATENATE(B739)),ID!$A$2:$D$305,3,0)</f>
        <v>OT005</v>
      </c>
      <c r="D739" s="21">
        <v>1</v>
      </c>
      <c r="E739" s="21" t="s">
        <v>3903</v>
      </c>
      <c r="F739" s="21" t="s">
        <v>3812</v>
      </c>
      <c r="G739" s="21" t="s">
        <v>3853</v>
      </c>
      <c r="H739" s="88">
        <v>4839</v>
      </c>
      <c r="I739" s="43">
        <v>4892</v>
      </c>
      <c r="J739" s="43">
        <v>4892</v>
      </c>
      <c r="K739" s="21">
        <v>1</v>
      </c>
      <c r="L739" s="43">
        <v>4893</v>
      </c>
      <c r="M739" s="43">
        <v>4906</v>
      </c>
      <c r="N739" s="43">
        <v>4903</v>
      </c>
      <c r="O739" s="21" t="s">
        <v>3904</v>
      </c>
      <c r="P739" s="194" t="str">
        <f t="shared" si="140"/>
        <v>1</v>
      </c>
      <c r="Q739" s="21">
        <v>1</v>
      </c>
      <c r="R739" s="39" t="str">
        <f t="shared" si="149"/>
        <v>-</v>
      </c>
      <c r="S739" s="120">
        <f t="shared" si="148"/>
        <v>5876020</v>
      </c>
      <c r="T739" s="123">
        <v>8911045</v>
      </c>
      <c r="U739" s="123">
        <f>8054517+80193</f>
        <v>8134710</v>
      </c>
      <c r="V739" s="123">
        <f t="shared" si="143"/>
        <v>776335</v>
      </c>
      <c r="W739" s="122" t="str">
        <f t="shared" si="144"/>
        <v>1</v>
      </c>
      <c r="X739" s="123">
        <f>2250000+533+784492</f>
        <v>3035025</v>
      </c>
      <c r="Y739" s="123">
        <v>2250000</v>
      </c>
      <c r="Z739" s="123">
        <f t="shared" si="145"/>
        <v>785025</v>
      </c>
      <c r="AA739" s="122" t="str">
        <f t="shared" si="146"/>
        <v>1</v>
      </c>
      <c r="AB739" s="120">
        <f t="shared" si="147"/>
        <v>2250000</v>
      </c>
      <c r="AC739" s="123">
        <v>0</v>
      </c>
      <c r="AD739" s="123">
        <f>2250000</f>
        <v>2250000</v>
      </c>
      <c r="AE739" s="123">
        <v>14297</v>
      </c>
      <c r="AG739" s="151">
        <f t="shared" si="136"/>
        <v>433907</v>
      </c>
      <c r="AH739" s="123">
        <f>672798-32765-AK739</f>
        <v>565033</v>
      </c>
      <c r="AJ739" s="123">
        <f>98212+57227</f>
        <v>155439</v>
      </c>
      <c r="AK739" s="123">
        <v>75000</v>
      </c>
      <c r="AL739" s="123">
        <f>101250+29876</f>
        <v>131126</v>
      </c>
      <c r="AM739" s="123">
        <f>672798+218672</f>
        <v>891470</v>
      </c>
      <c r="AO739" s="123">
        <f>2289096+2381000</f>
        <v>4670096</v>
      </c>
    </row>
    <row r="740" spans="1:41" s="123" customFormat="1" ht="16.2" thickBot="1" x14ac:dyDescent="0.35">
      <c r="A740" s="21"/>
      <c r="B740" s="212" t="s">
        <v>36</v>
      </c>
      <c r="C740" s="31" t="str">
        <f>VLOOKUP((CONCATENATE(B740)),ID!$A$2:$D$305,3,0)</f>
        <v>OT005</v>
      </c>
      <c r="D740" s="21">
        <v>1</v>
      </c>
      <c r="E740" s="21" t="s">
        <v>3903</v>
      </c>
      <c r="F740" s="21" t="s">
        <v>3812</v>
      </c>
      <c r="G740" s="21" t="s">
        <v>3853</v>
      </c>
      <c r="H740" s="88">
        <v>5204</v>
      </c>
      <c r="I740" s="43">
        <v>5246</v>
      </c>
      <c r="J740" s="43">
        <v>5253</v>
      </c>
      <c r="K740" s="21">
        <v>1</v>
      </c>
      <c r="L740" s="43">
        <v>5254</v>
      </c>
      <c r="M740" s="43">
        <v>5268</v>
      </c>
      <c r="N740" s="43">
        <v>5263</v>
      </c>
      <c r="O740" s="21" t="s">
        <v>3904</v>
      </c>
      <c r="P740" s="194" t="str">
        <f t="shared" si="140"/>
        <v>1</v>
      </c>
      <c r="Q740" s="21">
        <v>1</v>
      </c>
      <c r="R740" s="39" t="str">
        <f t="shared" si="149"/>
        <v>-</v>
      </c>
      <c r="S740" s="120">
        <f t="shared" si="148"/>
        <v>6129281</v>
      </c>
      <c r="T740" s="123">
        <v>9141520</v>
      </c>
      <c r="U740" s="123">
        <f>8248197+67548</f>
        <v>8315745</v>
      </c>
      <c r="V740" s="123">
        <f t="shared" si="143"/>
        <v>825775</v>
      </c>
      <c r="W740" s="122" t="str">
        <f t="shared" si="144"/>
        <v>1</v>
      </c>
      <c r="X740" s="123">
        <f>Y740+359+761880</f>
        <v>3012239</v>
      </c>
      <c r="Y740" s="123">
        <f>AD740</f>
        <v>2250000</v>
      </c>
      <c r="Z740" s="123">
        <f t="shared" si="145"/>
        <v>762239</v>
      </c>
      <c r="AA740" s="122" t="str">
        <f t="shared" si="146"/>
        <v>1</v>
      </c>
      <c r="AB740" s="120">
        <f t="shared" si="147"/>
        <v>2250000</v>
      </c>
      <c r="AC740" s="123">
        <v>0</v>
      </c>
      <c r="AD740" s="123">
        <v>2250000</v>
      </c>
      <c r="AE740" s="123">
        <v>19437</v>
      </c>
      <c r="AG740" s="151">
        <f t="shared" si="136"/>
        <v>423417</v>
      </c>
      <c r="AH740" s="123">
        <f>666045-AK740-35418</f>
        <v>555627</v>
      </c>
      <c r="AJ740" s="123">
        <f>98448+57627</f>
        <v>156075</v>
      </c>
      <c r="AK740" s="123">
        <v>75000</v>
      </c>
      <c r="AL740" s="123">
        <f>101250+30960</f>
        <v>132210</v>
      </c>
      <c r="AM740" s="123">
        <f>666045+210864</f>
        <v>876909</v>
      </c>
      <c r="AO740" s="123">
        <f>2400500+2305096</f>
        <v>4705596</v>
      </c>
    </row>
    <row r="741" spans="1:41" s="123" customFormat="1" ht="16.2" thickBot="1" x14ac:dyDescent="0.35">
      <c r="A741" s="21"/>
      <c r="B741" s="212" t="s">
        <v>40</v>
      </c>
      <c r="C741" s="31" t="str">
        <f>VLOOKUP((CONCATENATE(B741)),ID!$A$2:$D$305,3,0)</f>
        <v>OT006</v>
      </c>
      <c r="D741" s="21">
        <v>1</v>
      </c>
      <c r="E741" s="21" t="s">
        <v>3903</v>
      </c>
      <c r="F741" s="21" t="s">
        <v>1117</v>
      </c>
      <c r="G741" s="21" t="s">
        <v>3853</v>
      </c>
      <c r="H741" s="88">
        <v>3653</v>
      </c>
      <c r="I741" s="43">
        <v>3696</v>
      </c>
      <c r="J741" s="43">
        <v>3693</v>
      </c>
      <c r="K741" s="21">
        <v>1</v>
      </c>
      <c r="L741" s="43">
        <v>3693</v>
      </c>
      <c r="M741" s="43">
        <v>3706</v>
      </c>
      <c r="N741" s="43">
        <v>3706</v>
      </c>
      <c r="O741" s="21" t="s">
        <v>3905</v>
      </c>
      <c r="P741" s="194" t="str">
        <f t="shared" si="140"/>
        <v>1</v>
      </c>
      <c r="Q741" s="21">
        <v>1</v>
      </c>
      <c r="R741" s="39" t="str">
        <f t="shared" si="149"/>
        <v>-</v>
      </c>
      <c r="S741" s="120">
        <f t="shared" si="148"/>
        <v>2254413</v>
      </c>
      <c r="T741" s="123">
        <v>2798622</v>
      </c>
      <c r="U741" s="123">
        <f>AF741+13630</f>
        <v>2518848</v>
      </c>
      <c r="V741" s="123">
        <f t="shared" si="143"/>
        <v>279774</v>
      </c>
      <c r="W741" s="122" t="str">
        <f t="shared" si="144"/>
        <v>1</v>
      </c>
      <c r="X741" s="123">
        <f>AD741+44209</f>
        <v>544209</v>
      </c>
      <c r="Y741" s="123">
        <f>AD741</f>
        <v>500000</v>
      </c>
      <c r="Z741" s="123">
        <f t="shared" si="145"/>
        <v>44209</v>
      </c>
      <c r="AA741" s="122" t="str">
        <f t="shared" si="146"/>
        <v>1</v>
      </c>
      <c r="AB741" s="120">
        <f t="shared" si="147"/>
        <v>500000</v>
      </c>
      <c r="AC741" s="123">
        <v>0</v>
      </c>
      <c r="AD741" s="123">
        <v>500000</v>
      </c>
      <c r="AE741" s="123">
        <v>21612</v>
      </c>
      <c r="AF741" s="123">
        <v>2505218</v>
      </c>
      <c r="AG741" s="151">
        <f t="shared" si="136"/>
        <v>100076</v>
      </c>
      <c r="AH741" s="123">
        <v>122576</v>
      </c>
      <c r="AJ741" s="123">
        <v>40000</v>
      </c>
      <c r="AK741" s="123">
        <v>3460</v>
      </c>
      <c r="AL741" s="123">
        <v>22500</v>
      </c>
      <c r="AM741" s="123">
        <v>288625</v>
      </c>
      <c r="AO741" s="123">
        <f>500000+750000+750000</f>
        <v>2000000</v>
      </c>
    </row>
    <row r="742" spans="1:41" s="123" customFormat="1" ht="16.2" thickBot="1" x14ac:dyDescent="0.35">
      <c r="A742" s="21">
        <v>118.1</v>
      </c>
      <c r="B742" s="212" t="s">
        <v>40</v>
      </c>
      <c r="C742" s="31" t="str">
        <f>VLOOKUP((CONCATENATE(B742)),ID!$A$2:$D$305,3,0)</f>
        <v>OT006</v>
      </c>
      <c r="D742" s="21">
        <v>1</v>
      </c>
      <c r="E742" s="21" t="s">
        <v>3903</v>
      </c>
      <c r="F742" s="21" t="s">
        <v>1117</v>
      </c>
      <c r="G742" s="21" t="s">
        <v>3853</v>
      </c>
      <c r="H742" s="88">
        <v>4018</v>
      </c>
      <c r="I742" s="43">
        <v>4046</v>
      </c>
      <c r="J742" s="43">
        <v>4044</v>
      </c>
      <c r="K742" s="21">
        <v>1</v>
      </c>
      <c r="L742" s="43">
        <v>4048</v>
      </c>
      <c r="M742" s="43">
        <v>4056</v>
      </c>
      <c r="N742" s="43">
        <v>4056</v>
      </c>
      <c r="O742" s="21" t="s">
        <v>3905</v>
      </c>
      <c r="P742" s="194" t="str">
        <f t="shared" si="140"/>
        <v>1</v>
      </c>
      <c r="Q742" s="21">
        <v>1</v>
      </c>
      <c r="R742" s="39" t="str">
        <f t="shared" si="149"/>
        <v>-</v>
      </c>
      <c r="S742" s="120">
        <f t="shared" si="148"/>
        <v>2261760</v>
      </c>
      <c r="T742" s="123">
        <v>2837551</v>
      </c>
      <c r="U742" s="123">
        <f>2483645+11800</f>
        <v>2495445</v>
      </c>
      <c r="V742" s="123">
        <f t="shared" si="143"/>
        <v>342106</v>
      </c>
      <c r="W742" s="122" t="str">
        <f t="shared" si="144"/>
        <v>1</v>
      </c>
      <c r="X742" s="123">
        <f>500000+27500+48291</f>
        <v>575791</v>
      </c>
      <c r="Y742" s="123">
        <f>500000+27500</f>
        <v>527500</v>
      </c>
      <c r="Z742" s="123">
        <f t="shared" si="145"/>
        <v>48291</v>
      </c>
      <c r="AA742" s="122" t="str">
        <f t="shared" si="146"/>
        <v>1</v>
      </c>
      <c r="AB742" s="120">
        <f t="shared" si="147"/>
        <v>527500</v>
      </c>
      <c r="AC742" s="123">
        <v>0</v>
      </c>
      <c r="AD742" s="123">
        <f>Y742</f>
        <v>527500</v>
      </c>
      <c r="AE742" s="123">
        <v>31851</v>
      </c>
      <c r="AF742" s="123">
        <v>2483645</v>
      </c>
      <c r="AG742" s="151">
        <f t="shared" si="136"/>
        <v>102244</v>
      </c>
      <c r="AH742" s="123">
        <f>124744</f>
        <v>124744</v>
      </c>
      <c r="AJ742" s="123">
        <v>40000</v>
      </c>
      <c r="AK742" s="123">
        <v>3310</v>
      </c>
      <c r="AL742" s="123">
        <v>22500</v>
      </c>
      <c r="AM742" s="123">
        <v>296555</v>
      </c>
      <c r="AO742" s="123">
        <f>500000+750000+750000</f>
        <v>2000000</v>
      </c>
    </row>
    <row r="743" spans="1:41" s="123" customFormat="1" ht="16.2" thickBot="1" x14ac:dyDescent="0.35">
      <c r="A743" s="21">
        <v>118.2</v>
      </c>
      <c r="B743" s="212" t="s">
        <v>40</v>
      </c>
      <c r="C743" s="31" t="str">
        <f>VLOOKUP((CONCATENATE(B743)),ID!$A$2:$D$305,3,0)</f>
        <v>OT006</v>
      </c>
      <c r="D743" s="21">
        <v>1</v>
      </c>
      <c r="E743" s="21" t="s">
        <v>3903</v>
      </c>
      <c r="F743" s="21" t="s">
        <v>1117</v>
      </c>
      <c r="G743" s="21" t="s">
        <v>3853</v>
      </c>
      <c r="H743" s="88">
        <v>4383</v>
      </c>
      <c r="I743" s="43">
        <v>4414</v>
      </c>
      <c r="J743" s="43">
        <v>4412</v>
      </c>
      <c r="K743" s="21">
        <v>1</v>
      </c>
      <c r="L743" s="43">
        <v>4412</v>
      </c>
      <c r="M743" s="43">
        <v>4422</v>
      </c>
      <c r="N743" s="43">
        <v>4422</v>
      </c>
      <c r="O743" s="21" t="s">
        <v>3905</v>
      </c>
      <c r="P743" s="194" t="str">
        <f t="shared" si="140"/>
        <v>1</v>
      </c>
      <c r="Q743" s="21">
        <v>1</v>
      </c>
      <c r="R743" s="39" t="str">
        <f t="shared" si="149"/>
        <v>-</v>
      </c>
      <c r="S743" s="120">
        <f t="shared" si="148"/>
        <v>2292636</v>
      </c>
      <c r="T743" s="123">
        <v>2867059</v>
      </c>
      <c r="U743" s="123">
        <f>2477235+10640</f>
        <v>2487875</v>
      </c>
      <c r="V743" s="123">
        <f t="shared" si="143"/>
        <v>379184</v>
      </c>
      <c r="W743" s="122" t="str">
        <f t="shared" si="144"/>
        <v>1</v>
      </c>
      <c r="X743" s="123">
        <f>500000+16000+58423</f>
        <v>574423</v>
      </c>
      <c r="Y743" s="123">
        <f>AD743</f>
        <v>516000</v>
      </c>
      <c r="Z743" s="123">
        <f t="shared" si="145"/>
        <v>58423</v>
      </c>
      <c r="AA743" s="122" t="str">
        <f t="shared" si="146"/>
        <v>1</v>
      </c>
      <c r="AB743" s="120">
        <f t="shared" si="147"/>
        <v>516000</v>
      </c>
      <c r="AC743" s="123">
        <v>0</v>
      </c>
      <c r="AD743" s="123">
        <f>516000</f>
        <v>516000</v>
      </c>
      <c r="AE743" s="123">
        <v>31049</v>
      </c>
      <c r="AF743" s="123">
        <v>2477235</v>
      </c>
      <c r="AG743" s="151">
        <f t="shared" si="136"/>
        <v>125824</v>
      </c>
      <c r="AH743" s="123">
        <f>148324</f>
        <v>148324</v>
      </c>
      <c r="AJ743" s="123">
        <v>40000</v>
      </c>
      <c r="AK743" s="123">
        <v>3683</v>
      </c>
      <c r="AL743" s="123">
        <v>22500</v>
      </c>
      <c r="AM743" s="123">
        <v>343455</v>
      </c>
      <c r="AO743" s="123">
        <f>500000+750000+750000</f>
        <v>2000000</v>
      </c>
    </row>
    <row r="744" spans="1:41" s="123" customFormat="1" ht="16.2" thickBot="1" x14ac:dyDescent="0.35">
      <c r="A744" s="21"/>
      <c r="B744" s="212" t="s">
        <v>40</v>
      </c>
      <c r="C744" s="31" t="str">
        <f>VLOOKUP((CONCATENATE(B744)),ID!$A$2:$D$305,3,0)</f>
        <v>OT006</v>
      </c>
      <c r="D744" s="21">
        <v>1</v>
      </c>
      <c r="E744" s="21" t="s">
        <v>3903</v>
      </c>
      <c r="F744" s="21" t="s">
        <v>1117</v>
      </c>
      <c r="G744" s="21" t="s">
        <v>3853</v>
      </c>
      <c r="H744" s="88">
        <v>4749</v>
      </c>
      <c r="I744" s="43">
        <v>4782</v>
      </c>
      <c r="J744" s="43">
        <v>4779</v>
      </c>
      <c r="K744" s="21">
        <v>1</v>
      </c>
      <c r="L744" s="43">
        <v>4779</v>
      </c>
      <c r="M744" s="43">
        <v>4792</v>
      </c>
      <c r="N744" s="43">
        <v>4792</v>
      </c>
      <c r="O744" s="21" t="s">
        <v>3905</v>
      </c>
      <c r="P744" s="194" t="str">
        <f t="shared" si="140"/>
        <v>1</v>
      </c>
      <c r="Q744" s="21">
        <v>1</v>
      </c>
      <c r="R744" s="39" t="str">
        <f t="shared" si="149"/>
        <v>-</v>
      </c>
      <c r="S744" s="120">
        <f t="shared" si="148"/>
        <v>2326176</v>
      </c>
      <c r="T744" s="123">
        <v>2889388</v>
      </c>
      <c r="U744" s="123">
        <f>2487442+11369</f>
        <v>2498811</v>
      </c>
      <c r="V744" s="123">
        <f t="shared" si="143"/>
        <v>390577</v>
      </c>
      <c r="W744" s="122" t="str">
        <f t="shared" si="144"/>
        <v>1</v>
      </c>
      <c r="X744" s="123">
        <f>Y744+63212</f>
        <v>563212</v>
      </c>
      <c r="Y744" s="123">
        <f>AD744</f>
        <v>500000</v>
      </c>
      <c r="Z744" s="123">
        <f t="shared" si="145"/>
        <v>63212</v>
      </c>
      <c r="AA744" s="122" t="str">
        <f t="shared" si="146"/>
        <v>1</v>
      </c>
      <c r="AB744" s="120">
        <f t="shared" si="147"/>
        <v>500000</v>
      </c>
      <c r="AC744" s="123">
        <v>0</v>
      </c>
      <c r="AD744" s="123">
        <v>500000</v>
      </c>
      <c r="AE744" s="123">
        <v>58333</v>
      </c>
      <c r="AF744" s="123">
        <v>2487442</v>
      </c>
      <c r="AG744" s="151">
        <f t="shared" si="136"/>
        <v>135790</v>
      </c>
      <c r="AH744" s="123">
        <v>158290</v>
      </c>
      <c r="AJ744" s="123">
        <v>40000</v>
      </c>
      <c r="AK744" s="123">
        <v>2603</v>
      </c>
      <c r="AL744" s="123">
        <v>22500</v>
      </c>
      <c r="AM744" s="123">
        <v>354904</v>
      </c>
      <c r="AO744" s="123">
        <f>500000+750000+750000</f>
        <v>2000000</v>
      </c>
    </row>
    <row r="745" spans="1:41" s="123" customFormat="1" ht="16.2" thickBot="1" x14ac:dyDescent="0.35">
      <c r="A745" s="21"/>
      <c r="B745" s="212" t="s">
        <v>40</v>
      </c>
      <c r="C745" s="31" t="str">
        <f>VLOOKUP((CONCATENATE(B745)),ID!$A$2:$D$305,3,0)</f>
        <v>OT006</v>
      </c>
      <c r="D745" s="21">
        <v>1</v>
      </c>
      <c r="E745" s="21" t="s">
        <v>3903</v>
      </c>
      <c r="F745" s="21" t="s">
        <v>1117</v>
      </c>
      <c r="G745" s="21" t="s">
        <v>3853</v>
      </c>
      <c r="H745" s="88">
        <v>5114</v>
      </c>
      <c r="I745" s="43">
        <v>5147</v>
      </c>
      <c r="J745" s="43">
        <v>5143</v>
      </c>
      <c r="K745" s="21">
        <v>1</v>
      </c>
      <c r="L745" s="43">
        <v>5143</v>
      </c>
      <c r="M745" s="43">
        <v>5155</v>
      </c>
      <c r="N745" s="43">
        <v>5155</v>
      </c>
      <c r="O745" s="21" t="s">
        <v>3905</v>
      </c>
      <c r="P745" s="194" t="str">
        <f t="shared" si="140"/>
        <v>1</v>
      </c>
      <c r="Q745" s="21">
        <v>1</v>
      </c>
      <c r="R745" s="39" t="str">
        <f t="shared" si="149"/>
        <v>-</v>
      </c>
      <c r="S745" s="120">
        <f t="shared" si="148"/>
        <v>2315376</v>
      </c>
      <c r="T745" s="123">
        <v>2916991</v>
      </c>
      <c r="U745" s="123">
        <f>2484931+13965</f>
        <v>2498896</v>
      </c>
      <c r="V745" s="123">
        <f t="shared" si="143"/>
        <v>418095</v>
      </c>
      <c r="W745" s="122" t="str">
        <f t="shared" si="144"/>
        <v>1</v>
      </c>
      <c r="X745" s="123">
        <f>500000+101615</f>
        <v>601615</v>
      </c>
      <c r="Y745" s="123">
        <f>AD745</f>
        <v>500000</v>
      </c>
      <c r="Z745" s="123">
        <f t="shared" si="145"/>
        <v>101615</v>
      </c>
      <c r="AA745" s="122" t="str">
        <f t="shared" si="146"/>
        <v>1</v>
      </c>
      <c r="AB745" s="120">
        <f t="shared" si="147"/>
        <v>500000</v>
      </c>
      <c r="AC745" s="123">
        <v>0</v>
      </c>
      <c r="AD745" s="123">
        <v>500000</v>
      </c>
      <c r="AE745" s="123">
        <v>53269</v>
      </c>
      <c r="AF745" s="123">
        <v>2484931</v>
      </c>
      <c r="AG745" s="151">
        <f t="shared" si="136"/>
        <v>97313</v>
      </c>
      <c r="AH745" s="123">
        <v>119813</v>
      </c>
      <c r="AJ745" s="123">
        <v>40000</v>
      </c>
      <c r="AK745" s="123">
        <v>2462</v>
      </c>
      <c r="AL745" s="123">
        <v>22500</v>
      </c>
      <c r="AM745" s="123">
        <v>284229</v>
      </c>
      <c r="AO745" s="123">
        <f>500000+750000+750000</f>
        <v>2000000</v>
      </c>
    </row>
    <row r="746" spans="1:41" s="123" customFormat="1" ht="16.2" thickBot="1" x14ac:dyDescent="0.35">
      <c r="A746" s="21"/>
      <c r="B746" s="212" t="s">
        <v>41</v>
      </c>
      <c r="C746" s="31" t="str">
        <f>VLOOKUP((CONCATENATE(B746)),ID!$A$2:$D$305,3,0)</f>
        <v>OT007</v>
      </c>
      <c r="D746" s="21">
        <v>1</v>
      </c>
      <c r="E746" s="21" t="s">
        <v>3903</v>
      </c>
      <c r="F746" s="21" t="s">
        <v>3908</v>
      </c>
      <c r="G746" s="21" t="s">
        <v>3853</v>
      </c>
      <c r="H746" s="88">
        <v>3653</v>
      </c>
      <c r="I746" s="43">
        <v>3698</v>
      </c>
      <c r="J746" s="43">
        <v>3698</v>
      </c>
      <c r="K746" s="21">
        <v>1</v>
      </c>
      <c r="L746" s="43">
        <v>3707</v>
      </c>
      <c r="M746" s="43">
        <v>3717</v>
      </c>
      <c r="N746" s="43">
        <v>3712</v>
      </c>
      <c r="O746" s="21" t="s">
        <v>3906</v>
      </c>
      <c r="P746" s="194" t="str">
        <f t="shared" si="140"/>
        <v>1</v>
      </c>
      <c r="Q746" s="21">
        <v>1</v>
      </c>
      <c r="R746" s="39" t="str">
        <f t="shared" si="149"/>
        <v>-</v>
      </c>
      <c r="S746" s="120">
        <f t="shared" si="148"/>
        <v>4500097</v>
      </c>
      <c r="T746" s="123">
        <v>6181446</v>
      </c>
      <c r="U746" s="123">
        <f>5128340+138873+130000</f>
        <v>5397213</v>
      </c>
      <c r="V746" s="123">
        <f t="shared" si="143"/>
        <v>784233</v>
      </c>
      <c r="W746" s="122" t="str">
        <f t="shared" si="144"/>
        <v>1</v>
      </c>
      <c r="X746" s="123">
        <f>1453750+29075+409+198115</f>
        <v>1681349</v>
      </c>
      <c r="Y746" s="123">
        <v>1453750</v>
      </c>
      <c r="Z746" s="123">
        <f t="shared" si="145"/>
        <v>227599</v>
      </c>
      <c r="AA746" s="122" t="str">
        <f t="shared" si="146"/>
        <v>1</v>
      </c>
      <c r="AB746" s="120">
        <f t="shared" si="147"/>
        <v>1453750</v>
      </c>
      <c r="AC746" s="123">
        <v>0</v>
      </c>
      <c r="AD746" s="123">
        <v>1453750</v>
      </c>
      <c r="AE746" s="123">
        <v>197316</v>
      </c>
      <c r="AG746" s="151">
        <f t="shared" si="136"/>
        <v>296679</v>
      </c>
      <c r="AH746" s="123">
        <f>375042-17981-2232</f>
        <v>354829</v>
      </c>
      <c r="AJ746" s="123">
        <v>96411</v>
      </c>
      <c r="AL746" s="123">
        <v>58150</v>
      </c>
      <c r="AO746" s="123">
        <f>2500000+1356477</f>
        <v>3856477</v>
      </c>
    </row>
    <row r="747" spans="1:41" s="123" customFormat="1" ht="16.2" thickBot="1" x14ac:dyDescent="0.35">
      <c r="A747" s="21">
        <v>119.1</v>
      </c>
      <c r="B747" s="212" t="s">
        <v>41</v>
      </c>
      <c r="C747" s="31" t="str">
        <f>VLOOKUP((CONCATENATE(B747)),ID!$A$2:$D$305,3,0)</f>
        <v>OT007</v>
      </c>
      <c r="D747" s="21">
        <v>1</v>
      </c>
      <c r="E747" s="21" t="s">
        <v>3903</v>
      </c>
      <c r="F747" s="21" t="s">
        <v>3908</v>
      </c>
      <c r="G747" s="21" t="s">
        <v>3853</v>
      </c>
      <c r="H747" s="88">
        <v>4018</v>
      </c>
      <c r="I747" s="43">
        <v>4065</v>
      </c>
      <c r="J747" s="43">
        <v>4065</v>
      </c>
      <c r="K747" s="21">
        <v>1</v>
      </c>
      <c r="L747" s="43">
        <v>4072</v>
      </c>
      <c r="M747" s="43">
        <v>4083</v>
      </c>
      <c r="N747" s="43">
        <v>4077</v>
      </c>
      <c r="O747" s="21" t="s">
        <v>3906</v>
      </c>
      <c r="P747" s="194" t="str">
        <f t="shared" si="140"/>
        <v>1</v>
      </c>
      <c r="Q747" s="21">
        <v>1</v>
      </c>
      <c r="R747" s="39" t="str">
        <f t="shared" si="149"/>
        <v>-</v>
      </c>
      <c r="S747" s="120">
        <f t="shared" si="148"/>
        <v>4422250</v>
      </c>
      <c r="T747" s="123">
        <v>6101583</v>
      </c>
      <c r="U747" s="123">
        <f>4993315+130000+123016</f>
        <v>5246331</v>
      </c>
      <c r="V747" s="123">
        <f t="shared" si="143"/>
        <v>855252</v>
      </c>
      <c r="W747" s="122" t="str">
        <f t="shared" si="144"/>
        <v>1</v>
      </c>
      <c r="X747" s="123">
        <f>1453750+29075+221+196287</f>
        <v>1679333</v>
      </c>
      <c r="Y747" s="123">
        <f>AD747</f>
        <v>1453750</v>
      </c>
      <c r="Z747" s="123">
        <f t="shared" si="145"/>
        <v>225583</v>
      </c>
      <c r="AA747" s="122" t="str">
        <f t="shared" si="146"/>
        <v>1</v>
      </c>
      <c r="AB747" s="120">
        <f t="shared" si="147"/>
        <v>1453750</v>
      </c>
      <c r="AC747" s="123">
        <v>0</v>
      </c>
      <c r="AD747" s="123">
        <v>1453750</v>
      </c>
      <c r="AE747" s="123">
        <v>304566</v>
      </c>
      <c r="AG747" s="151">
        <f t="shared" si="136"/>
        <v>346976</v>
      </c>
      <c r="AH747" s="123">
        <f>457146-49835-2185</f>
        <v>405126</v>
      </c>
      <c r="AJ747" s="123">
        <v>96411</v>
      </c>
      <c r="AL747" s="123">
        <v>58150</v>
      </c>
      <c r="AO747" s="123">
        <f>2500000+1356477</f>
        <v>3856477</v>
      </c>
    </row>
    <row r="748" spans="1:41" s="123" customFormat="1" ht="16.2" thickBot="1" x14ac:dyDescent="0.35">
      <c r="A748" s="21">
        <v>119.2</v>
      </c>
      <c r="B748" s="212" t="s">
        <v>41</v>
      </c>
      <c r="C748" s="31" t="str">
        <f>VLOOKUP((CONCATENATE(B748)),ID!$A$2:$D$305,3,0)</f>
        <v>OT007</v>
      </c>
      <c r="D748" s="21">
        <v>1</v>
      </c>
      <c r="E748" s="21" t="s">
        <v>3903</v>
      </c>
      <c r="F748" s="21" t="s">
        <v>3908</v>
      </c>
      <c r="G748" s="21" t="s">
        <v>3853</v>
      </c>
      <c r="H748" s="88">
        <v>4383</v>
      </c>
      <c r="I748" s="43">
        <v>4429</v>
      </c>
      <c r="J748" s="43">
        <v>4429</v>
      </c>
      <c r="K748" s="21">
        <v>1</v>
      </c>
      <c r="L748" s="43">
        <v>4437</v>
      </c>
      <c r="M748" s="43">
        <v>4449</v>
      </c>
      <c r="N748" s="43">
        <v>4442</v>
      </c>
      <c r="O748" s="21" t="s">
        <v>3906</v>
      </c>
      <c r="P748" s="194" t="str">
        <f t="shared" si="140"/>
        <v>1</v>
      </c>
      <c r="Q748" s="21">
        <v>1</v>
      </c>
      <c r="R748" s="39" t="str">
        <f t="shared" si="149"/>
        <v>-</v>
      </c>
      <c r="S748" s="120">
        <f t="shared" si="148"/>
        <v>4593405</v>
      </c>
      <c r="T748" s="123">
        <v>6306105</v>
      </c>
      <c r="U748" s="123">
        <f>5150170+130000+105661</f>
        <v>5385831</v>
      </c>
      <c r="V748" s="123">
        <f t="shared" si="143"/>
        <v>920274</v>
      </c>
      <c r="W748" s="122" t="str">
        <f t="shared" si="144"/>
        <v>1</v>
      </c>
      <c r="X748" s="123">
        <f>1453750+29075+412+229463</f>
        <v>1712700</v>
      </c>
      <c r="Y748" s="123">
        <f>1453750</f>
        <v>1453750</v>
      </c>
      <c r="Z748" s="123">
        <f t="shared" si="145"/>
        <v>258950</v>
      </c>
      <c r="AA748" s="122" t="str">
        <f t="shared" si="146"/>
        <v>1</v>
      </c>
      <c r="AB748" s="120">
        <f t="shared" si="147"/>
        <v>1453750</v>
      </c>
      <c r="AC748" s="123">
        <v>0</v>
      </c>
      <c r="AD748" s="123">
        <f>Y748</f>
        <v>1453750</v>
      </c>
      <c r="AE748" s="123">
        <v>359277</v>
      </c>
      <c r="AG748" s="151">
        <f t="shared" si="136"/>
        <v>365980</v>
      </c>
      <c r="AH748" s="123">
        <f>490443-61987-4326</f>
        <v>424130</v>
      </c>
      <c r="AJ748" s="123">
        <v>96411</v>
      </c>
      <c r="AL748" s="123">
        <v>58150</v>
      </c>
      <c r="AO748" s="123">
        <f>2500000+1356477</f>
        <v>3856477</v>
      </c>
    </row>
    <row r="749" spans="1:41" s="123" customFormat="1" ht="16.2" thickBot="1" x14ac:dyDescent="0.35">
      <c r="A749" s="21"/>
      <c r="B749" s="212" t="s">
        <v>41</v>
      </c>
      <c r="C749" s="31" t="str">
        <f>VLOOKUP((CONCATENATE(B749)),ID!$A$2:$D$305,3,0)</f>
        <v>OT007</v>
      </c>
      <c r="D749" s="21">
        <v>1</v>
      </c>
      <c r="E749" s="21" t="s">
        <v>3903</v>
      </c>
      <c r="F749" s="21" t="s">
        <v>3908</v>
      </c>
      <c r="G749" s="21" t="s">
        <v>3853</v>
      </c>
      <c r="H749" s="88">
        <v>4749</v>
      </c>
      <c r="I749" s="43">
        <v>4797</v>
      </c>
      <c r="J749" s="43">
        <v>4797</v>
      </c>
      <c r="K749" s="21">
        <v>1</v>
      </c>
      <c r="L749" s="43">
        <v>4804</v>
      </c>
      <c r="M749" s="43">
        <v>4814</v>
      </c>
      <c r="N749" s="43">
        <v>4808</v>
      </c>
      <c r="O749" s="21" t="s">
        <v>3906</v>
      </c>
      <c r="P749" s="194" t="str">
        <f t="shared" si="140"/>
        <v>1</v>
      </c>
      <c r="Q749" s="21">
        <v>1</v>
      </c>
      <c r="R749" s="39" t="str">
        <f t="shared" si="149"/>
        <v>-</v>
      </c>
      <c r="S749" s="120">
        <f t="shared" si="148"/>
        <v>4731143</v>
      </c>
      <c r="T749" s="123">
        <v>6460338</v>
      </c>
      <c r="U749" s="123">
        <f>5358778+137839+130000</f>
        <v>5626617</v>
      </c>
      <c r="V749" s="123">
        <f t="shared" si="143"/>
        <v>833721</v>
      </c>
      <c r="W749" s="122" t="str">
        <f t="shared" si="144"/>
        <v>1</v>
      </c>
      <c r="X749" s="123">
        <f>1453750+29075+234+246136</f>
        <v>1729195</v>
      </c>
      <c r="Y749" s="123">
        <f>AD749</f>
        <v>1453750</v>
      </c>
      <c r="Z749" s="123">
        <f t="shared" si="145"/>
        <v>275445</v>
      </c>
      <c r="AA749" s="122" t="str">
        <f t="shared" si="146"/>
        <v>1</v>
      </c>
      <c r="AB749" s="120">
        <f t="shared" si="147"/>
        <v>1453750</v>
      </c>
      <c r="AC749" s="123">
        <v>0</v>
      </c>
      <c r="AD749" s="123">
        <v>1453750</v>
      </c>
      <c r="AE749" s="123">
        <v>221417</v>
      </c>
      <c r="AG749" s="151">
        <f t="shared" si="136"/>
        <v>351127</v>
      </c>
      <c r="AH749" s="123">
        <f>475439-64578-1584</f>
        <v>409277</v>
      </c>
      <c r="AJ749" s="123">
        <v>96411</v>
      </c>
      <c r="AL749" s="123">
        <v>58150</v>
      </c>
      <c r="AO749" s="123">
        <f>2500000+1356477</f>
        <v>3856477</v>
      </c>
    </row>
    <row r="750" spans="1:41" s="123" customFormat="1" ht="16.2" thickBot="1" x14ac:dyDescent="0.35">
      <c r="A750" s="21"/>
      <c r="B750" s="212" t="s">
        <v>41</v>
      </c>
      <c r="C750" s="31" t="str">
        <f>VLOOKUP((CONCATENATE(B750)),ID!$A$2:$D$305,3,0)</f>
        <v>OT007</v>
      </c>
      <c r="D750" s="21">
        <v>1</v>
      </c>
      <c r="E750" s="21" t="s">
        <v>3903</v>
      </c>
      <c r="F750" s="21" t="s">
        <v>3908</v>
      </c>
      <c r="G750" s="21" t="s">
        <v>3853</v>
      </c>
      <c r="H750" s="88">
        <v>5114</v>
      </c>
      <c r="I750" s="43">
        <v>5157</v>
      </c>
      <c r="J750" s="43">
        <v>5157</v>
      </c>
      <c r="K750" s="21">
        <v>1</v>
      </c>
      <c r="L750" s="43">
        <v>5169</v>
      </c>
      <c r="M750" s="43">
        <v>5179</v>
      </c>
      <c r="N750" s="43">
        <v>5172</v>
      </c>
      <c r="O750" s="21" t="s">
        <v>3906</v>
      </c>
      <c r="P750" s="194" t="str">
        <f t="shared" si="140"/>
        <v>1</v>
      </c>
      <c r="Q750" s="21">
        <v>1</v>
      </c>
      <c r="R750" s="39" t="str">
        <f t="shared" si="149"/>
        <v>-</v>
      </c>
      <c r="S750" s="120">
        <f t="shared" si="148"/>
        <v>4617365</v>
      </c>
      <c r="T750" s="123">
        <v>6354990</v>
      </c>
      <c r="U750" s="123">
        <f>5201735+130000+133784</f>
        <v>5465519</v>
      </c>
      <c r="V750" s="123">
        <f t="shared" si="143"/>
        <v>889471</v>
      </c>
      <c r="W750" s="122" t="str">
        <f t="shared" si="144"/>
        <v>1</v>
      </c>
      <c r="X750" s="123">
        <f>Y750+29075+244+254556</f>
        <v>1737625</v>
      </c>
      <c r="Y750" s="123">
        <f>AD750</f>
        <v>1453750</v>
      </c>
      <c r="Z750" s="123">
        <f t="shared" si="145"/>
        <v>283875</v>
      </c>
      <c r="AA750" s="122" t="str">
        <f t="shared" si="146"/>
        <v>1</v>
      </c>
      <c r="AB750" s="120">
        <f t="shared" si="147"/>
        <v>1453750</v>
      </c>
      <c r="AC750" s="123">
        <v>0</v>
      </c>
      <c r="AD750" s="123">
        <v>1453750</v>
      </c>
      <c r="AE750" s="123">
        <v>280958</v>
      </c>
      <c r="AG750" s="151">
        <f t="shared" si="136"/>
        <v>369612</v>
      </c>
      <c r="AH750" s="123">
        <f>542397-2320-112315</f>
        <v>427762</v>
      </c>
      <c r="AJ750" s="123">
        <v>96411</v>
      </c>
      <c r="AL750" s="123">
        <v>58150</v>
      </c>
      <c r="AO750" s="123">
        <f>2500000+1356477</f>
        <v>3856477</v>
      </c>
    </row>
    <row r="751" spans="1:41" s="123" customFormat="1" ht="16.2" thickBot="1" x14ac:dyDescent="0.35">
      <c r="A751" s="21"/>
      <c r="B751" s="212" t="s">
        <v>47</v>
      </c>
      <c r="C751" s="31" t="str">
        <f>VLOOKUP((CONCATENATE(B751)),ID!$A$2:$D$305,3,0)</f>
        <v>OT008</v>
      </c>
      <c r="D751" s="21">
        <v>1</v>
      </c>
      <c r="E751" s="21" t="s">
        <v>3903</v>
      </c>
      <c r="F751" s="21" t="s">
        <v>3812</v>
      </c>
      <c r="G751" s="21" t="s">
        <v>3853</v>
      </c>
      <c r="H751" s="88">
        <v>3743</v>
      </c>
      <c r="I751" s="43">
        <v>3785</v>
      </c>
      <c r="J751" s="43">
        <v>3782</v>
      </c>
      <c r="K751" s="21">
        <v>1</v>
      </c>
      <c r="L751" s="43">
        <v>3787</v>
      </c>
      <c r="M751" s="43">
        <v>3803</v>
      </c>
      <c r="N751" s="43">
        <v>3798</v>
      </c>
      <c r="O751" s="21" t="s">
        <v>3907</v>
      </c>
      <c r="P751" s="194">
        <v>1</v>
      </c>
      <c r="Q751" s="21">
        <v>1</v>
      </c>
      <c r="R751" s="39" t="str">
        <f t="shared" si="149"/>
        <v>-</v>
      </c>
      <c r="S751" s="120">
        <f t="shared" si="148"/>
        <v>1395628</v>
      </c>
      <c r="T751" s="123">
        <v>2220593</v>
      </c>
      <c r="U751" s="123">
        <f>1799630+49999</f>
        <v>1849629</v>
      </c>
      <c r="V751" s="123">
        <f t="shared" si="143"/>
        <v>370964</v>
      </c>
      <c r="W751" s="122" t="str">
        <f t="shared" si="144"/>
        <v>1</v>
      </c>
      <c r="X751" s="123">
        <f>620000+71299+6200+127466</f>
        <v>824965</v>
      </c>
      <c r="Y751" s="123">
        <f>AD751</f>
        <v>691299</v>
      </c>
      <c r="Z751" s="123">
        <f t="shared" si="145"/>
        <v>133666</v>
      </c>
      <c r="AA751" s="122" t="str">
        <f t="shared" si="146"/>
        <v>1</v>
      </c>
      <c r="AB751" s="120">
        <f t="shared" si="147"/>
        <v>691299</v>
      </c>
      <c r="AC751" s="123">
        <v>0</v>
      </c>
      <c r="AD751" s="123">
        <f>620000+71299</f>
        <v>691299</v>
      </c>
      <c r="AE751" s="123">
        <v>71216</v>
      </c>
      <c r="AG751" s="151">
        <f t="shared" si="136"/>
        <v>77265</v>
      </c>
      <c r="AH751" s="123">
        <f>121298-11548-1165</f>
        <v>108585</v>
      </c>
      <c r="AK751" s="123">
        <v>1324</v>
      </c>
      <c r="AL751" s="123">
        <f>3045+24800+3225+250</f>
        <v>31320</v>
      </c>
      <c r="AM751" s="123">
        <f>116608+1324+27948</f>
        <v>145880</v>
      </c>
      <c r="AO751" s="123">
        <v>1271684</v>
      </c>
    </row>
    <row r="752" spans="1:41" s="123" customFormat="1" ht="16.2" thickBot="1" x14ac:dyDescent="0.35">
      <c r="A752" s="21">
        <v>120.1</v>
      </c>
      <c r="B752" s="212" t="s">
        <v>47</v>
      </c>
      <c r="C752" s="31" t="str">
        <f>VLOOKUP((CONCATENATE(B752)),ID!$A$2:$D$305,3,0)</f>
        <v>OT008</v>
      </c>
      <c r="D752" s="21">
        <v>1</v>
      </c>
      <c r="E752" s="21" t="s">
        <v>3903</v>
      </c>
      <c r="F752" s="21" t="s">
        <v>3812</v>
      </c>
      <c r="G752" s="21" t="s">
        <v>3853</v>
      </c>
      <c r="H752" s="88">
        <v>4108</v>
      </c>
      <c r="I752" s="43">
        <v>4147</v>
      </c>
      <c r="J752" s="43">
        <v>4147</v>
      </c>
      <c r="K752" s="21">
        <v>1</v>
      </c>
      <c r="L752" s="43">
        <v>4153</v>
      </c>
      <c r="M752" s="43">
        <v>4169</v>
      </c>
      <c r="N752" s="43">
        <v>4162</v>
      </c>
      <c r="O752" s="21" t="s">
        <v>3907</v>
      </c>
      <c r="P752" s="194">
        <v>1</v>
      </c>
      <c r="Q752" s="21">
        <v>1</v>
      </c>
      <c r="R752" s="39" t="str">
        <f t="shared" si="149"/>
        <v>-</v>
      </c>
      <c r="S752" s="120">
        <f t="shared" si="148"/>
        <v>1418648</v>
      </c>
      <c r="T752" s="123">
        <v>2232615</v>
      </c>
      <c r="U752" s="123">
        <f>1818683+49999</f>
        <v>1868682</v>
      </c>
      <c r="V752" s="123">
        <f t="shared" si="143"/>
        <v>363933</v>
      </c>
      <c r="W752" s="122" t="str">
        <f t="shared" si="144"/>
        <v>1</v>
      </c>
      <c r="X752" s="123">
        <f>620000+69199+6200+118568</f>
        <v>813967</v>
      </c>
      <c r="Y752" s="123">
        <f>AD752</f>
        <v>689199</v>
      </c>
      <c r="Z752" s="123">
        <f t="shared" si="145"/>
        <v>124768</v>
      </c>
      <c r="AA752" s="122" t="str">
        <f t="shared" si="146"/>
        <v>1</v>
      </c>
      <c r="AB752" s="120">
        <f t="shared" si="147"/>
        <v>689199</v>
      </c>
      <c r="AC752" s="123">
        <v>0</v>
      </c>
      <c r="AD752" s="123">
        <f>620000+69199</f>
        <v>689199</v>
      </c>
      <c r="AE752" s="123">
        <v>62411</v>
      </c>
      <c r="AG752" s="151">
        <f t="shared" si="136"/>
        <v>53805</v>
      </c>
      <c r="AH752" s="123">
        <f>97903-11584-1165</f>
        <v>85154</v>
      </c>
      <c r="AK752" s="123">
        <v>1699</v>
      </c>
      <c r="AL752" s="123">
        <f>3138+24800+3161+250</f>
        <v>31349</v>
      </c>
      <c r="AM752" s="123">
        <f>91443+AK752+28345</f>
        <v>121487</v>
      </c>
      <c r="AO752" s="123">
        <v>1271684</v>
      </c>
    </row>
    <row r="753" spans="1:41" s="123" customFormat="1" ht="16.2" thickBot="1" x14ac:dyDescent="0.35">
      <c r="A753" s="21">
        <v>120.2</v>
      </c>
      <c r="B753" s="212" t="s">
        <v>47</v>
      </c>
      <c r="C753" s="31" t="str">
        <f>VLOOKUP((CONCATENATE(B753)),ID!$A$2:$D$305,3,0)</f>
        <v>OT008</v>
      </c>
      <c r="D753" s="21">
        <v>1</v>
      </c>
      <c r="E753" s="21" t="s">
        <v>3903</v>
      </c>
      <c r="F753" s="21" t="s">
        <v>3812</v>
      </c>
      <c r="G753" s="21" t="s">
        <v>3853</v>
      </c>
      <c r="H753" s="88">
        <v>4474</v>
      </c>
      <c r="I753" s="43">
        <v>4514</v>
      </c>
      <c r="J753" s="43">
        <v>4511</v>
      </c>
      <c r="K753" s="21">
        <v>1</v>
      </c>
      <c r="L753" s="43">
        <v>4519</v>
      </c>
      <c r="M753" s="43">
        <v>4533</v>
      </c>
      <c r="N753" s="43">
        <v>4526</v>
      </c>
      <c r="O753" s="21" t="s">
        <v>3907</v>
      </c>
      <c r="P753" s="194">
        <v>0</v>
      </c>
      <c r="Q753" s="21">
        <v>1</v>
      </c>
      <c r="R753" s="39" t="str">
        <f t="shared" si="149"/>
        <v>-</v>
      </c>
      <c r="S753" s="120">
        <f t="shared" si="148"/>
        <v>1411988</v>
      </c>
      <c r="T753" s="123">
        <v>2220548</v>
      </c>
      <c r="U753" s="123">
        <f>1850721+49999</f>
        <v>1900720</v>
      </c>
      <c r="V753" s="123">
        <f t="shared" si="143"/>
        <v>319828</v>
      </c>
      <c r="W753" s="122" t="str">
        <f t="shared" si="144"/>
        <v>1</v>
      </c>
      <c r="X753" s="123">
        <f>620000+69199+6200+113161</f>
        <v>808560</v>
      </c>
      <c r="Y753" s="123">
        <f>AD753</f>
        <v>689199</v>
      </c>
      <c r="Z753" s="123">
        <f t="shared" si="145"/>
        <v>119361</v>
      </c>
      <c r="AA753" s="122" t="str">
        <f t="shared" si="146"/>
        <v>1</v>
      </c>
      <c r="AB753" s="120">
        <f t="shared" si="147"/>
        <v>689199</v>
      </c>
      <c r="AC753" s="123">
        <v>0</v>
      </c>
      <c r="AD753" s="123">
        <f>69199+620000</f>
        <v>689199</v>
      </c>
      <c r="AE753" s="123">
        <v>55779</v>
      </c>
      <c r="AG753" s="151">
        <f t="shared" si="136"/>
        <v>25002</v>
      </c>
      <c r="AH753" s="123">
        <f>70100-12867-1059</f>
        <v>56174</v>
      </c>
      <c r="AK753" s="123">
        <v>2031</v>
      </c>
      <c r="AL753" s="123">
        <f>3009+24800+3113+250</f>
        <v>31172</v>
      </c>
      <c r="AM753" s="123">
        <f>58055+AK753+28219</f>
        <v>88305</v>
      </c>
      <c r="AO753" s="123">
        <v>1271684</v>
      </c>
    </row>
    <row r="754" spans="1:41" s="123" customFormat="1" ht="16.2" thickBot="1" x14ac:dyDescent="0.35">
      <c r="A754" s="21"/>
      <c r="B754" s="212" t="s">
        <v>47</v>
      </c>
      <c r="C754" s="31" t="str">
        <f>VLOOKUP((CONCATENATE(B754)),ID!$A$2:$D$305,3,0)</f>
        <v>OT008</v>
      </c>
      <c r="D754" s="21">
        <v>1</v>
      </c>
      <c r="E754" s="21" t="s">
        <v>3903</v>
      </c>
      <c r="F754" s="21" t="s">
        <v>3812</v>
      </c>
      <c r="G754" s="21" t="s">
        <v>3853</v>
      </c>
      <c r="H754" s="88">
        <v>4839</v>
      </c>
      <c r="I754" s="43">
        <v>4885</v>
      </c>
      <c r="J754" s="43">
        <v>4876</v>
      </c>
      <c r="K754" s="21">
        <v>1</v>
      </c>
      <c r="L754" s="43">
        <v>4888</v>
      </c>
      <c r="M754" s="43">
        <v>4900</v>
      </c>
      <c r="N754" s="43">
        <v>4897</v>
      </c>
      <c r="O754" s="21" t="s">
        <v>3907</v>
      </c>
      <c r="P754" s="194">
        <v>1</v>
      </c>
      <c r="Q754" s="21">
        <v>1</v>
      </c>
      <c r="R754" s="39" t="str">
        <f t="shared" si="149"/>
        <v>-</v>
      </c>
      <c r="S754" s="120">
        <f t="shared" si="148"/>
        <v>513679</v>
      </c>
      <c r="T754" s="123">
        <v>1336154</v>
      </c>
      <c r="U754" s="123">
        <f>939802+49999</f>
        <v>989801</v>
      </c>
      <c r="V754" s="123">
        <f t="shared" si="143"/>
        <v>346353</v>
      </c>
      <c r="W754" s="122" t="str">
        <f t="shared" si="144"/>
        <v>1</v>
      </c>
      <c r="X754" s="123">
        <f>620000+69199+6200+127076</f>
        <v>822475</v>
      </c>
      <c r="Y754" s="123">
        <f>620000+69199</f>
        <v>689199</v>
      </c>
      <c r="Z754" s="123">
        <f t="shared" si="145"/>
        <v>133276</v>
      </c>
      <c r="AA754" s="122" t="str">
        <f t="shared" si="146"/>
        <v>1</v>
      </c>
      <c r="AB754" s="120">
        <f t="shared" si="147"/>
        <v>689199</v>
      </c>
      <c r="AC754" s="123">
        <v>0</v>
      </c>
      <c r="AD754" s="123">
        <f t="shared" ref="AD754:AD759" si="150">Y754</f>
        <v>689199</v>
      </c>
      <c r="AE754" s="123">
        <v>50824</v>
      </c>
      <c r="AG754" s="151">
        <f t="shared" si="136"/>
        <v>55456</v>
      </c>
      <c r="AH754" s="123">
        <f>102536-13648-968</f>
        <v>87920</v>
      </c>
      <c r="AI754" s="123">
        <v>1095</v>
      </c>
      <c r="AK754" s="123">
        <v>2402</v>
      </c>
      <c r="AL754" s="123">
        <f>3206+24800+3113+250</f>
        <v>31369</v>
      </c>
      <c r="AM754" s="123">
        <f>97192+30453+AK754</f>
        <v>130047</v>
      </c>
      <c r="AO754" s="123">
        <v>1271684</v>
      </c>
    </row>
    <row r="755" spans="1:41" s="123" customFormat="1" ht="16.2" thickBot="1" x14ac:dyDescent="0.35">
      <c r="A755" s="21"/>
      <c r="B755" s="212" t="s">
        <v>47</v>
      </c>
      <c r="C755" s="31" t="str">
        <f>VLOOKUP((CONCATENATE(B755)),ID!$A$2:$D$305,3,0)</f>
        <v>OT008</v>
      </c>
      <c r="D755" s="21">
        <v>1</v>
      </c>
      <c r="E755" s="21" t="s">
        <v>3903</v>
      </c>
      <c r="F755" s="21" t="s">
        <v>3812</v>
      </c>
      <c r="G755" s="21" t="s">
        <v>3853</v>
      </c>
      <c r="H755" s="88">
        <v>5204</v>
      </c>
      <c r="I755" s="43">
        <v>5250</v>
      </c>
      <c r="J755" s="43">
        <v>5245</v>
      </c>
      <c r="K755" s="21">
        <v>1</v>
      </c>
      <c r="L755" s="43">
        <v>5252</v>
      </c>
      <c r="M755" s="43">
        <v>5264</v>
      </c>
      <c r="N755" s="43">
        <v>5261</v>
      </c>
      <c r="O755" s="21" t="s">
        <v>3907</v>
      </c>
      <c r="P755" s="194">
        <v>1</v>
      </c>
      <c r="Q755" s="21">
        <v>1</v>
      </c>
      <c r="R755" s="39" t="str">
        <f t="shared" si="149"/>
        <v>-</v>
      </c>
      <c r="S755" s="120">
        <f t="shared" si="148"/>
        <v>530160</v>
      </c>
      <c r="T755" s="123">
        <v>1338743</v>
      </c>
      <c r="U755" s="123">
        <f>960584+48705</f>
        <v>1009289</v>
      </c>
      <c r="V755" s="123">
        <f t="shared" si="143"/>
        <v>329454</v>
      </c>
      <c r="W755" s="122" t="str">
        <f t="shared" si="144"/>
        <v>1</v>
      </c>
      <c r="X755" s="123">
        <f>Y755+Z755</f>
        <v>808583</v>
      </c>
      <c r="Y755" s="123">
        <f>620000+64754</f>
        <v>684754</v>
      </c>
      <c r="Z755" s="123">
        <f>117629+6200</f>
        <v>123829</v>
      </c>
      <c r="AA755" s="122" t="str">
        <f t="shared" si="146"/>
        <v>1</v>
      </c>
      <c r="AB755" s="120">
        <f t="shared" si="147"/>
        <v>684754</v>
      </c>
      <c r="AC755" s="123">
        <v>0</v>
      </c>
      <c r="AD755" s="123">
        <f t="shared" si="150"/>
        <v>684754</v>
      </c>
      <c r="AE755" s="123">
        <v>60597</v>
      </c>
      <c r="AG755" s="151">
        <f t="shared" si="136"/>
        <v>34293</v>
      </c>
      <c r="AH755" s="123">
        <f>79256-12525-1033</f>
        <v>65698</v>
      </c>
      <c r="AK755" s="123">
        <v>2839</v>
      </c>
      <c r="AL755" s="123">
        <f>3381+24800+2974+250</f>
        <v>31405</v>
      </c>
      <c r="AM755" s="123">
        <f>72646+28323+AK755</f>
        <v>103808</v>
      </c>
      <c r="AO755" s="123">
        <v>1271684</v>
      </c>
    </row>
    <row r="756" spans="1:41" s="123" customFormat="1" ht="16.2" thickBot="1" x14ac:dyDescent="0.35">
      <c r="A756" s="21"/>
      <c r="B756" s="212" t="s">
        <v>50</v>
      </c>
      <c r="C756" s="31" t="str">
        <f>VLOOKUP((CONCATENATE(B756)),ID!$A$2:$D$305,3,0)</f>
        <v>OT009</v>
      </c>
      <c r="D756" s="21">
        <v>1</v>
      </c>
      <c r="E756" s="21" t="s">
        <v>3903</v>
      </c>
      <c r="F756" s="21" t="s">
        <v>3861</v>
      </c>
      <c r="G756" s="21" t="s">
        <v>3853</v>
      </c>
      <c r="H756" s="88">
        <v>3653</v>
      </c>
      <c r="I756" s="43">
        <v>3724</v>
      </c>
      <c r="J756" s="43">
        <v>3724</v>
      </c>
      <c r="K756" s="21">
        <v>1</v>
      </c>
      <c r="L756" s="43">
        <v>3724</v>
      </c>
      <c r="M756" s="43">
        <v>3733</v>
      </c>
      <c r="N756" s="43">
        <v>3733</v>
      </c>
      <c r="O756" s="21" t="s">
        <v>3909</v>
      </c>
      <c r="P756" s="194" t="str">
        <f t="shared" si="140"/>
        <v>1</v>
      </c>
      <c r="Q756" s="21">
        <v>1</v>
      </c>
      <c r="R756" s="39" t="str">
        <f t="shared" si="149"/>
        <v>-</v>
      </c>
      <c r="S756" s="120">
        <f t="shared" si="148"/>
        <v>1732271</v>
      </c>
      <c r="T756" s="123">
        <v>1926932</v>
      </c>
      <c r="U756" s="123">
        <f>512619+71500+603333</f>
        <v>1187452</v>
      </c>
      <c r="V756" s="123">
        <f t="shared" si="143"/>
        <v>739480</v>
      </c>
      <c r="W756" s="122" t="str">
        <f t="shared" si="144"/>
        <v>1</v>
      </c>
      <c r="X756" s="123">
        <f>Y756+277+14124+89668+40000</f>
        <v>194661</v>
      </c>
      <c r="Y756" s="123">
        <f>10592+40000</f>
        <v>50592</v>
      </c>
      <c r="Z756" s="123">
        <f t="shared" si="145"/>
        <v>144069</v>
      </c>
      <c r="AA756" s="122" t="str">
        <f t="shared" si="146"/>
        <v>1</v>
      </c>
      <c r="AB756" s="120">
        <f t="shared" si="147"/>
        <v>50592</v>
      </c>
      <c r="AC756" s="123">
        <v>0</v>
      </c>
      <c r="AD756" s="123">
        <f t="shared" si="150"/>
        <v>50592</v>
      </c>
      <c r="AE756" s="123">
        <v>68212</v>
      </c>
      <c r="AF756" s="123">
        <v>71500</v>
      </c>
      <c r="AG756" s="151">
        <f t="shared" si="136"/>
        <v>84765</v>
      </c>
      <c r="AH756" s="123">
        <f>131767-4502-AK756</f>
        <v>107265</v>
      </c>
      <c r="AJ756" s="123">
        <v>50000</v>
      </c>
      <c r="AK756" s="123">
        <v>20000</v>
      </c>
      <c r="AL756" s="123">
        <f>22500</f>
        <v>22500</v>
      </c>
      <c r="AO756" s="123">
        <v>200000</v>
      </c>
    </row>
    <row r="757" spans="1:41" s="123" customFormat="1" ht="16.2" thickBot="1" x14ac:dyDescent="0.35">
      <c r="A757" s="21">
        <v>121.1</v>
      </c>
      <c r="B757" s="212" t="s">
        <v>50</v>
      </c>
      <c r="C757" s="31" t="str">
        <f>VLOOKUP((CONCATENATE(B757)),ID!$A$2:$D$305,3,0)</f>
        <v>OT009</v>
      </c>
      <c r="D757" s="21">
        <v>1</v>
      </c>
      <c r="E757" s="21" t="s">
        <v>3903</v>
      </c>
      <c r="F757" s="21" t="s">
        <v>3861</v>
      </c>
      <c r="G757" s="21" t="s">
        <v>3853</v>
      </c>
      <c r="H757" s="88">
        <v>4018</v>
      </c>
      <c r="I757" s="43">
        <v>4087</v>
      </c>
      <c r="J757" s="43">
        <v>4086</v>
      </c>
      <c r="K757" s="21">
        <v>1</v>
      </c>
      <c r="L757" s="43">
        <v>4087</v>
      </c>
      <c r="M757" s="43">
        <v>4097</v>
      </c>
      <c r="N757" s="43">
        <v>4097</v>
      </c>
      <c r="O757" s="21" t="s">
        <v>3909</v>
      </c>
      <c r="P757" s="194" t="str">
        <f t="shared" si="140"/>
        <v>1</v>
      </c>
      <c r="Q757" s="21">
        <v>1</v>
      </c>
      <c r="R757" s="39" t="str">
        <f t="shared" si="149"/>
        <v>-</v>
      </c>
      <c r="S757" s="120">
        <f t="shared" si="148"/>
        <v>1271722</v>
      </c>
      <c r="T757" s="123">
        <v>2087379</v>
      </c>
      <c r="U757" s="123">
        <f>617460+71500+526789</f>
        <v>1215749</v>
      </c>
      <c r="V757" s="123">
        <f t="shared" si="143"/>
        <v>871630</v>
      </c>
      <c r="W757" s="122" t="str">
        <f t="shared" si="144"/>
        <v>1</v>
      </c>
      <c r="X757" s="123">
        <f>Y757+Z757</f>
        <v>815657</v>
      </c>
      <c r="Y757" s="123">
        <f>510592+154706+264+45600</f>
        <v>711162</v>
      </c>
      <c r="Z757" s="123">
        <f>90064+14124+307</f>
        <v>104495</v>
      </c>
      <c r="AA757" s="122" t="str">
        <f t="shared" si="146"/>
        <v>1</v>
      </c>
      <c r="AB757" s="120">
        <f t="shared" si="147"/>
        <v>711162</v>
      </c>
      <c r="AC757" s="123">
        <v>0</v>
      </c>
      <c r="AD757" s="123">
        <f t="shared" si="150"/>
        <v>711162</v>
      </c>
      <c r="AE757" s="123">
        <v>80584</v>
      </c>
      <c r="AF757" s="123">
        <v>71500</v>
      </c>
      <c r="AG757" s="151">
        <f t="shared" si="136"/>
        <v>88552</v>
      </c>
      <c r="AH757" s="123">
        <f>143304-4488-20000</f>
        <v>118816</v>
      </c>
      <c r="AJ757" s="123">
        <v>50000</v>
      </c>
      <c r="AK757" s="123">
        <v>20000</v>
      </c>
      <c r="AL757" s="123">
        <f>2500+5000+264+22500</f>
        <v>30264</v>
      </c>
      <c r="AO757" s="123">
        <v>200000</v>
      </c>
    </row>
    <row r="758" spans="1:41" s="123" customFormat="1" ht="16.2" thickBot="1" x14ac:dyDescent="0.35">
      <c r="A758" s="21">
        <v>121.2</v>
      </c>
      <c r="B758" s="212" t="s">
        <v>50</v>
      </c>
      <c r="C758" s="31" t="str">
        <f>VLOOKUP((CONCATENATE(B758)),ID!$A$2:$D$305,3,0)</f>
        <v>OT009</v>
      </c>
      <c r="D758" s="21">
        <v>1</v>
      </c>
      <c r="E758" s="21" t="s">
        <v>3903</v>
      </c>
      <c r="F758" s="21" t="s">
        <v>3861</v>
      </c>
      <c r="G758" s="21" t="s">
        <v>3853</v>
      </c>
      <c r="H758" s="88">
        <v>4383</v>
      </c>
      <c r="I758" s="43">
        <v>4458</v>
      </c>
      <c r="J758" s="43">
        <v>4457</v>
      </c>
      <c r="K758" s="21">
        <v>1</v>
      </c>
      <c r="L758" s="43">
        <v>4458</v>
      </c>
      <c r="M758" s="43">
        <v>4468</v>
      </c>
      <c r="N758" s="43">
        <v>4468</v>
      </c>
      <c r="O758" s="21" t="s">
        <v>3909</v>
      </c>
      <c r="P758" s="194" t="str">
        <f t="shared" si="140"/>
        <v>1</v>
      </c>
      <c r="Q758" s="21">
        <v>1</v>
      </c>
      <c r="R758" s="39" t="str">
        <f t="shared" si="149"/>
        <v>-</v>
      </c>
      <c r="S758" s="120">
        <f t="shared" si="148"/>
        <v>1303652</v>
      </c>
      <c r="T758" s="123">
        <v>2176794</v>
      </c>
      <c r="U758" s="123">
        <f>641876+71500+552193</f>
        <v>1265569</v>
      </c>
      <c r="V758" s="123">
        <f t="shared" si="143"/>
        <v>911225</v>
      </c>
      <c r="W758" s="122" t="str">
        <f t="shared" si="144"/>
        <v>1</v>
      </c>
      <c r="X758" s="123">
        <f>510592+204708+50000+93341+14124+377</f>
        <v>873142</v>
      </c>
      <c r="Y758" s="123">
        <f>510592+204708+50000</f>
        <v>765300</v>
      </c>
      <c r="Z758" s="123">
        <f t="shared" si="145"/>
        <v>107842</v>
      </c>
      <c r="AA758" s="122" t="str">
        <f t="shared" si="146"/>
        <v>1</v>
      </c>
      <c r="AB758" s="120">
        <f t="shared" si="147"/>
        <v>765300</v>
      </c>
      <c r="AC758" s="123">
        <v>0</v>
      </c>
      <c r="AD758" s="123">
        <f t="shared" si="150"/>
        <v>765300</v>
      </c>
      <c r="AE758" s="123">
        <v>44684</v>
      </c>
      <c r="AF758" s="123">
        <v>71500</v>
      </c>
      <c r="AG758" s="151">
        <f t="shared" ref="AG758:AG819" si="151">AH758-AL758-AI758</f>
        <v>124831</v>
      </c>
      <c r="AH758" s="123">
        <f>188258-5315-20000-7500</f>
        <v>155443</v>
      </c>
      <c r="AJ758" s="123">
        <v>50000</v>
      </c>
      <c r="AK758" s="123">
        <v>20000</v>
      </c>
      <c r="AL758" s="123">
        <f>22500+8112</f>
        <v>30612</v>
      </c>
      <c r="AO758" s="123">
        <v>200000</v>
      </c>
    </row>
    <row r="759" spans="1:41" s="123" customFormat="1" ht="16.2" thickBot="1" x14ac:dyDescent="0.35">
      <c r="A759" s="21"/>
      <c r="B759" s="212" t="s">
        <v>50</v>
      </c>
      <c r="C759" s="31" t="str">
        <f>VLOOKUP((CONCATENATE(B759)),ID!$A$2:$D$305,3,0)</f>
        <v>OT009</v>
      </c>
      <c r="D759" s="21">
        <v>1</v>
      </c>
      <c r="E759" s="21" t="s">
        <v>3903</v>
      </c>
      <c r="F759" s="21" t="s">
        <v>3861</v>
      </c>
      <c r="G759" s="21" t="s">
        <v>3853</v>
      </c>
      <c r="H759" s="88">
        <v>4749</v>
      </c>
      <c r="I759" s="43">
        <v>4815</v>
      </c>
      <c r="J759" s="43">
        <v>4814</v>
      </c>
      <c r="K759" s="21">
        <v>1</v>
      </c>
      <c r="L759" s="43">
        <v>4815</v>
      </c>
      <c r="M759" s="43">
        <v>4825</v>
      </c>
      <c r="N759" s="43">
        <v>4825</v>
      </c>
      <c r="O759" s="21" t="s">
        <v>3909</v>
      </c>
      <c r="P759" s="194" t="str">
        <f t="shared" si="140"/>
        <v>1</v>
      </c>
      <c r="Q759" s="21">
        <v>1</v>
      </c>
      <c r="R759" s="39" t="str">
        <f t="shared" si="149"/>
        <v>-</v>
      </c>
      <c r="S759" s="120">
        <f t="shared" si="148"/>
        <v>1334232</v>
      </c>
      <c r="T759" s="123">
        <v>2320610</v>
      </c>
      <c r="U759" s="123">
        <f>619489+35000+614077</f>
        <v>1268566</v>
      </c>
      <c r="V759" s="123">
        <f t="shared" si="143"/>
        <v>1052044</v>
      </c>
      <c r="W759" s="122" t="str">
        <f t="shared" si="144"/>
        <v>1</v>
      </c>
      <c r="X759" s="123">
        <f>Y759+128080+14124+317+73557</f>
        <v>986378</v>
      </c>
      <c r="Y759" s="123">
        <f>510592+204708+55000</f>
        <v>770300</v>
      </c>
      <c r="Z759" s="123">
        <f t="shared" si="145"/>
        <v>216078</v>
      </c>
      <c r="AA759" s="122" t="str">
        <f t="shared" si="146"/>
        <v>1</v>
      </c>
      <c r="AB759" s="120">
        <f t="shared" si="147"/>
        <v>770300</v>
      </c>
      <c r="AC759" s="123">
        <v>0</v>
      </c>
      <c r="AD759" s="123">
        <f t="shared" si="150"/>
        <v>770300</v>
      </c>
      <c r="AE759" s="123">
        <v>14364</v>
      </c>
      <c r="AF759" s="123">
        <v>35000</v>
      </c>
      <c r="AG759" s="151">
        <f t="shared" si="151"/>
        <v>124079</v>
      </c>
      <c r="AH759" s="123">
        <f>218394-5315-20000-36500</f>
        <v>156579</v>
      </c>
      <c r="AJ759" s="123">
        <v>50000</v>
      </c>
      <c r="AK759" s="123">
        <v>20000</v>
      </c>
      <c r="AL759" s="123">
        <f>22500+10000</f>
        <v>32500</v>
      </c>
      <c r="AO759" s="123">
        <v>200000</v>
      </c>
    </row>
    <row r="760" spans="1:41" s="123" customFormat="1" ht="16.2" thickBot="1" x14ac:dyDescent="0.35">
      <c r="A760" s="21"/>
      <c r="B760" s="212" t="s">
        <v>50</v>
      </c>
      <c r="C760" s="31" t="str">
        <f>VLOOKUP((CONCATENATE(B760)),ID!$A$2:$D$305,3,0)</f>
        <v>OT009</v>
      </c>
      <c r="D760" s="21">
        <v>1</v>
      </c>
      <c r="E760" s="21" t="s">
        <v>3903</v>
      </c>
      <c r="F760" s="21" t="s">
        <v>3861</v>
      </c>
      <c r="G760" s="21" t="s">
        <v>3853</v>
      </c>
      <c r="H760" s="88">
        <v>5114</v>
      </c>
      <c r="I760" s="43">
        <v>5186</v>
      </c>
      <c r="J760" s="43">
        <v>5185</v>
      </c>
      <c r="K760" s="21">
        <v>1</v>
      </c>
      <c r="L760" s="43">
        <v>5186</v>
      </c>
      <c r="M760" s="43">
        <v>5196</v>
      </c>
      <c r="N760" s="43">
        <v>5196</v>
      </c>
      <c r="O760" s="21" t="s">
        <v>3909</v>
      </c>
      <c r="P760" s="194" t="str">
        <f t="shared" si="140"/>
        <v>1</v>
      </c>
      <c r="Q760" s="21">
        <v>1</v>
      </c>
      <c r="R760" s="39" t="str">
        <f t="shared" si="149"/>
        <v>-</v>
      </c>
      <c r="S760" s="120">
        <f t="shared" si="148"/>
        <v>1285078</v>
      </c>
      <c r="T760" s="123">
        <v>2276758</v>
      </c>
      <c r="U760" s="123">
        <f>630579+525828</f>
        <v>1156407</v>
      </c>
      <c r="V760" s="123">
        <f t="shared" si="143"/>
        <v>1120351</v>
      </c>
      <c r="W760" s="122" t="str">
        <f t="shared" si="144"/>
        <v>1</v>
      </c>
      <c r="X760" s="123">
        <f>Y760+325+14124+93741</f>
        <v>991680</v>
      </c>
      <c r="Y760" s="123">
        <f>AD760</f>
        <v>883490</v>
      </c>
      <c r="Z760" s="123">
        <f t="shared" si="145"/>
        <v>108190</v>
      </c>
      <c r="AA760" s="122" t="str">
        <f t="shared" si="146"/>
        <v>1</v>
      </c>
      <c r="AB760" s="120">
        <f t="shared" si="147"/>
        <v>883490</v>
      </c>
      <c r="AC760" s="123">
        <v>0</v>
      </c>
      <c r="AD760" s="123">
        <f>510592+204708+60000+93741+14124+325</f>
        <v>883490</v>
      </c>
      <c r="AE760" s="123">
        <v>154011</v>
      </c>
      <c r="AF760" s="123">
        <v>0</v>
      </c>
      <c r="AG760" s="151">
        <f t="shared" si="151"/>
        <v>152536</v>
      </c>
      <c r="AH760" s="123">
        <f>247351-5315-35000-AK760</f>
        <v>185036</v>
      </c>
      <c r="AJ760" s="123">
        <v>50000</v>
      </c>
      <c r="AK760" s="123">
        <v>22000</v>
      </c>
      <c r="AL760" s="123">
        <f>22500+10000</f>
        <v>32500</v>
      </c>
      <c r="AO760" s="123">
        <v>200000</v>
      </c>
    </row>
    <row r="761" spans="1:41" s="228" customFormat="1" ht="16.2" thickBot="1" x14ac:dyDescent="0.35">
      <c r="A761" s="221"/>
      <c r="B761" s="222" t="s">
        <v>53</v>
      </c>
      <c r="C761" s="223" t="str">
        <f>VLOOKUP((CONCATENATE(B761)),ID!$A$2:$D$305,3,0)</f>
        <v>OT010</v>
      </c>
      <c r="D761" s="221">
        <v>1</v>
      </c>
      <c r="E761" s="221" t="s">
        <v>3903</v>
      </c>
      <c r="F761" s="221" t="s">
        <v>1117</v>
      </c>
      <c r="G761" s="221" t="s">
        <v>3853</v>
      </c>
      <c r="H761" s="224">
        <v>3653</v>
      </c>
      <c r="I761" s="225">
        <v>3695</v>
      </c>
      <c r="J761" s="225">
        <v>3695</v>
      </c>
      <c r="K761" s="221">
        <v>1</v>
      </c>
      <c r="L761" s="225">
        <v>3695</v>
      </c>
      <c r="M761" s="225">
        <v>3710</v>
      </c>
      <c r="N761" s="225">
        <v>3708</v>
      </c>
      <c r="O761" s="221" t="s">
        <v>3733</v>
      </c>
      <c r="P761" s="226">
        <v>1</v>
      </c>
      <c r="Q761" s="221">
        <v>1</v>
      </c>
      <c r="R761" s="226" t="str">
        <f t="shared" si="149"/>
        <v>-</v>
      </c>
      <c r="S761" s="227">
        <f t="shared" si="148"/>
        <v>1477038</v>
      </c>
      <c r="T761" s="228">
        <v>2593734</v>
      </c>
      <c r="U761" s="228">
        <f>19314+1601274</f>
        <v>1620588</v>
      </c>
      <c r="V761" s="228">
        <f t="shared" si="143"/>
        <v>973146</v>
      </c>
      <c r="W761" s="229" t="str">
        <f t="shared" si="144"/>
        <v>1</v>
      </c>
      <c r="X761" s="228">
        <f>74676+561687+293923+7634+178776</f>
        <v>1116696</v>
      </c>
      <c r="Y761" s="228">
        <f>74676+561687+273923</f>
        <v>910286</v>
      </c>
      <c r="Z761" s="228">
        <f t="shared" si="145"/>
        <v>206410</v>
      </c>
      <c r="AA761" s="229" t="str">
        <f t="shared" si="146"/>
        <v>1</v>
      </c>
      <c r="AB761" s="227">
        <f t="shared" si="147"/>
        <v>910286</v>
      </c>
      <c r="AC761" s="228">
        <v>0</v>
      </c>
      <c r="AD761" s="228">
        <f>Y761</f>
        <v>910286</v>
      </c>
      <c r="AE761" s="228">
        <v>32556</v>
      </c>
      <c r="AG761" s="230">
        <f t="shared" si="151"/>
        <v>182022</v>
      </c>
      <c r="AH761" s="228">
        <f>251058-7504-435-3600-200-AK761</f>
        <v>219319</v>
      </c>
      <c r="AI761" s="228">
        <v>3016</v>
      </c>
      <c r="AK761" s="228">
        <v>20000</v>
      </c>
      <c r="AL761" s="228">
        <f>7810+23375+3096</f>
        <v>34281</v>
      </c>
      <c r="AO761" s="228">
        <v>1200000</v>
      </c>
    </row>
    <row r="762" spans="1:41" s="228" customFormat="1" ht="16.2" thickBot="1" x14ac:dyDescent="0.35">
      <c r="A762" s="221">
        <v>122.1</v>
      </c>
      <c r="B762" s="222" t="s">
        <v>53</v>
      </c>
      <c r="C762" s="223" t="str">
        <f>VLOOKUP((CONCATENATE(B762)),ID!$A$2:$D$305,3,0)</f>
        <v>OT010</v>
      </c>
      <c r="D762" s="221">
        <v>1</v>
      </c>
      <c r="E762" s="221" t="s">
        <v>3903</v>
      </c>
      <c r="F762" s="221" t="s">
        <v>1117</v>
      </c>
      <c r="G762" s="221" t="s">
        <v>3853</v>
      </c>
      <c r="H762" s="224">
        <v>4018</v>
      </c>
      <c r="I762" s="225">
        <v>4057</v>
      </c>
      <c r="J762" s="225">
        <v>4057</v>
      </c>
      <c r="K762" s="221">
        <v>1</v>
      </c>
      <c r="L762" s="225">
        <v>4059</v>
      </c>
      <c r="M762" s="225">
        <v>4074</v>
      </c>
      <c r="N762" s="225">
        <v>4072</v>
      </c>
      <c r="O762" s="221" t="s">
        <v>3733</v>
      </c>
      <c r="P762" s="226">
        <v>1</v>
      </c>
      <c r="Q762" s="221">
        <v>1</v>
      </c>
      <c r="R762" s="226" t="str">
        <f t="shared" si="149"/>
        <v>-</v>
      </c>
      <c r="S762" s="227">
        <f t="shared" si="148"/>
        <v>1578019</v>
      </c>
      <c r="T762" s="228">
        <v>2736508</v>
      </c>
      <c r="U762" s="228">
        <f>1622513+19314</f>
        <v>1641827</v>
      </c>
      <c r="V762" s="228">
        <f t="shared" si="143"/>
        <v>1094681</v>
      </c>
      <c r="W762" s="229" t="str">
        <f t="shared" si="144"/>
        <v>1</v>
      </c>
      <c r="X762" s="228">
        <f>67535+561687+365669+163598</f>
        <v>1158489</v>
      </c>
      <c r="Y762" s="228">
        <f>67535+561687+240139</f>
        <v>869361</v>
      </c>
      <c r="Z762" s="228">
        <f t="shared" si="145"/>
        <v>289128</v>
      </c>
      <c r="AA762" s="229" t="str">
        <f t="shared" si="146"/>
        <v>1</v>
      </c>
      <c r="AB762" s="227">
        <f t="shared" si="147"/>
        <v>869361</v>
      </c>
      <c r="AC762" s="228">
        <v>0</v>
      </c>
      <c r="AD762" s="228">
        <f>Y762</f>
        <v>869361</v>
      </c>
      <c r="AE762" s="228">
        <v>41645</v>
      </c>
      <c r="AG762" s="230">
        <f t="shared" si="151"/>
        <v>181984</v>
      </c>
      <c r="AH762" s="228">
        <f>255926-9994-492-3399-200-AK762</f>
        <v>221841</v>
      </c>
      <c r="AI762" s="228">
        <v>4951</v>
      </c>
      <c r="AK762" s="228">
        <v>20000</v>
      </c>
      <c r="AL762" s="228">
        <f>2762+23375+8769</f>
        <v>34906</v>
      </c>
      <c r="AO762" s="228">
        <v>1200000</v>
      </c>
    </row>
    <row r="763" spans="1:41" s="228" customFormat="1" ht="16.2" thickBot="1" x14ac:dyDescent="0.35">
      <c r="A763" s="221">
        <v>122.2</v>
      </c>
      <c r="B763" s="222" t="s">
        <v>53</v>
      </c>
      <c r="C763" s="223" t="str">
        <f>VLOOKUP((CONCATENATE(B763)),ID!$A$2:$D$305,3,0)</f>
        <v>OT010</v>
      </c>
      <c r="D763" s="221">
        <v>1</v>
      </c>
      <c r="E763" s="221" t="s">
        <v>3903</v>
      </c>
      <c r="F763" s="221" t="s">
        <v>1117</v>
      </c>
      <c r="G763" s="221" t="s">
        <v>3853</v>
      </c>
      <c r="H763" s="224">
        <v>4383</v>
      </c>
      <c r="I763" s="225">
        <v>4428</v>
      </c>
      <c r="J763" s="225">
        <v>4428</v>
      </c>
      <c r="K763" s="221">
        <v>1</v>
      </c>
      <c r="L763" s="225">
        <v>4428</v>
      </c>
      <c r="M763" s="225">
        <v>4443</v>
      </c>
      <c r="N763" s="225">
        <v>4443</v>
      </c>
      <c r="O763" s="221" t="s">
        <v>3733</v>
      </c>
      <c r="P763" s="226">
        <v>1</v>
      </c>
      <c r="Q763" s="221">
        <v>1</v>
      </c>
      <c r="R763" s="226" t="str">
        <f t="shared" si="149"/>
        <v>-</v>
      </c>
      <c r="S763" s="227">
        <f t="shared" si="148"/>
        <v>1544887</v>
      </c>
      <c r="T763" s="228">
        <v>2631817</v>
      </c>
      <c r="U763" s="228">
        <f>1646910+19320</f>
        <v>1666230</v>
      </c>
      <c r="V763" s="228">
        <f t="shared" si="143"/>
        <v>965587</v>
      </c>
      <c r="W763" s="229" t="str">
        <f t="shared" si="144"/>
        <v>1</v>
      </c>
      <c r="X763" s="228">
        <f>60395+561687+241985+222863</f>
        <v>1086930</v>
      </c>
      <c r="Y763" s="228">
        <f>60395+561687+83506</f>
        <v>705588</v>
      </c>
      <c r="Z763" s="228">
        <f t="shared" si="145"/>
        <v>381342</v>
      </c>
      <c r="AA763" s="229" t="str">
        <f t="shared" si="146"/>
        <v>1</v>
      </c>
      <c r="AB763" s="227">
        <f t="shared" si="147"/>
        <v>705588</v>
      </c>
      <c r="AC763" s="228">
        <v>0</v>
      </c>
      <c r="AD763" s="228">
        <f>Y763</f>
        <v>705588</v>
      </c>
      <c r="AE763" s="228">
        <v>36923</v>
      </c>
      <c r="AG763" s="230">
        <f t="shared" si="151"/>
        <v>77871</v>
      </c>
      <c r="AH763" s="228">
        <f>148924-AK763-200-3100-598-10172</f>
        <v>114854</v>
      </c>
      <c r="AI763" s="228">
        <v>3738</v>
      </c>
      <c r="AK763" s="228">
        <v>20000</v>
      </c>
      <c r="AL763" s="228">
        <f>7379+23375+2491</f>
        <v>33245</v>
      </c>
      <c r="AO763" s="228">
        <v>1200000</v>
      </c>
    </row>
    <row r="764" spans="1:41" s="228" customFormat="1" ht="16.2" thickBot="1" x14ac:dyDescent="0.35">
      <c r="A764" s="221"/>
      <c r="B764" s="222" t="s">
        <v>53</v>
      </c>
      <c r="C764" s="223" t="str">
        <f>VLOOKUP((CONCATENATE(B764)),ID!$A$2:$D$305,3,0)</f>
        <v>OT010</v>
      </c>
      <c r="D764" s="221">
        <v>1</v>
      </c>
      <c r="E764" s="221" t="s">
        <v>3903</v>
      </c>
      <c r="F764" s="221" t="s">
        <v>1117</v>
      </c>
      <c r="G764" s="221" t="s">
        <v>3853</v>
      </c>
      <c r="H764" s="224">
        <v>4749</v>
      </c>
      <c r="I764" s="225">
        <v>4795</v>
      </c>
      <c r="J764" s="225">
        <v>4795</v>
      </c>
      <c r="K764" s="221">
        <v>0</v>
      </c>
      <c r="L764" s="225"/>
      <c r="M764" s="225"/>
      <c r="N764" s="225">
        <v>4807</v>
      </c>
      <c r="O764" s="221" t="s">
        <v>3733</v>
      </c>
      <c r="P764" s="226">
        <v>1</v>
      </c>
      <c r="Q764" s="221">
        <v>1</v>
      </c>
      <c r="R764" s="226" t="str">
        <f t="shared" si="149"/>
        <v>-</v>
      </c>
      <c r="S764" s="227">
        <f t="shared" si="148"/>
        <v>1550016</v>
      </c>
      <c r="T764" s="228">
        <v>2730551</v>
      </c>
      <c r="U764" s="228">
        <f>1760735+19329</f>
        <v>1780064</v>
      </c>
      <c r="V764" s="228">
        <f t="shared" si="143"/>
        <v>950487</v>
      </c>
      <c r="W764" s="229" t="str">
        <f t="shared" si="144"/>
        <v>1</v>
      </c>
      <c r="X764" s="228">
        <f>53254+504906+401606+124256+96513</f>
        <v>1180535</v>
      </c>
      <c r="Y764" s="228">
        <f>53254+504906+254808</f>
        <v>812968</v>
      </c>
      <c r="Z764" s="228">
        <f t="shared" si="145"/>
        <v>367567</v>
      </c>
      <c r="AA764" s="229" t="str">
        <f t="shared" si="146"/>
        <v>1</v>
      </c>
      <c r="AB764" s="227">
        <f t="shared" si="147"/>
        <v>812968</v>
      </c>
      <c r="AC764" s="228">
        <v>0</v>
      </c>
      <c r="AD764" s="228">
        <f>Y764</f>
        <v>812968</v>
      </c>
      <c r="AE764" s="228">
        <v>41543</v>
      </c>
      <c r="AG764" s="230">
        <f t="shared" si="151"/>
        <v>-29269</v>
      </c>
      <c r="AH764" s="228">
        <f>79769-29270-AK764-10459-743-3128-200</f>
        <v>15969</v>
      </c>
      <c r="AI764" s="228">
        <v>6600</v>
      </c>
      <c r="AK764" s="228">
        <v>20000</v>
      </c>
      <c r="AL764" s="228">
        <f>2217+23594+12827</f>
        <v>38638</v>
      </c>
      <c r="AO764" s="228">
        <v>1200000</v>
      </c>
    </row>
    <row r="765" spans="1:41" s="228" customFormat="1" ht="16.2" thickBot="1" x14ac:dyDescent="0.35">
      <c r="A765" s="221"/>
      <c r="B765" s="222" t="s">
        <v>53</v>
      </c>
      <c r="C765" s="223" t="str">
        <f>VLOOKUP((CONCATENATE(B765)),ID!$A$2:$D$305,3,0)</f>
        <v>OT010</v>
      </c>
      <c r="D765" s="221">
        <v>1</v>
      </c>
      <c r="E765" s="221" t="s">
        <v>3903</v>
      </c>
      <c r="F765" s="221" t="s">
        <v>1117</v>
      </c>
      <c r="G765" s="221" t="s">
        <v>3853</v>
      </c>
      <c r="H765" s="224">
        <v>5114</v>
      </c>
      <c r="I765" s="225">
        <v>4791</v>
      </c>
      <c r="J765" s="225">
        <v>4791</v>
      </c>
      <c r="K765" s="221">
        <v>1</v>
      </c>
      <c r="L765" s="225">
        <v>4791</v>
      </c>
      <c r="M765" s="225">
        <v>4808</v>
      </c>
      <c r="N765" s="225">
        <v>4806</v>
      </c>
      <c r="O765" s="221" t="s">
        <v>3733</v>
      </c>
      <c r="P765" s="226">
        <v>1</v>
      </c>
      <c r="Q765" s="221">
        <v>1</v>
      </c>
      <c r="R765" s="226" t="str">
        <f t="shared" si="149"/>
        <v>-</v>
      </c>
      <c r="S765" s="227">
        <f t="shared" si="148"/>
        <v>1601507</v>
      </c>
      <c r="T765" s="228">
        <v>2999390</v>
      </c>
      <c r="U765" s="228">
        <f>1750577+18953</f>
        <v>1769530</v>
      </c>
      <c r="V765" s="228">
        <f t="shared" si="143"/>
        <v>1229860</v>
      </c>
      <c r="W765" s="229" t="str">
        <f t="shared" si="144"/>
        <v>1</v>
      </c>
      <c r="X765" s="228">
        <f>46624+595388+528598+227273</f>
        <v>1397883</v>
      </c>
      <c r="Y765" s="228">
        <f>46624+595388+396870</f>
        <v>1038882</v>
      </c>
      <c r="Z765" s="228">
        <f t="shared" si="145"/>
        <v>359001</v>
      </c>
      <c r="AA765" s="229" t="str">
        <f t="shared" si="146"/>
        <v>1</v>
      </c>
      <c r="AB765" s="227">
        <f t="shared" si="147"/>
        <v>1038882</v>
      </c>
      <c r="AC765" s="228">
        <v>0</v>
      </c>
      <c r="AD765" s="228">
        <f>Y765</f>
        <v>1038882</v>
      </c>
      <c r="AE765" s="228">
        <v>53507</v>
      </c>
      <c r="AG765" s="230">
        <f t="shared" si="151"/>
        <v>116544</v>
      </c>
      <c r="AH765" s="228">
        <f>194402-10275-492-3350-172-AK765</f>
        <v>157613</v>
      </c>
      <c r="AI765" s="228">
        <v>3000</v>
      </c>
      <c r="AK765" s="228">
        <v>22500</v>
      </c>
      <c r="AL765" s="228">
        <f>1954+24777+11338</f>
        <v>38069</v>
      </c>
      <c r="AO765" s="228">
        <v>1249000</v>
      </c>
    </row>
    <row r="766" spans="1:41" s="123" customFormat="1" ht="16.2" thickBot="1" x14ac:dyDescent="0.35">
      <c r="A766" s="21"/>
      <c r="B766" s="212" t="s">
        <v>54</v>
      </c>
      <c r="C766" s="31" t="str">
        <f>VLOOKUP((CONCATENATE(B766)),ID!$A$2:$D$305,3,0)</f>
        <v>OT011</v>
      </c>
      <c r="D766" s="21">
        <v>1</v>
      </c>
      <c r="E766" s="21" t="s">
        <v>3903</v>
      </c>
      <c r="F766" s="21" t="s">
        <v>3911</v>
      </c>
      <c r="G766" s="21" t="s">
        <v>3853</v>
      </c>
      <c r="H766" s="88">
        <v>3653</v>
      </c>
      <c r="I766" s="43">
        <v>3685</v>
      </c>
      <c r="J766" s="43">
        <v>3684</v>
      </c>
      <c r="K766" s="21">
        <v>0</v>
      </c>
      <c r="L766" s="43"/>
      <c r="M766" s="43"/>
      <c r="N766" s="43">
        <v>3694</v>
      </c>
      <c r="O766" s="21" t="s">
        <v>3910</v>
      </c>
      <c r="P766" s="194" t="str">
        <f t="shared" si="140"/>
        <v>1</v>
      </c>
      <c r="Q766" s="21">
        <v>1</v>
      </c>
      <c r="R766" s="39" t="str">
        <f t="shared" si="149"/>
        <v>-</v>
      </c>
      <c r="S766" s="120">
        <f t="shared" si="148"/>
        <v>215699</v>
      </c>
      <c r="T766" s="123">
        <v>1176246</v>
      </c>
      <c r="U766" s="123">
        <f>1038344+45234+342</f>
        <v>1083920</v>
      </c>
      <c r="V766" s="123">
        <f t="shared" si="143"/>
        <v>92326</v>
      </c>
      <c r="W766" s="122" t="str">
        <f t="shared" si="144"/>
        <v>1</v>
      </c>
      <c r="X766" s="123">
        <f>Y766+Z766</f>
        <v>960547</v>
      </c>
      <c r="Y766" s="123">
        <f>AB766</f>
        <v>902564</v>
      </c>
      <c r="Z766" s="123">
        <f>1273+25+11992+44693</f>
        <v>57983</v>
      </c>
      <c r="AA766" s="122" t="str">
        <f t="shared" si="146"/>
        <v>1</v>
      </c>
      <c r="AB766" s="120">
        <f t="shared" si="147"/>
        <v>902564</v>
      </c>
      <c r="AC766" s="123">
        <v>44693</v>
      </c>
      <c r="AD766" s="123">
        <f>857871</f>
        <v>857871</v>
      </c>
      <c r="AE766" s="123">
        <v>72</v>
      </c>
      <c r="AG766" s="151">
        <f t="shared" si="151"/>
        <v>22979</v>
      </c>
      <c r="AH766" s="123">
        <f>65221+14-8749+AI766</f>
        <v>57566</v>
      </c>
      <c r="AI766" s="123">
        <v>1080</v>
      </c>
      <c r="AJ766" s="123">
        <v>8000</v>
      </c>
      <c r="AL766" s="123">
        <f>33457+50</f>
        <v>33507</v>
      </c>
      <c r="AO766" s="123">
        <v>40000</v>
      </c>
    </row>
    <row r="767" spans="1:41" s="123" customFormat="1" ht="16.2" thickBot="1" x14ac:dyDescent="0.35">
      <c r="A767" s="21">
        <v>123.1</v>
      </c>
      <c r="B767" s="212" t="s">
        <v>54</v>
      </c>
      <c r="C767" s="31" t="str">
        <f>VLOOKUP((CONCATENATE(B767)),ID!$A$2:$D$305,3,0)</f>
        <v>OT011</v>
      </c>
      <c r="D767" s="21">
        <v>1</v>
      </c>
      <c r="E767" s="21" t="s">
        <v>3903</v>
      </c>
      <c r="F767" s="21" t="s">
        <v>3911</v>
      </c>
      <c r="G767" s="21" t="s">
        <v>3853</v>
      </c>
      <c r="H767" s="88">
        <v>4018</v>
      </c>
      <c r="I767" s="43">
        <v>4049</v>
      </c>
      <c r="J767" s="43">
        <v>4048</v>
      </c>
      <c r="K767" s="21">
        <v>0</v>
      </c>
      <c r="L767" s="21"/>
      <c r="M767" s="21"/>
      <c r="N767" s="43">
        <v>4058</v>
      </c>
      <c r="O767" s="21" t="s">
        <v>3910</v>
      </c>
      <c r="P767" s="194" t="str">
        <f t="shared" si="140"/>
        <v>1</v>
      </c>
      <c r="Q767" s="21">
        <v>1</v>
      </c>
      <c r="R767" s="39" t="str">
        <f t="shared" si="149"/>
        <v>-</v>
      </c>
      <c r="S767" s="120">
        <f t="shared" si="148"/>
        <v>219256</v>
      </c>
      <c r="T767" s="123">
        <v>1263630</v>
      </c>
      <c r="U767" s="123">
        <f>1109250+48079</f>
        <v>1157329</v>
      </c>
      <c r="V767" s="123">
        <f t="shared" si="143"/>
        <v>106301</v>
      </c>
      <c r="W767" s="122" t="str">
        <f t="shared" si="144"/>
        <v>1</v>
      </c>
      <c r="X767" s="123">
        <f>Y767+1213+7444+59388</f>
        <v>1044374</v>
      </c>
      <c r="Y767" s="123">
        <f>AB767</f>
        <v>976329</v>
      </c>
      <c r="Z767" s="123">
        <f t="shared" si="145"/>
        <v>68045</v>
      </c>
      <c r="AA767" s="122" t="str">
        <f t="shared" si="146"/>
        <v>1</v>
      </c>
      <c r="AB767" s="120">
        <f t="shared" si="147"/>
        <v>976329</v>
      </c>
      <c r="AC767" s="123">
        <v>59388</v>
      </c>
      <c r="AD767" s="123">
        <v>916941</v>
      </c>
      <c r="AE767" s="123">
        <v>75</v>
      </c>
      <c r="AG767" s="151">
        <f t="shared" si="151"/>
        <v>26253</v>
      </c>
      <c r="AH767" s="123">
        <f>71811+14-9390+AI767</f>
        <v>63694</v>
      </c>
      <c r="AI767" s="123">
        <v>1259</v>
      </c>
      <c r="AJ767" s="123">
        <v>8000</v>
      </c>
      <c r="AL767" s="123">
        <f>36132+50</f>
        <v>36182</v>
      </c>
      <c r="AO767" s="123">
        <v>50000</v>
      </c>
    </row>
    <row r="768" spans="1:41" s="123" customFormat="1" ht="16.2" thickBot="1" x14ac:dyDescent="0.35">
      <c r="A768" s="21">
        <v>123.2</v>
      </c>
      <c r="B768" s="212" t="s">
        <v>54</v>
      </c>
      <c r="C768" s="31" t="str">
        <f>VLOOKUP((CONCATENATE(B768)),ID!$A$2:$D$305,3,0)</f>
        <v>OT011</v>
      </c>
      <c r="D768" s="21">
        <v>1</v>
      </c>
      <c r="E768" s="21" t="s">
        <v>3903</v>
      </c>
      <c r="F768" s="21" t="s">
        <v>3911</v>
      </c>
      <c r="G768" s="21" t="s">
        <v>3853</v>
      </c>
      <c r="H768" s="88">
        <v>4383</v>
      </c>
      <c r="I768" s="43">
        <v>4416</v>
      </c>
      <c r="J768" s="43">
        <v>4415</v>
      </c>
      <c r="K768" s="21">
        <v>0</v>
      </c>
      <c r="L768" s="21"/>
      <c r="M768" s="21"/>
      <c r="N768" s="43">
        <v>4426</v>
      </c>
      <c r="O768" s="21" t="s">
        <v>3910</v>
      </c>
      <c r="P768" s="194" t="str">
        <f t="shared" si="140"/>
        <v>1</v>
      </c>
      <c r="Q768" s="21">
        <v>1</v>
      </c>
      <c r="R768" s="39" t="str">
        <f t="shared" si="149"/>
        <v>-</v>
      </c>
      <c r="S768" s="120">
        <f t="shared" si="148"/>
        <v>208641</v>
      </c>
      <c r="T768" s="123">
        <v>1314843</v>
      </c>
      <c r="U768" s="123">
        <f>1145635+51279</f>
        <v>1196914</v>
      </c>
      <c r="V768" s="123">
        <f t="shared" si="143"/>
        <v>117929</v>
      </c>
      <c r="W768" s="122" t="str">
        <f t="shared" si="144"/>
        <v>1</v>
      </c>
      <c r="X768" s="123">
        <f>Y768+1209+17249+13515+75259</f>
        <v>1106202</v>
      </c>
      <c r="Y768" s="123">
        <f>AB768</f>
        <v>998970</v>
      </c>
      <c r="Z768" s="123">
        <f t="shared" si="145"/>
        <v>107232</v>
      </c>
      <c r="AA768" s="122" t="str">
        <f t="shared" si="146"/>
        <v>1</v>
      </c>
      <c r="AB768" s="120">
        <f t="shared" si="147"/>
        <v>998970</v>
      </c>
      <c r="AC768" s="123">
        <v>75259</v>
      </c>
      <c r="AD768" s="123">
        <v>923711</v>
      </c>
      <c r="AE768" s="123">
        <v>50</v>
      </c>
      <c r="AG768" s="151">
        <f t="shared" si="151"/>
        <v>22090</v>
      </c>
      <c r="AH768" s="123">
        <f>71683-476-9728+AI768</f>
        <v>62946</v>
      </c>
      <c r="AI768" s="123">
        <v>1467</v>
      </c>
      <c r="AJ768" s="123">
        <v>8666</v>
      </c>
      <c r="AL768" s="123">
        <v>39389</v>
      </c>
      <c r="AO768" s="123">
        <v>50000</v>
      </c>
    </row>
    <row r="769" spans="1:41" s="123" customFormat="1" ht="16.2" thickBot="1" x14ac:dyDescent="0.35">
      <c r="A769" s="21"/>
      <c r="B769" s="212" t="s">
        <v>54</v>
      </c>
      <c r="C769" s="31" t="str">
        <f>VLOOKUP((CONCATENATE(B769)),ID!$A$2:$D$305,3,0)</f>
        <v>OT011</v>
      </c>
      <c r="D769" s="21">
        <v>1</v>
      </c>
      <c r="E769" s="21" t="s">
        <v>3903</v>
      </c>
      <c r="F769" s="21" t="s">
        <v>3911</v>
      </c>
      <c r="G769" s="21" t="s">
        <v>3853</v>
      </c>
      <c r="H769" s="88">
        <v>4749</v>
      </c>
      <c r="I769" s="43">
        <v>4788</v>
      </c>
      <c r="J769" s="43">
        <v>4787</v>
      </c>
      <c r="K769" s="21">
        <v>0</v>
      </c>
      <c r="L769" s="21"/>
      <c r="M769" s="21"/>
      <c r="N769" s="43">
        <v>4798</v>
      </c>
      <c r="O769" s="21" t="s">
        <v>3910</v>
      </c>
      <c r="P769" s="194" t="str">
        <f t="shared" si="140"/>
        <v>1</v>
      </c>
      <c r="Q769" s="21">
        <v>1</v>
      </c>
      <c r="R769" s="39" t="str">
        <f t="shared" si="149"/>
        <v>-</v>
      </c>
      <c r="S769" s="120">
        <f t="shared" si="148"/>
        <v>227617</v>
      </c>
      <c r="T769" s="123">
        <v>1347882</v>
      </c>
      <c r="U769" s="123">
        <f>1188113+51977</f>
        <v>1240090</v>
      </c>
      <c r="V769" s="123">
        <f t="shared" si="143"/>
        <v>107792</v>
      </c>
      <c r="W769" s="122" t="str">
        <f t="shared" si="144"/>
        <v>1</v>
      </c>
      <c r="X769" s="123">
        <f>Y769+11239+63636</f>
        <v>1120265</v>
      </c>
      <c r="Y769" s="123">
        <f>AB769</f>
        <v>1045390</v>
      </c>
      <c r="Z769" s="123">
        <f t="shared" si="145"/>
        <v>74875</v>
      </c>
      <c r="AA769" s="122" t="str">
        <f t="shared" si="146"/>
        <v>1</v>
      </c>
      <c r="AB769" s="120">
        <f t="shared" si="147"/>
        <v>1045390</v>
      </c>
      <c r="AC769" s="123">
        <v>63636</v>
      </c>
      <c r="AD769" s="123">
        <v>981754</v>
      </c>
      <c r="AE769" s="123">
        <v>32</v>
      </c>
      <c r="AG769" s="151">
        <f t="shared" si="151"/>
        <v>65575</v>
      </c>
      <c r="AH769" s="123">
        <f>75677-231-9871+AI769</f>
        <v>66695</v>
      </c>
      <c r="AI769" s="123">
        <v>1120</v>
      </c>
      <c r="AJ769" s="123">
        <v>8161</v>
      </c>
      <c r="AL769" s="123">
        <v>0</v>
      </c>
      <c r="AO769" s="123">
        <v>50000</v>
      </c>
    </row>
    <row r="770" spans="1:41" s="123" customFormat="1" ht="16.2" thickBot="1" x14ac:dyDescent="0.35">
      <c r="A770" s="21"/>
      <c r="B770" s="212" t="s">
        <v>54</v>
      </c>
      <c r="C770" s="31" t="str">
        <f>VLOOKUP((CONCATENATE(B770)),ID!$A$2:$D$305,3,0)</f>
        <v>OT011</v>
      </c>
      <c r="D770" s="21">
        <v>1</v>
      </c>
      <c r="E770" s="21" t="s">
        <v>3903</v>
      </c>
      <c r="F770" s="21" t="s">
        <v>3911</v>
      </c>
      <c r="G770" s="21" t="s">
        <v>3853</v>
      </c>
      <c r="H770" s="88">
        <v>5114</v>
      </c>
      <c r="I770" s="43">
        <v>5148</v>
      </c>
      <c r="J770" s="43">
        <v>5147</v>
      </c>
      <c r="K770" s="21">
        <v>0</v>
      </c>
      <c r="L770" s="21"/>
      <c r="M770" s="21"/>
      <c r="N770" s="43">
        <v>5157</v>
      </c>
      <c r="O770" s="21" t="s">
        <v>3910</v>
      </c>
      <c r="P770" s="194" t="str">
        <f t="shared" ref="P770:P833" si="152">IF(AJ770=0,"?","1")</f>
        <v>1</v>
      </c>
      <c r="Q770" s="21">
        <v>1</v>
      </c>
      <c r="R770" s="39" t="str">
        <f t="shared" si="149"/>
        <v>-</v>
      </c>
      <c r="S770" s="120">
        <f t="shared" si="148"/>
        <v>208564</v>
      </c>
      <c r="T770" s="123">
        <v>1400196</v>
      </c>
      <c r="U770" s="123">
        <f>1239422+51813</f>
        <v>1291235</v>
      </c>
      <c r="V770" s="123">
        <f t="shared" si="143"/>
        <v>108961</v>
      </c>
      <c r="W770" s="122" t="str">
        <f t="shared" si="144"/>
        <v>1</v>
      </c>
      <c r="X770" s="123">
        <f>Y770+8447+90167</f>
        <v>1191632</v>
      </c>
      <c r="Y770" s="123">
        <f>AB770</f>
        <v>1093018</v>
      </c>
      <c r="Z770" s="123">
        <f t="shared" si="145"/>
        <v>98614</v>
      </c>
      <c r="AA770" s="122" t="str">
        <f t="shared" si="146"/>
        <v>1</v>
      </c>
      <c r="AB770" s="120">
        <f t="shared" si="147"/>
        <v>1093018</v>
      </c>
      <c r="AC770" s="123">
        <v>90167</v>
      </c>
      <c r="AD770" s="123">
        <v>1002851</v>
      </c>
      <c r="AE770" s="123">
        <v>9</v>
      </c>
      <c r="AG770" s="151">
        <f t="shared" si="151"/>
        <v>66480</v>
      </c>
      <c r="AH770" s="123">
        <f>76802-591-9731+AI770</f>
        <v>67685</v>
      </c>
      <c r="AI770" s="123">
        <v>1205</v>
      </c>
      <c r="AJ770" s="123">
        <v>8161</v>
      </c>
      <c r="AL770" s="123">
        <v>0</v>
      </c>
      <c r="AO770" s="123">
        <v>50000</v>
      </c>
    </row>
    <row r="771" spans="1:41" s="123" customFormat="1" ht="16.2" thickBot="1" x14ac:dyDescent="0.35">
      <c r="A771" s="21"/>
      <c r="B771" s="212" t="s">
        <v>55</v>
      </c>
      <c r="C771" s="31" t="str">
        <f>VLOOKUP((CONCATENATE(B771)),ID!$A$2:$D$305,3,0)</f>
        <v>OT012</v>
      </c>
      <c r="D771" s="21">
        <v>1</v>
      </c>
      <c r="E771" s="21" t="s">
        <v>3903</v>
      </c>
      <c r="F771" s="21" t="s">
        <v>3861</v>
      </c>
      <c r="G771" s="21" t="s">
        <v>3853</v>
      </c>
      <c r="H771" s="88">
        <v>3743</v>
      </c>
      <c r="I771" s="43">
        <v>3786</v>
      </c>
      <c r="J771" s="43">
        <v>3784</v>
      </c>
      <c r="K771" s="21">
        <v>1</v>
      </c>
      <c r="L771" s="43">
        <v>3784</v>
      </c>
      <c r="M771" s="43">
        <v>3800</v>
      </c>
      <c r="N771" s="43">
        <v>3796</v>
      </c>
      <c r="O771" s="21" t="s">
        <v>3912</v>
      </c>
      <c r="P771" s="194" t="str">
        <f t="shared" si="152"/>
        <v>1</v>
      </c>
      <c r="Q771" s="21">
        <v>1</v>
      </c>
      <c r="R771" s="39" t="str">
        <f t="shared" si="149"/>
        <v>-</v>
      </c>
      <c r="S771" s="120">
        <f t="shared" si="148"/>
        <v>4250844</v>
      </c>
      <c r="T771" s="123">
        <v>4506031</v>
      </c>
      <c r="U771" s="123">
        <f>2924822+836034+13775</f>
        <v>3774631</v>
      </c>
      <c r="V771" s="123">
        <f t="shared" si="143"/>
        <v>731400</v>
      </c>
      <c r="W771" s="122" t="str">
        <f t="shared" si="144"/>
        <v>1</v>
      </c>
      <c r="X771" s="123">
        <f>Y771</f>
        <v>255187</v>
      </c>
      <c r="Y771" s="123">
        <f>AD771+49657</f>
        <v>255187</v>
      </c>
      <c r="Z771" s="123">
        <f t="shared" si="145"/>
        <v>0</v>
      </c>
      <c r="AA771" s="122" t="str">
        <f t="shared" si="146"/>
        <v>1</v>
      </c>
      <c r="AB771" s="120">
        <f t="shared" si="147"/>
        <v>205530</v>
      </c>
      <c r="AC771" s="123">
        <v>0</v>
      </c>
      <c r="AD771" s="123">
        <v>205530</v>
      </c>
      <c r="AE771" s="123">
        <v>95201</v>
      </c>
      <c r="AG771" s="151">
        <f t="shared" si="151"/>
        <v>738419</v>
      </c>
      <c r="AH771" s="123">
        <f>738419+AI771</f>
        <v>794426</v>
      </c>
      <c r="AI771" s="123">
        <v>56007</v>
      </c>
      <c r="AJ771" s="123">
        <v>272608</v>
      </c>
      <c r="AM771" s="123">
        <v>826457</v>
      </c>
      <c r="AO771" s="123">
        <f>82678+1962870</f>
        <v>2045548</v>
      </c>
    </row>
    <row r="772" spans="1:41" s="123" customFormat="1" ht="16.2" thickBot="1" x14ac:dyDescent="0.35">
      <c r="A772" s="21">
        <v>124.1</v>
      </c>
      <c r="B772" s="212" t="s">
        <v>55</v>
      </c>
      <c r="C772" s="31" t="str">
        <f>VLOOKUP((CONCATENATE(B772)),ID!$A$2:$D$305,3,0)</f>
        <v>OT012</v>
      </c>
      <c r="D772" s="21">
        <v>1</v>
      </c>
      <c r="E772" s="21" t="s">
        <v>3903</v>
      </c>
      <c r="F772" s="21" t="s">
        <v>3861</v>
      </c>
      <c r="G772" s="21" t="s">
        <v>3853</v>
      </c>
      <c r="H772" s="88">
        <v>4108</v>
      </c>
      <c r="I772" s="43">
        <v>4155</v>
      </c>
      <c r="J772" s="43">
        <v>4150</v>
      </c>
      <c r="K772" s="21">
        <v>1</v>
      </c>
      <c r="L772" s="43">
        <v>4149</v>
      </c>
      <c r="M772" s="43">
        <v>4167</v>
      </c>
      <c r="N772" s="43">
        <v>4167</v>
      </c>
      <c r="O772" s="21" t="s">
        <v>3912</v>
      </c>
      <c r="P772" s="194" t="str">
        <f t="shared" si="152"/>
        <v>1</v>
      </c>
      <c r="Q772" s="21">
        <v>1</v>
      </c>
      <c r="R772" s="39" t="str">
        <f t="shared" si="149"/>
        <v>-</v>
      </c>
      <c r="S772" s="120">
        <f t="shared" si="148"/>
        <v>4296539</v>
      </c>
      <c r="T772" s="123">
        <v>4572505</v>
      </c>
      <c r="U772" s="123">
        <f>2956125+867584+12436</f>
        <v>3836145</v>
      </c>
      <c r="V772" s="123">
        <f t="shared" si="143"/>
        <v>736360</v>
      </c>
      <c r="W772" s="122" t="str">
        <f t="shared" si="144"/>
        <v>1</v>
      </c>
      <c r="X772" s="123">
        <f>Y772</f>
        <v>275966</v>
      </c>
      <c r="Y772" s="123">
        <f>AD772+62176</f>
        <v>275966</v>
      </c>
      <c r="Z772" s="123">
        <f t="shared" si="145"/>
        <v>0</v>
      </c>
      <c r="AA772" s="122" t="str">
        <f t="shared" si="146"/>
        <v>1</v>
      </c>
      <c r="AB772" s="120">
        <f t="shared" si="147"/>
        <v>213790</v>
      </c>
      <c r="AC772" s="123">
        <v>0</v>
      </c>
      <c r="AD772" s="123">
        <v>213790</v>
      </c>
      <c r="AE772" s="123">
        <v>76393</v>
      </c>
      <c r="AG772" s="151">
        <f t="shared" si="151"/>
        <v>760499</v>
      </c>
      <c r="AH772" s="123">
        <f>760499+AI772</f>
        <v>819671</v>
      </c>
      <c r="AI772" s="123">
        <v>59172</v>
      </c>
      <c r="AJ772" s="123">
        <v>272608</v>
      </c>
      <c r="AM772" s="123">
        <v>859869</v>
      </c>
      <c r="AO772" s="123">
        <f>82678+1962870</f>
        <v>2045548</v>
      </c>
    </row>
    <row r="773" spans="1:41" s="123" customFormat="1" ht="16.2" thickBot="1" x14ac:dyDescent="0.35">
      <c r="A773" s="21">
        <v>124.2</v>
      </c>
      <c r="B773" s="212" t="s">
        <v>55</v>
      </c>
      <c r="C773" s="31" t="str">
        <f>VLOOKUP((CONCATENATE(B773)),ID!$A$2:$D$305,3,0)</f>
        <v>OT012</v>
      </c>
      <c r="D773" s="21">
        <v>1</v>
      </c>
      <c r="E773" s="21" t="s">
        <v>3903</v>
      </c>
      <c r="F773" s="21" t="s">
        <v>3861</v>
      </c>
      <c r="G773" s="21" t="s">
        <v>3853</v>
      </c>
      <c r="H773" s="88">
        <v>4474</v>
      </c>
      <c r="I773" s="43">
        <v>4520</v>
      </c>
      <c r="J773" s="43">
        <v>4512</v>
      </c>
      <c r="K773" s="21">
        <v>1</v>
      </c>
      <c r="L773" s="43">
        <v>4520</v>
      </c>
      <c r="M773" s="43">
        <v>4535</v>
      </c>
      <c r="N773" s="43">
        <v>4535</v>
      </c>
      <c r="O773" s="21" t="s">
        <v>3912</v>
      </c>
      <c r="P773" s="194" t="str">
        <f t="shared" si="152"/>
        <v>1</v>
      </c>
      <c r="Q773" s="21">
        <v>1</v>
      </c>
      <c r="R773" s="39" t="str">
        <f t="shared" si="149"/>
        <v>-</v>
      </c>
      <c r="S773" s="120">
        <f t="shared" si="148"/>
        <v>5045767</v>
      </c>
      <c r="T773" s="123">
        <v>5350395</v>
      </c>
      <c r="U773" s="123">
        <f>3089282+1541157+11122</f>
        <v>4641561</v>
      </c>
      <c r="V773" s="123">
        <f t="shared" si="143"/>
        <v>708834</v>
      </c>
      <c r="W773" s="122" t="str">
        <f t="shared" si="144"/>
        <v>1</v>
      </c>
      <c r="X773" s="123">
        <f>Y773</f>
        <v>304628</v>
      </c>
      <c r="Y773" s="123">
        <f>AB773+74666</f>
        <v>304628</v>
      </c>
      <c r="Z773" s="123">
        <f t="shared" si="145"/>
        <v>0</v>
      </c>
      <c r="AA773" s="122" t="str">
        <f t="shared" si="146"/>
        <v>1</v>
      </c>
      <c r="AB773" s="120">
        <f t="shared" si="147"/>
        <v>229962</v>
      </c>
      <c r="AC773" s="123">
        <v>80501</v>
      </c>
      <c r="AD773" s="123">
        <v>149461</v>
      </c>
      <c r="AE773" s="123">
        <v>1479</v>
      </c>
      <c r="AG773" s="151">
        <f t="shared" si="151"/>
        <v>766126</v>
      </c>
      <c r="AH773" s="123">
        <f>766126+AI773</f>
        <v>826837</v>
      </c>
      <c r="AI773" s="123">
        <v>60711</v>
      </c>
      <c r="AJ773" s="123">
        <v>272608</v>
      </c>
      <c r="AM773" s="123">
        <v>868106</v>
      </c>
      <c r="AO773" s="123">
        <f>121678+2287870</f>
        <v>2409548</v>
      </c>
    </row>
    <row r="774" spans="1:41" s="123" customFormat="1" ht="16.2" thickBot="1" x14ac:dyDescent="0.35">
      <c r="A774" s="21"/>
      <c r="B774" s="212" t="s">
        <v>55</v>
      </c>
      <c r="C774" s="31" t="str">
        <f>VLOOKUP((CONCATENATE(B774)),ID!$A$2:$D$305,3,0)</f>
        <v>OT012</v>
      </c>
      <c r="D774" s="21">
        <v>1</v>
      </c>
      <c r="E774" s="21" t="s">
        <v>3903</v>
      </c>
      <c r="F774" s="21" t="s">
        <v>3861</v>
      </c>
      <c r="G774" s="21" t="s">
        <v>3853</v>
      </c>
      <c r="H774" s="88">
        <v>4839</v>
      </c>
      <c r="I774" s="43">
        <v>4891</v>
      </c>
      <c r="J774" s="43">
        <v>4883</v>
      </c>
      <c r="K774" s="21">
        <v>1</v>
      </c>
      <c r="L774" s="43">
        <v>4884</v>
      </c>
      <c r="M774" s="43">
        <v>4899</v>
      </c>
      <c r="N774" s="43">
        <v>4899</v>
      </c>
      <c r="O774" s="21" t="s">
        <v>3912</v>
      </c>
      <c r="P774" s="194" t="str">
        <f t="shared" si="152"/>
        <v>1</v>
      </c>
      <c r="Q774" s="21">
        <v>1</v>
      </c>
      <c r="R774" s="39" t="str">
        <f t="shared" si="149"/>
        <v>-</v>
      </c>
      <c r="S774" s="120">
        <f t="shared" si="148"/>
        <v>5789970</v>
      </c>
      <c r="T774" s="123">
        <v>6130964</v>
      </c>
      <c r="U774" s="123">
        <f>3487878+1532252+9699</f>
        <v>5029829</v>
      </c>
      <c r="V774" s="123">
        <f t="shared" si="143"/>
        <v>1101135</v>
      </c>
      <c r="W774" s="122" t="str">
        <f t="shared" si="144"/>
        <v>1</v>
      </c>
      <c r="X774" s="123">
        <f>Y774</f>
        <v>340994</v>
      </c>
      <c r="Y774" s="123">
        <f>AB774+132468</f>
        <v>340994</v>
      </c>
      <c r="Z774" s="123">
        <f t="shared" si="145"/>
        <v>0</v>
      </c>
      <c r="AA774" s="122" t="str">
        <f t="shared" si="146"/>
        <v>1</v>
      </c>
      <c r="AB774" s="120">
        <f t="shared" si="147"/>
        <v>208526</v>
      </c>
      <c r="AC774" s="123">
        <v>0</v>
      </c>
      <c r="AD774" s="123">
        <v>208526</v>
      </c>
      <c r="AE774" s="123">
        <v>108203</v>
      </c>
      <c r="AG774" s="151">
        <f t="shared" si="151"/>
        <v>781829</v>
      </c>
      <c r="AH774" s="123">
        <f>781829+AI774</f>
        <v>847777</v>
      </c>
      <c r="AI774" s="123">
        <v>65948</v>
      </c>
      <c r="AJ774" s="123">
        <v>327364</v>
      </c>
      <c r="AM774" s="123">
        <v>886948</v>
      </c>
      <c r="AO774" s="123">
        <f>150000+2287870+(610000*0.2)</f>
        <v>2559870</v>
      </c>
    </row>
    <row r="775" spans="1:41" s="123" customFormat="1" ht="16.2" thickBot="1" x14ac:dyDescent="0.35">
      <c r="A775" s="21"/>
      <c r="B775" s="212" t="s">
        <v>55</v>
      </c>
      <c r="C775" s="31" t="str">
        <f>VLOOKUP((CONCATENATE(B775)),ID!$A$2:$D$305,3,0)</f>
        <v>OT012</v>
      </c>
      <c r="D775" s="21">
        <v>1</v>
      </c>
      <c r="E775" s="21" t="s">
        <v>3903</v>
      </c>
      <c r="F775" s="21" t="s">
        <v>3861</v>
      </c>
      <c r="G775" s="21" t="s">
        <v>3853</v>
      </c>
      <c r="H775" s="88">
        <v>5204</v>
      </c>
      <c r="I775" s="43">
        <v>5253</v>
      </c>
      <c r="J775" s="43">
        <v>5247</v>
      </c>
      <c r="K775" s="21">
        <v>1</v>
      </c>
      <c r="L775" s="43">
        <v>5246</v>
      </c>
      <c r="M775" s="43">
        <v>5261</v>
      </c>
      <c r="N775" s="43">
        <v>5261</v>
      </c>
      <c r="O775" s="21" t="s">
        <v>3912</v>
      </c>
      <c r="P775" s="194" t="str">
        <f t="shared" si="152"/>
        <v>1</v>
      </c>
      <c r="Q775" s="21">
        <v>1</v>
      </c>
      <c r="R775" s="39" t="str">
        <f t="shared" si="149"/>
        <v>-</v>
      </c>
      <c r="S775" s="120">
        <f t="shared" si="148"/>
        <v>6121328</v>
      </c>
      <c r="T775" s="123">
        <v>6558734</v>
      </c>
      <c r="U775" s="123">
        <f>3831532+1540024+8268</f>
        <v>5379824</v>
      </c>
      <c r="V775" s="123">
        <f t="shared" si="143"/>
        <v>1178910</v>
      </c>
      <c r="W775" s="122" t="str">
        <f t="shared" si="144"/>
        <v>1</v>
      </c>
      <c r="X775" s="123">
        <f>Y775</f>
        <v>437406</v>
      </c>
      <c r="Y775" s="123">
        <f>AB775+102419</f>
        <v>437406</v>
      </c>
      <c r="Z775" s="123">
        <f t="shared" si="145"/>
        <v>0</v>
      </c>
      <c r="AA775" s="122" t="str">
        <f t="shared" si="146"/>
        <v>1</v>
      </c>
      <c r="AB775" s="120">
        <f t="shared" si="147"/>
        <v>334987</v>
      </c>
      <c r="AC775" s="123">
        <v>56970</v>
      </c>
      <c r="AD775" s="123">
        <v>278017</v>
      </c>
      <c r="AE775" s="123">
        <v>1673</v>
      </c>
      <c r="AG775" s="151">
        <f t="shared" si="151"/>
        <v>769343</v>
      </c>
      <c r="AH775" s="123">
        <f>769343</f>
        <v>769343</v>
      </c>
      <c r="AI775" s="123">
        <v>0</v>
      </c>
      <c r="AJ775" s="123">
        <v>353733</v>
      </c>
      <c r="AM775" s="123">
        <v>827676</v>
      </c>
      <c r="AO775" s="123">
        <f>150000+2287870+(610000*0.4)</f>
        <v>2681870</v>
      </c>
    </row>
    <row r="776" spans="1:41" s="123" customFormat="1" ht="16.2" thickBot="1" x14ac:dyDescent="0.35">
      <c r="A776" s="21"/>
      <c r="B776" s="212" t="s">
        <v>61</v>
      </c>
      <c r="C776" s="31" t="str">
        <f>VLOOKUP((CONCATENATE(B776)),ID!$A$2:$D$305,3,0)</f>
        <v>OT013</v>
      </c>
      <c r="D776" s="21">
        <v>1</v>
      </c>
      <c r="E776" s="21" t="s">
        <v>3903</v>
      </c>
      <c r="F776" s="21" t="s">
        <v>3812</v>
      </c>
      <c r="G776" s="21" t="s">
        <v>3853</v>
      </c>
      <c r="H776" s="88">
        <v>3834</v>
      </c>
      <c r="I776" s="43">
        <v>3905</v>
      </c>
      <c r="J776" s="43">
        <v>3898</v>
      </c>
      <c r="K776" s="21">
        <v>1</v>
      </c>
      <c r="L776" s="43">
        <v>3912</v>
      </c>
      <c r="M776" s="43">
        <v>3926</v>
      </c>
      <c r="N776" s="43">
        <v>3917</v>
      </c>
      <c r="O776" s="21" t="s">
        <v>3913</v>
      </c>
      <c r="P776" s="194" t="str">
        <f t="shared" si="152"/>
        <v>1</v>
      </c>
      <c r="Q776" s="21">
        <v>1</v>
      </c>
      <c r="R776" s="39" t="str">
        <f t="shared" si="149"/>
        <v>-</v>
      </c>
      <c r="S776" s="120">
        <f t="shared" si="148"/>
        <v>3076115</v>
      </c>
      <c r="T776" s="123">
        <v>3587013</v>
      </c>
      <c r="U776" s="123">
        <f>900243+844229</f>
        <v>1744472</v>
      </c>
      <c r="V776" s="123">
        <f t="shared" si="143"/>
        <v>1842541</v>
      </c>
      <c r="W776" s="122" t="str">
        <f t="shared" si="144"/>
        <v>1</v>
      </c>
      <c r="X776" s="123">
        <f>64786+363089+53333+29690</f>
        <v>510898</v>
      </c>
      <c r="Y776" s="123">
        <f>AC776</f>
        <v>64786</v>
      </c>
      <c r="Z776" s="123">
        <f t="shared" si="145"/>
        <v>446112</v>
      </c>
      <c r="AA776" s="122" t="str">
        <f t="shared" si="146"/>
        <v>1</v>
      </c>
      <c r="AB776" s="120">
        <f t="shared" si="147"/>
        <v>64786</v>
      </c>
      <c r="AC776" s="123">
        <v>64786</v>
      </c>
      <c r="AD776" s="123">
        <v>0</v>
      </c>
      <c r="AE776" s="123">
        <v>25204</v>
      </c>
      <c r="AG776" s="151">
        <f t="shared" si="151"/>
        <v>192724</v>
      </c>
      <c r="AH776" s="123">
        <f>559130-757-36034-201615</f>
        <v>320724</v>
      </c>
      <c r="AJ776" s="123">
        <v>75402</v>
      </c>
      <c r="AL776" s="123">
        <v>128000</v>
      </c>
      <c r="AM776" s="123">
        <f>556887+201615</f>
        <v>758502</v>
      </c>
      <c r="AO776" s="123">
        <f>5026840</f>
        <v>5026840</v>
      </c>
    </row>
    <row r="777" spans="1:41" s="123" customFormat="1" ht="16.2" thickBot="1" x14ac:dyDescent="0.35">
      <c r="A777" s="21">
        <v>125.1</v>
      </c>
      <c r="B777" s="212" t="s">
        <v>61</v>
      </c>
      <c r="C777" s="31" t="str">
        <f>VLOOKUP((CONCATENATE(B777)),ID!$A$2:$D$305,3,0)</f>
        <v>OT013</v>
      </c>
      <c r="D777" s="21">
        <v>1</v>
      </c>
      <c r="E777" s="21" t="s">
        <v>3903</v>
      </c>
      <c r="F777" s="21" t="s">
        <v>3812</v>
      </c>
      <c r="G777" s="21" t="s">
        <v>3853</v>
      </c>
      <c r="H777" s="88">
        <v>4199</v>
      </c>
      <c r="I777" s="43">
        <v>4266</v>
      </c>
      <c r="J777" s="43">
        <v>4262</v>
      </c>
      <c r="K777" s="21">
        <v>1</v>
      </c>
      <c r="L777" s="43">
        <v>4277</v>
      </c>
      <c r="M777" s="43">
        <v>4291</v>
      </c>
      <c r="N777" s="43">
        <v>4281</v>
      </c>
      <c r="O777" s="21" t="s">
        <v>3913</v>
      </c>
      <c r="P777" s="194" t="str">
        <f t="shared" si="152"/>
        <v>1</v>
      </c>
      <c r="Q777" s="21">
        <v>1</v>
      </c>
      <c r="R777" s="39" t="str">
        <f t="shared" si="149"/>
        <v>-</v>
      </c>
      <c r="S777" s="120">
        <f t="shared" si="148"/>
        <v>3248587</v>
      </c>
      <c r="T777" s="123">
        <v>4094478</v>
      </c>
      <c r="U777" s="123">
        <f>886741+908750</f>
        <v>1795491</v>
      </c>
      <c r="V777" s="123">
        <f t="shared" si="143"/>
        <v>2298987</v>
      </c>
      <c r="W777" s="122" t="str">
        <f t="shared" si="144"/>
        <v>1</v>
      </c>
      <c r="X777" s="123">
        <f>228987+353114+53333+210457</f>
        <v>845891</v>
      </c>
      <c r="Y777" s="123">
        <f>AC777</f>
        <v>228987</v>
      </c>
      <c r="Z777" s="123">
        <f t="shared" si="145"/>
        <v>616904</v>
      </c>
      <c r="AA777" s="122" t="str">
        <f t="shared" si="146"/>
        <v>1</v>
      </c>
      <c r="AB777" s="120">
        <f t="shared" si="147"/>
        <v>228987</v>
      </c>
      <c r="AC777" s="123">
        <v>228987</v>
      </c>
      <c r="AD777" s="123">
        <v>0</v>
      </c>
      <c r="AE777" s="123">
        <f>13964+18080</f>
        <v>32044</v>
      </c>
      <c r="AG777" s="151">
        <f t="shared" si="151"/>
        <v>403770</v>
      </c>
      <c r="AH777" s="123">
        <f>AM777-208860</f>
        <v>531770</v>
      </c>
      <c r="AJ777" s="123">
        <f>150805+50268</f>
        <v>201073</v>
      </c>
      <c r="AL777" s="123">
        <v>128000</v>
      </c>
      <c r="AM777" s="123">
        <f>403770+208860+128000</f>
        <v>740630</v>
      </c>
      <c r="AO777" s="123">
        <f>5026840</f>
        <v>5026840</v>
      </c>
    </row>
    <row r="778" spans="1:41" s="123" customFormat="1" ht="16.2" thickBot="1" x14ac:dyDescent="0.35">
      <c r="A778" s="21">
        <v>125.2</v>
      </c>
      <c r="B778" s="212" t="s">
        <v>61</v>
      </c>
      <c r="C778" s="31" t="str">
        <f>VLOOKUP((CONCATENATE(B778)),ID!$A$2:$D$305,3,0)</f>
        <v>OT013</v>
      </c>
      <c r="D778" s="21">
        <v>1</v>
      </c>
      <c r="E778" s="21" t="s">
        <v>3903</v>
      </c>
      <c r="F778" s="21" t="s">
        <v>3812</v>
      </c>
      <c r="G778" s="21" t="s">
        <v>3853</v>
      </c>
      <c r="H778" s="88">
        <v>4565</v>
      </c>
      <c r="I778" s="43">
        <v>4630</v>
      </c>
      <c r="J778" s="43">
        <v>4625</v>
      </c>
      <c r="K778" s="21">
        <v>1</v>
      </c>
      <c r="L778" s="43">
        <v>4643</v>
      </c>
      <c r="M778" s="43">
        <v>4657</v>
      </c>
      <c r="N778" s="43">
        <v>4645</v>
      </c>
      <c r="O778" s="21" t="s">
        <v>3913</v>
      </c>
      <c r="P778" s="194" t="str">
        <f t="shared" si="152"/>
        <v>1</v>
      </c>
      <c r="Q778" s="21">
        <v>1</v>
      </c>
      <c r="R778" s="39" t="str">
        <f t="shared" si="149"/>
        <v>-</v>
      </c>
      <c r="S778" s="120">
        <f t="shared" si="148"/>
        <v>3138243</v>
      </c>
      <c r="T778" s="123">
        <v>3664915</v>
      </c>
      <c r="U778" s="123">
        <v>987386</v>
      </c>
      <c r="V778" s="123">
        <f t="shared" si="143"/>
        <v>2677529</v>
      </c>
      <c r="W778" s="122" t="str">
        <f t="shared" si="144"/>
        <v>1</v>
      </c>
      <c r="X778" s="123">
        <f>362667+53333+72400+38272</f>
        <v>526672</v>
      </c>
      <c r="Y778" s="123">
        <f>AB778</f>
        <v>72400</v>
      </c>
      <c r="Z778" s="123">
        <f t="shared" si="145"/>
        <v>454272</v>
      </c>
      <c r="AA778" s="122" t="str">
        <f t="shared" si="146"/>
        <v>1</v>
      </c>
      <c r="AB778" s="120">
        <f t="shared" si="147"/>
        <v>72400</v>
      </c>
      <c r="AC778" s="123">
        <f>72400</f>
        <v>72400</v>
      </c>
      <c r="AD778" s="123">
        <v>0</v>
      </c>
      <c r="AE778" s="123">
        <v>4708</v>
      </c>
      <c r="AG778" s="151">
        <f t="shared" si="151"/>
        <v>22875</v>
      </c>
      <c r="AH778" s="123">
        <f>AM778-205019</f>
        <v>150875</v>
      </c>
      <c r="AJ778" s="123">
        <f>150805+75402</f>
        <v>226207</v>
      </c>
      <c r="AL778" s="123">
        <v>128000</v>
      </c>
      <c r="AM778" s="123">
        <f>22875+205019+128000</f>
        <v>355894</v>
      </c>
      <c r="AO778" s="123">
        <f>5026840</f>
        <v>5026840</v>
      </c>
    </row>
    <row r="779" spans="1:41" s="123" customFormat="1" ht="16.2" thickBot="1" x14ac:dyDescent="0.35">
      <c r="A779" s="21"/>
      <c r="B779" s="212" t="s">
        <v>61</v>
      </c>
      <c r="C779" s="31" t="str">
        <f>VLOOKUP((CONCATENATE(B779)),ID!$A$2:$D$305,3,0)</f>
        <v>OT013</v>
      </c>
      <c r="D779" s="21">
        <v>1</v>
      </c>
      <c r="E779" s="21" t="s">
        <v>3903</v>
      </c>
      <c r="F779" s="21" t="s">
        <v>3812</v>
      </c>
      <c r="G779" s="21" t="s">
        <v>3853</v>
      </c>
      <c r="H779" s="88">
        <v>4930</v>
      </c>
      <c r="I779" s="43">
        <v>4993</v>
      </c>
      <c r="J779" s="43">
        <v>4993</v>
      </c>
      <c r="K779" s="21">
        <v>1</v>
      </c>
      <c r="L779" s="43">
        <v>5008</v>
      </c>
      <c r="M779" s="43">
        <v>5022</v>
      </c>
      <c r="N779" s="43">
        <v>5009</v>
      </c>
      <c r="O779" s="21" t="s">
        <v>3913</v>
      </c>
      <c r="P779" s="194" t="str">
        <f t="shared" si="152"/>
        <v>1</v>
      </c>
      <c r="Q779" s="21">
        <v>1</v>
      </c>
      <c r="R779" s="39" t="str">
        <f t="shared" si="149"/>
        <v>-</v>
      </c>
      <c r="S779" s="120">
        <f t="shared" si="148"/>
        <v>3221712</v>
      </c>
      <c r="T779" s="123">
        <v>4081668</v>
      </c>
      <c r="U779" s="123">
        <v>1156730</v>
      </c>
      <c r="V779" s="123">
        <f t="shared" si="143"/>
        <v>2924938</v>
      </c>
      <c r="W779" s="122" t="str">
        <f t="shared" si="144"/>
        <v>1</v>
      </c>
      <c r="X779" s="123">
        <f>368852+391045+53333+46726</f>
        <v>859956</v>
      </c>
      <c r="Y779" s="123">
        <f>AB779</f>
        <v>368852</v>
      </c>
      <c r="Z779" s="123">
        <f t="shared" si="145"/>
        <v>491104</v>
      </c>
      <c r="AA779" s="122" t="str">
        <f t="shared" si="146"/>
        <v>1</v>
      </c>
      <c r="AB779" s="120">
        <f t="shared" si="147"/>
        <v>368852</v>
      </c>
      <c r="AC779" s="123">
        <v>368852</v>
      </c>
      <c r="AD779" s="123">
        <v>0</v>
      </c>
      <c r="AE779" s="123">
        <v>11852</v>
      </c>
      <c r="AG779" s="151">
        <f t="shared" si="151"/>
        <v>375216</v>
      </c>
      <c r="AH779" s="123">
        <f>AM779-216174</f>
        <v>503216</v>
      </c>
      <c r="AJ779" s="123">
        <f>150805+75402</f>
        <v>226207</v>
      </c>
      <c r="AK779" s="123">
        <v>4953</v>
      </c>
      <c r="AL779" s="123">
        <v>128000</v>
      </c>
      <c r="AM779" s="123">
        <f>374676+216714+128000</f>
        <v>719390</v>
      </c>
      <c r="AO779" s="123">
        <f>5026840</f>
        <v>5026840</v>
      </c>
    </row>
    <row r="780" spans="1:41" s="123" customFormat="1" ht="16.2" thickBot="1" x14ac:dyDescent="0.35">
      <c r="A780" s="21"/>
      <c r="B780" s="212" t="s">
        <v>61</v>
      </c>
      <c r="C780" s="31" t="str">
        <f>VLOOKUP((CONCATENATE(B780)),ID!$A$2:$D$305,3,0)</f>
        <v>OT013</v>
      </c>
      <c r="D780" s="21">
        <v>1</v>
      </c>
      <c r="E780" s="21" t="s">
        <v>3903</v>
      </c>
      <c r="F780" s="21" t="s">
        <v>3812</v>
      </c>
      <c r="G780" s="21" t="s">
        <v>3853</v>
      </c>
      <c r="H780" s="88">
        <v>5295</v>
      </c>
      <c r="I780" s="43">
        <v>5358</v>
      </c>
      <c r="J780" s="43">
        <v>5357</v>
      </c>
      <c r="K780" s="21">
        <v>1</v>
      </c>
      <c r="L780" s="43">
        <v>5373</v>
      </c>
      <c r="M780" s="43">
        <v>5387</v>
      </c>
      <c r="N780" s="43">
        <v>5373</v>
      </c>
      <c r="O780" s="21" t="s">
        <v>3913</v>
      </c>
      <c r="P780" s="194" t="str">
        <f t="shared" si="152"/>
        <v>1</v>
      </c>
      <c r="Q780" s="21">
        <v>1</v>
      </c>
      <c r="R780" s="39" t="str">
        <f t="shared" si="149"/>
        <v>-</v>
      </c>
      <c r="S780" s="120">
        <f t="shared" si="148"/>
        <v>3057210</v>
      </c>
      <c r="T780" s="123">
        <v>3738292</v>
      </c>
      <c r="U780" s="123">
        <v>1100401</v>
      </c>
      <c r="V780" s="123">
        <f t="shared" si="143"/>
        <v>2637891</v>
      </c>
      <c r="W780" s="122" t="str">
        <f t="shared" si="144"/>
        <v>1</v>
      </c>
      <c r="X780" s="123">
        <f>207652+379423+53333+40674</f>
        <v>681082</v>
      </c>
      <c r="Y780" s="123">
        <f>AB780</f>
        <v>207652</v>
      </c>
      <c r="Z780" s="123">
        <f t="shared" si="145"/>
        <v>473430</v>
      </c>
      <c r="AA780" s="122" t="str">
        <f t="shared" si="146"/>
        <v>1</v>
      </c>
      <c r="AB780" s="120">
        <f t="shared" si="147"/>
        <v>207652</v>
      </c>
      <c r="AC780" s="123">
        <f>207652</f>
        <v>207652</v>
      </c>
      <c r="AD780" s="123">
        <v>0</v>
      </c>
      <c r="AE780" s="123">
        <v>15146</v>
      </c>
      <c r="AG780" s="151">
        <f t="shared" si="151"/>
        <v>105510</v>
      </c>
      <c r="AH780" s="123">
        <f>AM780-210275</f>
        <v>233510</v>
      </c>
      <c r="AJ780" s="123">
        <f>150805+75402</f>
        <v>226207</v>
      </c>
      <c r="AL780" s="123">
        <v>128000</v>
      </c>
      <c r="AM780" s="123">
        <f>105510+210275+128000</f>
        <v>443785</v>
      </c>
      <c r="AO780" s="123">
        <f>5026840</f>
        <v>5026840</v>
      </c>
    </row>
    <row r="781" spans="1:41" s="123" customFormat="1" ht="16.2" thickBot="1" x14ac:dyDescent="0.35">
      <c r="A781" s="21"/>
      <c r="B781" s="212" t="s">
        <v>4059</v>
      </c>
      <c r="C781" s="31" t="str">
        <f>VLOOKUP((CONCATENATE(B781)),ID!$A$2:$D$305,3,0)</f>
        <v>OT014</v>
      </c>
      <c r="D781" s="21">
        <v>1</v>
      </c>
      <c r="E781" s="21" t="s">
        <v>3903</v>
      </c>
      <c r="F781" s="21" t="s">
        <v>3793</v>
      </c>
      <c r="G781" s="21" t="s">
        <v>3792</v>
      </c>
      <c r="H781" s="88">
        <v>3926</v>
      </c>
      <c r="I781" s="43"/>
      <c r="J781" s="43">
        <v>3969</v>
      </c>
      <c r="K781" s="21">
        <v>0</v>
      </c>
      <c r="L781" s="43"/>
      <c r="M781" s="43"/>
      <c r="N781" s="43"/>
      <c r="O781" s="21" t="s">
        <v>3733</v>
      </c>
      <c r="P781" s="194" t="str">
        <f t="shared" si="152"/>
        <v>1</v>
      </c>
      <c r="Q781" s="21">
        <v>0</v>
      </c>
      <c r="R781" s="39" t="s">
        <v>4074</v>
      </c>
      <c r="S781" s="120">
        <f t="shared" si="148"/>
        <v>9144581.2199999988</v>
      </c>
      <c r="T781" s="123">
        <v>14753121.029999999</v>
      </c>
      <c r="U781" s="123">
        <f>9921561.45+50153.9</f>
        <v>9971715.3499999996</v>
      </c>
      <c r="V781" s="123">
        <f t="shared" ref="V781:V844" si="153">T781-U781</f>
        <v>4781405.68</v>
      </c>
      <c r="W781" s="122" t="str">
        <f t="shared" ref="W781:W844" si="154">IF(V781+U781=T781,"1","0")</f>
        <v>1</v>
      </c>
      <c r="X781" s="123">
        <f>AB781+1608539.81</f>
        <v>5608539.8100000005</v>
      </c>
      <c r="Y781" s="123">
        <f>AB781</f>
        <v>4000000</v>
      </c>
      <c r="Z781" s="123">
        <f t="shared" ref="Z781:Z844" si="155">X781-Y781</f>
        <v>1608539.8100000005</v>
      </c>
      <c r="AA781" s="122" t="str">
        <f t="shared" ref="AA781:AA844" si="156">IF(Z781+Y781=X781,"1","0")</f>
        <v>1</v>
      </c>
      <c r="AB781" s="120">
        <f t="shared" ref="AB781:AB844" si="157">SUM(AC781+AD781)</f>
        <v>4000000</v>
      </c>
      <c r="AC781" s="123">
        <v>0</v>
      </c>
      <c r="AD781" s="123">
        <f>3500000+500000</f>
        <v>4000000</v>
      </c>
      <c r="AE781" s="123">
        <v>89053</v>
      </c>
      <c r="AG781" s="151">
        <f t="shared" si="151"/>
        <v>832529</v>
      </c>
      <c r="AH781" s="123">
        <v>832529</v>
      </c>
      <c r="AJ781" s="123">
        <v>320833.33</v>
      </c>
      <c r="AO781" s="123">
        <v>125000</v>
      </c>
    </row>
    <row r="782" spans="1:41" s="123" customFormat="1" ht="16.2" thickBot="1" x14ac:dyDescent="0.35">
      <c r="A782" s="21">
        <v>126.1</v>
      </c>
      <c r="B782" s="212" t="s">
        <v>4059</v>
      </c>
      <c r="C782" s="31" t="str">
        <f>VLOOKUP((CONCATENATE(B782)),ID!$A$2:$D$305,3,0)</f>
        <v>OT014</v>
      </c>
      <c r="D782" s="21">
        <v>1</v>
      </c>
      <c r="E782" s="21" t="s">
        <v>3903</v>
      </c>
      <c r="F782" s="21" t="s">
        <v>3793</v>
      </c>
      <c r="G782" s="21" t="s">
        <v>3792</v>
      </c>
      <c r="H782" s="88">
        <v>4291</v>
      </c>
      <c r="I782" s="43">
        <v>4342</v>
      </c>
      <c r="J782" s="43">
        <v>4338</v>
      </c>
      <c r="K782" s="21">
        <v>0</v>
      </c>
      <c r="L782" s="21"/>
      <c r="M782" s="21"/>
      <c r="N782" s="21"/>
      <c r="O782" s="21" t="s">
        <v>3733</v>
      </c>
      <c r="P782" s="194" t="str">
        <f t="shared" si="152"/>
        <v>1</v>
      </c>
      <c r="Q782" s="21">
        <v>0</v>
      </c>
      <c r="R782" s="39" t="s">
        <v>4074</v>
      </c>
      <c r="S782" s="120">
        <f t="shared" si="148"/>
        <v>7690641.0999999996</v>
      </c>
      <c r="T782" s="123">
        <v>17025352</v>
      </c>
      <c r="U782" s="123">
        <v>11607734.91</v>
      </c>
      <c r="V782" s="123">
        <f t="shared" si="153"/>
        <v>5417617.0899999999</v>
      </c>
      <c r="W782" s="122" t="str">
        <f t="shared" si="154"/>
        <v>1</v>
      </c>
      <c r="X782" s="123">
        <f>Y782+400000+1784710.9</f>
        <v>9334710.9000000004</v>
      </c>
      <c r="Y782" s="123">
        <f>AD782</f>
        <v>7150000</v>
      </c>
      <c r="Z782" s="123">
        <f t="shared" si="155"/>
        <v>2184710.9000000004</v>
      </c>
      <c r="AA782" s="122" t="str">
        <f t="shared" si="156"/>
        <v>1</v>
      </c>
      <c r="AB782" s="120">
        <f t="shared" si="157"/>
        <v>7150000</v>
      </c>
      <c r="AC782" s="123">
        <v>0</v>
      </c>
      <c r="AD782" s="123">
        <f>3650000+3500000</f>
        <v>7150000</v>
      </c>
      <c r="AE782" s="123">
        <v>198080</v>
      </c>
      <c r="AG782" s="151">
        <f t="shared" si="151"/>
        <v>1007137.58</v>
      </c>
      <c r="AH782" s="123">
        <v>1007137.58</v>
      </c>
      <c r="AJ782" s="123">
        <f>385000</f>
        <v>385000</v>
      </c>
      <c r="AO782" s="123">
        <f>50000+39750</f>
        <v>89750</v>
      </c>
    </row>
    <row r="783" spans="1:41" s="123" customFormat="1" ht="16.2" thickBot="1" x14ac:dyDescent="0.35">
      <c r="A783" s="21">
        <v>126.2</v>
      </c>
      <c r="B783" s="212" t="s">
        <v>4059</v>
      </c>
      <c r="C783" s="31" t="str">
        <f>VLOOKUP((CONCATENATE(B783)),ID!$A$2:$D$305,3,0)</f>
        <v>OT014</v>
      </c>
      <c r="D783" s="21">
        <v>1</v>
      </c>
      <c r="E783" s="21" t="s">
        <v>3903</v>
      </c>
      <c r="F783" s="21" t="s">
        <v>3793</v>
      </c>
      <c r="G783" s="21" t="s">
        <v>3792</v>
      </c>
      <c r="H783" s="88">
        <v>4657</v>
      </c>
      <c r="I783" s="43">
        <v>4714</v>
      </c>
      <c r="J783" s="43">
        <v>4714</v>
      </c>
      <c r="K783" s="21">
        <v>0</v>
      </c>
      <c r="L783" s="21"/>
      <c r="M783" s="21"/>
      <c r="N783" s="43"/>
      <c r="O783" s="21" t="s">
        <v>3733</v>
      </c>
      <c r="P783" s="194" t="str">
        <f t="shared" si="152"/>
        <v>1</v>
      </c>
      <c r="Q783" s="21">
        <v>0</v>
      </c>
      <c r="R783" s="39" t="s">
        <v>4074</v>
      </c>
      <c r="S783" s="120">
        <f t="shared" si="148"/>
        <v>12222487</v>
      </c>
      <c r="T783" s="123">
        <v>20797211</v>
      </c>
      <c r="U783" s="123">
        <f>10652747.95+2621299.39</f>
        <v>13274047.34</v>
      </c>
      <c r="V783" s="123">
        <f t="shared" si="153"/>
        <v>7523163.6600000001</v>
      </c>
      <c r="W783" s="122" t="str">
        <f t="shared" si="154"/>
        <v>1</v>
      </c>
      <c r="X783" s="123">
        <f>3561418+300000+780000+3933306</f>
        <v>8574724</v>
      </c>
      <c r="Y783" s="123">
        <f>AD783</f>
        <v>7583306.6699999999</v>
      </c>
      <c r="Z783" s="123">
        <f t="shared" si="155"/>
        <v>991417.33000000007</v>
      </c>
      <c r="AA783" s="122" t="str">
        <f t="shared" si="156"/>
        <v>1</v>
      </c>
      <c r="AB783" s="120">
        <f t="shared" si="157"/>
        <v>7583306.6699999999</v>
      </c>
      <c r="AC783" s="123">
        <v>0</v>
      </c>
      <c r="AD783" s="123">
        <f>3650000+3933306.67</f>
        <v>7583306.6699999999</v>
      </c>
      <c r="AE783" s="123">
        <v>295322</v>
      </c>
      <c r="AG783" s="151">
        <f t="shared" si="151"/>
        <v>1039932.55</v>
      </c>
      <c r="AH783" s="123">
        <v>1039932.55</v>
      </c>
      <c r="AJ783" s="123">
        <v>501000</v>
      </c>
      <c r="AO783" s="123">
        <f>50000+39750</f>
        <v>89750</v>
      </c>
    </row>
    <row r="784" spans="1:41" s="123" customFormat="1" ht="16.2" thickBot="1" x14ac:dyDescent="0.35">
      <c r="A784" s="21"/>
      <c r="B784" s="212" t="s">
        <v>4059</v>
      </c>
      <c r="C784" s="31" t="str">
        <f>VLOOKUP((CONCATENATE(B784)),ID!$A$2:$D$305,3,0)</f>
        <v>OT014</v>
      </c>
      <c r="D784" s="21">
        <v>1</v>
      </c>
      <c r="E784" s="21" t="s">
        <v>3903</v>
      </c>
      <c r="F784" s="21" t="s">
        <v>3793</v>
      </c>
      <c r="G784" s="21" t="s">
        <v>3792</v>
      </c>
      <c r="H784" s="88">
        <v>5022</v>
      </c>
      <c r="I784" s="43"/>
      <c r="J784" s="43">
        <v>5084</v>
      </c>
      <c r="K784" s="21">
        <v>0</v>
      </c>
      <c r="L784" s="21"/>
      <c r="M784" s="21"/>
      <c r="N784" s="43"/>
      <c r="O784" s="21" t="s">
        <v>3733</v>
      </c>
      <c r="P784" s="194" t="str">
        <f t="shared" si="152"/>
        <v>1</v>
      </c>
      <c r="Q784" s="21">
        <v>0</v>
      </c>
      <c r="R784" s="39" t="s">
        <v>4074</v>
      </c>
      <c r="S784" s="120">
        <f t="shared" si="148"/>
        <v>14561899.950000001</v>
      </c>
      <c r="T784" s="123">
        <v>23744896.620000001</v>
      </c>
      <c r="U784" s="123">
        <f>12476149.95+3573502.28</f>
        <v>16049652.229999999</v>
      </c>
      <c r="V784" s="123">
        <f t="shared" si="153"/>
        <v>7695244.3900000025</v>
      </c>
      <c r="W784" s="122" t="str">
        <f t="shared" si="154"/>
        <v>1</v>
      </c>
      <c r="X784" s="123">
        <f>Y784+Z784</f>
        <v>9182996.6699999999</v>
      </c>
      <c r="Y784" s="123">
        <f>5441898.67</f>
        <v>5441898.6699999999</v>
      </c>
      <c r="Z784" s="123">
        <f>3541098+200000</f>
        <v>3741098</v>
      </c>
      <c r="AA784" s="122" t="str">
        <f t="shared" si="156"/>
        <v>1</v>
      </c>
      <c r="AB784" s="120">
        <f t="shared" si="157"/>
        <v>5441898.6699999999</v>
      </c>
      <c r="AC784" s="123">
        <v>0</v>
      </c>
      <c r="AD784" s="123">
        <f>Y784</f>
        <v>5441898.6699999999</v>
      </c>
      <c r="AE784" s="123">
        <v>393430</v>
      </c>
      <c r="AG784" s="151">
        <f>AH784-AL784-AI784</f>
        <v>2100820.48</v>
      </c>
      <c r="AH784" s="123">
        <v>2381325.48</v>
      </c>
      <c r="AJ784" s="123">
        <f>458500+79500</f>
        <v>538000</v>
      </c>
      <c r="AL784" s="123">
        <v>280505</v>
      </c>
      <c r="AO784" s="123">
        <f>50000+39750</f>
        <v>89750</v>
      </c>
    </row>
    <row r="785" spans="1:41" s="123" customFormat="1" ht="16.2" thickBot="1" x14ac:dyDescent="0.35">
      <c r="A785" s="21"/>
      <c r="B785" s="212" t="s">
        <v>4059</v>
      </c>
      <c r="C785" s="31" t="str">
        <f>VLOOKUP((CONCATENATE(B785)),ID!$A$2:$D$305,3,0)</f>
        <v>OT014</v>
      </c>
      <c r="D785" s="21">
        <v>1</v>
      </c>
      <c r="E785" s="21" t="s">
        <v>3903</v>
      </c>
      <c r="F785" s="21" t="s">
        <v>3793</v>
      </c>
      <c r="G785" s="21" t="s">
        <v>3792</v>
      </c>
      <c r="H785" s="88">
        <v>5387</v>
      </c>
      <c r="I785" s="43"/>
      <c r="J785" s="43">
        <v>5494</v>
      </c>
      <c r="K785" s="21">
        <v>0</v>
      </c>
      <c r="L785" s="21"/>
      <c r="M785" s="21"/>
      <c r="N785" s="43"/>
      <c r="O785" s="21" t="s">
        <v>3733</v>
      </c>
      <c r="P785" s="194" t="str">
        <f t="shared" si="152"/>
        <v>1</v>
      </c>
      <c r="Q785" s="21">
        <v>0</v>
      </c>
      <c r="R785" s="39" t="s">
        <v>4074</v>
      </c>
      <c r="S785" s="120">
        <f t="shared" si="148"/>
        <v>14591742</v>
      </c>
      <c r="T785" s="123">
        <v>25491357</v>
      </c>
      <c r="U785" s="123">
        <f>19297122</f>
        <v>19297122</v>
      </c>
      <c r="V785" s="123">
        <f t="shared" si="153"/>
        <v>6194235</v>
      </c>
      <c r="W785" s="122" t="str">
        <f t="shared" si="154"/>
        <v>1</v>
      </c>
      <c r="X785" s="123">
        <f>Y785+Z785</f>
        <v>10899615</v>
      </c>
      <c r="Y785" s="123">
        <v>9304429</v>
      </c>
      <c r="Z785" s="123">
        <f>1595186</f>
        <v>1595186</v>
      </c>
      <c r="AA785" s="122" t="str">
        <f t="shared" si="156"/>
        <v>1</v>
      </c>
      <c r="AB785" s="120">
        <f t="shared" si="157"/>
        <v>9304429</v>
      </c>
      <c r="AC785" s="123">
        <v>0</v>
      </c>
      <c r="AD785" s="123">
        <f>Y785</f>
        <v>9304429</v>
      </c>
      <c r="AE785" s="123">
        <v>163854</v>
      </c>
      <c r="AG785" s="151">
        <f t="shared" si="151"/>
        <v>-5808</v>
      </c>
      <c r="AH785" s="123">
        <f>673035-AK785</f>
        <v>394959</v>
      </c>
      <c r="AJ785" s="123">
        <f>458500+79500</f>
        <v>538000</v>
      </c>
      <c r="AK785" s="123">
        <v>278076</v>
      </c>
      <c r="AL785" s="123">
        <v>400767</v>
      </c>
      <c r="AO785" s="123">
        <f>50000+39750</f>
        <v>89750</v>
      </c>
    </row>
    <row r="786" spans="1:41" s="123" customFormat="1" ht="16.2" thickBot="1" x14ac:dyDescent="0.35">
      <c r="A786" s="21"/>
      <c r="B786" s="212" t="s">
        <v>77</v>
      </c>
      <c r="C786" s="31" t="str">
        <f>VLOOKUP((CONCATENATE(B786)),ID!$A$2:$D$305,3,0)</f>
        <v>OT015</v>
      </c>
      <c r="D786" s="21">
        <v>1</v>
      </c>
      <c r="E786" s="21" t="s">
        <v>3903</v>
      </c>
      <c r="F786" s="21" t="s">
        <v>1117</v>
      </c>
      <c r="G786" s="21" t="s">
        <v>3915</v>
      </c>
      <c r="H786" s="88">
        <v>3896</v>
      </c>
      <c r="I786" s="43">
        <v>3946</v>
      </c>
      <c r="J786" s="43">
        <v>3939</v>
      </c>
      <c r="K786" s="21">
        <v>1</v>
      </c>
      <c r="L786" s="43">
        <v>3946</v>
      </c>
      <c r="M786" s="43">
        <v>3957</v>
      </c>
      <c r="N786" s="43">
        <v>3954</v>
      </c>
      <c r="O786" s="21" t="s">
        <v>3914</v>
      </c>
      <c r="P786" s="194">
        <v>1</v>
      </c>
      <c r="Q786" s="21">
        <v>1</v>
      </c>
      <c r="R786" s="39" t="str">
        <f t="shared" ref="R786:R862" si="158">IF(Q786=0,"?","-")</f>
        <v>-</v>
      </c>
      <c r="S786" s="120">
        <f t="shared" si="148"/>
        <v>1407072</v>
      </c>
      <c r="T786" s="123">
        <v>2074968</v>
      </c>
      <c r="U786" s="123">
        <f>1037821+659756</f>
        <v>1697577</v>
      </c>
      <c r="V786" s="123">
        <f t="shared" si="153"/>
        <v>377391</v>
      </c>
      <c r="W786" s="122" t="str">
        <f t="shared" si="154"/>
        <v>1</v>
      </c>
      <c r="X786" s="123">
        <f>Y786+89968+4300</f>
        <v>667896</v>
      </c>
      <c r="Y786" s="123">
        <f>AD786+6757+65205+71666</f>
        <v>573628</v>
      </c>
      <c r="Z786" s="123">
        <f t="shared" si="155"/>
        <v>94268</v>
      </c>
      <c r="AA786" s="122" t="str">
        <f t="shared" si="156"/>
        <v>1</v>
      </c>
      <c r="AB786" s="120">
        <f t="shared" si="157"/>
        <v>430000</v>
      </c>
      <c r="AC786" s="123">
        <v>0</v>
      </c>
      <c r="AD786" s="123">
        <v>430000</v>
      </c>
      <c r="AE786" s="123">
        <v>81068</v>
      </c>
      <c r="AG786" s="151">
        <f t="shared" si="151"/>
        <v>170634</v>
      </c>
      <c r="AH786" s="123">
        <f>170574+10000+23873</f>
        <v>204447</v>
      </c>
      <c r="AI786" s="123">
        <v>9940</v>
      </c>
      <c r="AL786" s="123">
        <v>23873</v>
      </c>
      <c r="AM786" s="123">
        <v>243298</v>
      </c>
      <c r="AO786" s="123">
        <v>1000000</v>
      </c>
    </row>
    <row r="787" spans="1:41" s="123" customFormat="1" ht="16.2" thickBot="1" x14ac:dyDescent="0.35">
      <c r="A787" s="21">
        <v>127.1</v>
      </c>
      <c r="B787" s="212" t="s">
        <v>77</v>
      </c>
      <c r="C787" s="31" t="str">
        <f>VLOOKUP((CONCATENATE(B787)),ID!$A$2:$D$305,3,0)</f>
        <v>OT015</v>
      </c>
      <c r="D787" s="21">
        <v>1</v>
      </c>
      <c r="E787" s="21" t="s">
        <v>3903</v>
      </c>
      <c r="F787" s="21" t="s">
        <v>1117</v>
      </c>
      <c r="G787" s="21" t="s">
        <v>3915</v>
      </c>
      <c r="H787" s="88">
        <v>4261</v>
      </c>
      <c r="I787" s="43">
        <v>4310</v>
      </c>
      <c r="J787" s="43">
        <v>4300</v>
      </c>
      <c r="K787" s="21">
        <v>1</v>
      </c>
      <c r="L787" s="43">
        <v>4311</v>
      </c>
      <c r="M787" s="43">
        <v>4322</v>
      </c>
      <c r="N787" s="43">
        <v>4318</v>
      </c>
      <c r="O787" s="21" t="s">
        <v>3914</v>
      </c>
      <c r="P787" s="194">
        <v>1</v>
      </c>
      <c r="Q787" s="21">
        <v>1</v>
      </c>
      <c r="R787" s="39" t="str">
        <f t="shared" si="158"/>
        <v>-</v>
      </c>
      <c r="S787" s="120">
        <f t="shared" si="148"/>
        <v>1375966</v>
      </c>
      <c r="T787" s="123">
        <v>2095579</v>
      </c>
      <c r="U787" s="123">
        <f>1037821+370+671946</f>
        <v>1710137</v>
      </c>
      <c r="V787" s="123">
        <f t="shared" si="153"/>
        <v>385442</v>
      </c>
      <c r="W787" s="122" t="str">
        <f t="shared" si="154"/>
        <v>1</v>
      </c>
      <c r="X787" s="123">
        <f>Y787+143504+4200</f>
        <v>719613</v>
      </c>
      <c r="Y787" s="123">
        <f>AD787+63486+6757+81666</f>
        <v>571909</v>
      </c>
      <c r="Z787" s="123">
        <f t="shared" si="155"/>
        <v>147704</v>
      </c>
      <c r="AA787" s="122" t="str">
        <f t="shared" si="156"/>
        <v>1</v>
      </c>
      <c r="AB787" s="120">
        <f t="shared" si="157"/>
        <v>420000</v>
      </c>
      <c r="AC787" s="123">
        <v>0</v>
      </c>
      <c r="AD787" s="123">
        <v>420000</v>
      </c>
      <c r="AE787" s="123">
        <v>104613</v>
      </c>
      <c r="AG787" s="151">
        <f t="shared" si="151"/>
        <v>112452</v>
      </c>
      <c r="AH787" s="123">
        <f>112207+10000+25700</f>
        <v>147907</v>
      </c>
      <c r="AI787" s="123">
        <v>9755</v>
      </c>
      <c r="AL787" s="123">
        <v>25700</v>
      </c>
      <c r="AM787" s="123">
        <v>192592</v>
      </c>
      <c r="AO787" s="123">
        <v>1000000</v>
      </c>
    </row>
    <row r="788" spans="1:41" s="123" customFormat="1" ht="16.2" thickBot="1" x14ac:dyDescent="0.35">
      <c r="A788" s="21">
        <v>127.2</v>
      </c>
      <c r="B788" s="212" t="s">
        <v>77</v>
      </c>
      <c r="C788" s="31" t="str">
        <f>VLOOKUP((CONCATENATE(B788)),ID!$A$2:$D$305,3,0)</f>
        <v>OT015</v>
      </c>
      <c r="D788" s="21">
        <v>1</v>
      </c>
      <c r="E788" s="21" t="s">
        <v>3903</v>
      </c>
      <c r="F788" s="21" t="s">
        <v>1117</v>
      </c>
      <c r="G788" s="21" t="s">
        <v>3915</v>
      </c>
      <c r="H788" s="88">
        <v>4627</v>
      </c>
      <c r="I788" s="43">
        <v>4646</v>
      </c>
      <c r="J788" s="43">
        <v>4646</v>
      </c>
      <c r="K788" s="21">
        <v>0</v>
      </c>
      <c r="L788" s="21"/>
      <c r="M788" s="21"/>
      <c r="N788" s="43">
        <v>4657</v>
      </c>
      <c r="O788" s="21" t="s">
        <v>3914</v>
      </c>
      <c r="P788" s="194" t="str">
        <f t="shared" si="152"/>
        <v>?</v>
      </c>
      <c r="Q788" s="21">
        <v>1</v>
      </c>
      <c r="R788" s="39" t="str">
        <f t="shared" si="158"/>
        <v>-</v>
      </c>
      <c r="S788" s="120">
        <f t="shared" si="148"/>
        <v>0</v>
      </c>
      <c r="V788" s="123">
        <f t="shared" si="153"/>
        <v>0</v>
      </c>
      <c r="W788" s="122" t="str">
        <f t="shared" si="154"/>
        <v>1</v>
      </c>
      <c r="Z788" s="123">
        <f t="shared" si="155"/>
        <v>0</v>
      </c>
      <c r="AA788" s="122" t="str">
        <f t="shared" si="156"/>
        <v>1</v>
      </c>
      <c r="AB788" s="120">
        <f t="shared" si="157"/>
        <v>0</v>
      </c>
      <c r="AG788" s="151">
        <f t="shared" si="151"/>
        <v>0</v>
      </c>
    </row>
    <row r="789" spans="1:41" s="123" customFormat="1" ht="16.2" thickBot="1" x14ac:dyDescent="0.35">
      <c r="A789" s="21"/>
      <c r="B789" s="212" t="s">
        <v>77</v>
      </c>
      <c r="C789" s="31" t="str">
        <f>VLOOKUP((CONCATENATE(B789)),ID!$A$2:$D$305,3,0)</f>
        <v>OT015</v>
      </c>
      <c r="D789" s="21">
        <v>1</v>
      </c>
      <c r="E789" s="21" t="s">
        <v>3903</v>
      </c>
      <c r="F789" s="21" t="s">
        <v>1117</v>
      </c>
      <c r="G789" s="21" t="s">
        <v>3915</v>
      </c>
      <c r="H789" s="88">
        <v>4992</v>
      </c>
      <c r="I789" s="43">
        <v>5079</v>
      </c>
      <c r="J789" s="43">
        <v>5066</v>
      </c>
      <c r="K789" s="21">
        <v>1</v>
      </c>
      <c r="L789" s="43">
        <v>5084</v>
      </c>
      <c r="M789" s="43">
        <v>5098</v>
      </c>
      <c r="N789" s="43">
        <v>5088</v>
      </c>
      <c r="O789" s="21" t="s">
        <v>3914</v>
      </c>
      <c r="P789" s="194" t="str">
        <f t="shared" si="152"/>
        <v>1</v>
      </c>
      <c r="Q789" s="21">
        <v>1</v>
      </c>
      <c r="R789" s="39" t="str">
        <f t="shared" si="158"/>
        <v>-</v>
      </c>
      <c r="S789" s="120">
        <f t="shared" si="148"/>
        <v>1050855</v>
      </c>
      <c r="T789" s="123">
        <v>2321406</v>
      </c>
      <c r="U789" s="123">
        <f>1829626+80414+66914</f>
        <v>1976954</v>
      </c>
      <c r="V789" s="123">
        <f t="shared" si="153"/>
        <v>344452</v>
      </c>
      <c r="W789" s="122" t="str">
        <f t="shared" si="154"/>
        <v>1</v>
      </c>
      <c r="X789" s="123">
        <f>Y789+36000+22551</f>
        <v>1270551</v>
      </c>
      <c r="Y789" s="123">
        <f>AD789+12000</f>
        <v>1212000</v>
      </c>
      <c r="Z789" s="123">
        <f t="shared" si="155"/>
        <v>58551</v>
      </c>
      <c r="AA789" s="122" t="str">
        <f t="shared" si="156"/>
        <v>1</v>
      </c>
      <c r="AB789" s="120">
        <f t="shared" si="157"/>
        <v>1200000</v>
      </c>
      <c r="AC789" s="123">
        <v>0</v>
      </c>
      <c r="AD789" s="123">
        <v>1200000</v>
      </c>
      <c r="AE789" s="123">
        <v>168832</v>
      </c>
      <c r="AG789" s="151">
        <f t="shared" si="151"/>
        <v>85854</v>
      </c>
      <c r="AH789" s="123">
        <f>85854+AI789</f>
        <v>92933</v>
      </c>
      <c r="AI789" s="123">
        <v>7079</v>
      </c>
      <c r="AJ789" s="123">
        <v>35000</v>
      </c>
      <c r="AL789" s="123">
        <v>0</v>
      </c>
      <c r="AO789" s="123">
        <v>1000000</v>
      </c>
    </row>
    <row r="790" spans="1:41" s="123" customFormat="1" ht="16.2" thickBot="1" x14ac:dyDescent="0.35">
      <c r="A790" s="21"/>
      <c r="B790" s="212" t="s">
        <v>77</v>
      </c>
      <c r="C790" s="31" t="str">
        <f>VLOOKUP((CONCATENATE(B790)),ID!$A$2:$D$305,3,0)</f>
        <v>OT015</v>
      </c>
      <c r="D790" s="21">
        <v>1</v>
      </c>
      <c r="E790" s="21" t="s">
        <v>3903</v>
      </c>
      <c r="F790" s="21" t="s">
        <v>1117</v>
      </c>
      <c r="G790" s="21" t="s">
        <v>3915</v>
      </c>
      <c r="H790" s="88">
        <v>5357</v>
      </c>
      <c r="I790" s="43">
        <v>5460</v>
      </c>
      <c r="J790" s="43">
        <v>5458</v>
      </c>
      <c r="K790" s="21">
        <v>1</v>
      </c>
      <c r="L790" s="43">
        <v>5462</v>
      </c>
      <c r="M790" s="43">
        <v>5476</v>
      </c>
      <c r="N790" s="43">
        <v>5469</v>
      </c>
      <c r="O790" s="21" t="s">
        <v>3914</v>
      </c>
      <c r="P790" s="194" t="str">
        <f t="shared" si="152"/>
        <v>1</v>
      </c>
      <c r="Q790" s="21">
        <v>1</v>
      </c>
      <c r="R790" s="39" t="str">
        <f t="shared" si="158"/>
        <v>-</v>
      </c>
      <c r="S790" s="120">
        <f t="shared" si="148"/>
        <v>1102268</v>
      </c>
      <c r="T790" s="123">
        <v>2384895</v>
      </c>
      <c r="U790" s="123">
        <f>409+63928+83001+1840016</f>
        <v>1987354</v>
      </c>
      <c r="V790" s="123">
        <f t="shared" si="153"/>
        <v>397541</v>
      </c>
      <c r="W790" s="122" t="str">
        <f t="shared" si="154"/>
        <v>1</v>
      </c>
      <c r="X790" s="123">
        <f>Y790+35347+35280</f>
        <v>1282627</v>
      </c>
      <c r="Y790" s="123">
        <f>AD790+36000</f>
        <v>1212000</v>
      </c>
      <c r="Z790" s="123">
        <f t="shared" si="155"/>
        <v>70627</v>
      </c>
      <c r="AA790" s="122" t="str">
        <f t="shared" si="156"/>
        <v>1</v>
      </c>
      <c r="AB790" s="120">
        <f t="shared" si="157"/>
        <v>1176000</v>
      </c>
      <c r="AC790" s="123">
        <v>0</v>
      </c>
      <c r="AD790" s="123">
        <v>1176000</v>
      </c>
      <c r="AE790" s="123">
        <v>188977</v>
      </c>
      <c r="AG790" s="151">
        <f t="shared" si="151"/>
        <v>146414</v>
      </c>
      <c r="AH790" s="123">
        <v>155659</v>
      </c>
      <c r="AI790" s="123">
        <v>9245</v>
      </c>
      <c r="AJ790" s="123">
        <v>50000</v>
      </c>
      <c r="AL790" s="123">
        <v>0</v>
      </c>
      <c r="AO790" s="123">
        <v>1000000</v>
      </c>
    </row>
    <row r="791" spans="1:41" s="123" customFormat="1" ht="16.2" thickBot="1" x14ac:dyDescent="0.35">
      <c r="A791" s="21"/>
      <c r="B791" s="212" t="s">
        <v>82</v>
      </c>
      <c r="C791" s="31" t="str">
        <f>VLOOKUP((CONCATENATE(B791)),ID!$A$2:$D$305,3,0)</f>
        <v>OT016</v>
      </c>
      <c r="D791" s="21">
        <v>1</v>
      </c>
      <c r="E791" s="21" t="s">
        <v>3903</v>
      </c>
      <c r="F791" s="21" t="s">
        <v>1117</v>
      </c>
      <c r="G791" s="21" t="s">
        <v>3853</v>
      </c>
      <c r="H791" s="88">
        <v>3755</v>
      </c>
      <c r="I791" s="43">
        <v>3784</v>
      </c>
      <c r="J791" s="43">
        <v>3784</v>
      </c>
      <c r="K791" s="21">
        <v>1</v>
      </c>
      <c r="L791" s="43">
        <v>3796</v>
      </c>
      <c r="M791" s="43">
        <v>3809</v>
      </c>
      <c r="N791" s="43">
        <v>3810</v>
      </c>
      <c r="O791" s="21" t="s">
        <v>3785</v>
      </c>
      <c r="P791" s="194" t="str">
        <f t="shared" si="152"/>
        <v>1</v>
      </c>
      <c r="Q791" s="21">
        <v>1</v>
      </c>
      <c r="R791" s="39" t="str">
        <f t="shared" si="158"/>
        <v>-</v>
      </c>
      <c r="S791" s="120">
        <f t="shared" si="148"/>
        <v>1555526</v>
      </c>
      <c r="T791" s="123">
        <f>2617358</f>
        <v>2617358</v>
      </c>
      <c r="U791" s="123">
        <f>2478250+1005</f>
        <v>2479255</v>
      </c>
      <c r="V791" s="123">
        <f t="shared" si="153"/>
        <v>138103</v>
      </c>
      <c r="W791" s="122" t="str">
        <f t="shared" si="154"/>
        <v>1</v>
      </c>
      <c r="X791" s="123">
        <f>3617+12454+Y791</f>
        <v>1061832</v>
      </c>
      <c r="Y791" s="123">
        <f>AB791+23561</f>
        <v>1045761</v>
      </c>
      <c r="Z791" s="123">
        <f t="shared" si="155"/>
        <v>16071</v>
      </c>
      <c r="AA791" s="122" t="str">
        <f t="shared" si="156"/>
        <v>1</v>
      </c>
      <c r="AB791" s="120">
        <f t="shared" si="157"/>
        <v>1022200</v>
      </c>
      <c r="AC791" s="123">
        <v>0</v>
      </c>
      <c r="AD791" s="123">
        <f>578100+444100</f>
        <v>1022200</v>
      </c>
      <c r="AE791" s="123">
        <v>16839</v>
      </c>
      <c r="AG791" s="151">
        <v>101960</v>
      </c>
      <c r="AH791" s="123">
        <f>AG791+AL791+2576</f>
        <v>146773</v>
      </c>
      <c r="AJ791" s="123">
        <v>41921</v>
      </c>
      <c r="AL791" s="123">
        <f>8194+34043</f>
        <v>42237</v>
      </c>
      <c r="AO791" s="123">
        <f>265616+87192</f>
        <v>352808</v>
      </c>
    </row>
    <row r="792" spans="1:41" s="123" customFormat="1" ht="16.2" thickBot="1" x14ac:dyDescent="0.35">
      <c r="A792" s="21">
        <v>128.1</v>
      </c>
      <c r="B792" s="212" t="s">
        <v>82</v>
      </c>
      <c r="C792" s="31" t="str">
        <f>VLOOKUP((CONCATENATE(B792)),ID!$A$2:$D$305,3,0)</f>
        <v>OT016</v>
      </c>
      <c r="D792" s="21">
        <v>1</v>
      </c>
      <c r="E792" s="21" t="s">
        <v>3903</v>
      </c>
      <c r="F792" s="21" t="s">
        <v>1117</v>
      </c>
      <c r="G792" s="21" t="s">
        <v>3853</v>
      </c>
      <c r="H792" s="88">
        <v>4120</v>
      </c>
      <c r="I792" s="43">
        <v>4155</v>
      </c>
      <c r="J792" s="43">
        <v>4155</v>
      </c>
      <c r="K792" s="21">
        <v>1</v>
      </c>
      <c r="L792" s="43">
        <v>4167</v>
      </c>
      <c r="M792" s="43">
        <v>4149</v>
      </c>
      <c r="N792" s="43">
        <v>4181</v>
      </c>
      <c r="O792" s="21" t="s">
        <v>3785</v>
      </c>
      <c r="P792" s="194" t="str">
        <f t="shared" si="152"/>
        <v>1</v>
      </c>
      <c r="Q792" s="21">
        <v>1</v>
      </c>
      <c r="R792" s="39" t="str">
        <f t="shared" si="158"/>
        <v>-</v>
      </c>
      <c r="S792" s="120">
        <f t="shared" si="148"/>
        <v>1586092</v>
      </c>
      <c r="T792" s="123">
        <v>2708397</v>
      </c>
      <c r="U792" s="123">
        <f>2499983+1005+11584</f>
        <v>2512572</v>
      </c>
      <c r="V792" s="123">
        <f t="shared" si="153"/>
        <v>195825</v>
      </c>
      <c r="W792" s="122" t="str">
        <f t="shared" si="154"/>
        <v>1</v>
      </c>
      <c r="X792" s="123">
        <f>71360+8654+Y792</f>
        <v>1122305</v>
      </c>
      <c r="Y792" s="123">
        <f>AB792+25091</f>
        <v>1042291</v>
      </c>
      <c r="Z792" s="123">
        <f t="shared" si="155"/>
        <v>80014</v>
      </c>
      <c r="AA792" s="122" t="str">
        <f t="shared" si="156"/>
        <v>1</v>
      </c>
      <c r="AB792" s="120">
        <f t="shared" si="157"/>
        <v>1017200</v>
      </c>
      <c r="AC792" s="123">
        <v>0</v>
      </c>
      <c r="AD792" s="123">
        <f>439100+578100</f>
        <v>1017200</v>
      </c>
      <c r="AE792" s="123">
        <v>26462</v>
      </c>
      <c r="AG792" s="151">
        <v>109892</v>
      </c>
      <c r="AH792" s="123">
        <f>AG792+AL792+2410</f>
        <v>154548</v>
      </c>
      <c r="AJ792" s="123">
        <v>45782</v>
      </c>
      <c r="AL792" s="123">
        <f>33869+8377</f>
        <v>42246</v>
      </c>
      <c r="AO792" s="123">
        <f>265616+87192</f>
        <v>352808</v>
      </c>
    </row>
    <row r="793" spans="1:41" s="123" customFormat="1" ht="16.2" thickBot="1" x14ac:dyDescent="0.35">
      <c r="A793" s="21">
        <v>128.19999999999999</v>
      </c>
      <c r="B793" s="212" t="s">
        <v>82</v>
      </c>
      <c r="C793" s="31" t="str">
        <f>VLOOKUP((CONCATENATE(B793)),ID!$A$2:$D$305,3,0)</f>
        <v>OT016</v>
      </c>
      <c r="D793" s="21">
        <v>1</v>
      </c>
      <c r="E793" s="21" t="s">
        <v>3903</v>
      </c>
      <c r="F793" s="21" t="s">
        <v>1117</v>
      </c>
      <c r="G793" s="21" t="s">
        <v>3853</v>
      </c>
      <c r="H793" s="88">
        <v>4486</v>
      </c>
      <c r="I793" s="43">
        <v>4513</v>
      </c>
      <c r="J793" s="43">
        <v>4513</v>
      </c>
      <c r="K793" s="21">
        <v>1</v>
      </c>
      <c r="L793" s="43">
        <v>4524</v>
      </c>
      <c r="M793" s="43">
        <v>4537</v>
      </c>
      <c r="N793" s="43">
        <v>4538</v>
      </c>
      <c r="O793" s="21" t="s">
        <v>3785</v>
      </c>
      <c r="P793" s="194" t="str">
        <f t="shared" si="152"/>
        <v>1</v>
      </c>
      <c r="Q793" s="21">
        <v>1</v>
      </c>
      <c r="R793" s="39" t="str">
        <f t="shared" si="158"/>
        <v>-</v>
      </c>
      <c r="S793" s="120">
        <f t="shared" ref="S793:S856" si="159">T793-X793</f>
        <v>1634667</v>
      </c>
      <c r="T793" s="123">
        <v>2794027</v>
      </c>
      <c r="U793" s="123">
        <f>2503163+1005+10000</f>
        <v>2514168</v>
      </c>
      <c r="V793" s="123">
        <f t="shared" si="153"/>
        <v>279859</v>
      </c>
      <c r="W793" s="122" t="str">
        <f t="shared" si="154"/>
        <v>1</v>
      </c>
      <c r="X793" s="123">
        <f>116210+6519+Y793</f>
        <v>1159360</v>
      </c>
      <c r="Y793" s="123">
        <f>AB793+24431</f>
        <v>1036631</v>
      </c>
      <c r="Z793" s="123">
        <f t="shared" si="155"/>
        <v>122729</v>
      </c>
      <c r="AA793" s="122" t="str">
        <f t="shared" si="156"/>
        <v>1</v>
      </c>
      <c r="AB793" s="120">
        <f t="shared" si="157"/>
        <v>1012200</v>
      </c>
      <c r="AC793" s="123">
        <v>0</v>
      </c>
      <c r="AD793" s="123">
        <f>578100+434100</f>
        <v>1012200</v>
      </c>
      <c r="AE793" s="123">
        <v>33860</v>
      </c>
      <c r="AG793" s="151">
        <v>128931</v>
      </c>
      <c r="AH793" s="123">
        <f>AG793+AL793+2049</f>
        <v>173210</v>
      </c>
      <c r="AJ793" s="123">
        <v>45782</v>
      </c>
      <c r="AL793" s="123">
        <f>33693+8537</f>
        <v>42230</v>
      </c>
      <c r="AO793" s="123">
        <f>265616+87192</f>
        <v>352808</v>
      </c>
    </row>
    <row r="794" spans="1:41" s="123" customFormat="1" ht="16.2" thickBot="1" x14ac:dyDescent="0.35">
      <c r="A794" s="21"/>
      <c r="B794" s="212" t="s">
        <v>82</v>
      </c>
      <c r="C794" s="31" t="str">
        <f>VLOOKUP((CONCATENATE(B794)),ID!$A$2:$D$305,3,0)</f>
        <v>OT016</v>
      </c>
      <c r="D794" s="21">
        <v>1</v>
      </c>
      <c r="E794" s="21" t="s">
        <v>3903</v>
      </c>
      <c r="F794" s="21" t="s">
        <v>1117</v>
      </c>
      <c r="G794" s="21" t="s">
        <v>3853</v>
      </c>
      <c r="H794" s="88">
        <v>4851</v>
      </c>
      <c r="I794" s="43">
        <v>4877</v>
      </c>
      <c r="J794" s="43">
        <v>4876</v>
      </c>
      <c r="K794" s="21">
        <v>1</v>
      </c>
      <c r="L794" s="43">
        <v>4888</v>
      </c>
      <c r="M794" s="43">
        <v>4901</v>
      </c>
      <c r="N794" s="43">
        <v>4902</v>
      </c>
      <c r="O794" s="21" t="s">
        <v>3785</v>
      </c>
      <c r="P794" s="194" t="str">
        <f t="shared" si="152"/>
        <v>1</v>
      </c>
      <c r="Q794" s="21">
        <v>1</v>
      </c>
      <c r="R794" s="39" t="str">
        <f t="shared" si="158"/>
        <v>-</v>
      </c>
      <c r="S794" s="120">
        <f t="shared" si="159"/>
        <v>1841673</v>
      </c>
      <c r="T794" s="123">
        <v>2815078</v>
      </c>
      <c r="U794" s="123">
        <f>2423089+98288</f>
        <v>2521377</v>
      </c>
      <c r="V794" s="123">
        <f t="shared" si="153"/>
        <v>293701</v>
      </c>
      <c r="W794" s="122" t="str">
        <f t="shared" si="154"/>
        <v>1</v>
      </c>
      <c r="X794" s="123">
        <f>Y794+43060+3996</f>
        <v>973405</v>
      </c>
      <c r="Y794" s="123">
        <f>AB794+24149</f>
        <v>926349</v>
      </c>
      <c r="Z794" s="123">
        <f t="shared" si="155"/>
        <v>47056</v>
      </c>
      <c r="AA794" s="122" t="str">
        <f t="shared" si="156"/>
        <v>1</v>
      </c>
      <c r="AB794" s="120">
        <f t="shared" si="157"/>
        <v>902200</v>
      </c>
      <c r="AC794" s="123">
        <v>0</v>
      </c>
      <c r="AD794" s="123">
        <f>578100+324100</f>
        <v>902200</v>
      </c>
      <c r="AE794" s="123">
        <v>31725</v>
      </c>
      <c r="AG794" s="151">
        <v>144423</v>
      </c>
      <c r="AH794" s="123">
        <f>AG794+AL794+9611</f>
        <v>191421</v>
      </c>
      <c r="AJ794" s="123">
        <v>52423</v>
      </c>
      <c r="AL794" s="123">
        <f>30826+6561</f>
        <v>37387</v>
      </c>
      <c r="AO794" s="123">
        <f>265616+87192</f>
        <v>352808</v>
      </c>
    </row>
    <row r="795" spans="1:41" s="123" customFormat="1" ht="16.2" thickBot="1" x14ac:dyDescent="0.35">
      <c r="A795" s="21"/>
      <c r="B795" s="212" t="s">
        <v>82</v>
      </c>
      <c r="C795" s="31" t="str">
        <f>VLOOKUP((CONCATENATE(B795)),ID!$A$2:$D$305,3,0)</f>
        <v>OT016</v>
      </c>
      <c r="D795" s="21">
        <v>1</v>
      </c>
      <c r="E795" s="21" t="s">
        <v>3903</v>
      </c>
      <c r="F795" s="21" t="s">
        <v>1117</v>
      </c>
      <c r="G795" s="21" t="s">
        <v>3853</v>
      </c>
      <c r="H795" s="88">
        <v>5216</v>
      </c>
      <c r="I795" s="43">
        <v>5242</v>
      </c>
      <c r="J795" s="43">
        <v>5242</v>
      </c>
      <c r="K795" s="21">
        <v>1</v>
      </c>
      <c r="L795" s="43" t="s">
        <v>4109</v>
      </c>
      <c r="M795" s="43">
        <v>5272</v>
      </c>
      <c r="N795" s="43">
        <v>5273</v>
      </c>
      <c r="O795" s="21" t="s">
        <v>3785</v>
      </c>
      <c r="P795" s="194">
        <v>1</v>
      </c>
      <c r="Q795" s="21">
        <v>1</v>
      </c>
      <c r="R795" s="39" t="str">
        <f t="shared" si="158"/>
        <v>-</v>
      </c>
      <c r="S795" s="120">
        <f t="shared" si="159"/>
        <v>1903322</v>
      </c>
      <c r="T795" s="123">
        <v>2980528</v>
      </c>
      <c r="U795" s="123">
        <f>2538710+139373</f>
        <v>2678083</v>
      </c>
      <c r="V795" s="123">
        <f t="shared" si="153"/>
        <v>302445</v>
      </c>
      <c r="W795" s="122" t="str">
        <f t="shared" si="154"/>
        <v>1</v>
      </c>
      <c r="X795" s="123">
        <f>Y795+25060+4946</f>
        <v>1077206</v>
      </c>
      <c r="Y795" s="123">
        <f>AB795</f>
        <v>1047200</v>
      </c>
      <c r="Z795" s="123">
        <f t="shared" si="155"/>
        <v>30006</v>
      </c>
      <c r="AA795" s="122" t="str">
        <f t="shared" si="156"/>
        <v>1</v>
      </c>
      <c r="AB795" s="120">
        <f t="shared" si="157"/>
        <v>1047200</v>
      </c>
      <c r="AC795" s="123">
        <v>0</v>
      </c>
      <c r="AD795" s="123">
        <f>578100+469100</f>
        <v>1047200</v>
      </c>
      <c r="AE795" s="123">
        <v>40790</v>
      </c>
      <c r="AG795" s="151">
        <v>150476</v>
      </c>
      <c r="AH795" s="123">
        <f>AG795+AL795+14080</f>
        <v>198168</v>
      </c>
      <c r="AL795" s="123">
        <v>33612</v>
      </c>
      <c r="AO795" s="123">
        <f>265616+87192</f>
        <v>352808</v>
      </c>
    </row>
    <row r="796" spans="1:41" s="123" customFormat="1" ht="16.2" thickBot="1" x14ac:dyDescent="0.35">
      <c r="A796" s="21"/>
      <c r="B796" s="212" t="s">
        <v>95</v>
      </c>
      <c r="C796" s="31" t="str">
        <f>VLOOKUP((CONCATENATE(B796)),ID!$A$2:$D$305,3,0)</f>
        <v>OT017</v>
      </c>
      <c r="D796" s="21">
        <v>1</v>
      </c>
      <c r="E796" s="21" t="s">
        <v>3903</v>
      </c>
      <c r="F796" s="21" t="s">
        <v>1117</v>
      </c>
      <c r="G796" s="21" t="s">
        <v>3853</v>
      </c>
      <c r="H796" s="88">
        <v>3834</v>
      </c>
      <c r="I796" s="43">
        <v>3960</v>
      </c>
      <c r="J796" s="43">
        <v>3959</v>
      </c>
      <c r="K796" s="21">
        <v>1</v>
      </c>
      <c r="L796" s="43">
        <v>3971</v>
      </c>
      <c r="M796" s="43">
        <v>3983</v>
      </c>
      <c r="N796" s="43">
        <v>3974</v>
      </c>
      <c r="O796" s="21" t="s">
        <v>3916</v>
      </c>
      <c r="P796" s="194" t="str">
        <f t="shared" si="152"/>
        <v>1</v>
      </c>
      <c r="Q796" s="21">
        <v>1</v>
      </c>
      <c r="R796" s="39" t="str">
        <f t="shared" si="158"/>
        <v>-</v>
      </c>
      <c r="S796" s="120">
        <f t="shared" si="159"/>
        <v>2057584</v>
      </c>
      <c r="T796" s="123">
        <v>8080160</v>
      </c>
      <c r="U796" s="123">
        <f>208000+615729+320000</f>
        <v>1143729</v>
      </c>
      <c r="V796" s="123">
        <f t="shared" si="153"/>
        <v>6936431</v>
      </c>
      <c r="W796" s="122" t="str">
        <f t="shared" si="154"/>
        <v>1</v>
      </c>
      <c r="X796" s="123">
        <f>Y796+33469+12500+316844+7184+2639727+267+106341</f>
        <v>6022576</v>
      </c>
      <c r="Y796" s="123">
        <f>AB796+21000</f>
        <v>2906244</v>
      </c>
      <c r="Z796" s="123">
        <f t="shared" si="155"/>
        <v>3116332</v>
      </c>
      <c r="AA796" s="122" t="str">
        <f t="shared" si="156"/>
        <v>1</v>
      </c>
      <c r="AB796" s="120">
        <f t="shared" si="157"/>
        <v>2885244</v>
      </c>
      <c r="AC796" s="123">
        <v>0</v>
      </c>
      <c r="AD796" s="123">
        <f>2299459+585785</f>
        <v>2885244</v>
      </c>
      <c r="AE796" s="123">
        <v>918284</v>
      </c>
      <c r="AG796" s="151">
        <f t="shared" si="151"/>
        <v>221807</v>
      </c>
      <c r="AH796" s="123">
        <f>221807+AI796+AL796</f>
        <v>366524</v>
      </c>
      <c r="AI796" s="123">
        <v>22353</v>
      </c>
      <c r="AJ796" s="123">
        <v>55000</v>
      </c>
      <c r="AK796" s="123">
        <v>5109</v>
      </c>
      <c r="AL796" s="123">
        <v>122364</v>
      </c>
      <c r="AO796" s="123">
        <v>250000</v>
      </c>
    </row>
    <row r="797" spans="1:41" s="123" customFormat="1" ht="16.2" thickBot="1" x14ac:dyDescent="0.35">
      <c r="A797" s="21">
        <v>129.1</v>
      </c>
      <c r="B797" s="212" t="s">
        <v>95</v>
      </c>
      <c r="C797" s="31" t="str">
        <f>VLOOKUP((CONCATENATE(B797)),ID!$A$2:$D$305,3,0)</f>
        <v>OT017</v>
      </c>
      <c r="D797" s="21">
        <v>1</v>
      </c>
      <c r="E797" s="21" t="s">
        <v>3903</v>
      </c>
      <c r="F797" s="21" t="s">
        <v>1117</v>
      </c>
      <c r="G797" s="21" t="s">
        <v>3853</v>
      </c>
      <c r="H797" s="88">
        <v>4199</v>
      </c>
      <c r="I797" s="43">
        <v>4324</v>
      </c>
      <c r="J797" s="43">
        <v>4323</v>
      </c>
      <c r="K797" s="21">
        <v>1</v>
      </c>
      <c r="L797" s="43">
        <v>4335</v>
      </c>
      <c r="M797" s="43">
        <v>4347</v>
      </c>
      <c r="N797" s="43">
        <v>4338</v>
      </c>
      <c r="O797" s="21" t="s">
        <v>3916</v>
      </c>
      <c r="P797" s="194" t="str">
        <f t="shared" si="152"/>
        <v>1</v>
      </c>
      <c r="Q797" s="21">
        <v>1</v>
      </c>
      <c r="R797" s="39" t="str">
        <f t="shared" si="158"/>
        <v>-</v>
      </c>
      <c r="S797" s="120">
        <f t="shared" si="159"/>
        <v>2111719</v>
      </c>
      <c r="T797" s="123">
        <v>8357401</v>
      </c>
      <c r="U797" s="123">
        <f>325742+661729+380000</f>
        <v>1367471</v>
      </c>
      <c r="V797" s="123">
        <f t="shared" si="153"/>
        <v>6989930</v>
      </c>
      <c r="W797" s="122" t="str">
        <f t="shared" si="154"/>
        <v>1</v>
      </c>
      <c r="X797" s="123">
        <f>Y797+30643+12500+294614+2658469+267+395782</f>
        <v>6245682</v>
      </c>
      <c r="Y797" s="123">
        <f>AB797+31000</f>
        <v>2853407</v>
      </c>
      <c r="Z797" s="123">
        <f t="shared" si="155"/>
        <v>3392275</v>
      </c>
      <c r="AA797" s="122" t="str">
        <f t="shared" si="156"/>
        <v>1</v>
      </c>
      <c r="AB797" s="120">
        <f t="shared" si="157"/>
        <v>2822407</v>
      </c>
      <c r="AC797" s="123">
        <v>0</v>
      </c>
      <c r="AD797" s="123">
        <f>522948+2299459</f>
        <v>2822407</v>
      </c>
      <c r="AE797" s="123">
        <v>1121750</v>
      </c>
      <c r="AG797" s="151">
        <f t="shared" si="151"/>
        <v>219137</v>
      </c>
      <c r="AH797" s="123">
        <f>219137+AI797+AL797</f>
        <v>359821</v>
      </c>
      <c r="AI797" s="123">
        <v>23452</v>
      </c>
      <c r="AJ797" s="123">
        <v>65000</v>
      </c>
      <c r="AK797" s="123">
        <v>6278</v>
      </c>
      <c r="AL797" s="123">
        <v>117232</v>
      </c>
      <c r="AO797" s="123">
        <v>250000</v>
      </c>
    </row>
    <row r="798" spans="1:41" s="123" customFormat="1" ht="16.2" thickBot="1" x14ac:dyDescent="0.35">
      <c r="A798" s="21">
        <v>129.19999999999999</v>
      </c>
      <c r="B798" s="212" t="s">
        <v>95</v>
      </c>
      <c r="C798" s="31" t="str">
        <f>VLOOKUP((CONCATENATE(B798)),ID!$A$2:$D$305,3,0)</f>
        <v>OT017</v>
      </c>
      <c r="D798" s="21">
        <v>1</v>
      </c>
      <c r="E798" s="21" t="s">
        <v>3903</v>
      </c>
      <c r="F798" s="21" t="s">
        <v>1117</v>
      </c>
      <c r="G798" s="21" t="s">
        <v>3853</v>
      </c>
      <c r="H798" s="88">
        <v>4565</v>
      </c>
      <c r="I798" s="43">
        <v>4688</v>
      </c>
      <c r="J798" s="43">
        <v>4687</v>
      </c>
      <c r="K798" s="21">
        <v>1</v>
      </c>
      <c r="L798" s="43">
        <v>4701</v>
      </c>
      <c r="M798" s="43">
        <v>4714</v>
      </c>
      <c r="N798" s="43">
        <v>4702</v>
      </c>
      <c r="O798" s="21" t="s">
        <v>3916</v>
      </c>
      <c r="P798" s="194" t="str">
        <f t="shared" si="152"/>
        <v>1</v>
      </c>
      <c r="Q798" s="21">
        <v>1</v>
      </c>
      <c r="R798" s="39" t="str">
        <f t="shared" si="158"/>
        <v>-</v>
      </c>
      <c r="S798" s="120">
        <f t="shared" si="159"/>
        <v>2174157</v>
      </c>
      <c r="T798" s="123">
        <v>8258487</v>
      </c>
      <c r="U798" s="123">
        <f>307441+669717+440000</f>
        <v>1417158</v>
      </c>
      <c r="V798" s="123">
        <f t="shared" si="153"/>
        <v>6841329</v>
      </c>
      <c r="W798" s="122" t="str">
        <f t="shared" si="154"/>
        <v>1</v>
      </c>
      <c r="X798" s="123">
        <f>Y798+29339+12500+482107+2638211+267+204688</f>
        <v>6084330</v>
      </c>
      <c r="Y798" s="123">
        <f>AB798+41000</f>
        <v>2717218</v>
      </c>
      <c r="Z798" s="123">
        <f t="shared" si="155"/>
        <v>3367112</v>
      </c>
      <c r="AA798" s="122" t="str">
        <f t="shared" si="156"/>
        <v>1</v>
      </c>
      <c r="AB798" s="120">
        <f t="shared" si="157"/>
        <v>2676218</v>
      </c>
      <c r="AC798" s="123">
        <v>0</v>
      </c>
      <c r="AD798" s="123">
        <f>410083+2266135</f>
        <v>2676218</v>
      </c>
      <c r="AE798" s="123">
        <v>537081</v>
      </c>
      <c r="AG798" s="151">
        <f t="shared" si="151"/>
        <v>217440</v>
      </c>
      <c r="AH798" s="123">
        <f>546877-186711-7240</f>
        <v>352926</v>
      </c>
      <c r="AI798" s="123">
        <v>22494</v>
      </c>
      <c r="AJ798" s="123">
        <v>65000</v>
      </c>
      <c r="AK798" s="123">
        <v>7240</v>
      </c>
      <c r="AL798" s="123">
        <v>112992</v>
      </c>
      <c r="AO798" s="123">
        <v>250000</v>
      </c>
    </row>
    <row r="799" spans="1:41" s="123" customFormat="1" ht="16.2" thickBot="1" x14ac:dyDescent="0.35">
      <c r="A799" s="21"/>
      <c r="B799" s="212" t="s">
        <v>95</v>
      </c>
      <c r="C799" s="31" t="str">
        <f>VLOOKUP((CONCATENATE(B799)),ID!$A$2:$D$305,3,0)</f>
        <v>OT017</v>
      </c>
      <c r="D799" s="21">
        <v>1</v>
      </c>
      <c r="E799" s="21" t="s">
        <v>3903</v>
      </c>
      <c r="F799" s="21" t="s">
        <v>1117</v>
      </c>
      <c r="G799" s="21" t="s">
        <v>3853</v>
      </c>
      <c r="H799" s="88">
        <v>4930</v>
      </c>
      <c r="I799" s="43">
        <v>5052</v>
      </c>
      <c r="J799" s="43">
        <v>5042</v>
      </c>
      <c r="K799" s="21">
        <v>1</v>
      </c>
      <c r="L799" s="43">
        <v>5067</v>
      </c>
      <c r="M799" s="43">
        <v>5079</v>
      </c>
      <c r="N799" s="43">
        <v>5066</v>
      </c>
      <c r="O799" s="21" t="s">
        <v>3916</v>
      </c>
      <c r="P799" s="194" t="str">
        <f t="shared" si="152"/>
        <v>1</v>
      </c>
      <c r="Q799" s="21">
        <v>1</v>
      </c>
      <c r="R799" s="39" t="str">
        <f t="shared" si="158"/>
        <v>-</v>
      </c>
      <c r="S799" s="120">
        <f t="shared" si="159"/>
        <v>2242535</v>
      </c>
      <c r="T799" s="123">
        <v>7972715</v>
      </c>
      <c r="U799" s="123">
        <f>500000+676977+62535</f>
        <v>1239512</v>
      </c>
      <c r="V799" s="123">
        <f t="shared" si="153"/>
        <v>6733203</v>
      </c>
      <c r="W799" s="122" t="str">
        <f t="shared" si="154"/>
        <v>1</v>
      </c>
      <c r="X799" s="123">
        <f>Y799+28381+12500+435979+28085+1967188+267+421698+145469</f>
        <v>5730180</v>
      </c>
      <c r="Y799" s="123">
        <f>AB799+51000</f>
        <v>2690613</v>
      </c>
      <c r="Z799" s="123">
        <f t="shared" si="155"/>
        <v>3039567</v>
      </c>
      <c r="AA799" s="122" t="str">
        <f t="shared" si="156"/>
        <v>1</v>
      </c>
      <c r="AB799" s="120">
        <f t="shared" si="157"/>
        <v>2639613</v>
      </c>
      <c r="AC799" s="123">
        <v>0</v>
      </c>
      <c r="AD799" s="123">
        <f>2263140+376473</f>
        <v>2639613</v>
      </c>
      <c r="AE799" s="123">
        <v>331562</v>
      </c>
      <c r="AG799" s="151">
        <f t="shared" si="151"/>
        <v>223377</v>
      </c>
      <c r="AH799" s="123">
        <f>223377+AI799+AL799</f>
        <v>356103</v>
      </c>
      <c r="AI799" s="123">
        <v>24400</v>
      </c>
      <c r="AJ799" s="123">
        <v>65000</v>
      </c>
      <c r="AK799" s="123">
        <v>8516</v>
      </c>
      <c r="AL799" s="123">
        <v>108326</v>
      </c>
      <c r="AO799" s="123">
        <v>250000</v>
      </c>
    </row>
    <row r="800" spans="1:41" s="123" customFormat="1" ht="16.2" thickBot="1" x14ac:dyDescent="0.35">
      <c r="A800" s="21"/>
      <c r="B800" s="212" t="s">
        <v>95</v>
      </c>
      <c r="C800" s="31" t="str">
        <f>VLOOKUP((CONCATENATE(B800)),ID!$A$2:$D$305,3,0)</f>
        <v>OT017</v>
      </c>
      <c r="D800" s="21">
        <v>1</v>
      </c>
      <c r="E800" s="21" t="s">
        <v>3903</v>
      </c>
      <c r="F800" s="21" t="s">
        <v>1117</v>
      </c>
      <c r="G800" s="21" t="s">
        <v>3853</v>
      </c>
      <c r="H800" s="88">
        <v>5295</v>
      </c>
      <c r="I800" s="43">
        <v>5423</v>
      </c>
      <c r="J800" s="43">
        <v>5422</v>
      </c>
      <c r="K800" s="21">
        <v>1</v>
      </c>
      <c r="L800" s="43">
        <v>5432</v>
      </c>
      <c r="M800" s="43">
        <v>5444</v>
      </c>
      <c r="N800" s="43">
        <v>5437</v>
      </c>
      <c r="O800" s="21" t="s">
        <v>3916</v>
      </c>
      <c r="P800" s="194" t="str">
        <f t="shared" si="152"/>
        <v>1</v>
      </c>
      <c r="Q800" s="21">
        <v>1</v>
      </c>
      <c r="R800" s="39" t="str">
        <f t="shared" si="158"/>
        <v>-</v>
      </c>
      <c r="S800" s="120">
        <f t="shared" si="159"/>
        <v>2296018</v>
      </c>
      <c r="T800" s="123">
        <v>8042596</v>
      </c>
      <c r="U800" s="123">
        <f>650408+550000</f>
        <v>1200408</v>
      </c>
      <c r="V800" s="123">
        <f t="shared" si="153"/>
        <v>6842188</v>
      </c>
      <c r="W800" s="122" t="str">
        <f t="shared" si="154"/>
        <v>1</v>
      </c>
      <c r="X800" s="123">
        <f>Y800+28381+12500+304474+1509+2196927+267+370452+202975</f>
        <v>5746578</v>
      </c>
      <c r="Y800" s="123">
        <f>AB800+61000</f>
        <v>2629093</v>
      </c>
      <c r="Z800" s="123">
        <f t="shared" si="155"/>
        <v>3117485</v>
      </c>
      <c r="AA800" s="122" t="str">
        <f t="shared" si="156"/>
        <v>1</v>
      </c>
      <c r="AB800" s="120">
        <f t="shared" si="157"/>
        <v>2568093</v>
      </c>
      <c r="AC800" s="123">
        <v>0</v>
      </c>
      <c r="AD800" s="123">
        <f>2263140+304953</f>
        <v>2568093</v>
      </c>
      <c r="AE800" s="123">
        <v>910971</v>
      </c>
      <c r="AG800" s="151">
        <f t="shared" si="151"/>
        <v>219482</v>
      </c>
      <c r="AH800" s="123">
        <f>219482+AI800+AL800</f>
        <v>357853</v>
      </c>
      <c r="AI800" s="123">
        <v>32778</v>
      </c>
      <c r="AJ800" s="123">
        <v>65000</v>
      </c>
      <c r="AK800" s="123">
        <v>9519</v>
      </c>
      <c r="AL800" s="123">
        <v>105593</v>
      </c>
      <c r="AO800" s="123">
        <v>250000</v>
      </c>
    </row>
    <row r="801" spans="1:41" s="123" customFormat="1" ht="16.2" thickBot="1" x14ac:dyDescent="0.35">
      <c r="A801" s="21"/>
      <c r="B801" s="212" t="s">
        <v>96</v>
      </c>
      <c r="C801" s="31" t="str">
        <f>VLOOKUP((CONCATENATE(B801)),ID!$A$2:$D$305,3,0)</f>
        <v>OT018</v>
      </c>
      <c r="D801" s="21">
        <v>1</v>
      </c>
      <c r="E801" s="21" t="s">
        <v>3903</v>
      </c>
      <c r="F801" s="21" t="s">
        <v>1117</v>
      </c>
      <c r="G801" s="21" t="s">
        <v>3853</v>
      </c>
      <c r="H801" s="88">
        <v>3684</v>
      </c>
      <c r="I801" s="43">
        <v>3706</v>
      </c>
      <c r="J801" s="43">
        <v>3706</v>
      </c>
      <c r="K801" s="21">
        <v>0</v>
      </c>
      <c r="L801" s="43"/>
      <c r="M801" s="43"/>
      <c r="N801" s="43">
        <v>3715</v>
      </c>
      <c r="O801" s="21" t="s">
        <v>3917</v>
      </c>
      <c r="P801" s="194" t="str">
        <f t="shared" si="152"/>
        <v>1</v>
      </c>
      <c r="Q801" s="21">
        <v>1</v>
      </c>
      <c r="R801" s="39" t="str">
        <f t="shared" si="158"/>
        <v>-</v>
      </c>
      <c r="S801" s="120">
        <f t="shared" si="159"/>
        <v>1056587</v>
      </c>
      <c r="T801" s="123">
        <v>1597595</v>
      </c>
      <c r="U801" s="123">
        <f>414571+251415</f>
        <v>665986</v>
      </c>
      <c r="V801" s="123">
        <f t="shared" si="153"/>
        <v>931609</v>
      </c>
      <c r="W801" s="122" t="str">
        <f t="shared" si="154"/>
        <v>1</v>
      </c>
      <c r="X801" s="123">
        <v>541008</v>
      </c>
      <c r="Y801" s="123">
        <v>0</v>
      </c>
      <c r="Z801" s="123">
        <f t="shared" si="155"/>
        <v>541008</v>
      </c>
      <c r="AA801" s="122" t="str">
        <f t="shared" si="156"/>
        <v>1</v>
      </c>
      <c r="AB801" s="120">
        <f t="shared" si="157"/>
        <v>0</v>
      </c>
      <c r="AC801" s="123">
        <v>0</v>
      </c>
      <c r="AD801" s="123">
        <v>0</v>
      </c>
      <c r="AE801" s="123">
        <v>8202</v>
      </c>
      <c r="AF801" s="123">
        <v>100000</v>
      </c>
      <c r="AG801" s="151">
        <f t="shared" si="151"/>
        <v>92520</v>
      </c>
      <c r="AH801" s="123">
        <v>92520</v>
      </c>
      <c r="AJ801" s="123">
        <v>45250</v>
      </c>
      <c r="AO801" s="123">
        <v>32500</v>
      </c>
    </row>
    <row r="802" spans="1:41" s="123" customFormat="1" ht="16.2" thickBot="1" x14ac:dyDescent="0.35">
      <c r="A802" s="21">
        <v>130.1</v>
      </c>
      <c r="B802" s="212" t="s">
        <v>96</v>
      </c>
      <c r="C802" s="31" t="str">
        <f>VLOOKUP((CONCATENATE(B802)),ID!$A$2:$D$305,3,0)</f>
        <v>OT018</v>
      </c>
      <c r="D802" s="21">
        <v>1</v>
      </c>
      <c r="E802" s="21" t="s">
        <v>3903</v>
      </c>
      <c r="F802" s="21" t="s">
        <v>1117</v>
      </c>
      <c r="G802" s="21" t="s">
        <v>3853</v>
      </c>
      <c r="H802" s="88">
        <v>4049</v>
      </c>
      <c r="I802" s="43">
        <v>4069</v>
      </c>
      <c r="J802" s="43">
        <v>4069</v>
      </c>
      <c r="K802" s="21">
        <v>0</v>
      </c>
      <c r="L802" s="21"/>
      <c r="M802" s="21"/>
      <c r="N802" s="43">
        <v>4077</v>
      </c>
      <c r="O802" s="21" t="s">
        <v>3917</v>
      </c>
      <c r="P802" s="194" t="str">
        <f t="shared" si="152"/>
        <v>1</v>
      </c>
      <c r="Q802" s="21">
        <v>1</v>
      </c>
      <c r="R802" s="39" t="str">
        <f t="shared" si="158"/>
        <v>-</v>
      </c>
      <c r="S802" s="120">
        <f t="shared" si="159"/>
        <v>1079395</v>
      </c>
      <c r="T802" s="123">
        <v>1622214</v>
      </c>
      <c r="U802" s="123">
        <f>248299+415082</f>
        <v>663381</v>
      </c>
      <c r="V802" s="123">
        <f t="shared" si="153"/>
        <v>958833</v>
      </c>
      <c r="W802" s="122" t="str">
        <f t="shared" si="154"/>
        <v>1</v>
      </c>
      <c r="X802" s="123">
        <f>542819</f>
        <v>542819</v>
      </c>
      <c r="Y802" s="123">
        <v>0</v>
      </c>
      <c r="Z802" s="123">
        <f t="shared" si="155"/>
        <v>542819</v>
      </c>
      <c r="AA802" s="122" t="str">
        <f t="shared" si="156"/>
        <v>1</v>
      </c>
      <c r="AB802" s="120">
        <f t="shared" si="157"/>
        <v>0</v>
      </c>
      <c r="AC802" s="123">
        <v>0</v>
      </c>
      <c r="AD802" s="123">
        <v>0</v>
      </c>
      <c r="AE802" s="123">
        <v>6906</v>
      </c>
      <c r="AF802" s="123">
        <v>100000</v>
      </c>
      <c r="AG802" s="151">
        <f t="shared" si="151"/>
        <v>103145</v>
      </c>
      <c r="AH802" s="123">
        <v>103145</v>
      </c>
      <c r="AJ802" s="123">
        <v>28750</v>
      </c>
      <c r="AO802" s="123">
        <f>25000+7500</f>
        <v>32500</v>
      </c>
    </row>
    <row r="803" spans="1:41" s="123" customFormat="1" ht="16.2" thickBot="1" x14ac:dyDescent="0.35">
      <c r="A803" s="21">
        <v>130.19999999999999</v>
      </c>
      <c r="B803" s="212" t="s">
        <v>96</v>
      </c>
      <c r="C803" s="31" t="str">
        <f>VLOOKUP((CONCATENATE(B803)),ID!$A$2:$D$305,3,0)</f>
        <v>OT018</v>
      </c>
      <c r="D803" s="21">
        <v>1</v>
      </c>
      <c r="E803" s="21" t="s">
        <v>3903</v>
      </c>
      <c r="F803" s="21" t="s">
        <v>1117</v>
      </c>
      <c r="G803" s="21" t="s">
        <v>3853</v>
      </c>
      <c r="H803" s="88">
        <v>4414</v>
      </c>
      <c r="I803" s="43">
        <v>4436</v>
      </c>
      <c r="J803" s="43">
        <v>4436</v>
      </c>
      <c r="K803" s="21">
        <v>0</v>
      </c>
      <c r="L803" s="21"/>
      <c r="M803" s="21"/>
      <c r="N803" s="43">
        <v>4447</v>
      </c>
      <c r="O803" s="21" t="s">
        <v>3917</v>
      </c>
      <c r="P803" s="194" t="str">
        <f t="shared" si="152"/>
        <v>1</v>
      </c>
      <c r="Q803" s="21">
        <v>1</v>
      </c>
      <c r="R803" s="39" t="str">
        <f t="shared" si="158"/>
        <v>-</v>
      </c>
      <c r="S803" s="120">
        <f t="shared" si="159"/>
        <v>1092743</v>
      </c>
      <c r="T803" s="123">
        <v>1604336</v>
      </c>
      <c r="U803" s="123">
        <f>240270+423015</f>
        <v>663285</v>
      </c>
      <c r="V803" s="123">
        <f t="shared" si="153"/>
        <v>941051</v>
      </c>
      <c r="W803" s="122" t="str">
        <f t="shared" si="154"/>
        <v>1</v>
      </c>
      <c r="X803" s="123">
        <f>511593</f>
        <v>511593</v>
      </c>
      <c r="Y803" s="123">
        <v>0</v>
      </c>
      <c r="Z803" s="123">
        <f t="shared" si="155"/>
        <v>511593</v>
      </c>
      <c r="AA803" s="122" t="str">
        <f t="shared" si="156"/>
        <v>1</v>
      </c>
      <c r="AB803" s="120">
        <f t="shared" si="157"/>
        <v>0</v>
      </c>
      <c r="AC803" s="123">
        <v>0</v>
      </c>
      <c r="AD803" s="123">
        <v>0</v>
      </c>
      <c r="AE803" s="123">
        <v>24516</v>
      </c>
      <c r="AF803" s="123">
        <v>100000</v>
      </c>
      <c r="AG803" s="151">
        <f t="shared" si="151"/>
        <v>113992</v>
      </c>
      <c r="AH803" s="123">
        <v>113992</v>
      </c>
      <c r="AJ803" s="123">
        <v>28750</v>
      </c>
      <c r="AO803" s="123">
        <f>25000+7500</f>
        <v>32500</v>
      </c>
    </row>
    <row r="804" spans="1:41" s="123" customFormat="1" ht="16.2" thickBot="1" x14ac:dyDescent="0.35">
      <c r="A804" s="21"/>
      <c r="B804" s="212" t="s">
        <v>96</v>
      </c>
      <c r="C804" s="31" t="str">
        <f>VLOOKUP((CONCATENATE(B804)),ID!$A$2:$D$305,3,0)</f>
        <v>OT018</v>
      </c>
      <c r="D804" s="21">
        <v>1</v>
      </c>
      <c r="E804" s="21" t="s">
        <v>3903</v>
      </c>
      <c r="F804" s="21" t="s">
        <v>1117</v>
      </c>
      <c r="G804" s="21" t="s">
        <v>3853</v>
      </c>
      <c r="H804" s="88">
        <v>4780</v>
      </c>
      <c r="I804" s="43">
        <v>4800</v>
      </c>
      <c r="J804" s="43">
        <v>4800</v>
      </c>
      <c r="K804" s="21">
        <v>0</v>
      </c>
      <c r="L804" s="21"/>
      <c r="M804" s="21"/>
      <c r="N804" s="43">
        <v>4809</v>
      </c>
      <c r="O804" s="21" t="s">
        <v>3917</v>
      </c>
      <c r="P804" s="194" t="str">
        <f t="shared" si="152"/>
        <v>1</v>
      </c>
      <c r="Q804" s="21">
        <v>1</v>
      </c>
      <c r="R804" s="39" t="str">
        <f t="shared" si="158"/>
        <v>-</v>
      </c>
      <c r="S804" s="120">
        <f t="shared" si="159"/>
        <v>1116304</v>
      </c>
      <c r="T804" s="123">
        <v>1657840</v>
      </c>
      <c r="U804" s="123">
        <f>261902+432515</f>
        <v>694417</v>
      </c>
      <c r="V804" s="123">
        <f t="shared" si="153"/>
        <v>963423</v>
      </c>
      <c r="W804" s="122" t="str">
        <f t="shared" si="154"/>
        <v>1</v>
      </c>
      <c r="X804" s="123">
        <v>541536</v>
      </c>
      <c r="Y804" s="123">
        <v>0</v>
      </c>
      <c r="Z804" s="123">
        <f t="shared" si="155"/>
        <v>541536</v>
      </c>
      <c r="AA804" s="122" t="str">
        <f t="shared" si="156"/>
        <v>1</v>
      </c>
      <c r="AB804" s="120">
        <f t="shared" si="157"/>
        <v>0</v>
      </c>
      <c r="AC804" s="123">
        <v>0</v>
      </c>
      <c r="AD804" s="123">
        <v>0</v>
      </c>
      <c r="AE804" s="123">
        <v>96427</v>
      </c>
      <c r="AF804" s="123">
        <v>100000</v>
      </c>
      <c r="AG804" s="151">
        <f t="shared" si="151"/>
        <v>135053</v>
      </c>
      <c r="AH804" s="123">
        <v>135053</v>
      </c>
      <c r="AJ804" s="123">
        <v>28750</v>
      </c>
      <c r="AO804" s="123">
        <f>25000+7500</f>
        <v>32500</v>
      </c>
    </row>
    <row r="805" spans="1:41" s="123" customFormat="1" ht="16.2" thickBot="1" x14ac:dyDescent="0.35">
      <c r="A805" s="21"/>
      <c r="B805" s="212" t="s">
        <v>96</v>
      </c>
      <c r="C805" s="31" t="str">
        <f>VLOOKUP((CONCATENATE(B805)),ID!$A$2:$D$305,3,0)</f>
        <v>OT018</v>
      </c>
      <c r="D805" s="21">
        <v>1</v>
      </c>
      <c r="E805" s="21" t="s">
        <v>3903</v>
      </c>
      <c r="F805" s="21" t="s">
        <v>1117</v>
      </c>
      <c r="G805" s="21" t="s">
        <v>3853</v>
      </c>
      <c r="H805" s="88">
        <v>5145</v>
      </c>
      <c r="I805" s="43">
        <v>5164</v>
      </c>
      <c r="J805" s="43">
        <v>5164</v>
      </c>
      <c r="K805" s="21">
        <v>0</v>
      </c>
      <c r="L805" s="21"/>
      <c r="M805" s="21"/>
      <c r="N805" s="43">
        <v>5173</v>
      </c>
      <c r="O805" s="21" t="s">
        <v>3917</v>
      </c>
      <c r="P805" s="194" t="str">
        <f t="shared" si="152"/>
        <v>1</v>
      </c>
      <c r="Q805" s="21">
        <v>1</v>
      </c>
      <c r="R805" s="39" t="str">
        <f t="shared" si="158"/>
        <v>-</v>
      </c>
      <c r="S805" s="120">
        <f t="shared" si="159"/>
        <v>1149458</v>
      </c>
      <c r="T805" s="123">
        <v>1812204</v>
      </c>
      <c r="U805" s="123">
        <f>291852+454565</f>
        <v>746417</v>
      </c>
      <c r="V805" s="123">
        <f t="shared" si="153"/>
        <v>1065787</v>
      </c>
      <c r="W805" s="122" t="str">
        <f t="shared" si="154"/>
        <v>1</v>
      </c>
      <c r="X805" s="123">
        <v>662746</v>
      </c>
      <c r="Y805" s="123">
        <v>0</v>
      </c>
      <c r="Z805" s="123">
        <f t="shared" si="155"/>
        <v>662746</v>
      </c>
      <c r="AA805" s="122" t="str">
        <f t="shared" si="156"/>
        <v>1</v>
      </c>
      <c r="AB805" s="120">
        <f t="shared" si="157"/>
        <v>0</v>
      </c>
      <c r="AC805" s="123">
        <v>0</v>
      </c>
      <c r="AD805" s="123">
        <v>0</v>
      </c>
      <c r="AE805" s="123">
        <v>70973</v>
      </c>
      <c r="AF805" s="123">
        <v>100000</v>
      </c>
      <c r="AG805" s="151">
        <f t="shared" si="151"/>
        <v>165707</v>
      </c>
      <c r="AH805" s="123">
        <v>165707</v>
      </c>
      <c r="AJ805" s="123">
        <v>28750</v>
      </c>
      <c r="AO805" s="123">
        <v>32500</v>
      </c>
    </row>
    <row r="806" spans="1:41" s="123" customFormat="1" ht="16.2" thickBot="1" x14ac:dyDescent="0.35">
      <c r="A806" s="21"/>
      <c r="B806" s="212" t="s">
        <v>104</v>
      </c>
      <c r="C806" s="31" t="str">
        <f>VLOOKUP((CONCATENATE(B806)),ID!$A$2:$D$305,3,0)</f>
        <v>OT019</v>
      </c>
      <c r="D806" s="21">
        <v>1</v>
      </c>
      <c r="E806" s="21" t="s">
        <v>3903</v>
      </c>
      <c r="F806" s="21" t="s">
        <v>1117</v>
      </c>
      <c r="G806" s="21" t="s">
        <v>3853</v>
      </c>
      <c r="H806" s="88">
        <v>3896</v>
      </c>
      <c r="I806" s="43">
        <v>3992</v>
      </c>
      <c r="J806" s="43">
        <v>3992</v>
      </c>
      <c r="K806" s="21">
        <v>1</v>
      </c>
      <c r="L806" s="43">
        <v>3992</v>
      </c>
      <c r="M806" s="43">
        <v>4006</v>
      </c>
      <c r="N806" s="43">
        <v>4003</v>
      </c>
      <c r="O806" s="21" t="s">
        <v>3785</v>
      </c>
      <c r="P806" s="194" t="str">
        <f t="shared" si="152"/>
        <v>1</v>
      </c>
      <c r="Q806" s="21">
        <v>1</v>
      </c>
      <c r="R806" s="39" t="str">
        <f t="shared" si="158"/>
        <v>-</v>
      </c>
      <c r="S806" s="120">
        <f t="shared" si="159"/>
        <v>2290623</v>
      </c>
      <c r="T806" s="123">
        <v>2864130</v>
      </c>
      <c r="U806" s="123">
        <f>746169+26574+55884+1210213</f>
        <v>2038840</v>
      </c>
      <c r="V806" s="123">
        <f t="shared" si="153"/>
        <v>825290</v>
      </c>
      <c r="W806" s="122" t="str">
        <f t="shared" si="154"/>
        <v>1</v>
      </c>
      <c r="X806" s="123">
        <f>T806-25000-145675-2119948</f>
        <v>573507</v>
      </c>
      <c r="Y806" s="123">
        <v>331800</v>
      </c>
      <c r="Z806" s="123">
        <f t="shared" si="155"/>
        <v>241707</v>
      </c>
      <c r="AA806" s="122" t="str">
        <f t="shared" si="156"/>
        <v>1</v>
      </c>
      <c r="AB806" s="120">
        <f t="shared" si="157"/>
        <v>331800</v>
      </c>
      <c r="AC806" s="123">
        <v>0</v>
      </c>
      <c r="AD806" s="123">
        <v>331800</v>
      </c>
      <c r="AE806" s="123">
        <v>51263</v>
      </c>
      <c r="AF806" s="123">
        <v>746169</v>
      </c>
      <c r="AG806" s="151">
        <f t="shared" si="151"/>
        <v>194589</v>
      </c>
      <c r="AH806" s="123">
        <f>210549+AL806-15960</f>
        <v>206755</v>
      </c>
      <c r="AJ806" s="123">
        <f>24874+24999+14998</f>
        <v>64871</v>
      </c>
      <c r="AL806" s="123">
        <v>12166</v>
      </c>
    </row>
    <row r="807" spans="1:41" s="123" customFormat="1" ht="16.2" thickBot="1" x14ac:dyDescent="0.35">
      <c r="A807" s="21">
        <v>131.1</v>
      </c>
      <c r="B807" s="212" t="s">
        <v>104</v>
      </c>
      <c r="C807" s="31" t="str">
        <f>VLOOKUP((CONCATENATE(B807)),ID!$A$2:$D$305,3,0)</f>
        <v>OT019</v>
      </c>
      <c r="D807" s="21">
        <v>1</v>
      </c>
      <c r="E807" s="21" t="s">
        <v>3903</v>
      </c>
      <c r="F807" s="21" t="s">
        <v>1117</v>
      </c>
      <c r="G807" s="21" t="s">
        <v>3853</v>
      </c>
      <c r="H807" s="88">
        <v>4261</v>
      </c>
      <c r="I807" s="43">
        <v>4360</v>
      </c>
      <c r="J807" s="43">
        <v>4360</v>
      </c>
      <c r="K807" s="21">
        <v>1</v>
      </c>
      <c r="L807" s="43">
        <v>4361</v>
      </c>
      <c r="M807" s="43">
        <v>4375</v>
      </c>
      <c r="N807" s="43">
        <v>4371</v>
      </c>
      <c r="O807" s="21" t="s">
        <v>3785</v>
      </c>
      <c r="P807" s="194" t="str">
        <f t="shared" si="152"/>
        <v>1</v>
      </c>
      <c r="Q807" s="21">
        <v>1</v>
      </c>
      <c r="R807" s="39" t="str">
        <f t="shared" si="158"/>
        <v>-</v>
      </c>
      <c r="S807" s="120">
        <f t="shared" si="159"/>
        <v>2214599</v>
      </c>
      <c r="T807" s="123">
        <v>3022726</v>
      </c>
      <c r="U807" s="123">
        <f>81932+682505+1194889</f>
        <v>1959326</v>
      </c>
      <c r="V807" s="123">
        <f t="shared" si="153"/>
        <v>1063400</v>
      </c>
      <c r="W807" s="122" t="str">
        <f t="shared" si="154"/>
        <v>1</v>
      </c>
      <c r="X807" s="123">
        <f>305600+502527</f>
        <v>808127</v>
      </c>
      <c r="Y807" s="123">
        <f>AD807</f>
        <v>305600</v>
      </c>
      <c r="Z807" s="123">
        <f t="shared" si="155"/>
        <v>502527</v>
      </c>
      <c r="AA807" s="122" t="str">
        <f t="shared" si="156"/>
        <v>1</v>
      </c>
      <c r="AB807" s="120">
        <f t="shared" si="157"/>
        <v>305600</v>
      </c>
      <c r="AC807" s="123">
        <v>0</v>
      </c>
      <c r="AD807" s="123">
        <v>305600</v>
      </c>
      <c r="AE807" s="123">
        <v>131262</v>
      </c>
      <c r="AF807" s="123">
        <v>682505</v>
      </c>
      <c r="AG807" s="151">
        <f t="shared" si="151"/>
        <v>114906</v>
      </c>
      <c r="AH807" s="123">
        <f>114906+AL807</f>
        <v>127916</v>
      </c>
      <c r="AJ807" s="123">
        <f>24874+24999+14998</f>
        <v>64871</v>
      </c>
      <c r="AL807" s="123">
        <v>13010</v>
      </c>
    </row>
    <row r="808" spans="1:41" s="123" customFormat="1" ht="16.2" thickBot="1" x14ac:dyDescent="0.35">
      <c r="A808" s="21">
        <v>131.19999999999999</v>
      </c>
      <c r="B808" s="212" t="s">
        <v>104</v>
      </c>
      <c r="C808" s="31" t="str">
        <f>VLOOKUP((CONCATENATE(B808)),ID!$A$2:$D$305,3,0)</f>
        <v>OT019</v>
      </c>
      <c r="D808" s="21">
        <v>1</v>
      </c>
      <c r="E808" s="21" t="s">
        <v>3903</v>
      </c>
      <c r="F808" s="21" t="s">
        <v>1117</v>
      </c>
      <c r="G808" s="21" t="s">
        <v>3853</v>
      </c>
      <c r="H808" s="88">
        <v>4627</v>
      </c>
      <c r="I808" s="43">
        <v>4422</v>
      </c>
      <c r="J808" s="43">
        <v>4419</v>
      </c>
      <c r="K808" s="21">
        <v>1</v>
      </c>
      <c r="L808" s="43">
        <v>4424</v>
      </c>
      <c r="M808" s="43">
        <v>4434</v>
      </c>
      <c r="N808" s="43">
        <v>4433</v>
      </c>
      <c r="O808" s="21" t="s">
        <v>3785</v>
      </c>
      <c r="P808" s="194">
        <v>1</v>
      </c>
      <c r="Q808" s="21">
        <v>1</v>
      </c>
      <c r="R808" s="39" t="str">
        <f t="shared" si="158"/>
        <v>-</v>
      </c>
      <c r="S808" s="120">
        <f t="shared" si="159"/>
        <v>2251251</v>
      </c>
      <c r="T808" s="123">
        <v>2255147</v>
      </c>
      <c r="U808" s="123">
        <f>2146907</f>
        <v>2146907</v>
      </c>
      <c r="V808" s="123">
        <f t="shared" si="153"/>
        <v>108240</v>
      </c>
      <c r="W808" s="122" t="str">
        <f t="shared" si="154"/>
        <v>1</v>
      </c>
      <c r="X808" s="123">
        <f>3896</f>
        <v>3896</v>
      </c>
      <c r="Y808" s="123">
        <v>0</v>
      </c>
      <c r="Z808" s="123">
        <f t="shared" si="155"/>
        <v>3896</v>
      </c>
      <c r="AA808" s="122" t="str">
        <f t="shared" si="156"/>
        <v>1</v>
      </c>
      <c r="AB808" s="120">
        <f t="shared" si="157"/>
        <v>0</v>
      </c>
      <c r="AC808" s="123">
        <v>0</v>
      </c>
      <c r="AD808" s="123">
        <v>0</v>
      </c>
      <c r="AE808" s="123">
        <v>0</v>
      </c>
      <c r="AF808" s="123">
        <v>0</v>
      </c>
      <c r="AG808" s="151">
        <f t="shared" si="151"/>
        <v>104104</v>
      </c>
      <c r="AH808" s="123">
        <f>106566-2462</f>
        <v>104104</v>
      </c>
      <c r="AJ808" s="123">
        <v>0</v>
      </c>
    </row>
    <row r="809" spans="1:41" s="123" customFormat="1" ht="16.2" thickBot="1" x14ac:dyDescent="0.35">
      <c r="A809" s="21"/>
      <c r="B809" s="212" t="s">
        <v>104</v>
      </c>
      <c r="C809" s="31" t="str">
        <f>VLOOKUP((CONCATENATE(B809)),ID!$A$2:$D$305,3,0)</f>
        <v>OT019</v>
      </c>
      <c r="D809" s="21">
        <v>1</v>
      </c>
      <c r="E809" s="21" t="s">
        <v>3903</v>
      </c>
      <c r="F809" s="21" t="s">
        <v>1117</v>
      </c>
      <c r="G809" s="21" t="s">
        <v>3853</v>
      </c>
      <c r="H809" s="88">
        <v>4992</v>
      </c>
      <c r="I809" s="43"/>
      <c r="J809" s="43"/>
      <c r="K809" s="21"/>
      <c r="L809" s="43"/>
      <c r="M809" s="43"/>
      <c r="N809" s="43"/>
      <c r="O809" s="21" t="s">
        <v>3785</v>
      </c>
      <c r="P809" s="194" t="str">
        <f t="shared" si="152"/>
        <v>1</v>
      </c>
      <c r="Q809" s="21">
        <v>1</v>
      </c>
      <c r="R809" s="39" t="str">
        <f t="shared" si="158"/>
        <v>-</v>
      </c>
      <c r="S809" s="120">
        <f t="shared" si="159"/>
        <v>3259487</v>
      </c>
      <c r="T809" s="123">
        <v>3642647</v>
      </c>
      <c r="U809" s="123">
        <f>457028+1365771</f>
        <v>1822799</v>
      </c>
      <c r="V809" s="123">
        <f t="shared" si="153"/>
        <v>1819848</v>
      </c>
      <c r="W809" s="122" t="str">
        <f t="shared" si="154"/>
        <v>1</v>
      </c>
      <c r="X809" s="123">
        <f>256660+126500</f>
        <v>383160</v>
      </c>
      <c r="Y809" s="123">
        <v>126500</v>
      </c>
      <c r="Z809" s="123">
        <f t="shared" si="155"/>
        <v>256660</v>
      </c>
      <c r="AA809" s="122" t="str">
        <f t="shared" si="156"/>
        <v>1</v>
      </c>
      <c r="AB809" s="120">
        <f t="shared" si="157"/>
        <v>0</v>
      </c>
      <c r="AC809" s="123">
        <v>0</v>
      </c>
      <c r="AD809" s="123">
        <v>0</v>
      </c>
      <c r="AE809" s="123">
        <v>147674</v>
      </c>
      <c r="AF809" s="123">
        <v>0</v>
      </c>
      <c r="AG809" s="151">
        <f t="shared" si="151"/>
        <v>411572</v>
      </c>
      <c r="AH809" s="123">
        <f>543625+23981-108955-23410</f>
        <v>435241</v>
      </c>
      <c r="AJ809" s="123">
        <v>94700</v>
      </c>
      <c r="AL809" s="123">
        <v>23669</v>
      </c>
    </row>
    <row r="810" spans="1:41" s="123" customFormat="1" ht="16.2" thickBot="1" x14ac:dyDescent="0.35">
      <c r="A810" s="21"/>
      <c r="B810" s="212" t="s">
        <v>108</v>
      </c>
      <c r="C810" s="31" t="str">
        <f>VLOOKUP((CONCATENATE(B810)),ID!$A$2:$D$305,3,0)</f>
        <v>OT020</v>
      </c>
      <c r="D810" s="21">
        <v>1</v>
      </c>
      <c r="E810" s="21" t="s">
        <v>3903</v>
      </c>
      <c r="F810" s="21" t="s">
        <v>1117</v>
      </c>
      <c r="G810" s="21" t="s">
        <v>3853</v>
      </c>
      <c r="H810" s="88">
        <v>3653</v>
      </c>
      <c r="I810" s="43">
        <v>3708</v>
      </c>
      <c r="J810" s="43">
        <v>3707</v>
      </c>
      <c r="K810" s="21">
        <v>1</v>
      </c>
      <c r="L810" s="43">
        <v>3714</v>
      </c>
      <c r="M810" s="43">
        <v>3721</v>
      </c>
      <c r="N810" s="43">
        <v>3721</v>
      </c>
      <c r="O810" s="21" t="s">
        <v>3899</v>
      </c>
      <c r="P810" s="194" t="str">
        <f t="shared" si="152"/>
        <v>1</v>
      </c>
      <c r="Q810" s="21">
        <v>1</v>
      </c>
      <c r="R810" s="39" t="str">
        <f t="shared" si="158"/>
        <v>-</v>
      </c>
      <c r="S810" s="120">
        <f t="shared" si="159"/>
        <v>1289751</v>
      </c>
      <c r="T810" s="123">
        <v>1311457</v>
      </c>
      <c r="U810" s="123">
        <f>982767</f>
        <v>982767</v>
      </c>
      <c r="V810" s="123">
        <f t="shared" si="153"/>
        <v>328690</v>
      </c>
      <c r="W810" s="122" t="str">
        <f t="shared" si="154"/>
        <v>1</v>
      </c>
      <c r="X810" s="123">
        <v>21706</v>
      </c>
      <c r="Y810" s="123">
        <v>0</v>
      </c>
      <c r="Z810" s="123">
        <f t="shared" si="155"/>
        <v>21706</v>
      </c>
      <c r="AA810" s="122" t="str">
        <f t="shared" si="156"/>
        <v>1</v>
      </c>
      <c r="AB810" s="120">
        <f t="shared" si="157"/>
        <v>0</v>
      </c>
      <c r="AC810" s="123">
        <v>0</v>
      </c>
      <c r="AD810" s="123">
        <v>0</v>
      </c>
      <c r="AE810" s="123">
        <v>62059</v>
      </c>
      <c r="AG810" s="151">
        <f t="shared" si="151"/>
        <v>146606</v>
      </c>
      <c r="AH810" s="123">
        <f>146606+AI810</f>
        <v>151583</v>
      </c>
      <c r="AI810" s="123">
        <v>4977</v>
      </c>
      <c r="AJ810" s="123">
        <v>37762</v>
      </c>
      <c r="AK810" s="123">
        <v>15000</v>
      </c>
      <c r="AM810" s="123">
        <v>166888</v>
      </c>
      <c r="AO810" s="123">
        <f>500170+626320</f>
        <v>1126490</v>
      </c>
    </row>
    <row r="811" spans="1:41" s="123" customFormat="1" ht="16.2" thickBot="1" x14ac:dyDescent="0.35">
      <c r="A811" s="21">
        <v>132.1</v>
      </c>
      <c r="B811" s="212" t="s">
        <v>108</v>
      </c>
      <c r="C811" s="31" t="str">
        <f>VLOOKUP((CONCATENATE(B811)),ID!$A$2:$D$305,3,0)</f>
        <v>OT020</v>
      </c>
      <c r="D811" s="21">
        <v>1</v>
      </c>
      <c r="E811" s="21" t="s">
        <v>3903</v>
      </c>
      <c r="F811" s="21" t="s">
        <v>1117</v>
      </c>
      <c r="G811" s="21" t="s">
        <v>3853</v>
      </c>
      <c r="H811" s="88">
        <v>4018</v>
      </c>
      <c r="I811" s="43">
        <v>4064</v>
      </c>
      <c r="J811" s="43">
        <v>4062</v>
      </c>
      <c r="K811" s="21">
        <v>1</v>
      </c>
      <c r="L811" s="43">
        <v>4069</v>
      </c>
      <c r="M811" s="43">
        <v>4078</v>
      </c>
      <c r="N811" s="43">
        <v>4078</v>
      </c>
      <c r="O811" s="21" t="s">
        <v>3899</v>
      </c>
      <c r="P811" s="194" t="str">
        <f t="shared" si="152"/>
        <v>1</v>
      </c>
      <c r="Q811" s="21">
        <v>1</v>
      </c>
      <c r="R811" s="39" t="str">
        <f t="shared" si="158"/>
        <v>-</v>
      </c>
      <c r="S811" s="120">
        <f t="shared" si="159"/>
        <v>1287288</v>
      </c>
      <c r="T811" s="123">
        <v>1310564</v>
      </c>
      <c r="U811" s="123">
        <f>983615</f>
        <v>983615</v>
      </c>
      <c r="V811" s="123">
        <f t="shared" si="153"/>
        <v>326949</v>
      </c>
      <c r="W811" s="122" t="str">
        <f t="shared" si="154"/>
        <v>1</v>
      </c>
      <c r="X811" s="123">
        <f>23276</f>
        <v>23276</v>
      </c>
      <c r="Y811" s="123">
        <v>0</v>
      </c>
      <c r="Z811" s="123">
        <f t="shared" si="155"/>
        <v>23276</v>
      </c>
      <c r="AA811" s="122" t="str">
        <f t="shared" si="156"/>
        <v>1</v>
      </c>
      <c r="AB811" s="120">
        <f t="shared" si="157"/>
        <v>0</v>
      </c>
      <c r="AC811" s="123">
        <v>0</v>
      </c>
      <c r="AD811" s="123">
        <v>0</v>
      </c>
      <c r="AE811" s="123">
        <v>52993</v>
      </c>
      <c r="AG811" s="151">
        <f t="shared" si="151"/>
        <v>94194</v>
      </c>
      <c r="AH811" s="123">
        <f>94194+AI811</f>
        <v>100418</v>
      </c>
      <c r="AI811" s="123">
        <v>6224</v>
      </c>
      <c r="AJ811" s="123">
        <v>37679</v>
      </c>
      <c r="AK811" s="123">
        <v>10000</v>
      </c>
      <c r="AM811" s="123">
        <v>109615</v>
      </c>
      <c r="AO811" s="123">
        <f>500170+626320</f>
        <v>1126490</v>
      </c>
    </row>
    <row r="812" spans="1:41" s="123" customFormat="1" ht="16.2" thickBot="1" x14ac:dyDescent="0.35">
      <c r="A812" s="21">
        <v>132.19999999999999</v>
      </c>
      <c r="B812" s="212" t="s">
        <v>108</v>
      </c>
      <c r="C812" s="31" t="str">
        <f>VLOOKUP((CONCATENATE(B812)),ID!$A$2:$D$305,3,0)</f>
        <v>OT020</v>
      </c>
      <c r="D812" s="21">
        <v>1</v>
      </c>
      <c r="E812" s="21" t="s">
        <v>3903</v>
      </c>
      <c r="F812" s="21" t="s">
        <v>1117</v>
      </c>
      <c r="G812" s="21" t="s">
        <v>3853</v>
      </c>
      <c r="H812" s="88">
        <v>4383</v>
      </c>
      <c r="I812" s="43">
        <v>4435</v>
      </c>
      <c r="J812" s="43">
        <v>4433</v>
      </c>
      <c r="K812" s="21">
        <v>1</v>
      </c>
      <c r="L812" s="43">
        <v>4440</v>
      </c>
      <c r="M812" s="43">
        <v>4449</v>
      </c>
      <c r="N812" s="43">
        <v>4449</v>
      </c>
      <c r="O812" s="21" t="s">
        <v>3899</v>
      </c>
      <c r="P812" s="194" t="str">
        <f t="shared" si="152"/>
        <v>1</v>
      </c>
      <c r="Q812" s="21">
        <v>1</v>
      </c>
      <c r="R812" s="39" t="str">
        <f t="shared" si="158"/>
        <v>-</v>
      </c>
      <c r="S812" s="120">
        <f t="shared" si="159"/>
        <v>1278776</v>
      </c>
      <c r="T812" s="123">
        <v>1307102</v>
      </c>
      <c r="U812" s="123">
        <v>985131</v>
      </c>
      <c r="V812" s="123">
        <f t="shared" si="153"/>
        <v>321971</v>
      </c>
      <c r="W812" s="122" t="str">
        <f t="shared" si="154"/>
        <v>1</v>
      </c>
      <c r="X812" s="123">
        <v>28326</v>
      </c>
      <c r="Y812" s="123">
        <v>0</v>
      </c>
      <c r="Z812" s="123">
        <f t="shared" si="155"/>
        <v>28326</v>
      </c>
      <c r="AA812" s="122" t="str">
        <f t="shared" si="156"/>
        <v>1</v>
      </c>
      <c r="AB812" s="120">
        <f t="shared" si="157"/>
        <v>0</v>
      </c>
      <c r="AC812" s="123">
        <v>0</v>
      </c>
      <c r="AD812" s="123">
        <v>0</v>
      </c>
      <c r="AE812" s="123">
        <v>62642</v>
      </c>
      <c r="AG812" s="151">
        <f t="shared" si="151"/>
        <v>76349</v>
      </c>
      <c r="AH812" s="123">
        <f>76349+AI812</f>
        <v>82966</v>
      </c>
      <c r="AI812" s="123">
        <v>6617</v>
      </c>
      <c r="AJ812" s="123">
        <v>37679</v>
      </c>
      <c r="AK812" s="123">
        <v>7000</v>
      </c>
      <c r="AM812" s="123">
        <v>90195</v>
      </c>
      <c r="AO812" s="123">
        <f>500170+626320</f>
        <v>1126490</v>
      </c>
    </row>
    <row r="813" spans="1:41" s="123" customFormat="1" ht="16.2" thickBot="1" x14ac:dyDescent="0.35">
      <c r="A813" s="21"/>
      <c r="B813" s="212" t="s">
        <v>108</v>
      </c>
      <c r="C813" s="31" t="str">
        <f>VLOOKUP((CONCATENATE(B813)),ID!$A$2:$D$305,3,0)</f>
        <v>OT020</v>
      </c>
      <c r="D813" s="21">
        <v>1</v>
      </c>
      <c r="E813" s="21" t="s">
        <v>3903</v>
      </c>
      <c r="F813" s="21" t="s">
        <v>1117</v>
      </c>
      <c r="G813" s="21" t="s">
        <v>3853</v>
      </c>
      <c r="H813" s="88">
        <v>4749</v>
      </c>
      <c r="I813" s="43">
        <v>4806</v>
      </c>
      <c r="J813" s="43">
        <v>4800</v>
      </c>
      <c r="K813" s="21">
        <v>0</v>
      </c>
      <c r="L813" s="43"/>
      <c r="M813" s="43"/>
      <c r="N813" s="43">
        <v>4820</v>
      </c>
      <c r="O813" s="21" t="s">
        <v>3899</v>
      </c>
      <c r="P813" s="194" t="str">
        <f t="shared" si="152"/>
        <v>1</v>
      </c>
      <c r="Q813" s="21">
        <v>1</v>
      </c>
      <c r="R813" s="39" t="str">
        <f t="shared" si="158"/>
        <v>-</v>
      </c>
      <c r="S813" s="120">
        <f t="shared" si="159"/>
        <v>1231462</v>
      </c>
      <c r="T813" s="123">
        <v>1261504</v>
      </c>
      <c r="U813" s="123">
        <v>1005707</v>
      </c>
      <c r="V813" s="123">
        <f t="shared" si="153"/>
        <v>255797</v>
      </c>
      <c r="W813" s="122" t="str">
        <f t="shared" si="154"/>
        <v>1</v>
      </c>
      <c r="X813" s="123">
        <v>30042</v>
      </c>
      <c r="Y813" s="123">
        <v>0</v>
      </c>
      <c r="Z813" s="123">
        <f t="shared" si="155"/>
        <v>30042</v>
      </c>
      <c r="AA813" s="122" t="str">
        <f t="shared" si="156"/>
        <v>1</v>
      </c>
      <c r="AB813" s="120">
        <f t="shared" si="157"/>
        <v>0</v>
      </c>
      <c r="AC813" s="123">
        <v>0</v>
      </c>
      <c r="AD813" s="123">
        <v>0</v>
      </c>
      <c r="AE813" s="123">
        <v>50996</v>
      </c>
      <c r="AG813" s="151">
        <f t="shared" si="151"/>
        <v>37548</v>
      </c>
      <c r="AH813" s="123">
        <f>37548+AI813</f>
        <v>44273</v>
      </c>
      <c r="AI813" s="123">
        <v>6725</v>
      </c>
      <c r="AJ813" s="123">
        <v>37679</v>
      </c>
      <c r="AM813" s="123">
        <v>44995</v>
      </c>
      <c r="AO813" s="123">
        <f>500170+626320</f>
        <v>1126490</v>
      </c>
    </row>
    <row r="814" spans="1:41" s="123" customFormat="1" ht="16.2" thickBot="1" x14ac:dyDescent="0.35">
      <c r="A814" s="21"/>
      <c r="B814" s="212" t="s">
        <v>108</v>
      </c>
      <c r="C814" s="31" t="str">
        <f>VLOOKUP((CONCATENATE(B814)),ID!$A$2:$D$305,3,0)</f>
        <v>OT020</v>
      </c>
      <c r="D814" s="21">
        <v>1</v>
      </c>
      <c r="E814" s="21" t="s">
        <v>3903</v>
      </c>
      <c r="F814" s="21" t="s">
        <v>1117</v>
      </c>
      <c r="G814" s="21" t="s">
        <v>3853</v>
      </c>
      <c r="H814" s="88">
        <v>5114</v>
      </c>
      <c r="I814" s="43">
        <v>5171</v>
      </c>
      <c r="J814" s="43">
        <v>5169</v>
      </c>
      <c r="K814" s="21">
        <v>1</v>
      </c>
      <c r="L814" s="43">
        <v>5175</v>
      </c>
      <c r="M814" s="43">
        <v>5184</v>
      </c>
      <c r="N814" s="43">
        <v>5184</v>
      </c>
      <c r="O814" s="21" t="s">
        <v>3899</v>
      </c>
      <c r="P814" s="194" t="str">
        <f t="shared" si="152"/>
        <v>1</v>
      </c>
      <c r="Q814" s="21">
        <v>1</v>
      </c>
      <c r="R814" s="39" t="str">
        <f t="shared" si="158"/>
        <v>-</v>
      </c>
      <c r="S814" s="120">
        <f t="shared" si="159"/>
        <v>1256746</v>
      </c>
      <c r="T814" s="123">
        <v>1276351</v>
      </c>
      <c r="U814" s="123">
        <f>1002687</f>
        <v>1002687</v>
      </c>
      <c r="V814" s="123">
        <f t="shared" si="153"/>
        <v>273664</v>
      </c>
      <c r="W814" s="122" t="str">
        <f t="shared" si="154"/>
        <v>1</v>
      </c>
      <c r="X814" s="123">
        <v>19605</v>
      </c>
      <c r="Y814" s="123">
        <v>0</v>
      </c>
      <c r="Z814" s="123">
        <f t="shared" si="155"/>
        <v>19605</v>
      </c>
      <c r="AA814" s="122" t="str">
        <f t="shared" si="156"/>
        <v>1</v>
      </c>
      <c r="AB814" s="120">
        <f t="shared" si="157"/>
        <v>0</v>
      </c>
      <c r="AC814" s="123">
        <v>0</v>
      </c>
      <c r="AD814" s="123">
        <v>0</v>
      </c>
      <c r="AE814" s="123">
        <v>38487</v>
      </c>
      <c r="AG814" s="151">
        <f t="shared" si="151"/>
        <v>62964</v>
      </c>
      <c r="AH814" s="123">
        <f>62964+AI814</f>
        <v>67226</v>
      </c>
      <c r="AI814" s="123">
        <v>4262</v>
      </c>
      <c r="AJ814" s="123">
        <v>37679</v>
      </c>
      <c r="AK814" s="123">
        <v>10000</v>
      </c>
      <c r="AM814" s="123">
        <v>79031</v>
      </c>
      <c r="AO814" s="123">
        <f>500170+626320</f>
        <v>1126490</v>
      </c>
    </row>
    <row r="815" spans="1:41" s="228" customFormat="1" ht="16.2" thickBot="1" x14ac:dyDescent="0.35">
      <c r="A815" s="221"/>
      <c r="B815" s="222" t="s">
        <v>109</v>
      </c>
      <c r="C815" s="223" t="str">
        <f>VLOOKUP((CONCATENATE(B815)),ID!$A$2:$D$305,3,0)</f>
        <v>OT021</v>
      </c>
      <c r="D815" s="221">
        <v>1</v>
      </c>
      <c r="E815" s="221" t="s">
        <v>3903</v>
      </c>
      <c r="F815" s="221" t="s">
        <v>1117</v>
      </c>
      <c r="G815" s="221" t="s">
        <v>3853</v>
      </c>
      <c r="H815" s="224">
        <v>3653</v>
      </c>
      <c r="I815" s="225">
        <v>3731</v>
      </c>
      <c r="J815" s="225">
        <v>3726</v>
      </c>
      <c r="K815" s="221">
        <v>0</v>
      </c>
      <c r="L815" s="225"/>
      <c r="M815" s="225"/>
      <c r="N815" s="225"/>
      <c r="O815" s="221" t="s">
        <v>3785</v>
      </c>
      <c r="P815" s="226" t="str">
        <f t="shared" si="152"/>
        <v>?</v>
      </c>
      <c r="Q815" s="221">
        <v>1</v>
      </c>
      <c r="R815" s="226" t="str">
        <f t="shared" si="158"/>
        <v>-</v>
      </c>
      <c r="W815" s="229" t="str">
        <f t="shared" si="154"/>
        <v>1</v>
      </c>
      <c r="Z815" s="228">
        <f t="shared" si="155"/>
        <v>0</v>
      </c>
      <c r="AA815" s="229" t="str">
        <f>IF(Z815+Y815=X815,"1","0")</f>
        <v>1</v>
      </c>
      <c r="AB815" s="227">
        <f>SUM(AC815+AD815)</f>
        <v>0</v>
      </c>
    </row>
    <row r="816" spans="1:41" s="228" customFormat="1" ht="16.2" thickBot="1" x14ac:dyDescent="0.35">
      <c r="A816" s="221">
        <v>133.1</v>
      </c>
      <c r="B816" s="222" t="s">
        <v>109</v>
      </c>
      <c r="C816" s="223" t="str">
        <f>VLOOKUP((CONCATENATE(B816)),ID!$A$2:$D$305,3,0)</f>
        <v>OT021</v>
      </c>
      <c r="D816" s="221">
        <v>1</v>
      </c>
      <c r="E816" s="221" t="s">
        <v>3903</v>
      </c>
      <c r="F816" s="221" t="s">
        <v>1117</v>
      </c>
      <c r="G816" s="221" t="s">
        <v>3853</v>
      </c>
      <c r="H816" s="224">
        <v>4018</v>
      </c>
      <c r="I816" s="221"/>
      <c r="J816" s="221"/>
      <c r="K816" s="221">
        <v>0</v>
      </c>
      <c r="L816" s="221"/>
      <c r="M816" s="221"/>
      <c r="N816" s="221"/>
      <c r="O816" s="221" t="s">
        <v>3785</v>
      </c>
      <c r="P816" s="226" t="str">
        <f t="shared" si="152"/>
        <v>?</v>
      </c>
      <c r="Q816" s="221">
        <v>1</v>
      </c>
      <c r="R816" s="226" t="str">
        <f t="shared" si="158"/>
        <v>-</v>
      </c>
      <c r="W816" s="229" t="str">
        <f t="shared" si="154"/>
        <v>1</v>
      </c>
      <c r="Z816" s="228">
        <f t="shared" si="155"/>
        <v>0</v>
      </c>
      <c r="AA816" s="229" t="str">
        <f>IF(Z816+Y816=X816,"1","0")</f>
        <v>1</v>
      </c>
      <c r="AB816" s="227">
        <f>SUM(AC816+AD816)</f>
        <v>0</v>
      </c>
    </row>
    <row r="817" spans="1:41" s="228" customFormat="1" ht="16.2" thickBot="1" x14ac:dyDescent="0.35">
      <c r="A817" s="221">
        <v>133.19999999999999</v>
      </c>
      <c r="B817" s="222" t="s">
        <v>109</v>
      </c>
      <c r="C817" s="223" t="str">
        <f>VLOOKUP((CONCATENATE(B817)),ID!$A$2:$D$305,3,0)</f>
        <v>OT021</v>
      </c>
      <c r="D817" s="221">
        <v>1</v>
      </c>
      <c r="E817" s="221" t="s">
        <v>3903</v>
      </c>
      <c r="F817" s="221" t="s">
        <v>1117</v>
      </c>
      <c r="G817" s="221" t="s">
        <v>3853</v>
      </c>
      <c r="H817" s="224">
        <v>4383</v>
      </c>
      <c r="I817" s="225">
        <v>4466</v>
      </c>
      <c r="J817" s="225">
        <v>4461</v>
      </c>
      <c r="K817" s="221">
        <v>0</v>
      </c>
      <c r="L817" s="221"/>
      <c r="M817" s="221"/>
      <c r="N817" s="221"/>
      <c r="O817" s="221" t="s">
        <v>3785</v>
      </c>
      <c r="P817" s="226" t="str">
        <f t="shared" si="152"/>
        <v>1</v>
      </c>
      <c r="Q817" s="221">
        <v>1</v>
      </c>
      <c r="R817" s="226" t="str">
        <f t="shared" si="158"/>
        <v>-</v>
      </c>
      <c r="S817" s="227">
        <f t="shared" si="159"/>
        <v>1578871</v>
      </c>
      <c r="T817" s="228">
        <v>1780476</v>
      </c>
      <c r="U817" s="228">
        <f>191187+741472+82740+140500</f>
        <v>1155899</v>
      </c>
      <c r="V817" s="228">
        <f>T817-U817</f>
        <v>624577</v>
      </c>
      <c r="W817" s="229" t="str">
        <f t="shared" si="154"/>
        <v>1</v>
      </c>
      <c r="X817" s="228">
        <f>Y817+86258+60401+17480+67</f>
        <v>201605</v>
      </c>
      <c r="Y817" s="228">
        <v>37399</v>
      </c>
      <c r="Z817" s="228">
        <f t="shared" si="155"/>
        <v>164206</v>
      </c>
      <c r="AA817" s="229" t="str">
        <f>IF(Z817+Y817=X817,"1","0")</f>
        <v>1</v>
      </c>
      <c r="AB817" s="227">
        <f>SUM(AC817+AD817)</f>
        <v>0</v>
      </c>
      <c r="AC817" s="228">
        <v>0</v>
      </c>
      <c r="AD817" s="228">
        <v>0</v>
      </c>
      <c r="AE817" s="228">
        <v>48823</v>
      </c>
      <c r="AF817" s="228">
        <v>140500</v>
      </c>
      <c r="AG817" s="230">
        <f t="shared" si="151"/>
        <v>127646</v>
      </c>
      <c r="AH817" s="228">
        <f>144378-16732</f>
        <v>127646</v>
      </c>
      <c r="AJ817" s="228">
        <v>30000</v>
      </c>
      <c r="AO817" s="228">
        <f>675000+600000</f>
        <v>1275000</v>
      </c>
    </row>
    <row r="818" spans="1:41" s="228" customFormat="1" ht="16.2" thickBot="1" x14ac:dyDescent="0.35">
      <c r="A818" s="221"/>
      <c r="B818" s="222" t="s">
        <v>109</v>
      </c>
      <c r="C818" s="223" t="str">
        <f>VLOOKUP((CONCATENATE(B818)),ID!$A$2:$D$305,3,0)</f>
        <v>OT021</v>
      </c>
      <c r="D818" s="221">
        <v>1</v>
      </c>
      <c r="E818" s="221" t="s">
        <v>3903</v>
      </c>
      <c r="F818" s="221" t="s">
        <v>1117</v>
      </c>
      <c r="G818" s="221" t="s">
        <v>3853</v>
      </c>
      <c r="H818" s="224">
        <v>4749</v>
      </c>
      <c r="I818" s="225">
        <v>4827</v>
      </c>
      <c r="J818" s="225">
        <v>4822</v>
      </c>
      <c r="K818" s="221">
        <v>0</v>
      </c>
      <c r="L818" s="221"/>
      <c r="M818" s="221"/>
      <c r="N818" s="221"/>
      <c r="O818" s="221" t="s">
        <v>3785</v>
      </c>
      <c r="P818" s="226" t="str">
        <f t="shared" si="152"/>
        <v>1</v>
      </c>
      <c r="Q818" s="221">
        <v>1</v>
      </c>
      <c r="R818" s="226" t="str">
        <f t="shared" si="158"/>
        <v>-</v>
      </c>
      <c r="S818" s="227">
        <f t="shared" si="159"/>
        <v>1627415</v>
      </c>
      <c r="T818" s="228">
        <v>1839532</v>
      </c>
      <c r="U818" s="228">
        <f>198539+805224+92132+140500</f>
        <v>1236395</v>
      </c>
      <c r="V818" s="228">
        <f t="shared" si="153"/>
        <v>603137</v>
      </c>
      <c r="W818" s="229" t="str">
        <f t="shared" si="154"/>
        <v>1</v>
      </c>
      <c r="X818" s="228">
        <f>35297+136+17479+76096+83109</f>
        <v>212117</v>
      </c>
      <c r="Y818" s="228">
        <v>35297</v>
      </c>
      <c r="Z818" s="228">
        <f t="shared" si="155"/>
        <v>176820</v>
      </c>
      <c r="AA818" s="229" t="str">
        <f t="shared" si="156"/>
        <v>1</v>
      </c>
      <c r="AB818" s="227">
        <f t="shared" si="157"/>
        <v>0</v>
      </c>
      <c r="AC818" s="228">
        <v>0</v>
      </c>
      <c r="AD818" s="228">
        <v>0</v>
      </c>
      <c r="AE818" s="228">
        <v>51269</v>
      </c>
      <c r="AF818" s="228">
        <v>140500</v>
      </c>
      <c r="AG818" s="230">
        <f t="shared" si="151"/>
        <v>130362</v>
      </c>
      <c r="AH818" s="228">
        <f>146754-16392</f>
        <v>130362</v>
      </c>
      <c r="AJ818" s="228">
        <v>30000</v>
      </c>
      <c r="AO818" s="228">
        <f>675000+600000</f>
        <v>1275000</v>
      </c>
    </row>
    <row r="819" spans="1:41" s="228" customFormat="1" ht="16.2" thickBot="1" x14ac:dyDescent="0.35">
      <c r="A819" s="221"/>
      <c r="B819" s="222" t="s">
        <v>109</v>
      </c>
      <c r="C819" s="223" t="str">
        <f>VLOOKUP((CONCATENATE(B819)),ID!$A$2:$D$305,3,0)</f>
        <v>OT021</v>
      </c>
      <c r="D819" s="221">
        <v>1</v>
      </c>
      <c r="E819" s="221" t="s">
        <v>3903</v>
      </c>
      <c r="F819" s="221" t="s">
        <v>1117</v>
      </c>
      <c r="G819" s="221" t="s">
        <v>3853</v>
      </c>
      <c r="H819" s="224">
        <v>5114</v>
      </c>
      <c r="I819" s="225">
        <v>5194</v>
      </c>
      <c r="J819" s="225">
        <v>5190</v>
      </c>
      <c r="K819" s="221">
        <v>0</v>
      </c>
      <c r="L819" s="221"/>
      <c r="M819" s="221"/>
      <c r="N819" s="221"/>
      <c r="O819" s="221" t="s">
        <v>3785</v>
      </c>
      <c r="P819" s="226" t="str">
        <f t="shared" si="152"/>
        <v>1</v>
      </c>
      <c r="Q819" s="221">
        <v>1</v>
      </c>
      <c r="R819" s="226" t="str">
        <f t="shared" si="158"/>
        <v>-</v>
      </c>
      <c r="S819" s="227">
        <f t="shared" si="159"/>
        <v>1694904</v>
      </c>
      <c r="T819" s="228">
        <v>1984022</v>
      </c>
      <c r="U819" s="228">
        <f>216833+872974+98454+140500</f>
        <v>1328761</v>
      </c>
      <c r="V819" s="228">
        <f t="shared" si="153"/>
        <v>655261</v>
      </c>
      <c r="W819" s="229" t="str">
        <f t="shared" si="154"/>
        <v>1</v>
      </c>
      <c r="X819" s="228">
        <f>33155+41+17479+113386+125057</f>
        <v>289118</v>
      </c>
      <c r="Y819" s="228">
        <v>33155</v>
      </c>
      <c r="Z819" s="228">
        <f t="shared" si="155"/>
        <v>255963</v>
      </c>
      <c r="AA819" s="229" t="str">
        <f t="shared" si="156"/>
        <v>1</v>
      </c>
      <c r="AB819" s="227">
        <f t="shared" si="157"/>
        <v>0</v>
      </c>
      <c r="AC819" s="228">
        <v>0</v>
      </c>
      <c r="AD819" s="228">
        <v>0</v>
      </c>
      <c r="AE819" s="228">
        <v>41176</v>
      </c>
      <c r="AF819" s="228">
        <v>140500</v>
      </c>
      <c r="AG819" s="230">
        <f t="shared" si="151"/>
        <v>142493</v>
      </c>
      <c r="AH819" s="228">
        <f>166122-23629</f>
        <v>142493</v>
      </c>
      <c r="AJ819" s="228">
        <v>30000</v>
      </c>
      <c r="AO819" s="228">
        <f>675000+600000</f>
        <v>1275000</v>
      </c>
    </row>
    <row r="820" spans="1:41" s="123" customFormat="1" ht="16.2" thickBot="1" x14ac:dyDescent="0.35">
      <c r="A820" s="21"/>
      <c r="B820" s="212" t="s">
        <v>114</v>
      </c>
      <c r="C820" s="31" t="str">
        <f>VLOOKUP((CONCATENATE(B820)),ID!$A$2:$D$305,3,0)</f>
        <v>OT022</v>
      </c>
      <c r="D820" s="21">
        <v>1</v>
      </c>
      <c r="E820" s="21" t="s">
        <v>3903</v>
      </c>
      <c r="F820" s="21" t="s">
        <v>3812</v>
      </c>
      <c r="G820" s="21" t="s">
        <v>3853</v>
      </c>
      <c r="H820" s="88">
        <v>3743</v>
      </c>
      <c r="I820" s="43">
        <v>3847</v>
      </c>
      <c r="J820" s="43">
        <v>3842</v>
      </c>
      <c r="K820" s="21">
        <v>1</v>
      </c>
      <c r="L820" s="43">
        <v>3859</v>
      </c>
      <c r="M820" s="43">
        <v>3873</v>
      </c>
      <c r="N820" s="43">
        <v>3855</v>
      </c>
      <c r="O820" s="21" t="s">
        <v>3918</v>
      </c>
      <c r="P820" s="194" t="str">
        <f t="shared" si="152"/>
        <v>1</v>
      </c>
      <c r="Q820" s="21">
        <v>1</v>
      </c>
      <c r="R820" s="39" t="str">
        <f t="shared" si="158"/>
        <v>-</v>
      </c>
      <c r="S820" s="120">
        <f>T820-X820</f>
        <v>2664603</v>
      </c>
      <c r="T820" s="123">
        <v>3766383</v>
      </c>
      <c r="U820" s="123">
        <f>2404518+249638</f>
        <v>2654156</v>
      </c>
      <c r="V820" s="123">
        <f>T820-U820</f>
        <v>1112227</v>
      </c>
      <c r="W820" s="122" t="str">
        <f>IF(V820+U820=T820,"1","0")</f>
        <v>1</v>
      </c>
      <c r="X820" s="123">
        <f>13913+120597+967270</f>
        <v>1101780</v>
      </c>
      <c r="Y820" s="123">
        <f>13913+957694</f>
        <v>971607</v>
      </c>
      <c r="Z820" s="123">
        <f>X820-Y820</f>
        <v>130173</v>
      </c>
      <c r="AA820" s="122" t="str">
        <f>IF(Z820+Y820=X820,"1","0")</f>
        <v>1</v>
      </c>
      <c r="AB820" s="120">
        <f>SUM(AC820+AD820)</f>
        <v>967270</v>
      </c>
      <c r="AC820" s="123">
        <v>0</v>
      </c>
      <c r="AD820" s="123">
        <v>967270</v>
      </c>
      <c r="AE820" s="123">
        <v>159204</v>
      </c>
      <c r="AG820" s="151">
        <f>AH820-AL820-AI820</f>
        <v>346359</v>
      </c>
      <c r="AH820" s="123">
        <f>346359+AL820</f>
        <v>384666</v>
      </c>
      <c r="AJ820" s="123">
        <v>50000</v>
      </c>
      <c r="AK820" s="123">
        <v>21876</v>
      </c>
      <c r="AL820" s="123">
        <v>38307</v>
      </c>
      <c r="AO820" s="123">
        <v>2000000</v>
      </c>
    </row>
    <row r="821" spans="1:41" s="123" customFormat="1" ht="16.2" thickBot="1" x14ac:dyDescent="0.35">
      <c r="A821" s="21">
        <v>134.1</v>
      </c>
      <c r="B821" s="212" t="s">
        <v>114</v>
      </c>
      <c r="C821" s="31" t="str">
        <f>VLOOKUP((CONCATENATE(B821)),ID!$A$2:$D$305,3,0)</f>
        <v>OT022</v>
      </c>
      <c r="D821" s="21">
        <v>1</v>
      </c>
      <c r="E821" s="21" t="s">
        <v>3903</v>
      </c>
      <c r="F821" s="21" t="s">
        <v>3812</v>
      </c>
      <c r="G821" s="21" t="s">
        <v>3853</v>
      </c>
      <c r="H821" s="88">
        <v>4108</v>
      </c>
      <c r="I821" s="43">
        <v>4210</v>
      </c>
      <c r="J821" s="43">
        <v>4205</v>
      </c>
      <c r="K821" s="21">
        <v>1</v>
      </c>
      <c r="L821" s="43">
        <v>4223</v>
      </c>
      <c r="M821" s="43">
        <v>4238</v>
      </c>
      <c r="N821" s="43">
        <v>4219</v>
      </c>
      <c r="O821" s="21" t="s">
        <v>3918</v>
      </c>
      <c r="P821" s="194" t="str">
        <f t="shared" si="152"/>
        <v>1</v>
      </c>
      <c r="Q821" s="21">
        <v>1</v>
      </c>
      <c r="R821" s="39" t="str">
        <f t="shared" si="158"/>
        <v>-</v>
      </c>
      <c r="S821" s="120">
        <f>T821-X821</f>
        <v>2746148</v>
      </c>
      <c r="T821" s="123">
        <v>3824400</v>
      </c>
      <c r="U821" s="123">
        <f>2433627+280966</f>
        <v>2714593</v>
      </c>
      <c r="V821" s="123">
        <f>T821-U821</f>
        <v>1109807</v>
      </c>
      <c r="W821" s="122" t="str">
        <f>IF(V821+U821=T821,"1","0")</f>
        <v>1</v>
      </c>
      <c r="X821" s="123">
        <f>957694+9576+84016+3429+23537</f>
        <v>1078252</v>
      </c>
      <c r="Y821" s="123">
        <f>957694+23537</f>
        <v>981231</v>
      </c>
      <c r="Z821" s="123">
        <f>X821-Y821</f>
        <v>97021</v>
      </c>
      <c r="AA821" s="122" t="str">
        <f>IF(Z821+Y821=X821,"1","0")</f>
        <v>1</v>
      </c>
      <c r="AB821" s="120">
        <f>SUM(AC821+AD821)</f>
        <v>967270</v>
      </c>
      <c r="AC821" s="123">
        <v>0</v>
      </c>
      <c r="AD821" s="123">
        <v>967270</v>
      </c>
      <c r="AE821" s="123">
        <v>346768</v>
      </c>
      <c r="AG821" s="151">
        <f>AH821-AL821-AI821</f>
        <v>238544</v>
      </c>
      <c r="AH821" s="123">
        <f>238544+AL821</f>
        <v>276851</v>
      </c>
      <c r="AJ821" s="123">
        <v>50000</v>
      </c>
      <c r="AK821" s="123">
        <v>22209</v>
      </c>
      <c r="AL821" s="123">
        <v>38307</v>
      </c>
      <c r="AO821" s="123">
        <v>2000000</v>
      </c>
    </row>
    <row r="822" spans="1:41" s="123" customFormat="1" ht="16.2" thickBot="1" x14ac:dyDescent="0.35">
      <c r="A822" s="21">
        <v>134.19999999999999</v>
      </c>
      <c r="B822" s="212" t="s">
        <v>114</v>
      </c>
      <c r="C822" s="31" t="str">
        <f>VLOOKUP((CONCATENATE(B822)),ID!$A$2:$D$305,3,0)</f>
        <v>OT022</v>
      </c>
      <c r="D822" s="21">
        <v>1</v>
      </c>
      <c r="E822" s="21" t="s">
        <v>3903</v>
      </c>
      <c r="F822" s="21" t="s">
        <v>3812</v>
      </c>
      <c r="G822" s="21" t="s">
        <v>3853</v>
      </c>
      <c r="H822" s="88">
        <v>4474</v>
      </c>
      <c r="I822" s="43">
        <v>4574</v>
      </c>
      <c r="J822" s="43">
        <v>4570</v>
      </c>
      <c r="K822" s="21">
        <v>1</v>
      </c>
      <c r="L822" s="43">
        <v>4590</v>
      </c>
      <c r="M822" s="43">
        <v>4604</v>
      </c>
      <c r="N822" s="43">
        <v>4583</v>
      </c>
      <c r="O822" s="21" t="s">
        <v>3918</v>
      </c>
      <c r="P822" s="194" t="str">
        <f t="shared" si="152"/>
        <v>1</v>
      </c>
      <c r="Q822" s="21">
        <v>1</v>
      </c>
      <c r="R822" s="39" t="str">
        <f t="shared" si="158"/>
        <v>-</v>
      </c>
      <c r="S822" s="120">
        <f>T822-X822</f>
        <v>2799499</v>
      </c>
      <c r="T822" s="123">
        <v>3898479</v>
      </c>
      <c r="U822" s="123">
        <f>470577+2539281</f>
        <v>3009858</v>
      </c>
      <c r="V822" s="123">
        <f>T822-U822</f>
        <v>888621</v>
      </c>
      <c r="W822" s="122" t="str">
        <f>IF(V822+U822=T822,"1","0")</f>
        <v>1</v>
      </c>
      <c r="X822" s="123">
        <f>967270+103476+28234</f>
        <v>1098980</v>
      </c>
      <c r="Y822" s="123">
        <f>957694+28234</f>
        <v>985928</v>
      </c>
      <c r="Z822" s="123">
        <f>X822-Y822</f>
        <v>113052</v>
      </c>
      <c r="AA822" s="122" t="str">
        <f>IF(Z822+Y822=X822,"1","0")</f>
        <v>1</v>
      </c>
      <c r="AB822" s="120">
        <f>SUM(AC822+AD822)</f>
        <v>967270</v>
      </c>
      <c r="AC822" s="123">
        <v>0</v>
      </c>
      <c r="AD822" s="123">
        <v>967270</v>
      </c>
      <c r="AE822" s="123">
        <v>131504</v>
      </c>
      <c r="AG822" s="151">
        <f>AH822-AL822-AI822</f>
        <v>211351</v>
      </c>
      <c r="AH822" s="123">
        <f>211351+AL822</f>
        <v>249658</v>
      </c>
      <c r="AJ822" s="123">
        <v>50000</v>
      </c>
      <c r="AK822" s="123">
        <v>22598</v>
      </c>
      <c r="AL822" s="123">
        <v>38307</v>
      </c>
      <c r="AO822" s="123">
        <v>2000000</v>
      </c>
    </row>
    <row r="823" spans="1:41" s="123" customFormat="1" ht="16.2" thickBot="1" x14ac:dyDescent="0.35">
      <c r="A823" s="21"/>
      <c r="B823" s="212" t="s">
        <v>114</v>
      </c>
      <c r="C823" s="31" t="str">
        <f>VLOOKUP((CONCATENATE(B823)),ID!$A$2:$D$305,3,0)</f>
        <v>OT022</v>
      </c>
      <c r="D823" s="21">
        <v>1</v>
      </c>
      <c r="E823" s="21" t="s">
        <v>3903</v>
      </c>
      <c r="F823" s="21" t="s">
        <v>3812</v>
      </c>
      <c r="G823" s="21" t="s">
        <v>3853</v>
      </c>
      <c r="H823" s="88">
        <v>4839</v>
      </c>
      <c r="I823" s="43">
        <v>4938</v>
      </c>
      <c r="J823" s="43">
        <v>4937</v>
      </c>
      <c r="K823" s="21">
        <v>1</v>
      </c>
      <c r="L823" s="43">
        <v>4955</v>
      </c>
      <c r="M823" s="43">
        <v>4969</v>
      </c>
      <c r="N823" s="43">
        <v>4947</v>
      </c>
      <c r="O823" s="21" t="s">
        <v>3918</v>
      </c>
      <c r="P823" s="194" t="str">
        <f t="shared" si="152"/>
        <v>1</v>
      </c>
      <c r="Q823" s="21">
        <v>1</v>
      </c>
      <c r="R823" s="39" t="str">
        <f t="shared" si="158"/>
        <v>-</v>
      </c>
      <c r="S823" s="120">
        <f t="shared" si="159"/>
        <v>2937682</v>
      </c>
      <c r="T823" s="123">
        <v>4028434</v>
      </c>
      <c r="U823" s="123">
        <f>2577891+473432</f>
        <v>3051323</v>
      </c>
      <c r="V823" s="123">
        <f t="shared" si="153"/>
        <v>977111</v>
      </c>
      <c r="W823" s="122" t="str">
        <f t="shared" si="154"/>
        <v>1</v>
      </c>
      <c r="X823" s="123">
        <f>AB823+70489+37252+15741</f>
        <v>1090752</v>
      </c>
      <c r="Y823" s="123">
        <f>957694+15741</f>
        <v>973435</v>
      </c>
      <c r="Z823" s="123">
        <f t="shared" si="155"/>
        <v>117317</v>
      </c>
      <c r="AA823" s="122" t="str">
        <f t="shared" si="156"/>
        <v>1</v>
      </c>
      <c r="AB823" s="120">
        <f t="shared" si="157"/>
        <v>967270</v>
      </c>
      <c r="AC823" s="123">
        <v>0</v>
      </c>
      <c r="AD823" s="123">
        <v>967270</v>
      </c>
      <c r="AE823" s="123">
        <v>166242</v>
      </c>
      <c r="AG823" s="151">
        <f t="shared" ref="AG823:AG884" si="160">AH823-AL823-AI823</f>
        <v>293182</v>
      </c>
      <c r="AH823" s="123">
        <f>293182+AL823</f>
        <v>331489</v>
      </c>
      <c r="AJ823" s="123">
        <v>50000</v>
      </c>
      <c r="AK823" s="123">
        <v>26130</v>
      </c>
      <c r="AL823" s="123">
        <v>38307</v>
      </c>
      <c r="AO823" s="123">
        <v>2000000</v>
      </c>
    </row>
    <row r="824" spans="1:41" s="123" customFormat="1" ht="16.2" thickBot="1" x14ac:dyDescent="0.35">
      <c r="A824" s="21"/>
      <c r="B824" s="212" t="s">
        <v>114</v>
      </c>
      <c r="C824" s="31" t="str">
        <f>VLOOKUP((CONCATENATE(B824)),ID!$A$2:$D$305,3,0)</f>
        <v>OT022</v>
      </c>
      <c r="D824" s="21">
        <v>1</v>
      </c>
      <c r="E824" s="21" t="s">
        <v>3903</v>
      </c>
      <c r="F824" s="21" t="s">
        <v>3812</v>
      </c>
      <c r="G824" s="21" t="s">
        <v>3853</v>
      </c>
      <c r="H824" s="88">
        <v>5204</v>
      </c>
      <c r="I824" s="43">
        <v>5303</v>
      </c>
      <c r="J824" s="43">
        <v>5302</v>
      </c>
      <c r="K824" s="21">
        <v>1</v>
      </c>
      <c r="L824" s="43">
        <v>5319</v>
      </c>
      <c r="M824" s="43">
        <v>5333</v>
      </c>
      <c r="N824" s="43">
        <v>5312</v>
      </c>
      <c r="O824" s="21" t="s">
        <v>3918</v>
      </c>
      <c r="P824" s="194" t="str">
        <f t="shared" si="152"/>
        <v>1</v>
      </c>
      <c r="Q824" s="21">
        <v>1</v>
      </c>
      <c r="R824" s="39" t="str">
        <f t="shared" si="158"/>
        <v>-</v>
      </c>
      <c r="S824" s="120">
        <f t="shared" si="159"/>
        <v>3091437</v>
      </c>
      <c r="T824" s="123">
        <v>4117968</v>
      </c>
      <c r="U824" s="123">
        <f>2576663+515057</f>
        <v>3091720</v>
      </c>
      <c r="V824" s="123">
        <f t="shared" si="153"/>
        <v>1026248</v>
      </c>
      <c r="W824" s="122" t="str">
        <f t="shared" si="154"/>
        <v>1</v>
      </c>
      <c r="X824" s="123">
        <f>AB824+34042+8706+16513</f>
        <v>1026531</v>
      </c>
      <c r="Y824" s="123">
        <f>957694+16513</f>
        <v>974207</v>
      </c>
      <c r="Z824" s="123">
        <f t="shared" si="155"/>
        <v>52324</v>
      </c>
      <c r="AA824" s="122" t="str">
        <f t="shared" si="156"/>
        <v>1</v>
      </c>
      <c r="AB824" s="120">
        <f t="shared" si="157"/>
        <v>967270</v>
      </c>
      <c r="AC824" s="123">
        <v>0</v>
      </c>
      <c r="AD824" s="123">
        <v>967270</v>
      </c>
      <c r="AE824" s="123">
        <v>173934</v>
      </c>
      <c r="AG824" s="151">
        <f t="shared" si="160"/>
        <v>310522</v>
      </c>
      <c r="AH824" s="123">
        <f>310522+AL824</f>
        <v>348829</v>
      </c>
      <c r="AJ824" s="123">
        <v>50000</v>
      </c>
      <c r="AK824" s="123">
        <v>27535</v>
      </c>
      <c r="AL824" s="123">
        <v>38307</v>
      </c>
      <c r="AO824" s="123">
        <v>2000000</v>
      </c>
    </row>
    <row r="825" spans="1:41" s="123" customFormat="1" ht="16.2" thickBot="1" x14ac:dyDescent="0.35">
      <c r="A825" s="21"/>
      <c r="B825" s="212" t="s">
        <v>119</v>
      </c>
      <c r="C825" s="31" t="str">
        <f>VLOOKUP((CONCATENATE(B825)),ID!$A$2:$D$305,3,0)</f>
        <v>OT023</v>
      </c>
      <c r="D825" s="21">
        <v>1</v>
      </c>
      <c r="E825" s="21" t="s">
        <v>3903</v>
      </c>
      <c r="F825" s="21" t="s">
        <v>3812</v>
      </c>
      <c r="G825" s="21" t="s">
        <v>3853</v>
      </c>
      <c r="H825" s="88">
        <v>3743</v>
      </c>
      <c r="I825" s="43">
        <v>3790</v>
      </c>
      <c r="J825" s="43">
        <v>3788</v>
      </c>
      <c r="K825" s="21">
        <v>1</v>
      </c>
      <c r="L825" s="43">
        <v>3790</v>
      </c>
      <c r="M825" s="43">
        <v>3804</v>
      </c>
      <c r="N825" s="43">
        <v>3800</v>
      </c>
      <c r="O825" s="21" t="s">
        <v>3919</v>
      </c>
      <c r="P825" s="194" t="str">
        <f t="shared" si="152"/>
        <v>1</v>
      </c>
      <c r="Q825" s="21">
        <v>1</v>
      </c>
      <c r="R825" s="39" t="str">
        <f t="shared" si="158"/>
        <v>-</v>
      </c>
      <c r="S825" s="120">
        <f t="shared" si="159"/>
        <v>5952917</v>
      </c>
      <c r="T825" s="123">
        <v>9684894</v>
      </c>
      <c r="U825" s="123">
        <f>5117041+1872845</f>
        <v>6989886</v>
      </c>
      <c r="V825" s="123">
        <f t="shared" si="153"/>
        <v>2695008</v>
      </c>
      <c r="W825" s="122" t="str">
        <f t="shared" si="154"/>
        <v>1</v>
      </c>
      <c r="X825" s="123">
        <f>Y825+881736+51791</f>
        <v>3731977</v>
      </c>
      <c r="Y825" s="123">
        <f>AB825+9386</f>
        <v>2798450</v>
      </c>
      <c r="Z825" s="123">
        <f t="shared" si="155"/>
        <v>933527</v>
      </c>
      <c r="AA825" s="122" t="str">
        <f t="shared" si="156"/>
        <v>1</v>
      </c>
      <c r="AB825" s="120">
        <f t="shared" si="157"/>
        <v>2789064</v>
      </c>
      <c r="AC825" s="123">
        <v>0</v>
      </c>
      <c r="AD825" s="123">
        <f>2000000+750000+39064</f>
        <v>2789064</v>
      </c>
      <c r="AE825" s="123">
        <v>188562</v>
      </c>
      <c r="AG825" s="151">
        <f t="shared" si="160"/>
        <v>323220</v>
      </c>
      <c r="AH825" s="123">
        <f>433220</f>
        <v>433220</v>
      </c>
      <c r="AJ825" s="123">
        <v>122500</v>
      </c>
      <c r="AK825" s="123">
        <v>140000</v>
      </c>
      <c r="AL825" s="123">
        <v>110000</v>
      </c>
      <c r="AM825" s="123">
        <f>AH825+AK825</f>
        <v>573220</v>
      </c>
      <c r="AO825" s="123">
        <v>4500000</v>
      </c>
    </row>
    <row r="826" spans="1:41" s="123" customFormat="1" ht="16.2" thickBot="1" x14ac:dyDescent="0.35">
      <c r="A826" s="21">
        <v>135.1</v>
      </c>
      <c r="B826" s="212" t="s">
        <v>119</v>
      </c>
      <c r="C826" s="31" t="str">
        <f>VLOOKUP((CONCATENATE(B826)),ID!$A$2:$D$305,3,0)</f>
        <v>OT023</v>
      </c>
      <c r="D826" s="21">
        <v>1</v>
      </c>
      <c r="E826" s="21" t="s">
        <v>3903</v>
      </c>
      <c r="F826" s="21" t="s">
        <v>3812</v>
      </c>
      <c r="G826" s="21" t="s">
        <v>3853</v>
      </c>
      <c r="H826" s="88">
        <v>4108</v>
      </c>
      <c r="I826" s="43">
        <v>4155</v>
      </c>
      <c r="J826" s="43">
        <v>4153</v>
      </c>
      <c r="K826" s="21">
        <v>1</v>
      </c>
      <c r="L826" s="43">
        <v>4155</v>
      </c>
      <c r="M826" s="43">
        <v>4169</v>
      </c>
      <c r="N826" s="43">
        <v>4164</v>
      </c>
      <c r="O826" s="21" t="s">
        <v>3919</v>
      </c>
      <c r="P826" s="194" t="str">
        <f t="shared" si="152"/>
        <v>1</v>
      </c>
      <c r="Q826" s="21">
        <v>1</v>
      </c>
      <c r="R826" s="39" t="str">
        <f t="shared" si="158"/>
        <v>-</v>
      </c>
      <c r="S826" s="120">
        <f t="shared" si="159"/>
        <v>6059763</v>
      </c>
      <c r="T826" s="123">
        <v>9972540</v>
      </c>
      <c r="U826" s="123">
        <f>5169298+1957143</f>
        <v>7126441</v>
      </c>
      <c r="V826" s="123">
        <f t="shared" si="153"/>
        <v>2846099</v>
      </c>
      <c r="W826" s="122" t="str">
        <f t="shared" si="154"/>
        <v>1</v>
      </c>
      <c r="X826" s="123">
        <f>Y826+1046496+51791</f>
        <v>3912777</v>
      </c>
      <c r="Y826" s="123">
        <f>AB826+11666</f>
        <v>2814490</v>
      </c>
      <c r="Z826" s="123">
        <f t="shared" si="155"/>
        <v>1098287</v>
      </c>
      <c r="AA826" s="122" t="str">
        <f t="shared" si="156"/>
        <v>1</v>
      </c>
      <c r="AB826" s="120">
        <f t="shared" si="157"/>
        <v>2802824</v>
      </c>
      <c r="AC826" s="123">
        <v>0</v>
      </c>
      <c r="AD826" s="123">
        <f>2000000+750000+52824</f>
        <v>2802824</v>
      </c>
      <c r="AE826" s="123">
        <v>120023</v>
      </c>
      <c r="AG826" s="151">
        <f t="shared" si="160"/>
        <v>391844</v>
      </c>
      <c r="AH826" s="123">
        <f>501844</f>
        <v>501844</v>
      </c>
      <c r="AJ826" s="123">
        <v>122500</v>
      </c>
      <c r="AK826" s="123">
        <v>140000</v>
      </c>
      <c r="AL826" s="123">
        <v>110000</v>
      </c>
      <c r="AM826" s="123">
        <f>501844+AK826</f>
        <v>641844</v>
      </c>
      <c r="AO826" s="123">
        <v>4500000</v>
      </c>
    </row>
    <row r="827" spans="1:41" s="123" customFormat="1" ht="16.2" thickBot="1" x14ac:dyDescent="0.35">
      <c r="A827" s="21">
        <v>135.19999999999999</v>
      </c>
      <c r="B827" s="212" t="s">
        <v>119</v>
      </c>
      <c r="C827" s="31" t="str">
        <f>VLOOKUP((CONCATENATE(B827)),ID!$A$2:$D$305,3,0)</f>
        <v>OT023</v>
      </c>
      <c r="D827" s="21">
        <v>1</v>
      </c>
      <c r="E827" s="21" t="s">
        <v>3903</v>
      </c>
      <c r="F827" s="21" t="s">
        <v>3812</v>
      </c>
      <c r="G827" s="21" t="s">
        <v>3853</v>
      </c>
      <c r="H827" s="88">
        <v>4474</v>
      </c>
      <c r="I827" s="43">
        <v>4520</v>
      </c>
      <c r="J827" s="43">
        <v>4518</v>
      </c>
      <c r="K827" s="21">
        <v>1</v>
      </c>
      <c r="L827" s="43">
        <v>4521</v>
      </c>
      <c r="M827" s="43">
        <v>4535</v>
      </c>
      <c r="N827" s="43">
        <v>4528</v>
      </c>
      <c r="O827" s="21" t="s">
        <v>3919</v>
      </c>
      <c r="P827" s="194" t="str">
        <f t="shared" si="152"/>
        <v>1</v>
      </c>
      <c r="Q827" s="21">
        <v>1</v>
      </c>
      <c r="R827" s="39" t="str">
        <f t="shared" si="158"/>
        <v>-</v>
      </c>
      <c r="S827" s="120">
        <f t="shared" si="159"/>
        <v>7019636</v>
      </c>
      <c r="T827" s="123">
        <v>10673403</v>
      </c>
      <c r="U827" s="123">
        <f>5282986+2667621</f>
        <v>7950607</v>
      </c>
      <c r="V827" s="123">
        <f t="shared" si="153"/>
        <v>2722796</v>
      </c>
      <c r="W827" s="122" t="str">
        <f t="shared" si="154"/>
        <v>1</v>
      </c>
      <c r="X827" s="123">
        <f>Y827+51791+785470</f>
        <v>3653767</v>
      </c>
      <c r="Y827" s="123">
        <f>AB827+14345</f>
        <v>2816506</v>
      </c>
      <c r="Z827" s="123">
        <f t="shared" si="155"/>
        <v>837261</v>
      </c>
      <c r="AA827" s="122" t="str">
        <f t="shared" si="156"/>
        <v>1</v>
      </c>
      <c r="AB827" s="120">
        <f t="shared" si="157"/>
        <v>2802161</v>
      </c>
      <c r="AC827" s="123">
        <v>0</v>
      </c>
      <c r="AD827" s="123">
        <f>2000000+750000+52161</f>
        <v>2802161</v>
      </c>
      <c r="AE827" s="123">
        <v>150951</v>
      </c>
      <c r="AG827" s="151">
        <f t="shared" si="160"/>
        <v>383575</v>
      </c>
      <c r="AH827" s="123">
        <f>497967-4392</f>
        <v>493575</v>
      </c>
      <c r="AJ827" s="123">
        <v>136200</v>
      </c>
      <c r="AK827" s="123">
        <v>140000</v>
      </c>
      <c r="AL827" s="123">
        <v>110000</v>
      </c>
      <c r="AM827" s="123">
        <f>497967+AK827</f>
        <v>637967</v>
      </c>
      <c r="AO827" s="123">
        <f>5250000</f>
        <v>5250000</v>
      </c>
    </row>
    <row r="828" spans="1:41" s="123" customFormat="1" ht="16.2" thickBot="1" x14ac:dyDescent="0.35">
      <c r="A828" s="21"/>
      <c r="B828" s="212" t="s">
        <v>119</v>
      </c>
      <c r="C828" s="31" t="str">
        <f>VLOOKUP((CONCATENATE(B828)),ID!$A$2:$D$305,3,0)</f>
        <v>OT023</v>
      </c>
      <c r="D828" s="21">
        <v>1</v>
      </c>
      <c r="E828" s="21" t="s">
        <v>3903</v>
      </c>
      <c r="F828" s="21" t="s">
        <v>3812</v>
      </c>
      <c r="G828" s="21" t="s">
        <v>3853</v>
      </c>
      <c r="H828" s="88">
        <v>4839</v>
      </c>
      <c r="I828" s="43">
        <v>4881</v>
      </c>
      <c r="J828" s="43">
        <v>4878</v>
      </c>
      <c r="K828" s="21">
        <v>1</v>
      </c>
      <c r="L828" s="43">
        <v>4886</v>
      </c>
      <c r="M828" s="43">
        <v>4904</v>
      </c>
      <c r="N828" s="43">
        <v>4889</v>
      </c>
      <c r="O828" s="21" t="s">
        <v>3919</v>
      </c>
      <c r="P828" s="194" t="str">
        <f t="shared" si="152"/>
        <v>1</v>
      </c>
      <c r="Q828" s="21">
        <v>1</v>
      </c>
      <c r="R828" s="39" t="str">
        <f t="shared" si="158"/>
        <v>-</v>
      </c>
      <c r="S828" s="120">
        <f t="shared" si="159"/>
        <v>7168438</v>
      </c>
      <c r="T828" s="123">
        <v>10585154</v>
      </c>
      <c r="U828" s="123">
        <f>5332281+2739154</f>
        <v>8071435</v>
      </c>
      <c r="V828" s="123">
        <f t="shared" si="153"/>
        <v>2513719</v>
      </c>
      <c r="W828" s="122" t="str">
        <f t="shared" si="154"/>
        <v>1</v>
      </c>
      <c r="X828" s="123">
        <f>Y828+551524+51791</f>
        <v>3416716</v>
      </c>
      <c r="Y828" s="123">
        <f>AB828+14287</f>
        <v>2813401</v>
      </c>
      <c r="Z828" s="123">
        <f t="shared" si="155"/>
        <v>603315</v>
      </c>
      <c r="AA828" s="122" t="str">
        <f t="shared" si="156"/>
        <v>1</v>
      </c>
      <c r="AB828" s="120">
        <f t="shared" si="157"/>
        <v>2799114</v>
      </c>
      <c r="AC828" s="123">
        <v>0</v>
      </c>
      <c r="AD828" s="123">
        <f>2000000+750000+49114</f>
        <v>2799114</v>
      </c>
      <c r="AE828" s="123">
        <v>142247</v>
      </c>
      <c r="AG828" s="151">
        <f t="shared" si="160"/>
        <v>478802</v>
      </c>
      <c r="AH828" s="123">
        <v>588802</v>
      </c>
      <c r="AJ828" s="123">
        <v>142500</v>
      </c>
      <c r="AK828" s="123">
        <v>140000</v>
      </c>
      <c r="AL828" s="123">
        <v>110000</v>
      </c>
      <c r="AM828" s="123">
        <f>588802+AK828</f>
        <v>728802</v>
      </c>
      <c r="AO828" s="123">
        <f>5250000</f>
        <v>5250000</v>
      </c>
    </row>
    <row r="829" spans="1:41" s="123" customFormat="1" ht="16.2" thickBot="1" x14ac:dyDescent="0.35">
      <c r="A829" s="21"/>
      <c r="B829" s="212" t="s">
        <v>119</v>
      </c>
      <c r="C829" s="31" t="str">
        <f>VLOOKUP((CONCATENATE(B829)),ID!$A$2:$D$305,3,0)</f>
        <v>OT023</v>
      </c>
      <c r="D829" s="21">
        <v>1</v>
      </c>
      <c r="E829" s="21" t="s">
        <v>3903</v>
      </c>
      <c r="F829" s="21" t="s">
        <v>3812</v>
      </c>
      <c r="G829" s="21" t="s">
        <v>3853</v>
      </c>
      <c r="H829" s="88">
        <v>5204</v>
      </c>
      <c r="I829" s="43">
        <v>5249</v>
      </c>
      <c r="J829" s="43">
        <v>5246</v>
      </c>
      <c r="K829" s="21">
        <v>1</v>
      </c>
      <c r="L829" s="43">
        <v>5250</v>
      </c>
      <c r="M829" s="43">
        <v>5264</v>
      </c>
      <c r="N829" s="43">
        <v>5260</v>
      </c>
      <c r="O829" s="21" t="s">
        <v>3919</v>
      </c>
      <c r="P829" s="194" t="str">
        <f t="shared" si="152"/>
        <v>1</v>
      </c>
      <c r="Q829" s="21">
        <v>1</v>
      </c>
      <c r="R829" s="39" t="str">
        <f t="shared" si="158"/>
        <v>-</v>
      </c>
      <c r="S829" s="120">
        <f t="shared" si="159"/>
        <v>7330522</v>
      </c>
      <c r="T829" s="123">
        <v>11432999</v>
      </c>
      <c r="U829" s="123">
        <f>5413320+2725048</f>
        <v>8138368</v>
      </c>
      <c r="V829" s="123">
        <f t="shared" si="153"/>
        <v>3294631</v>
      </c>
      <c r="W829" s="122" t="str">
        <f t="shared" si="154"/>
        <v>1</v>
      </c>
      <c r="X829" s="123">
        <f>Y829+51791+1197563</f>
        <v>4102477</v>
      </c>
      <c r="Y829" s="123">
        <f>AB829+16285</f>
        <v>2853123</v>
      </c>
      <c r="Z829" s="123">
        <f t="shared" si="155"/>
        <v>1249354</v>
      </c>
      <c r="AA829" s="122" t="str">
        <f t="shared" si="156"/>
        <v>1</v>
      </c>
      <c r="AB829" s="120">
        <f t="shared" si="157"/>
        <v>2836838</v>
      </c>
      <c r="AC829" s="123">
        <v>0</v>
      </c>
      <c r="AD829" s="123">
        <f>2000000+750000+86838</f>
        <v>2836838</v>
      </c>
      <c r="AE829" s="123">
        <v>162332</v>
      </c>
      <c r="AG829" s="151">
        <f t="shared" si="160"/>
        <v>499584</v>
      </c>
      <c r="AH829" s="123">
        <f>613415-3831</f>
        <v>609584</v>
      </c>
      <c r="AJ829" s="123">
        <v>150000</v>
      </c>
      <c r="AK829" s="123">
        <v>140000</v>
      </c>
      <c r="AL829" s="123">
        <v>110000</v>
      </c>
      <c r="AM829" s="123">
        <f>613415+AK829</f>
        <v>753415</v>
      </c>
      <c r="AO829" s="123">
        <f>AO828+450000</f>
        <v>5700000</v>
      </c>
    </row>
    <row r="830" spans="1:41" s="228" customFormat="1" ht="16.2" thickBot="1" x14ac:dyDescent="0.35">
      <c r="A830" s="221"/>
      <c r="B830" s="222" t="s">
        <v>131</v>
      </c>
      <c r="C830" s="223" t="str">
        <f>VLOOKUP((CONCATENATE(B830)),ID!$A$2:$D$305,3,0)</f>
        <v>OT024</v>
      </c>
      <c r="D830" s="221">
        <v>1</v>
      </c>
      <c r="E830" s="221" t="s">
        <v>3903</v>
      </c>
      <c r="F830" s="221" t="s">
        <v>1117</v>
      </c>
      <c r="G830" s="221" t="s">
        <v>3853</v>
      </c>
      <c r="H830" s="224">
        <v>3804</v>
      </c>
      <c r="I830" s="225">
        <v>3848</v>
      </c>
      <c r="J830" s="225">
        <v>3848</v>
      </c>
      <c r="K830" s="221">
        <v>1</v>
      </c>
      <c r="L830" s="225">
        <v>3863</v>
      </c>
      <c r="M830" s="225">
        <v>3876</v>
      </c>
      <c r="N830" s="225">
        <v>3862</v>
      </c>
      <c r="O830" s="221" t="s">
        <v>3733</v>
      </c>
      <c r="P830" s="226" t="str">
        <f t="shared" si="152"/>
        <v>1</v>
      </c>
      <c r="Q830" s="221">
        <v>1</v>
      </c>
      <c r="R830" s="226" t="str">
        <f t="shared" si="158"/>
        <v>-</v>
      </c>
      <c r="S830" s="227">
        <f t="shared" si="159"/>
        <v>4161507</v>
      </c>
      <c r="T830" s="228">
        <v>4273802</v>
      </c>
      <c r="U830" s="228">
        <f>T830-V830</f>
        <v>4008629</v>
      </c>
      <c r="V830" s="228">
        <f>93448+41069+130656</f>
        <v>265173</v>
      </c>
      <c r="W830" s="229" t="str">
        <f t="shared" si="154"/>
        <v>1</v>
      </c>
      <c r="X830" s="228">
        <f>27785+652+83858</f>
        <v>112295</v>
      </c>
      <c r="Y830" s="228">
        <v>0</v>
      </c>
      <c r="Z830" s="228">
        <f t="shared" si="155"/>
        <v>112295</v>
      </c>
      <c r="AA830" s="229" t="str">
        <f t="shared" si="156"/>
        <v>1</v>
      </c>
      <c r="AB830" s="227">
        <f t="shared" si="157"/>
        <v>0</v>
      </c>
      <c r="AC830" s="228">
        <v>0</v>
      </c>
      <c r="AD830" s="228">
        <v>0</v>
      </c>
      <c r="AE830" s="228">
        <v>93448</v>
      </c>
      <c r="AG830" s="230">
        <f t="shared" si="160"/>
        <v>70202</v>
      </c>
      <c r="AH830" s="228">
        <f>70202+AL830</f>
        <v>141527</v>
      </c>
      <c r="AJ830" s="228">
        <v>26537</v>
      </c>
      <c r="AL830" s="228">
        <v>71325</v>
      </c>
      <c r="AM830" s="228">
        <v>832066</v>
      </c>
      <c r="AO830" s="228">
        <v>166500</v>
      </c>
    </row>
    <row r="831" spans="1:41" s="228" customFormat="1" ht="16.2" thickBot="1" x14ac:dyDescent="0.35">
      <c r="A831" s="221">
        <v>136.1</v>
      </c>
      <c r="B831" s="222" t="s">
        <v>131</v>
      </c>
      <c r="C831" s="223" t="str">
        <f>VLOOKUP((CONCATENATE(B831)),ID!$A$2:$D$305,3,0)</f>
        <v>OT024</v>
      </c>
      <c r="D831" s="221">
        <v>1</v>
      </c>
      <c r="E831" s="221" t="s">
        <v>3903</v>
      </c>
      <c r="F831" s="221" t="s">
        <v>1117</v>
      </c>
      <c r="G831" s="221" t="s">
        <v>3853</v>
      </c>
      <c r="H831" s="224">
        <v>4169</v>
      </c>
      <c r="I831" s="225">
        <v>4211</v>
      </c>
      <c r="J831" s="225">
        <v>4211</v>
      </c>
      <c r="K831" s="221">
        <v>1</v>
      </c>
      <c r="L831" s="225">
        <v>4228</v>
      </c>
      <c r="M831" s="225">
        <v>4241</v>
      </c>
      <c r="N831" s="225">
        <v>4226</v>
      </c>
      <c r="O831" s="221" t="s">
        <v>3733</v>
      </c>
      <c r="P831" s="226" t="str">
        <f t="shared" si="152"/>
        <v>1</v>
      </c>
      <c r="Q831" s="221">
        <v>1</v>
      </c>
      <c r="R831" s="226" t="str">
        <f t="shared" si="158"/>
        <v>-</v>
      </c>
      <c r="S831" s="227">
        <f t="shared" si="159"/>
        <v>4172511</v>
      </c>
      <c r="T831" s="228">
        <v>4284132</v>
      </c>
      <c r="U831" s="228">
        <f>T831-V831</f>
        <v>4013878</v>
      </c>
      <c r="V831" s="228">
        <f>117646+46000+106608</f>
        <v>270254</v>
      </c>
      <c r="W831" s="229" t="str">
        <f t="shared" si="154"/>
        <v>1</v>
      </c>
      <c r="X831" s="228">
        <f>27782+625+83214</f>
        <v>111621</v>
      </c>
      <c r="Y831" s="228">
        <v>0</v>
      </c>
      <c r="Z831" s="228">
        <f t="shared" si="155"/>
        <v>111621</v>
      </c>
      <c r="AA831" s="229" t="str">
        <f t="shared" si="156"/>
        <v>1</v>
      </c>
      <c r="AB831" s="227">
        <f t="shared" si="157"/>
        <v>0</v>
      </c>
      <c r="AC831" s="228">
        <v>0</v>
      </c>
      <c r="AD831" s="228">
        <v>0</v>
      </c>
      <c r="AE831" s="228">
        <v>106608</v>
      </c>
      <c r="AG831" s="230">
        <f t="shared" si="160"/>
        <v>80185</v>
      </c>
      <c r="AH831" s="228">
        <f>80185+AL831</f>
        <v>151510</v>
      </c>
      <c r="AJ831" s="228">
        <v>26537</v>
      </c>
      <c r="AL831" s="228">
        <v>71325</v>
      </c>
      <c r="AM831" s="228">
        <v>880250</v>
      </c>
      <c r="AO831" s="228">
        <v>166500</v>
      </c>
    </row>
    <row r="832" spans="1:41" s="228" customFormat="1" ht="16.2" thickBot="1" x14ac:dyDescent="0.35">
      <c r="A832" s="221">
        <v>136.19999999999999</v>
      </c>
      <c r="B832" s="222" t="s">
        <v>131</v>
      </c>
      <c r="C832" s="223" t="str">
        <f>VLOOKUP((CONCATENATE(B832)),ID!$A$2:$D$305,3,0)</f>
        <v>OT024</v>
      </c>
      <c r="D832" s="221">
        <v>1</v>
      </c>
      <c r="E832" s="221" t="s">
        <v>3903</v>
      </c>
      <c r="F832" s="221" t="s">
        <v>1117</v>
      </c>
      <c r="G832" s="221" t="s">
        <v>3853</v>
      </c>
      <c r="H832" s="224">
        <v>4535</v>
      </c>
      <c r="I832" s="225">
        <v>4576</v>
      </c>
      <c r="J832" s="225">
        <v>4576</v>
      </c>
      <c r="K832" s="221">
        <v>1</v>
      </c>
      <c r="L832" s="225">
        <v>4594</v>
      </c>
      <c r="M832" s="225">
        <v>4606</v>
      </c>
      <c r="N832" s="225">
        <v>4590</v>
      </c>
      <c r="O832" s="221" t="s">
        <v>3733</v>
      </c>
      <c r="P832" s="226" t="str">
        <f t="shared" si="152"/>
        <v>1</v>
      </c>
      <c r="Q832" s="221">
        <v>1</v>
      </c>
      <c r="R832" s="226" t="str">
        <f t="shared" si="158"/>
        <v>-</v>
      </c>
      <c r="S832" s="227">
        <f t="shared" si="159"/>
        <v>4167689</v>
      </c>
      <c r="T832" s="228">
        <v>4273095</v>
      </c>
      <c r="U832" s="228">
        <f>T832-V832</f>
        <v>4026617</v>
      </c>
      <c r="V832" s="228">
        <f>91635+35831+119012</f>
        <v>246478</v>
      </c>
      <c r="W832" s="229" t="str">
        <f t="shared" si="154"/>
        <v>1</v>
      </c>
      <c r="X832" s="228">
        <f>27785+666+76955</f>
        <v>105406</v>
      </c>
      <c r="Y832" s="228">
        <v>0</v>
      </c>
      <c r="Z832" s="228">
        <f t="shared" si="155"/>
        <v>105406</v>
      </c>
      <c r="AA832" s="229" t="str">
        <f t="shared" si="156"/>
        <v>1</v>
      </c>
      <c r="AB832" s="227">
        <f t="shared" si="157"/>
        <v>0</v>
      </c>
      <c r="AC832" s="228">
        <v>0</v>
      </c>
      <c r="AD832" s="228">
        <v>0</v>
      </c>
      <c r="AE832" s="228">
        <v>91636</v>
      </c>
      <c r="AG832" s="230">
        <f t="shared" si="160"/>
        <v>73251</v>
      </c>
      <c r="AH832" s="228">
        <f>73251+AL832</f>
        <v>144576</v>
      </c>
      <c r="AJ832" s="228">
        <v>26537</v>
      </c>
      <c r="AL832" s="228">
        <v>71325</v>
      </c>
      <c r="AM832" s="228">
        <v>882782</v>
      </c>
      <c r="AO832" s="228">
        <v>166500</v>
      </c>
    </row>
    <row r="833" spans="1:41" s="228" customFormat="1" ht="16.2" thickBot="1" x14ac:dyDescent="0.35">
      <c r="A833" s="221"/>
      <c r="B833" s="222" t="s">
        <v>131</v>
      </c>
      <c r="C833" s="223" t="str">
        <f>VLOOKUP((CONCATENATE(B833)),ID!$A$2:$D$305,3,0)</f>
        <v>OT024</v>
      </c>
      <c r="D833" s="221">
        <v>1</v>
      </c>
      <c r="E833" s="221" t="s">
        <v>3903</v>
      </c>
      <c r="F833" s="221" t="s">
        <v>1117</v>
      </c>
      <c r="G833" s="221" t="s">
        <v>3853</v>
      </c>
      <c r="H833" s="224">
        <v>4900</v>
      </c>
      <c r="I833" s="225">
        <v>4939</v>
      </c>
      <c r="J833" s="225">
        <v>4939</v>
      </c>
      <c r="K833" s="221">
        <v>1</v>
      </c>
      <c r="L833" s="225">
        <v>4959</v>
      </c>
      <c r="M833" s="225">
        <v>4972</v>
      </c>
      <c r="N833" s="225">
        <v>4954</v>
      </c>
      <c r="O833" s="221" t="s">
        <v>3733</v>
      </c>
      <c r="P833" s="226" t="str">
        <f t="shared" si="152"/>
        <v>1</v>
      </c>
      <c r="Q833" s="221">
        <v>1</v>
      </c>
      <c r="R833" s="226" t="str">
        <f t="shared" si="158"/>
        <v>-</v>
      </c>
      <c r="S833" s="227">
        <f t="shared" si="159"/>
        <v>4189411</v>
      </c>
      <c r="T833" s="228">
        <v>4292223</v>
      </c>
      <c r="U833" s="228">
        <f>T833-V833</f>
        <v>4036086</v>
      </c>
      <c r="V833" s="228">
        <f>100190+34843+121104</f>
        <v>256137</v>
      </c>
      <c r="W833" s="229" t="str">
        <f t="shared" si="154"/>
        <v>1</v>
      </c>
      <c r="X833" s="228">
        <f>27785+684+74343</f>
        <v>102812</v>
      </c>
      <c r="Y833" s="228">
        <v>0</v>
      </c>
      <c r="Z833" s="228">
        <f t="shared" si="155"/>
        <v>102812</v>
      </c>
      <c r="AA833" s="229" t="str">
        <f t="shared" si="156"/>
        <v>1</v>
      </c>
      <c r="AB833" s="227">
        <f t="shared" si="157"/>
        <v>0</v>
      </c>
      <c r="AC833" s="228">
        <v>0</v>
      </c>
      <c r="AD833" s="228">
        <v>0</v>
      </c>
      <c r="AE833" s="228">
        <v>100190</v>
      </c>
      <c r="AG833" s="230">
        <f t="shared" si="160"/>
        <v>81463</v>
      </c>
      <c r="AH833" s="228">
        <f>81463+AL833</f>
        <v>152788</v>
      </c>
      <c r="AJ833" s="228">
        <v>26537</v>
      </c>
      <c r="AL833" s="228">
        <v>71325</v>
      </c>
      <c r="AM833" s="228">
        <v>893958</v>
      </c>
      <c r="AO833" s="228">
        <v>166500</v>
      </c>
    </row>
    <row r="834" spans="1:41" s="228" customFormat="1" ht="16.2" thickBot="1" x14ac:dyDescent="0.35">
      <c r="A834" s="221"/>
      <c r="B834" s="222" t="s">
        <v>131</v>
      </c>
      <c r="C834" s="223" t="str">
        <f>VLOOKUP((CONCATENATE(B834)),ID!$A$2:$D$305,3,0)</f>
        <v>OT024</v>
      </c>
      <c r="D834" s="221">
        <v>1</v>
      </c>
      <c r="E834" s="221" t="s">
        <v>3903</v>
      </c>
      <c r="F834" s="221" t="s">
        <v>1117</v>
      </c>
      <c r="G834" s="221" t="s">
        <v>3853</v>
      </c>
      <c r="H834" s="224">
        <v>5265</v>
      </c>
      <c r="I834" s="225">
        <v>5304</v>
      </c>
      <c r="J834" s="225">
        <v>5304</v>
      </c>
      <c r="K834" s="221">
        <v>1</v>
      </c>
      <c r="L834" s="225">
        <v>5324</v>
      </c>
      <c r="M834" s="225">
        <v>5337</v>
      </c>
      <c r="N834" s="225">
        <v>5318</v>
      </c>
      <c r="O834" s="221" t="s">
        <v>3733</v>
      </c>
      <c r="P834" s="226" t="str">
        <f t="shared" ref="P834:P897" si="161">IF(AJ834=0,"?","1")</f>
        <v>1</v>
      </c>
      <c r="Q834" s="221">
        <v>1</v>
      </c>
      <c r="R834" s="226" t="str">
        <f t="shared" si="158"/>
        <v>-</v>
      </c>
      <c r="S834" s="227">
        <f t="shared" si="159"/>
        <v>4147746</v>
      </c>
      <c r="T834" s="228">
        <v>4251354</v>
      </c>
      <c r="U834" s="228">
        <f>T834-V834</f>
        <v>4045902</v>
      </c>
      <c r="V834" s="228">
        <f>46094+33939+125419</f>
        <v>205452</v>
      </c>
      <c r="W834" s="229" t="str">
        <f t="shared" si="154"/>
        <v>1</v>
      </c>
      <c r="X834" s="228">
        <f>27687+739+75182</f>
        <v>103608</v>
      </c>
      <c r="Y834" s="228">
        <v>0</v>
      </c>
      <c r="Z834" s="228">
        <f t="shared" si="155"/>
        <v>103608</v>
      </c>
      <c r="AA834" s="229" t="str">
        <f t="shared" si="156"/>
        <v>1</v>
      </c>
      <c r="AB834" s="227">
        <f t="shared" si="157"/>
        <v>0</v>
      </c>
      <c r="AC834" s="228">
        <v>0</v>
      </c>
      <c r="AD834" s="228">
        <v>0</v>
      </c>
      <c r="AE834" s="228">
        <v>46094</v>
      </c>
      <c r="AG834" s="230">
        <f t="shared" si="160"/>
        <v>81689</v>
      </c>
      <c r="AH834" s="228">
        <f>81689+AL834</f>
        <v>153014</v>
      </c>
      <c r="AJ834" s="228">
        <v>26537</v>
      </c>
      <c r="AL834" s="228">
        <v>71325</v>
      </c>
      <c r="AM834" s="228">
        <f>159074+54295</f>
        <v>213369</v>
      </c>
      <c r="AO834" s="228">
        <v>166500</v>
      </c>
    </row>
    <row r="835" spans="1:41" s="123" customFormat="1" ht="16.2" thickBot="1" x14ac:dyDescent="0.35">
      <c r="A835" s="21"/>
      <c r="B835" s="212" t="s">
        <v>148</v>
      </c>
      <c r="C835" s="31" t="str">
        <f>VLOOKUP((CONCATENATE(B835)),ID!$A$2:$D$305,3,0)</f>
        <v>OT025</v>
      </c>
      <c r="D835" s="21">
        <v>1</v>
      </c>
      <c r="E835" s="21" t="s">
        <v>3903</v>
      </c>
      <c r="F835" s="21" t="s">
        <v>1117</v>
      </c>
      <c r="G835" s="21" t="s">
        <v>3853</v>
      </c>
      <c r="H835" s="88">
        <v>3653</v>
      </c>
      <c r="I835" s="43">
        <v>3679</v>
      </c>
      <c r="J835" s="43">
        <v>3678</v>
      </c>
      <c r="K835" s="21">
        <v>0</v>
      </c>
      <c r="L835" s="43"/>
      <c r="M835" s="43"/>
      <c r="N835" s="43">
        <v>3688</v>
      </c>
      <c r="O835" s="21" t="s">
        <v>3785</v>
      </c>
      <c r="P835" s="194" t="str">
        <f t="shared" si="161"/>
        <v>1</v>
      </c>
      <c r="Q835" s="21">
        <v>1</v>
      </c>
      <c r="R835" s="39" t="str">
        <f t="shared" si="158"/>
        <v>-</v>
      </c>
      <c r="S835" s="120">
        <f t="shared" si="159"/>
        <v>1523576</v>
      </c>
      <c r="T835" s="123">
        <v>1678435</v>
      </c>
      <c r="U835" s="123">
        <f>218373+271249+681013</f>
        <v>1170635</v>
      </c>
      <c r="V835" s="123">
        <f t="shared" si="153"/>
        <v>507800</v>
      </c>
      <c r="W835" s="122" t="str">
        <f t="shared" si="154"/>
        <v>1</v>
      </c>
      <c r="X835" s="123">
        <v>154859</v>
      </c>
      <c r="Y835" s="123">
        <v>0</v>
      </c>
      <c r="Z835" s="123">
        <f t="shared" si="155"/>
        <v>154859</v>
      </c>
      <c r="AA835" s="122" t="str">
        <f t="shared" si="156"/>
        <v>1</v>
      </c>
      <c r="AB835" s="120">
        <f t="shared" si="157"/>
        <v>0</v>
      </c>
      <c r="AC835" s="123">
        <v>0</v>
      </c>
      <c r="AD835" s="123">
        <v>0</v>
      </c>
      <c r="AE835" s="123">
        <v>59938</v>
      </c>
      <c r="AF835" s="123">
        <v>681013</v>
      </c>
      <c r="AG835" s="151">
        <f t="shared" si="160"/>
        <v>144055</v>
      </c>
      <c r="AH835" s="123">
        <v>144055</v>
      </c>
      <c r="AJ835" s="123">
        <v>115500</v>
      </c>
      <c r="AM835" s="123">
        <v>187654</v>
      </c>
      <c r="AO835" s="123">
        <v>735000</v>
      </c>
    </row>
    <row r="836" spans="1:41" s="123" customFormat="1" ht="16.2" thickBot="1" x14ac:dyDescent="0.35">
      <c r="A836" s="21">
        <v>137.1</v>
      </c>
      <c r="B836" s="212" t="s">
        <v>148</v>
      </c>
      <c r="C836" s="31" t="str">
        <f>VLOOKUP((CONCATENATE(B836)),ID!$A$2:$D$305,3,0)</f>
        <v>OT025</v>
      </c>
      <c r="D836" s="21">
        <v>1</v>
      </c>
      <c r="E836" s="21" t="s">
        <v>3903</v>
      </c>
      <c r="F836" s="21" t="s">
        <v>1117</v>
      </c>
      <c r="G836" s="21" t="s">
        <v>3853</v>
      </c>
      <c r="H836" s="88">
        <v>4018</v>
      </c>
      <c r="I836" s="43">
        <v>4044</v>
      </c>
      <c r="J836" s="43">
        <v>4042</v>
      </c>
      <c r="K836" s="21">
        <v>0</v>
      </c>
      <c r="L836" s="21"/>
      <c r="M836" s="21"/>
      <c r="N836" s="43">
        <v>4052</v>
      </c>
      <c r="O836" s="21" t="s">
        <v>3785</v>
      </c>
      <c r="P836" s="194" t="str">
        <f t="shared" si="161"/>
        <v>1</v>
      </c>
      <c r="Q836" s="21">
        <v>1</v>
      </c>
      <c r="R836" s="39" t="str">
        <f t="shared" si="158"/>
        <v>-</v>
      </c>
      <c r="S836" s="120">
        <f t="shared" si="159"/>
        <v>1513937</v>
      </c>
      <c r="T836" s="123">
        <v>1770131</v>
      </c>
      <c r="U836" s="123">
        <f>680511+248752+236766</f>
        <v>1166029</v>
      </c>
      <c r="V836" s="123">
        <f t="shared" si="153"/>
        <v>604102</v>
      </c>
      <c r="W836" s="122" t="str">
        <f t="shared" si="154"/>
        <v>1</v>
      </c>
      <c r="X836" s="123">
        <f>178194+78000</f>
        <v>256194</v>
      </c>
      <c r="Y836" s="123">
        <f>AB836</f>
        <v>78000</v>
      </c>
      <c r="Z836" s="123">
        <f t="shared" si="155"/>
        <v>178194</v>
      </c>
      <c r="AA836" s="122" t="str">
        <f t="shared" si="156"/>
        <v>1</v>
      </c>
      <c r="AB836" s="120">
        <f t="shared" si="157"/>
        <v>78000</v>
      </c>
      <c r="AC836" s="123">
        <v>78000</v>
      </c>
      <c r="AD836" s="123">
        <v>0</v>
      </c>
      <c r="AE836" s="123">
        <v>48976</v>
      </c>
      <c r="AF836" s="123">
        <v>680511</v>
      </c>
      <c r="AG836" s="151">
        <f t="shared" si="160"/>
        <v>116860</v>
      </c>
      <c r="AH836" s="123">
        <f>163896-40030-7006</f>
        <v>116860</v>
      </c>
      <c r="AJ836" s="123">
        <v>115500</v>
      </c>
      <c r="AM836" s="123">
        <v>157653</v>
      </c>
      <c r="AO836" s="123">
        <f>500000+135000+100000</f>
        <v>735000</v>
      </c>
    </row>
    <row r="837" spans="1:41" s="123" customFormat="1" ht="16.2" thickBot="1" x14ac:dyDescent="0.35">
      <c r="A837" s="21">
        <v>137.19999999999999</v>
      </c>
      <c r="B837" s="212" t="s">
        <v>148</v>
      </c>
      <c r="C837" s="31" t="str">
        <f>VLOOKUP((CONCATENATE(B837)),ID!$A$2:$D$305,3,0)</f>
        <v>OT025</v>
      </c>
      <c r="D837" s="21">
        <v>1</v>
      </c>
      <c r="E837" s="21" t="s">
        <v>3903</v>
      </c>
      <c r="F837" s="21" t="s">
        <v>1117</v>
      </c>
      <c r="G837" s="21" t="s">
        <v>3853</v>
      </c>
      <c r="H837" s="88">
        <v>4383</v>
      </c>
      <c r="I837" s="43">
        <v>4407</v>
      </c>
      <c r="J837" s="43">
        <v>4405</v>
      </c>
      <c r="K837" s="21">
        <v>0</v>
      </c>
      <c r="L837" s="21"/>
      <c r="M837" s="21"/>
      <c r="N837" s="43">
        <v>4416</v>
      </c>
      <c r="O837" s="21" t="s">
        <v>3785</v>
      </c>
      <c r="P837" s="194" t="str">
        <f t="shared" si="161"/>
        <v>1</v>
      </c>
      <c r="Q837" s="21">
        <v>1</v>
      </c>
      <c r="R837" s="39" t="str">
        <f t="shared" si="158"/>
        <v>-</v>
      </c>
      <c r="S837" s="120">
        <f t="shared" si="159"/>
        <v>1573254</v>
      </c>
      <c r="T837" s="123">
        <f>1854626</f>
        <v>1854626</v>
      </c>
      <c r="U837" s="123">
        <f>680511+255508+236527</f>
        <v>1172546</v>
      </c>
      <c r="V837" s="123">
        <f t="shared" si="153"/>
        <v>682080</v>
      </c>
      <c r="W837" s="122" t="str">
        <f t="shared" si="154"/>
        <v>1</v>
      </c>
      <c r="X837" s="123">
        <f>206372+75000</f>
        <v>281372</v>
      </c>
      <c r="Y837" s="123">
        <v>75000</v>
      </c>
      <c r="Z837" s="123">
        <f t="shared" si="155"/>
        <v>206372</v>
      </c>
      <c r="AA837" s="122" t="str">
        <f t="shared" si="156"/>
        <v>1</v>
      </c>
      <c r="AB837" s="120">
        <f t="shared" si="157"/>
        <v>75000</v>
      </c>
      <c r="AC837" s="123">
        <v>75000</v>
      </c>
      <c r="AD837" s="123">
        <v>0</v>
      </c>
      <c r="AE837" s="123">
        <v>76011</v>
      </c>
      <c r="AF837" s="123">
        <v>680511</v>
      </c>
      <c r="AG837" s="151">
        <f t="shared" si="160"/>
        <v>174817</v>
      </c>
      <c r="AH837" s="123">
        <v>174817</v>
      </c>
      <c r="AJ837" s="123">
        <v>115500</v>
      </c>
      <c r="AM837" s="123">
        <v>224522</v>
      </c>
      <c r="AO837" s="123">
        <f>500000+135000+100000</f>
        <v>735000</v>
      </c>
    </row>
    <row r="838" spans="1:41" s="123" customFormat="1" ht="16.2" thickBot="1" x14ac:dyDescent="0.35">
      <c r="A838" s="21"/>
      <c r="B838" s="212" t="s">
        <v>148</v>
      </c>
      <c r="C838" s="31" t="str">
        <f>VLOOKUP((CONCATENATE(B838)),ID!$A$2:$D$305,3,0)</f>
        <v>OT025</v>
      </c>
      <c r="D838" s="21">
        <v>1</v>
      </c>
      <c r="E838" s="21" t="s">
        <v>3903</v>
      </c>
      <c r="F838" s="21" t="s">
        <v>1117</v>
      </c>
      <c r="G838" s="21" t="s">
        <v>3853</v>
      </c>
      <c r="H838" s="88">
        <v>4749</v>
      </c>
      <c r="I838" s="43">
        <v>4777</v>
      </c>
      <c r="J838" s="43">
        <v>4772</v>
      </c>
      <c r="K838" s="21">
        <v>0</v>
      </c>
      <c r="L838" s="21"/>
      <c r="M838" s="21"/>
      <c r="N838" s="43">
        <v>4787</v>
      </c>
      <c r="O838" s="21" t="s">
        <v>3785</v>
      </c>
      <c r="P838" s="194" t="str">
        <f t="shared" si="161"/>
        <v>1</v>
      </c>
      <c r="Q838" s="21">
        <v>1</v>
      </c>
      <c r="R838" s="39" t="str">
        <f t="shared" si="158"/>
        <v>-</v>
      </c>
      <c r="S838" s="120">
        <f t="shared" si="159"/>
        <v>1587979</v>
      </c>
      <c r="T838" s="123">
        <v>1957944</v>
      </c>
      <c r="U838" s="123">
        <f>238163+260613+680511</f>
        <v>1179287</v>
      </c>
      <c r="V838" s="123">
        <f t="shared" si="153"/>
        <v>778657</v>
      </c>
      <c r="W838" s="122" t="str">
        <f t="shared" si="154"/>
        <v>1</v>
      </c>
      <c r="X838" s="123">
        <f>125000+244965</f>
        <v>369965</v>
      </c>
      <c r="Y838" s="123">
        <f>AB838</f>
        <v>125000</v>
      </c>
      <c r="Z838" s="123">
        <f t="shared" si="155"/>
        <v>244965</v>
      </c>
      <c r="AA838" s="122" t="str">
        <f t="shared" si="156"/>
        <v>1</v>
      </c>
      <c r="AB838" s="120">
        <f t="shared" si="157"/>
        <v>125000</v>
      </c>
      <c r="AC838" s="123">
        <v>125000</v>
      </c>
      <c r="AD838" s="123">
        <v>0</v>
      </c>
      <c r="AE838" s="123">
        <v>107325</v>
      </c>
      <c r="AF838" s="123">
        <v>680511</v>
      </c>
      <c r="AG838" s="151">
        <f t="shared" si="160"/>
        <v>151724</v>
      </c>
      <c r="AH838" s="123">
        <v>151724</v>
      </c>
      <c r="AJ838" s="123">
        <v>115500</v>
      </c>
      <c r="AM838" s="123">
        <v>204099</v>
      </c>
      <c r="AO838" s="123">
        <v>735000</v>
      </c>
    </row>
    <row r="839" spans="1:41" s="123" customFormat="1" ht="16.2" thickBot="1" x14ac:dyDescent="0.35">
      <c r="A839" s="21"/>
      <c r="B839" s="212" t="s">
        <v>148</v>
      </c>
      <c r="C839" s="31" t="str">
        <f>VLOOKUP((CONCATENATE(B839)),ID!$A$2:$D$305,3,0)</f>
        <v>OT025</v>
      </c>
      <c r="D839" s="21">
        <v>1</v>
      </c>
      <c r="E839" s="21" t="s">
        <v>3903</v>
      </c>
      <c r="F839" s="21" t="s">
        <v>1117</v>
      </c>
      <c r="G839" s="21" t="s">
        <v>3853</v>
      </c>
      <c r="H839" s="88">
        <v>5114</v>
      </c>
      <c r="I839" s="43">
        <v>5137</v>
      </c>
      <c r="J839" s="43">
        <v>5137</v>
      </c>
      <c r="K839" s="21">
        <v>0</v>
      </c>
      <c r="L839" s="21"/>
      <c r="M839" s="21"/>
      <c r="N839" s="43">
        <v>5151</v>
      </c>
      <c r="O839" s="21" t="s">
        <v>3785</v>
      </c>
      <c r="P839" s="194" t="str">
        <f t="shared" si="161"/>
        <v>1</v>
      </c>
      <c r="Q839" s="21">
        <v>1</v>
      </c>
      <c r="R839" s="39" t="str">
        <f t="shared" si="158"/>
        <v>-</v>
      </c>
      <c r="S839" s="120">
        <f t="shared" si="159"/>
        <v>1729568</v>
      </c>
      <c r="T839" s="123">
        <v>2100360</v>
      </c>
      <c r="U839" s="123">
        <f>282111+250142+680511</f>
        <v>1212764</v>
      </c>
      <c r="V839" s="123">
        <f t="shared" si="153"/>
        <v>887596</v>
      </c>
      <c r="W839" s="122" t="str">
        <f t="shared" si="154"/>
        <v>1</v>
      </c>
      <c r="X839" s="123">
        <f>Y839+295792</f>
        <v>370792</v>
      </c>
      <c r="Y839" s="123">
        <f>AB839</f>
        <v>75000</v>
      </c>
      <c r="Z839" s="123">
        <f t="shared" si="155"/>
        <v>295792</v>
      </c>
      <c r="AA839" s="122" t="str">
        <f t="shared" si="156"/>
        <v>1</v>
      </c>
      <c r="AB839" s="120">
        <f t="shared" si="157"/>
        <v>75000</v>
      </c>
      <c r="AC839" s="123">
        <v>75000</v>
      </c>
      <c r="AD839" s="123">
        <v>0</v>
      </c>
      <c r="AE839" s="123">
        <v>86226</v>
      </c>
      <c r="AF839" s="123">
        <v>680511</v>
      </c>
      <c r="AG839" s="151">
        <f t="shared" si="160"/>
        <v>179486</v>
      </c>
      <c r="AH839" s="123">
        <v>179486</v>
      </c>
      <c r="AJ839" s="123">
        <v>123600</v>
      </c>
      <c r="AM839" s="123">
        <v>253633</v>
      </c>
      <c r="AO839" s="123">
        <v>735000</v>
      </c>
    </row>
    <row r="840" spans="1:41" s="123" customFormat="1" ht="16.2" thickBot="1" x14ac:dyDescent="0.35">
      <c r="A840" s="21"/>
      <c r="B840" s="212" t="s">
        <v>154</v>
      </c>
      <c r="C840" s="31" t="str">
        <f>VLOOKUP((CONCATENATE(B840)),ID!$A$2:$D$305,3,0)</f>
        <v>OT026</v>
      </c>
      <c r="D840" s="21">
        <v>1</v>
      </c>
      <c r="E840" s="21" t="s">
        <v>3903</v>
      </c>
      <c r="F840" s="21" t="s">
        <v>1117</v>
      </c>
      <c r="G840" s="21" t="s">
        <v>3853</v>
      </c>
      <c r="H840" s="88">
        <v>3957</v>
      </c>
      <c r="I840" s="43">
        <v>3677</v>
      </c>
      <c r="J840" s="43">
        <v>3677</v>
      </c>
      <c r="K840" s="21">
        <v>0</v>
      </c>
      <c r="L840" s="21"/>
      <c r="M840" s="21"/>
      <c r="N840" s="43"/>
      <c r="O840" s="27" t="s">
        <v>3920</v>
      </c>
      <c r="P840" s="194" t="str">
        <f t="shared" si="161"/>
        <v>1</v>
      </c>
      <c r="Q840" s="21">
        <v>1</v>
      </c>
      <c r="R840" s="39" t="str">
        <f t="shared" si="158"/>
        <v>-</v>
      </c>
      <c r="S840" s="120">
        <f t="shared" si="159"/>
        <v>19232801</v>
      </c>
      <c r="T840" s="123">
        <v>22355363</v>
      </c>
      <c r="U840" s="123">
        <f>2679482+1037367+9444142+1766683</f>
        <v>14927674</v>
      </c>
      <c r="V840" s="123">
        <f t="shared" si="153"/>
        <v>7427689</v>
      </c>
      <c r="W840" s="122" t="str">
        <f t="shared" si="154"/>
        <v>1</v>
      </c>
      <c r="X840" s="123">
        <f>Y840+103250+29095+761522+112541</f>
        <v>3122562</v>
      </c>
      <c r="Y840" s="123">
        <f>524165+1591989</f>
        <v>2116154</v>
      </c>
      <c r="Z840" s="123">
        <f t="shared" si="155"/>
        <v>1006408</v>
      </c>
      <c r="AA840" s="122" t="str">
        <f t="shared" si="156"/>
        <v>1</v>
      </c>
      <c r="AB840" s="120">
        <f t="shared" si="157"/>
        <v>1591989</v>
      </c>
      <c r="AC840" s="123">
        <v>0</v>
      </c>
      <c r="AD840" s="123">
        <v>1591989</v>
      </c>
      <c r="AE840" s="123">
        <v>447019</v>
      </c>
      <c r="AF840" s="123">
        <v>9444142</v>
      </c>
      <c r="AG840" s="151">
        <f t="shared" si="160"/>
        <v>1980417</v>
      </c>
      <c r="AH840" s="123">
        <f>2403074-AK840-99247</f>
        <v>2153827</v>
      </c>
      <c r="AI840" s="123">
        <v>85648</v>
      </c>
      <c r="AJ840" s="123">
        <f>1819139-227507-79771</f>
        <v>1511861</v>
      </c>
      <c r="AK840" s="123">
        <v>150000</v>
      </c>
      <c r="AL840" s="123">
        <v>87762</v>
      </c>
      <c r="AO840" s="123">
        <f>4959249+5260469+2638218+2640718</f>
        <v>15498654</v>
      </c>
    </row>
    <row r="841" spans="1:41" s="123" customFormat="1" ht="16.2" thickBot="1" x14ac:dyDescent="0.35">
      <c r="A841" s="21">
        <v>138.1</v>
      </c>
      <c r="B841" s="212" t="s">
        <v>154</v>
      </c>
      <c r="C841" s="31" t="str">
        <f>VLOOKUP((CONCATENATE(B841)),ID!$A$2:$D$305,3,0)</f>
        <v>OT026</v>
      </c>
      <c r="D841" s="21">
        <v>1</v>
      </c>
      <c r="E841" s="21" t="s">
        <v>3903</v>
      </c>
      <c r="F841" s="21" t="s">
        <v>1117</v>
      </c>
      <c r="G841" s="21" t="s">
        <v>3853</v>
      </c>
      <c r="H841" s="88">
        <v>4322</v>
      </c>
      <c r="I841" s="43">
        <v>4041</v>
      </c>
      <c r="J841" s="43">
        <v>4041</v>
      </c>
      <c r="K841" s="21">
        <v>0</v>
      </c>
      <c r="L841" s="21"/>
      <c r="M841" s="21"/>
      <c r="N841" s="21"/>
      <c r="O841" s="27" t="s">
        <v>3920</v>
      </c>
      <c r="P841" s="194" t="str">
        <f t="shared" si="161"/>
        <v>1</v>
      </c>
      <c r="Q841" s="21">
        <v>1</v>
      </c>
      <c r="R841" s="39" t="str">
        <f t="shared" si="158"/>
        <v>-</v>
      </c>
      <c r="S841" s="120">
        <f t="shared" si="159"/>
        <v>19346519</v>
      </c>
      <c r="T841" s="123">
        <v>22642410</v>
      </c>
      <c r="U841" s="123">
        <f>2611405+966004+9443032+1595419</f>
        <v>14615860</v>
      </c>
      <c r="V841" s="123">
        <f t="shared" si="153"/>
        <v>8026550</v>
      </c>
      <c r="W841" s="122" t="str">
        <f t="shared" si="154"/>
        <v>1</v>
      </c>
      <c r="X841" s="123">
        <f>1591989+79598+22553+849757+583839+168155</f>
        <v>3295891</v>
      </c>
      <c r="Y841" s="123">
        <f>1591989+583839</f>
        <v>2175828</v>
      </c>
      <c r="Z841" s="123">
        <f t="shared" si="155"/>
        <v>1120063</v>
      </c>
      <c r="AA841" s="122" t="str">
        <f t="shared" si="156"/>
        <v>1</v>
      </c>
      <c r="AB841" s="120">
        <f t="shared" si="157"/>
        <v>1591989</v>
      </c>
      <c r="AC841" s="123">
        <v>0</v>
      </c>
      <c r="AD841" s="123">
        <v>1591989</v>
      </c>
      <c r="AE841" s="123">
        <v>400120</v>
      </c>
      <c r="AF841" s="123">
        <v>9443032</v>
      </c>
      <c r="AG841" s="151">
        <f t="shared" si="160"/>
        <v>2391329</v>
      </c>
      <c r="AH841" s="123">
        <f>2788200-99359-AK841</f>
        <v>2563841</v>
      </c>
      <c r="AI841" s="123">
        <v>93874</v>
      </c>
      <c r="AJ841" s="123">
        <f>1970314-236589-88921</f>
        <v>1644804</v>
      </c>
      <c r="AK841" s="123">
        <v>125000</v>
      </c>
      <c r="AL841" s="123">
        <v>78638</v>
      </c>
      <c r="AO841" s="123">
        <f>4959249+5260469+2638218+2642493</f>
        <v>15500429</v>
      </c>
    </row>
    <row r="842" spans="1:41" s="123" customFormat="1" ht="16.2" thickBot="1" x14ac:dyDescent="0.35">
      <c r="A842" s="21">
        <v>138.19999999999999</v>
      </c>
      <c r="B842" s="212" t="s">
        <v>154</v>
      </c>
      <c r="C842" s="31" t="str">
        <f>VLOOKUP((CONCATENATE(B842)),ID!$A$2:$D$305,3,0)</f>
        <v>OT026</v>
      </c>
      <c r="D842" s="21">
        <v>1</v>
      </c>
      <c r="E842" s="21" t="s">
        <v>3903</v>
      </c>
      <c r="F842" s="21" t="s">
        <v>1117</v>
      </c>
      <c r="G842" s="21" t="s">
        <v>3853</v>
      </c>
      <c r="H842" s="88">
        <v>4688</v>
      </c>
      <c r="I842" s="43">
        <v>4404</v>
      </c>
      <c r="J842" s="43">
        <v>4404</v>
      </c>
      <c r="K842" s="21">
        <v>0</v>
      </c>
      <c r="L842" s="21"/>
      <c r="M842" s="21"/>
      <c r="N842" s="21"/>
      <c r="O842" s="27" t="s">
        <v>3920</v>
      </c>
      <c r="P842" s="194" t="str">
        <f t="shared" si="161"/>
        <v>1</v>
      </c>
      <c r="Q842" s="21">
        <v>1</v>
      </c>
      <c r="R842" s="39" t="str">
        <f t="shared" si="158"/>
        <v>-</v>
      </c>
      <c r="S842" s="120">
        <f t="shared" si="159"/>
        <v>20297869</v>
      </c>
      <c r="T842" s="123">
        <v>22169361</v>
      </c>
      <c r="U842" s="123">
        <f>1751458+1573144+9439084+1448446</f>
        <v>14212132</v>
      </c>
      <c r="V842" s="123">
        <f t="shared" si="153"/>
        <v>7957229</v>
      </c>
      <c r="W842" s="122" t="str">
        <f t="shared" si="154"/>
        <v>1</v>
      </c>
      <c r="X842" s="123">
        <f>977380+300513+593599</f>
        <v>1871492</v>
      </c>
      <c r="Y842" s="123">
        <v>593599</v>
      </c>
      <c r="Z842" s="123">
        <f t="shared" si="155"/>
        <v>1277893</v>
      </c>
      <c r="AA842" s="122" t="str">
        <f t="shared" si="156"/>
        <v>1</v>
      </c>
      <c r="AB842" s="120">
        <f t="shared" si="157"/>
        <v>0</v>
      </c>
      <c r="AC842" s="123">
        <v>0</v>
      </c>
      <c r="AD842" s="123">
        <v>0</v>
      </c>
      <c r="AE842" s="123">
        <v>155267</v>
      </c>
      <c r="AF842" s="123">
        <v>9439084</v>
      </c>
      <c r="AG842" s="151">
        <f t="shared" si="160"/>
        <v>2645176</v>
      </c>
      <c r="AH842" s="123">
        <f>3019804-106940-AK842</f>
        <v>2787864</v>
      </c>
      <c r="AI842" s="123">
        <v>98354</v>
      </c>
      <c r="AJ842" s="123">
        <f>272758+315628+131910+131910+198213+202896+401109</f>
        <v>1654424</v>
      </c>
      <c r="AK842" s="123">
        <v>125000</v>
      </c>
      <c r="AL842" s="123">
        <v>44334</v>
      </c>
      <c r="AO842" s="123">
        <f>4959249+5260469+2638218+2782999</f>
        <v>15640935</v>
      </c>
    </row>
    <row r="843" spans="1:41" s="123" customFormat="1" ht="16.2" thickBot="1" x14ac:dyDescent="0.35">
      <c r="A843" s="21"/>
      <c r="B843" s="212" t="s">
        <v>154</v>
      </c>
      <c r="C843" s="31" t="str">
        <f>VLOOKUP((CONCATENATE(B843)),ID!$A$2:$D$305,3,0)</f>
        <v>OT026</v>
      </c>
      <c r="D843" s="21">
        <v>1</v>
      </c>
      <c r="E843" s="21" t="s">
        <v>3903</v>
      </c>
      <c r="F843" s="21" t="s">
        <v>1117</v>
      </c>
      <c r="G843" s="21" t="s">
        <v>3853</v>
      </c>
      <c r="H843" s="88">
        <v>5053</v>
      </c>
      <c r="I843" s="43">
        <v>4776</v>
      </c>
      <c r="J843" s="43">
        <v>4776</v>
      </c>
      <c r="K843" s="21">
        <v>0</v>
      </c>
      <c r="L843" s="21"/>
      <c r="M843" s="21"/>
      <c r="N843" s="21"/>
      <c r="O843" s="27" t="s">
        <v>3920</v>
      </c>
      <c r="P843" s="194" t="str">
        <f t="shared" si="161"/>
        <v>1</v>
      </c>
      <c r="Q843" s="21">
        <v>1</v>
      </c>
      <c r="R843" s="39" t="str">
        <f t="shared" si="158"/>
        <v>-</v>
      </c>
      <c r="S843" s="120">
        <f t="shared" si="159"/>
        <v>21449527</v>
      </c>
      <c r="T843" s="123">
        <v>23308838</v>
      </c>
      <c r="U843" s="123">
        <f>1424869+9431442+1936237+1697260</f>
        <v>14489808</v>
      </c>
      <c r="V843" s="123">
        <f t="shared" si="153"/>
        <v>8819030</v>
      </c>
      <c r="W843" s="122" t="str">
        <f t="shared" si="154"/>
        <v>1</v>
      </c>
      <c r="X843" s="123">
        <f>602459+369841+887011</f>
        <v>1859311</v>
      </c>
      <c r="Y843" s="123">
        <v>602459</v>
      </c>
      <c r="Z843" s="123">
        <f t="shared" si="155"/>
        <v>1256852</v>
      </c>
      <c r="AA843" s="122" t="str">
        <f t="shared" si="156"/>
        <v>1</v>
      </c>
      <c r="AB843" s="120">
        <f t="shared" si="157"/>
        <v>0</v>
      </c>
      <c r="AC843" s="123">
        <v>0</v>
      </c>
      <c r="AD843" s="123">
        <v>0</v>
      </c>
      <c r="AE843" s="123">
        <v>246447</v>
      </c>
      <c r="AF843" s="123">
        <v>9431442</v>
      </c>
      <c r="AG843" s="151">
        <f t="shared" si="160"/>
        <v>3032902</v>
      </c>
      <c r="AH843" s="123">
        <f>3354475-AK843-113389</f>
        <v>3141086</v>
      </c>
      <c r="AI843" s="123">
        <v>108184</v>
      </c>
      <c r="AJ843" s="123">
        <f>2193419-263835-103325</f>
        <v>1826259</v>
      </c>
      <c r="AK843" s="123">
        <v>100000</v>
      </c>
      <c r="AO843" s="123">
        <f>4959249+5260469+2638218+2782999</f>
        <v>15640935</v>
      </c>
    </row>
    <row r="844" spans="1:41" s="123" customFormat="1" ht="16.2" thickBot="1" x14ac:dyDescent="0.35">
      <c r="A844" s="21"/>
      <c r="B844" s="212" t="s">
        <v>154</v>
      </c>
      <c r="C844" s="31" t="str">
        <f>VLOOKUP((CONCATENATE(B844)),ID!$A$2:$D$305,3,0)</f>
        <v>OT026</v>
      </c>
      <c r="D844" s="21">
        <v>1</v>
      </c>
      <c r="E844" s="21" t="s">
        <v>3903</v>
      </c>
      <c r="F844" s="21" t="s">
        <v>1117</v>
      </c>
      <c r="G844" s="21" t="s">
        <v>3853</v>
      </c>
      <c r="H844" s="88">
        <v>5418</v>
      </c>
      <c r="I844" s="43">
        <v>5140</v>
      </c>
      <c r="J844" s="43">
        <v>5140</v>
      </c>
      <c r="K844" s="21">
        <v>0</v>
      </c>
      <c r="L844" s="21"/>
      <c r="M844" s="21"/>
      <c r="N844" s="21"/>
      <c r="O844" s="27" t="s">
        <v>3920</v>
      </c>
      <c r="P844" s="194" t="str">
        <f t="shared" si="161"/>
        <v>1</v>
      </c>
      <c r="Q844" s="21">
        <v>1</v>
      </c>
      <c r="R844" s="39" t="str">
        <f t="shared" si="158"/>
        <v>-</v>
      </c>
      <c r="S844" s="120">
        <f t="shared" si="159"/>
        <v>22509044</v>
      </c>
      <c r="T844" s="123">
        <v>24541282</v>
      </c>
      <c r="U844" s="123">
        <f>1419466+9428334+1771168+1254019</f>
        <v>13872987</v>
      </c>
      <c r="V844" s="123">
        <f t="shared" si="153"/>
        <v>10668295</v>
      </c>
      <c r="W844" s="122" t="str">
        <f t="shared" si="154"/>
        <v>1</v>
      </c>
      <c r="X844" s="123">
        <f>965308+405700+661230</f>
        <v>2032238</v>
      </c>
      <c r="Y844" s="123">
        <v>661230</v>
      </c>
      <c r="Z844" s="123">
        <f t="shared" si="155"/>
        <v>1371008</v>
      </c>
      <c r="AA844" s="122" t="str">
        <f t="shared" si="156"/>
        <v>1</v>
      </c>
      <c r="AB844" s="120">
        <f t="shared" si="157"/>
        <v>0</v>
      </c>
      <c r="AC844" s="123">
        <v>0</v>
      </c>
      <c r="AD844" s="123">
        <v>0</v>
      </c>
      <c r="AE844" s="123">
        <v>1225630</v>
      </c>
      <c r="AF844" s="123">
        <v>9428334</v>
      </c>
      <c r="AG844" s="151">
        <f t="shared" si="160"/>
        <v>3168489</v>
      </c>
      <c r="AH844" s="123">
        <f>3533359-AK844-116417</f>
        <v>3316942</v>
      </c>
      <c r="AI844" s="123">
        <v>148453</v>
      </c>
      <c r="AJ844" s="123">
        <f>2251476-315417-109447</f>
        <v>1826612</v>
      </c>
      <c r="AK844" s="123">
        <v>100000</v>
      </c>
      <c r="AO844" s="123">
        <f>4959249+5260469+2638218+2782999</f>
        <v>15640935</v>
      </c>
    </row>
    <row r="845" spans="1:41" s="123" customFormat="1" ht="16.2" thickBot="1" x14ac:dyDescent="0.35">
      <c r="A845" s="21"/>
      <c r="B845" s="212" t="s">
        <v>162</v>
      </c>
      <c r="C845" s="31" t="str">
        <f>VLOOKUP((CONCATENATE(B845)),ID!$A$2:$D$305,3,0)</f>
        <v>OT027</v>
      </c>
      <c r="D845" s="21">
        <v>1</v>
      </c>
      <c r="E845" s="21" t="s">
        <v>3903</v>
      </c>
      <c r="F845" s="21" t="s">
        <v>1117</v>
      </c>
      <c r="G845" s="21" t="s">
        <v>3853</v>
      </c>
      <c r="H845" s="88">
        <v>3743</v>
      </c>
      <c r="I845" s="43">
        <v>3798</v>
      </c>
      <c r="J845" s="43">
        <v>3797</v>
      </c>
      <c r="K845" s="21">
        <v>0</v>
      </c>
      <c r="L845" s="21"/>
      <c r="M845" s="21"/>
      <c r="N845" s="43">
        <v>3813</v>
      </c>
      <c r="O845" s="21" t="s">
        <v>3785</v>
      </c>
      <c r="P845" s="194" t="str">
        <f t="shared" si="161"/>
        <v>1</v>
      </c>
      <c r="Q845" s="21">
        <v>1</v>
      </c>
      <c r="R845" s="39" t="str">
        <f t="shared" si="158"/>
        <v>-</v>
      </c>
      <c r="S845" s="120">
        <f t="shared" si="159"/>
        <v>1535132</v>
      </c>
      <c r="T845" s="123">
        <v>2323741</v>
      </c>
      <c r="U845" s="123">
        <f>1324593+39189+81927+325122</f>
        <v>1770831</v>
      </c>
      <c r="V845" s="123">
        <f t="shared" ref="V845:V908" si="162">T845-U845</f>
        <v>552910</v>
      </c>
      <c r="W845" s="122" t="str">
        <f t="shared" ref="W845:W908" si="163">IF(V845+U845=T845,"1","0")</f>
        <v>1</v>
      </c>
      <c r="X845" s="123">
        <f>302825+126324+97593+261271+596</f>
        <v>788609</v>
      </c>
      <c r="Y845" s="123">
        <f t="shared" ref="Y845:Y851" si="164">AB845</f>
        <v>521393</v>
      </c>
      <c r="Z845" s="123">
        <f t="shared" ref="Z845:Z908" si="165">X845-Y845</f>
        <v>267216</v>
      </c>
      <c r="AA845" s="122" t="str">
        <f t="shared" ref="AA845:AA908" si="166">IF(Z845+Y845=X845,"1","0")</f>
        <v>1</v>
      </c>
      <c r="AB845" s="120">
        <f t="shared" ref="AB845:AB908" si="167">SUM(AC845+AD845)</f>
        <v>521393</v>
      </c>
      <c r="AC845" s="123">
        <v>0</v>
      </c>
      <c r="AD845" s="123">
        <f>425000+(97593-1200)</f>
        <v>521393</v>
      </c>
      <c r="AE845" s="123">
        <v>118628</v>
      </c>
      <c r="AF845" s="123">
        <v>39189</v>
      </c>
      <c r="AG845" s="151">
        <f t="shared" si="160"/>
        <v>193642</v>
      </c>
      <c r="AH845" s="123">
        <f>288069-AK845</f>
        <v>215123</v>
      </c>
      <c r="AJ845" s="123">
        <v>61442</v>
      </c>
      <c r="AK845" s="123">
        <v>72946</v>
      </c>
      <c r="AL845" s="123">
        <v>21481</v>
      </c>
      <c r="AM845" s="123">
        <v>1110488</v>
      </c>
      <c r="AO845" s="123">
        <f>356000+500000+33100</f>
        <v>889100</v>
      </c>
    </row>
    <row r="846" spans="1:41" s="123" customFormat="1" ht="16.2" thickBot="1" x14ac:dyDescent="0.35">
      <c r="A846" s="21">
        <v>139.1</v>
      </c>
      <c r="B846" s="212" t="s">
        <v>162</v>
      </c>
      <c r="C846" s="31" t="str">
        <f>VLOOKUP((CONCATENATE(B846)),ID!$A$2:$D$305,3,0)</f>
        <v>OT027</v>
      </c>
      <c r="D846" s="21">
        <v>1</v>
      </c>
      <c r="E846" s="21" t="s">
        <v>3903</v>
      </c>
      <c r="F846" s="21" t="s">
        <v>1117</v>
      </c>
      <c r="G846" s="21" t="s">
        <v>3853</v>
      </c>
      <c r="H846" s="88">
        <v>4108</v>
      </c>
      <c r="I846" s="43">
        <v>4164</v>
      </c>
      <c r="J846" s="43">
        <v>4162</v>
      </c>
      <c r="K846" s="21">
        <v>0</v>
      </c>
      <c r="L846" s="21"/>
      <c r="M846" s="21"/>
      <c r="N846" s="43">
        <v>4177</v>
      </c>
      <c r="O846" s="21" t="s">
        <v>3785</v>
      </c>
      <c r="P846" s="194" t="str">
        <f t="shared" si="161"/>
        <v>1</v>
      </c>
      <c r="Q846" s="21">
        <v>1</v>
      </c>
      <c r="R846" s="39" t="str">
        <f t="shared" si="158"/>
        <v>-</v>
      </c>
      <c r="S846" s="120">
        <f t="shared" si="159"/>
        <v>1583570</v>
      </c>
      <c r="T846" s="123">
        <v>2474088</v>
      </c>
      <c r="U846" s="123">
        <f>1448677+39189+331583+27372</f>
        <v>1846821</v>
      </c>
      <c r="V846" s="123">
        <f t="shared" si="162"/>
        <v>627267</v>
      </c>
      <c r="W846" s="122" t="str">
        <f t="shared" si="163"/>
        <v>1</v>
      </c>
      <c r="X846" s="123">
        <f>302825+126324+96353+264434+582+100000</f>
        <v>890518</v>
      </c>
      <c r="Y846" s="123">
        <f t="shared" si="164"/>
        <v>620029</v>
      </c>
      <c r="Z846" s="123">
        <f t="shared" si="165"/>
        <v>270489</v>
      </c>
      <c r="AA846" s="122" t="str">
        <f t="shared" si="166"/>
        <v>1</v>
      </c>
      <c r="AB846" s="120">
        <f t="shared" si="167"/>
        <v>620029</v>
      </c>
      <c r="AC846" s="123">
        <v>100000</v>
      </c>
      <c r="AD846" s="123">
        <f>425000+96353-1324</f>
        <v>520029</v>
      </c>
      <c r="AE846" s="123">
        <v>125808</v>
      </c>
      <c r="AF846" s="123">
        <v>39189</v>
      </c>
      <c r="AG846" s="151">
        <f t="shared" si="160"/>
        <v>201532</v>
      </c>
      <c r="AH846" s="123">
        <f>302389-AK846</f>
        <v>223004</v>
      </c>
      <c r="AJ846" s="123">
        <v>62568</v>
      </c>
      <c r="AK846" s="123">
        <v>79385</v>
      </c>
      <c r="AL846" s="123">
        <v>21472</v>
      </c>
      <c r="AM846" s="123">
        <v>1220723</v>
      </c>
      <c r="AO846" s="123">
        <f>356000+500000+68700</f>
        <v>924700</v>
      </c>
    </row>
    <row r="847" spans="1:41" s="123" customFormat="1" ht="16.2" thickBot="1" x14ac:dyDescent="0.35">
      <c r="A847" s="21">
        <v>139.19999999999999</v>
      </c>
      <c r="B847" s="212" t="s">
        <v>162</v>
      </c>
      <c r="C847" s="31" t="str">
        <f>VLOOKUP((CONCATENATE(B847)),ID!$A$2:$D$305,3,0)</f>
        <v>OT027</v>
      </c>
      <c r="D847" s="21">
        <v>1</v>
      </c>
      <c r="E847" s="21" t="s">
        <v>3903</v>
      </c>
      <c r="F847" s="21" t="s">
        <v>1117</v>
      </c>
      <c r="G847" s="21" t="s">
        <v>3853</v>
      </c>
      <c r="H847" s="88">
        <v>4474</v>
      </c>
      <c r="I847" s="43">
        <v>4528</v>
      </c>
      <c r="J847" s="43">
        <v>4526</v>
      </c>
      <c r="K847" s="21">
        <v>0</v>
      </c>
      <c r="L847" s="21"/>
      <c r="M847" s="21"/>
      <c r="N847" s="43">
        <v>4541</v>
      </c>
      <c r="O847" s="21" t="s">
        <v>3785</v>
      </c>
      <c r="P847" s="194" t="str">
        <f t="shared" si="161"/>
        <v>1</v>
      </c>
      <c r="Q847" s="21">
        <v>1</v>
      </c>
      <c r="R847" s="39" t="str">
        <f t="shared" si="158"/>
        <v>-</v>
      </c>
      <c r="S847" s="120">
        <f t="shared" si="159"/>
        <v>1945745</v>
      </c>
      <c r="T847" s="123">
        <v>2677949</v>
      </c>
      <c r="U847" s="123">
        <f>1461328+39189+341680+25114</f>
        <v>1867311</v>
      </c>
      <c r="V847" s="123">
        <f t="shared" si="162"/>
        <v>810638</v>
      </c>
      <c r="W847" s="122" t="str">
        <f t="shared" si="163"/>
        <v>1</v>
      </c>
      <c r="X847" s="123">
        <f>302825+126324+95085+207205+765</f>
        <v>732204</v>
      </c>
      <c r="Y847" s="123">
        <f t="shared" si="164"/>
        <v>518970</v>
      </c>
      <c r="Z847" s="123">
        <f t="shared" si="165"/>
        <v>213234</v>
      </c>
      <c r="AA847" s="122" t="str">
        <f t="shared" si="166"/>
        <v>1</v>
      </c>
      <c r="AB847" s="120">
        <f t="shared" si="167"/>
        <v>518970</v>
      </c>
      <c r="AC847" s="123">
        <v>0</v>
      </c>
      <c r="AD847" s="123">
        <f>425000+95085-1115</f>
        <v>518970</v>
      </c>
      <c r="AE847" s="123">
        <v>201997</v>
      </c>
      <c r="AF847" s="123">
        <v>39189</v>
      </c>
      <c r="AG847" s="151">
        <f t="shared" si="160"/>
        <v>212676</v>
      </c>
      <c r="AH847" s="123">
        <f>321059-AK847</f>
        <v>234057</v>
      </c>
      <c r="AJ847" s="123">
        <v>64604</v>
      </c>
      <c r="AK847" s="123">
        <v>87002</v>
      </c>
      <c r="AL847" s="123">
        <v>21381</v>
      </c>
      <c r="AM847" s="123">
        <v>1357479</v>
      </c>
      <c r="AO847" s="123">
        <f>356000+500000+400000</f>
        <v>1256000</v>
      </c>
    </row>
    <row r="848" spans="1:41" s="123" customFormat="1" ht="16.2" thickBot="1" x14ac:dyDescent="0.35">
      <c r="A848" s="21"/>
      <c r="B848" s="212" t="s">
        <v>162</v>
      </c>
      <c r="C848" s="31" t="str">
        <f>VLOOKUP((CONCATENATE(B848)),ID!$A$2:$D$305,3,0)</f>
        <v>OT027</v>
      </c>
      <c r="D848" s="21">
        <v>1</v>
      </c>
      <c r="E848" s="21" t="s">
        <v>3903</v>
      </c>
      <c r="F848" s="21" t="s">
        <v>1117</v>
      </c>
      <c r="G848" s="21" t="s">
        <v>3853</v>
      </c>
      <c r="H848" s="88">
        <v>4839</v>
      </c>
      <c r="I848" s="43">
        <v>4893</v>
      </c>
      <c r="J848" s="43">
        <v>4891</v>
      </c>
      <c r="K848" s="21">
        <v>0</v>
      </c>
      <c r="L848" s="21"/>
      <c r="M848" s="21"/>
      <c r="N848" s="43">
        <v>4905</v>
      </c>
      <c r="O848" s="21" t="s">
        <v>3785</v>
      </c>
      <c r="P848" s="194" t="str">
        <f t="shared" si="161"/>
        <v>1</v>
      </c>
      <c r="Q848" s="21">
        <v>1</v>
      </c>
      <c r="R848" s="39" t="str">
        <f t="shared" si="158"/>
        <v>-</v>
      </c>
      <c r="S848" s="120">
        <f t="shared" si="159"/>
        <v>1973626</v>
      </c>
      <c r="T848" s="123">
        <v>2814059</v>
      </c>
      <c r="U848" s="123">
        <f>1478929+39189+330424+30458</f>
        <v>1879000</v>
      </c>
      <c r="V848" s="123">
        <f t="shared" si="162"/>
        <v>935059</v>
      </c>
      <c r="W848" s="122" t="str">
        <f t="shared" si="163"/>
        <v>1</v>
      </c>
      <c r="X848" s="123">
        <f>302825+126324+93763+316730+791</f>
        <v>840433</v>
      </c>
      <c r="Y848" s="123">
        <f t="shared" si="164"/>
        <v>517675</v>
      </c>
      <c r="Z848" s="123">
        <f t="shared" si="165"/>
        <v>322758</v>
      </c>
      <c r="AA848" s="122" t="str">
        <f t="shared" si="166"/>
        <v>1</v>
      </c>
      <c r="AB848" s="120">
        <f t="shared" si="167"/>
        <v>517675</v>
      </c>
      <c r="AC848" s="123">
        <v>0</v>
      </c>
      <c r="AD848" s="123">
        <f>425000+93763-1088</f>
        <v>517675</v>
      </c>
      <c r="AE848" s="123">
        <v>228463</v>
      </c>
      <c r="AF848" s="123">
        <v>39189</v>
      </c>
      <c r="AG848" s="151">
        <f t="shared" si="160"/>
        <v>226318</v>
      </c>
      <c r="AH848" s="123">
        <f>339517-AK848</f>
        <v>247669</v>
      </c>
      <c r="AJ848" s="123">
        <v>73166</v>
      </c>
      <c r="AK848" s="123">
        <v>91848</v>
      </c>
      <c r="AL848" s="123">
        <v>21351</v>
      </c>
      <c r="AM848" s="123">
        <v>1450500</v>
      </c>
      <c r="AO848" s="123">
        <f>356000+500000+400000</f>
        <v>1256000</v>
      </c>
    </row>
    <row r="849" spans="1:41" s="123" customFormat="1" ht="16.2" thickBot="1" x14ac:dyDescent="0.35">
      <c r="A849" s="21"/>
      <c r="B849" s="212" t="s">
        <v>162</v>
      </c>
      <c r="C849" s="31" t="str">
        <f>VLOOKUP((CONCATENATE(B849)),ID!$A$2:$D$305,3,0)</f>
        <v>OT027</v>
      </c>
      <c r="D849" s="21">
        <v>1</v>
      </c>
      <c r="E849" s="21" t="s">
        <v>3903</v>
      </c>
      <c r="F849" s="21" t="s">
        <v>1117</v>
      </c>
      <c r="G849" s="21" t="s">
        <v>3853</v>
      </c>
      <c r="H849" s="88">
        <v>5204</v>
      </c>
      <c r="I849" s="43">
        <v>5261</v>
      </c>
      <c r="J849" s="43">
        <v>5259</v>
      </c>
      <c r="K849" s="21">
        <v>0</v>
      </c>
      <c r="L849" s="21"/>
      <c r="M849" s="21"/>
      <c r="N849" s="43">
        <v>5276</v>
      </c>
      <c r="O849" s="21" t="s">
        <v>3785</v>
      </c>
      <c r="P849" s="194" t="str">
        <f t="shared" si="161"/>
        <v>1</v>
      </c>
      <c r="Q849" s="21">
        <v>1</v>
      </c>
      <c r="R849" s="39" t="str">
        <f t="shared" si="158"/>
        <v>-</v>
      </c>
      <c r="S849" s="120">
        <f t="shared" si="159"/>
        <v>1943038</v>
      </c>
      <c r="T849" s="123">
        <v>2824532</v>
      </c>
      <c r="U849" s="123">
        <f>1521596+297969+31717</f>
        <v>1851282</v>
      </c>
      <c r="V849" s="123">
        <f t="shared" si="162"/>
        <v>973250</v>
      </c>
      <c r="W849" s="122" t="str">
        <f t="shared" si="163"/>
        <v>1</v>
      </c>
      <c r="X849" s="123">
        <f>302825+126324+92390+358976+979</f>
        <v>881494</v>
      </c>
      <c r="Y849" s="123">
        <f t="shared" si="164"/>
        <v>516321</v>
      </c>
      <c r="Z849" s="123">
        <f t="shared" si="165"/>
        <v>365173</v>
      </c>
      <c r="AA849" s="122" t="str">
        <f t="shared" si="166"/>
        <v>1</v>
      </c>
      <c r="AB849" s="120">
        <f t="shared" si="167"/>
        <v>516321</v>
      </c>
      <c r="AC849" s="123">
        <v>0</v>
      </c>
      <c r="AD849" s="123">
        <f>425000-1069+92390</f>
        <v>516321</v>
      </c>
      <c r="AE849" s="123">
        <v>179179</v>
      </c>
      <c r="AF849" s="123">
        <v>0</v>
      </c>
      <c r="AG849" s="151">
        <f t="shared" si="160"/>
        <v>238902</v>
      </c>
      <c r="AH849" s="123">
        <f>356303-AK849</f>
        <v>260201</v>
      </c>
      <c r="AJ849" s="123">
        <v>73166</v>
      </c>
      <c r="AK849" s="123">
        <v>96102</v>
      </c>
      <c r="AL849" s="123">
        <v>21299</v>
      </c>
      <c r="AM849" s="123">
        <v>1574659</v>
      </c>
      <c r="AO849" s="123">
        <f>356000+500000+400000</f>
        <v>1256000</v>
      </c>
    </row>
    <row r="850" spans="1:41" s="123" customFormat="1" ht="16.2" thickBot="1" x14ac:dyDescent="0.35">
      <c r="A850" s="21"/>
      <c r="B850" s="212" t="s">
        <v>164</v>
      </c>
      <c r="C850" s="31" t="str">
        <f>VLOOKUP((CONCATENATE(B850)),ID!$A$2:$D$305,3,0)</f>
        <v>OT028</v>
      </c>
      <c r="D850" s="21">
        <v>1</v>
      </c>
      <c r="E850" s="21" t="s">
        <v>3903</v>
      </c>
      <c r="F850" s="21" t="s">
        <v>3812</v>
      </c>
      <c r="G850" s="21" t="s">
        <v>3853</v>
      </c>
      <c r="H850" s="88">
        <v>3926</v>
      </c>
      <c r="I850" s="43">
        <v>3970</v>
      </c>
      <c r="J850" s="43"/>
      <c r="K850" s="21">
        <v>1</v>
      </c>
      <c r="L850" s="43">
        <v>3970</v>
      </c>
      <c r="M850" s="43">
        <v>3986</v>
      </c>
      <c r="N850" s="43">
        <v>3986</v>
      </c>
      <c r="O850" s="21" t="s">
        <v>3921</v>
      </c>
      <c r="P850" s="194" t="str">
        <f t="shared" si="161"/>
        <v>1</v>
      </c>
      <c r="Q850" s="21">
        <v>1</v>
      </c>
      <c r="R850" s="39" t="str">
        <f t="shared" si="158"/>
        <v>-</v>
      </c>
      <c r="S850" s="120">
        <f t="shared" si="159"/>
        <v>1538676</v>
      </c>
      <c r="T850" s="123">
        <v>2417262</v>
      </c>
      <c r="U850" s="123">
        <f>600205+261973+48393+737062</f>
        <v>1647633</v>
      </c>
      <c r="V850" s="123">
        <f t="shared" si="162"/>
        <v>769629</v>
      </c>
      <c r="W850" s="122" t="str">
        <f t="shared" si="163"/>
        <v>1</v>
      </c>
      <c r="X850" s="123">
        <f>Y850+201115</f>
        <v>878586</v>
      </c>
      <c r="Y850" s="123">
        <f t="shared" si="164"/>
        <v>677471</v>
      </c>
      <c r="Z850" s="123">
        <f t="shared" si="165"/>
        <v>201115</v>
      </c>
      <c r="AA850" s="122" t="str">
        <f t="shared" si="166"/>
        <v>1</v>
      </c>
      <c r="AB850" s="120">
        <f t="shared" si="167"/>
        <v>677471</v>
      </c>
      <c r="AC850" s="123">
        <v>27471</v>
      </c>
      <c r="AD850" s="123">
        <v>650000</v>
      </c>
      <c r="AE850" s="123">
        <v>418756</v>
      </c>
      <c r="AG850" s="151">
        <f t="shared" si="160"/>
        <v>211378</v>
      </c>
      <c r="AH850" s="123">
        <f>349767-4638-AK850-25092</f>
        <v>230037</v>
      </c>
      <c r="AJ850" s="123">
        <v>105534</v>
      </c>
      <c r="AK850" s="123">
        <v>90000</v>
      </c>
      <c r="AL850" s="123">
        <v>18659</v>
      </c>
      <c r="AO850" s="123">
        <v>1516105</v>
      </c>
    </row>
    <row r="851" spans="1:41" s="123" customFormat="1" ht="16.2" thickBot="1" x14ac:dyDescent="0.35">
      <c r="A851" s="21">
        <v>140.1</v>
      </c>
      <c r="B851" s="212" t="s">
        <v>164</v>
      </c>
      <c r="C851" s="31" t="str">
        <f>VLOOKUP((CONCATENATE(B851)),ID!$A$2:$D$305,3,0)</f>
        <v>OT028</v>
      </c>
      <c r="D851" s="21">
        <v>1</v>
      </c>
      <c r="E851" s="21" t="s">
        <v>3903</v>
      </c>
      <c r="F851" s="21" t="s">
        <v>3812</v>
      </c>
      <c r="G851" s="21" t="s">
        <v>3853</v>
      </c>
      <c r="H851" s="88">
        <v>4291</v>
      </c>
      <c r="I851" s="43">
        <v>4336</v>
      </c>
      <c r="J851" s="43">
        <v>4336</v>
      </c>
      <c r="K851" s="21">
        <v>1</v>
      </c>
      <c r="L851" s="43">
        <v>4336</v>
      </c>
      <c r="M851" s="43">
        <v>4350</v>
      </c>
      <c r="N851" s="43">
        <v>4350</v>
      </c>
      <c r="O851" s="21" t="s">
        <v>3921</v>
      </c>
      <c r="P851" s="194" t="str">
        <f t="shared" si="161"/>
        <v>1</v>
      </c>
      <c r="Q851" s="21">
        <v>1</v>
      </c>
      <c r="R851" s="39" t="str">
        <f t="shared" si="158"/>
        <v>-</v>
      </c>
      <c r="S851" s="120">
        <f t="shared" si="159"/>
        <v>1647821</v>
      </c>
      <c r="T851" s="123">
        <v>2472090</v>
      </c>
      <c r="U851" s="123">
        <f>788195+220192+749584</f>
        <v>1757971</v>
      </c>
      <c r="V851" s="123">
        <f t="shared" si="162"/>
        <v>714119</v>
      </c>
      <c r="W851" s="122" t="str">
        <f t="shared" si="163"/>
        <v>1</v>
      </c>
      <c r="X851" s="123">
        <f>250000+400000+174269</f>
        <v>824269</v>
      </c>
      <c r="Y851" s="123">
        <f t="shared" si="164"/>
        <v>719091</v>
      </c>
      <c r="Z851" s="123">
        <f t="shared" si="165"/>
        <v>105178</v>
      </c>
      <c r="AA851" s="122" t="str">
        <f t="shared" si="166"/>
        <v>1</v>
      </c>
      <c r="AB851" s="120">
        <f t="shared" si="167"/>
        <v>719091</v>
      </c>
      <c r="AC851" s="123">
        <v>0</v>
      </c>
      <c r="AD851" s="123">
        <f>650000+69091</f>
        <v>719091</v>
      </c>
      <c r="AE851" s="123">
        <v>473786</v>
      </c>
      <c r="AG851" s="151">
        <f t="shared" si="160"/>
        <v>290468</v>
      </c>
      <c r="AH851" s="123">
        <f>344808-27090</f>
        <v>317718</v>
      </c>
      <c r="AJ851" s="123">
        <v>106030</v>
      </c>
      <c r="AK851" s="123">
        <v>90000</v>
      </c>
      <c r="AL851" s="123">
        <v>27250</v>
      </c>
      <c r="AO851" s="123">
        <v>1516105</v>
      </c>
    </row>
    <row r="852" spans="1:41" s="123" customFormat="1" ht="16.2" thickBot="1" x14ac:dyDescent="0.35">
      <c r="A852" s="21">
        <v>140.19999999999999</v>
      </c>
      <c r="B852" s="212" t="s">
        <v>164</v>
      </c>
      <c r="C852" s="31" t="str">
        <f>VLOOKUP((CONCATENATE(B852)),ID!$A$2:$D$305,3,0)</f>
        <v>OT028</v>
      </c>
      <c r="D852" s="21">
        <v>1</v>
      </c>
      <c r="E852" s="21" t="s">
        <v>3903</v>
      </c>
      <c r="F852" s="21" t="s">
        <v>3812</v>
      </c>
      <c r="G852" s="21" t="s">
        <v>3853</v>
      </c>
      <c r="H852" s="88">
        <v>4657</v>
      </c>
      <c r="I852" s="43">
        <v>4700</v>
      </c>
      <c r="J852" s="43">
        <v>4700</v>
      </c>
      <c r="K852" s="21">
        <v>1</v>
      </c>
      <c r="L852" s="43">
        <v>4700</v>
      </c>
      <c r="M852" s="43">
        <v>4714</v>
      </c>
      <c r="N852" s="43">
        <v>4714</v>
      </c>
      <c r="O852" s="21" t="s">
        <v>3921</v>
      </c>
      <c r="P852" s="194" t="str">
        <f t="shared" si="161"/>
        <v>1</v>
      </c>
      <c r="Q852" s="21">
        <v>1</v>
      </c>
      <c r="R852" s="39" t="str">
        <f t="shared" si="158"/>
        <v>-</v>
      </c>
      <c r="S852" s="120">
        <f t="shared" si="159"/>
        <v>1649586</v>
      </c>
      <c r="T852" s="123">
        <v>2599124</v>
      </c>
      <c r="U852" s="123">
        <f>741174+226611+820022</f>
        <v>1787807</v>
      </c>
      <c r="V852" s="123">
        <f t="shared" si="162"/>
        <v>811317</v>
      </c>
      <c r="W852" s="122" t="str">
        <f t="shared" si="163"/>
        <v>1</v>
      </c>
      <c r="X852" s="123">
        <f>250000+400000+299538</f>
        <v>949538</v>
      </c>
      <c r="Y852" s="123">
        <f>650000+82856</f>
        <v>732856</v>
      </c>
      <c r="Z852" s="123">
        <f t="shared" si="165"/>
        <v>216682</v>
      </c>
      <c r="AA852" s="122" t="str">
        <f t="shared" si="166"/>
        <v>1</v>
      </c>
      <c r="AB852" s="120">
        <f t="shared" si="167"/>
        <v>732856</v>
      </c>
      <c r="AC852" s="123">
        <v>0</v>
      </c>
      <c r="AD852" s="123">
        <f>Y852</f>
        <v>732856</v>
      </c>
      <c r="AE852" s="123">
        <v>391755</v>
      </c>
      <c r="AG852" s="151">
        <f t="shared" si="160"/>
        <v>198828</v>
      </c>
      <c r="AH852" s="123">
        <f>362630-16483-AK852-27528-2541</f>
        <v>226078</v>
      </c>
      <c r="AJ852" s="123">
        <v>106030</v>
      </c>
      <c r="AK852" s="123">
        <v>90000</v>
      </c>
      <c r="AL852" s="123">
        <v>27250</v>
      </c>
      <c r="AO852" s="123">
        <v>1516105</v>
      </c>
    </row>
    <row r="853" spans="1:41" s="123" customFormat="1" ht="16.2" thickBot="1" x14ac:dyDescent="0.35">
      <c r="A853" s="21"/>
      <c r="B853" s="212" t="s">
        <v>164</v>
      </c>
      <c r="C853" s="31" t="str">
        <f>VLOOKUP((CONCATENATE(B853)),ID!$A$2:$D$305,3,0)</f>
        <v>OT028</v>
      </c>
      <c r="D853" s="21">
        <v>1</v>
      </c>
      <c r="E853" s="21" t="s">
        <v>3903</v>
      </c>
      <c r="F853" s="21" t="s">
        <v>3812</v>
      </c>
      <c r="G853" s="21" t="s">
        <v>3853</v>
      </c>
      <c r="H853" s="88">
        <v>5022</v>
      </c>
      <c r="I853" s="43">
        <v>5064</v>
      </c>
      <c r="J853" s="43">
        <v>5064</v>
      </c>
      <c r="K853" s="21">
        <v>1</v>
      </c>
      <c r="L853" s="43">
        <v>5064</v>
      </c>
      <c r="M853" s="43">
        <v>5078</v>
      </c>
      <c r="N853" s="43">
        <v>5078</v>
      </c>
      <c r="O853" s="21" t="s">
        <v>3921</v>
      </c>
      <c r="P853" s="194" t="str">
        <f t="shared" si="161"/>
        <v>1</v>
      </c>
      <c r="Q853" s="21">
        <v>1</v>
      </c>
      <c r="R853" s="39" t="str">
        <f t="shared" si="158"/>
        <v>-</v>
      </c>
      <c r="S853" s="120">
        <f t="shared" si="159"/>
        <v>1995104</v>
      </c>
      <c r="T853" s="123">
        <v>2905074</v>
      </c>
      <c r="U853" s="123">
        <f>678777+1142982</f>
        <v>1821759</v>
      </c>
      <c r="V853" s="123">
        <f t="shared" si="162"/>
        <v>1083315</v>
      </c>
      <c r="W853" s="122" t="str">
        <f t="shared" si="163"/>
        <v>1</v>
      </c>
      <c r="X853" s="123">
        <f>650000+259970</f>
        <v>909970</v>
      </c>
      <c r="Y853" s="123">
        <f>650000+94606</f>
        <v>744606</v>
      </c>
      <c r="Z853" s="123">
        <f t="shared" si="165"/>
        <v>165364</v>
      </c>
      <c r="AA853" s="122" t="str">
        <f t="shared" si="166"/>
        <v>1</v>
      </c>
      <c r="AB853" s="120">
        <f t="shared" si="167"/>
        <v>744606</v>
      </c>
      <c r="AC853" s="123">
        <v>0</v>
      </c>
      <c r="AD853" s="123">
        <f>Y853</f>
        <v>744606</v>
      </c>
      <c r="AE853" s="123">
        <v>515822</v>
      </c>
      <c r="AG853" s="151">
        <f t="shared" si="160"/>
        <v>255360</v>
      </c>
      <c r="AH853" s="123">
        <f>404852-AK853-3239-29003</f>
        <v>282610</v>
      </c>
      <c r="AJ853" s="123">
        <v>118810</v>
      </c>
      <c r="AK853" s="123">
        <v>90000</v>
      </c>
      <c r="AL853" s="123">
        <v>27250</v>
      </c>
      <c r="AO853" s="123">
        <v>1516105</v>
      </c>
    </row>
    <row r="854" spans="1:41" s="123" customFormat="1" ht="16.2" thickBot="1" x14ac:dyDescent="0.35">
      <c r="A854" s="21"/>
      <c r="B854" s="212" t="s">
        <v>164</v>
      </c>
      <c r="C854" s="31" t="str">
        <f>VLOOKUP((CONCATENATE(B854)),ID!$A$2:$D$305,3,0)</f>
        <v>OT028</v>
      </c>
      <c r="D854" s="21">
        <v>1</v>
      </c>
      <c r="E854" s="21" t="s">
        <v>3903</v>
      </c>
      <c r="F854" s="21" t="s">
        <v>3812</v>
      </c>
      <c r="G854" s="21" t="s">
        <v>3853</v>
      </c>
      <c r="H854" s="88">
        <v>5387</v>
      </c>
      <c r="I854" s="43">
        <v>5445</v>
      </c>
      <c r="J854" s="43">
        <v>5445</v>
      </c>
      <c r="K854" s="21">
        <v>1</v>
      </c>
      <c r="L854" s="43">
        <v>5445</v>
      </c>
      <c r="M854" s="43">
        <v>5459</v>
      </c>
      <c r="N854" s="43">
        <v>5459</v>
      </c>
      <c r="O854" s="21" t="s">
        <v>3921</v>
      </c>
      <c r="P854" s="194" t="str">
        <f t="shared" si="161"/>
        <v>1</v>
      </c>
      <c r="Q854" s="21">
        <v>1</v>
      </c>
      <c r="R854" s="39" t="str">
        <f t="shared" si="158"/>
        <v>-</v>
      </c>
      <c r="S854" s="120">
        <f t="shared" si="159"/>
        <v>1999272</v>
      </c>
      <c r="T854" s="123">
        <v>3024612</v>
      </c>
      <c r="U854" s="123">
        <f>621742+1275481</f>
        <v>1897223</v>
      </c>
      <c r="V854" s="123">
        <f t="shared" si="162"/>
        <v>1127389</v>
      </c>
      <c r="W854" s="122" t="str">
        <f t="shared" si="163"/>
        <v>1</v>
      </c>
      <c r="X854" s="123">
        <f>650000+375340</f>
        <v>1025340</v>
      </c>
      <c r="Y854" s="123">
        <f>AB854</f>
        <v>737890</v>
      </c>
      <c r="Z854" s="123">
        <f t="shared" si="165"/>
        <v>287450</v>
      </c>
      <c r="AA854" s="122" t="str">
        <f t="shared" si="166"/>
        <v>1</v>
      </c>
      <c r="AB854" s="120">
        <f t="shared" si="167"/>
        <v>737890</v>
      </c>
      <c r="AC854" s="123">
        <v>0</v>
      </c>
      <c r="AD854" s="123">
        <f>650000+87890</f>
        <v>737890</v>
      </c>
      <c r="AE854" s="123">
        <v>447131</v>
      </c>
      <c r="AG854" s="151">
        <f t="shared" si="160"/>
        <v>239061</v>
      </c>
      <c r="AH854" s="123">
        <f>385278-3832-25760-AK854</f>
        <v>265686</v>
      </c>
      <c r="AJ854" s="123">
        <v>121030</v>
      </c>
      <c r="AK854" s="123">
        <v>90000</v>
      </c>
      <c r="AL854" s="123">
        <v>26625</v>
      </c>
      <c r="AO854" s="123">
        <v>1516105</v>
      </c>
    </row>
    <row r="855" spans="1:41" s="123" customFormat="1" ht="16.2" thickBot="1" x14ac:dyDescent="0.35">
      <c r="A855" s="21"/>
      <c r="B855" s="212" t="s">
        <v>170</v>
      </c>
      <c r="C855" s="31" t="str">
        <f>VLOOKUP((CONCATENATE(B855)),ID!$A$2:$D$305,3,0)</f>
        <v>OT029</v>
      </c>
      <c r="D855" s="21">
        <v>1</v>
      </c>
      <c r="E855" s="21" t="s">
        <v>3903</v>
      </c>
      <c r="F855" s="21" t="s">
        <v>3922</v>
      </c>
      <c r="G855" s="21" t="s">
        <v>3853</v>
      </c>
      <c r="H855" s="88">
        <v>3834</v>
      </c>
      <c r="I855" s="43">
        <v>3882</v>
      </c>
      <c r="J855" s="43">
        <v>3863</v>
      </c>
      <c r="K855" s="21">
        <v>1</v>
      </c>
      <c r="L855" s="43">
        <v>3889</v>
      </c>
      <c r="M855" s="43">
        <v>3902</v>
      </c>
      <c r="N855" s="43">
        <v>3889</v>
      </c>
      <c r="O855" s="21" t="s">
        <v>3923</v>
      </c>
      <c r="P855" s="194">
        <v>1</v>
      </c>
      <c r="Q855" s="21">
        <v>1</v>
      </c>
      <c r="R855" s="39" t="str">
        <f t="shared" si="158"/>
        <v>-</v>
      </c>
      <c r="S855" s="120">
        <f t="shared" si="159"/>
        <v>1058113</v>
      </c>
      <c r="T855" s="123">
        <v>1398042</v>
      </c>
      <c r="U855" s="123">
        <f>T855-V855</f>
        <v>1140627</v>
      </c>
      <c r="V855" s="123">
        <f>3487+179238+74389+301</f>
        <v>257415</v>
      </c>
      <c r="W855" s="122" t="str">
        <f t="shared" si="163"/>
        <v>1</v>
      </c>
      <c r="X855" s="123">
        <f>300000+2000+125+21708+16096</f>
        <v>339929</v>
      </c>
      <c r="Y855" s="123">
        <f>AB855</f>
        <v>300000</v>
      </c>
      <c r="Z855" s="123">
        <f t="shared" si="165"/>
        <v>39929</v>
      </c>
      <c r="AA855" s="122" t="str">
        <f t="shared" si="166"/>
        <v>1</v>
      </c>
      <c r="AB855" s="120">
        <f t="shared" si="167"/>
        <v>300000</v>
      </c>
      <c r="AC855" s="123">
        <v>0</v>
      </c>
      <c r="AD855" s="123">
        <v>300000</v>
      </c>
      <c r="AE855" s="123">
        <v>301</v>
      </c>
      <c r="AG855" s="151">
        <f t="shared" si="160"/>
        <v>828</v>
      </c>
      <c r="AH855" s="123">
        <v>12828</v>
      </c>
      <c r="AL855" s="123">
        <v>12000</v>
      </c>
      <c r="AO855" s="123">
        <v>100000</v>
      </c>
    </row>
    <row r="856" spans="1:41" s="123" customFormat="1" ht="16.2" thickBot="1" x14ac:dyDescent="0.35">
      <c r="A856" s="21">
        <v>141.1</v>
      </c>
      <c r="B856" s="212" t="s">
        <v>170</v>
      </c>
      <c r="C856" s="31" t="str">
        <f>VLOOKUP((CONCATENATE(B856)),ID!$A$2:$D$305,3,0)</f>
        <v>OT029</v>
      </c>
      <c r="D856" s="21">
        <v>1</v>
      </c>
      <c r="E856" s="21" t="s">
        <v>3903</v>
      </c>
      <c r="F856" s="21" t="s">
        <v>3922</v>
      </c>
      <c r="G856" s="21" t="s">
        <v>3853</v>
      </c>
      <c r="H856" s="88">
        <v>4199</v>
      </c>
      <c r="I856" s="43">
        <v>4242</v>
      </c>
      <c r="J856" s="43">
        <v>4232</v>
      </c>
      <c r="K856" s="21">
        <v>1</v>
      </c>
      <c r="L856" s="43">
        <v>4253</v>
      </c>
      <c r="M856" s="43">
        <v>4266</v>
      </c>
      <c r="N856" s="43">
        <v>4253</v>
      </c>
      <c r="O856" s="21" t="s">
        <v>3923</v>
      </c>
      <c r="P856" s="194">
        <v>1</v>
      </c>
      <c r="Q856" s="21">
        <v>1</v>
      </c>
      <c r="R856" s="39" t="str">
        <f t="shared" si="158"/>
        <v>-</v>
      </c>
      <c r="S856" s="120">
        <f t="shared" si="159"/>
        <v>1051029</v>
      </c>
      <c r="T856" s="123">
        <v>1386854</v>
      </c>
      <c r="U856" s="123">
        <f>T856-V856</f>
        <v>1124056</v>
      </c>
      <c r="V856" s="123">
        <f>3387+180214+78907+290</f>
        <v>262798</v>
      </c>
      <c r="W856" s="122" t="str">
        <f t="shared" si="163"/>
        <v>1</v>
      </c>
      <c r="X856" s="123">
        <f>300000+2000+125+20653+13047</f>
        <v>335825</v>
      </c>
      <c r="Y856" s="123">
        <f>AB856</f>
        <v>300000</v>
      </c>
      <c r="Z856" s="123">
        <f t="shared" si="165"/>
        <v>35825</v>
      </c>
      <c r="AA856" s="122" t="str">
        <f t="shared" si="166"/>
        <v>1</v>
      </c>
      <c r="AB856" s="120">
        <f t="shared" si="167"/>
        <v>300000</v>
      </c>
      <c r="AC856" s="123">
        <v>0</v>
      </c>
      <c r="AD856" s="123">
        <v>300000</v>
      </c>
      <c r="AE856" s="123">
        <v>290</v>
      </c>
      <c r="AG856" s="151">
        <f t="shared" si="160"/>
        <v>10263</v>
      </c>
      <c r="AH856" s="123">
        <f>27150-766-AK856</f>
        <v>22263</v>
      </c>
      <c r="AK856" s="123">
        <v>4121</v>
      </c>
      <c r="AL856" s="123">
        <v>12000</v>
      </c>
      <c r="AO856" s="123">
        <v>100000</v>
      </c>
    </row>
    <row r="857" spans="1:41" s="123" customFormat="1" ht="16.2" thickBot="1" x14ac:dyDescent="0.35">
      <c r="A857" s="21">
        <v>141.19999999999999</v>
      </c>
      <c r="B857" s="212" t="s">
        <v>170</v>
      </c>
      <c r="C857" s="31" t="str">
        <f>VLOOKUP((CONCATENATE(B857)),ID!$A$2:$D$305,3,0)</f>
        <v>OT029</v>
      </c>
      <c r="D857" s="21">
        <v>1</v>
      </c>
      <c r="E857" s="21" t="s">
        <v>3903</v>
      </c>
      <c r="F857" s="21" t="s">
        <v>3922</v>
      </c>
      <c r="G857" s="21" t="s">
        <v>3853</v>
      </c>
      <c r="H857" s="88">
        <v>4565</v>
      </c>
      <c r="I857" s="43">
        <v>4608</v>
      </c>
      <c r="J857" s="43">
        <v>4598</v>
      </c>
      <c r="K857" s="21">
        <v>1</v>
      </c>
      <c r="L857" s="43">
        <v>4617</v>
      </c>
      <c r="M857" s="43">
        <v>4630</v>
      </c>
      <c r="N857" s="43">
        <v>4617</v>
      </c>
      <c r="O857" s="21" t="s">
        <v>3923</v>
      </c>
      <c r="P857" s="194">
        <v>1</v>
      </c>
      <c r="Q857" s="21">
        <v>1</v>
      </c>
      <c r="R857" s="39" t="str">
        <f t="shared" si="158"/>
        <v>-</v>
      </c>
      <c r="S857" s="120">
        <f t="shared" ref="S857:S920" si="168">T857-X857</f>
        <v>1041154</v>
      </c>
      <c r="T857" s="123">
        <v>1366527</v>
      </c>
      <c r="U857" s="123">
        <f>T857-V857</f>
        <v>1127632</v>
      </c>
      <c r="V857" s="123">
        <f>3287+161449+73931+228</f>
        <v>238895</v>
      </c>
      <c r="W857" s="122" t="str">
        <f t="shared" si="163"/>
        <v>1</v>
      </c>
      <c r="X857" s="123">
        <f>300000+2000+125+21613+1635</f>
        <v>325373</v>
      </c>
      <c r="Y857" s="123">
        <f>AB857</f>
        <v>300000</v>
      </c>
      <c r="Z857" s="123">
        <f t="shared" si="165"/>
        <v>25373</v>
      </c>
      <c r="AA857" s="122" t="str">
        <f t="shared" si="166"/>
        <v>1</v>
      </c>
      <c r="AB857" s="120">
        <f t="shared" si="167"/>
        <v>300000</v>
      </c>
      <c r="AC857" s="123">
        <v>0</v>
      </c>
      <c r="AD857" s="123">
        <v>300000</v>
      </c>
      <c r="AE857" s="123">
        <v>228</v>
      </c>
      <c r="AG857" s="151">
        <f t="shared" si="160"/>
        <v>-3272</v>
      </c>
      <c r="AH857" s="123">
        <f>11028-AK857</f>
        <v>8728</v>
      </c>
      <c r="AK857" s="123">
        <v>2300</v>
      </c>
      <c r="AL857" s="123">
        <v>12000</v>
      </c>
      <c r="AO857" s="123">
        <v>100000</v>
      </c>
    </row>
    <row r="858" spans="1:41" s="123" customFormat="1" ht="16.2" thickBot="1" x14ac:dyDescent="0.35">
      <c r="A858" s="21"/>
      <c r="B858" s="212" t="s">
        <v>170</v>
      </c>
      <c r="C858" s="31" t="str">
        <f>VLOOKUP((CONCATENATE(B858)),ID!$A$2:$D$305,3,0)</f>
        <v>OT029</v>
      </c>
      <c r="D858" s="21">
        <v>1</v>
      </c>
      <c r="E858" s="21" t="s">
        <v>3903</v>
      </c>
      <c r="F858" s="21" t="s">
        <v>3922</v>
      </c>
      <c r="G858" s="21" t="s">
        <v>3853</v>
      </c>
      <c r="H858" s="88">
        <v>4930</v>
      </c>
      <c r="I858" s="43">
        <v>4976</v>
      </c>
      <c r="J858" s="43">
        <v>4976</v>
      </c>
      <c r="K858" s="21">
        <v>0</v>
      </c>
      <c r="L858" s="43"/>
      <c r="M858" s="43"/>
      <c r="N858" s="43">
        <v>5070</v>
      </c>
      <c r="O858" s="21" t="s">
        <v>3923</v>
      </c>
      <c r="P858" s="194">
        <v>1</v>
      </c>
      <c r="Q858" s="21">
        <v>1</v>
      </c>
      <c r="R858" s="39" t="str">
        <f t="shared" si="158"/>
        <v>-</v>
      </c>
      <c r="S858" s="120">
        <f t="shared" si="168"/>
        <v>1029847</v>
      </c>
      <c r="T858" s="123">
        <v>1357019</v>
      </c>
      <c r="U858" s="123">
        <f>T858-V858</f>
        <v>1124475</v>
      </c>
      <c r="V858" s="123">
        <f>3187+3939+143889+73221+8057+251</f>
        <v>232544</v>
      </c>
      <c r="W858" s="122" t="str">
        <f t="shared" si="163"/>
        <v>1</v>
      </c>
      <c r="X858" s="123">
        <f>300000+2000+125+25047</f>
        <v>327172</v>
      </c>
      <c r="Y858" s="123">
        <f>AB858</f>
        <v>300000</v>
      </c>
      <c r="Z858" s="123">
        <f t="shared" si="165"/>
        <v>27172</v>
      </c>
      <c r="AA858" s="122" t="str">
        <f t="shared" si="166"/>
        <v>1</v>
      </c>
      <c r="AB858" s="120">
        <f t="shared" si="167"/>
        <v>300000</v>
      </c>
      <c r="AC858" s="123">
        <v>0</v>
      </c>
      <c r="AD858" s="123">
        <v>300000</v>
      </c>
      <c r="AE858" s="123">
        <v>251</v>
      </c>
      <c r="AG858" s="151">
        <f t="shared" si="160"/>
        <v>-5364</v>
      </c>
      <c r="AH858" s="123">
        <f>8036-AK858</f>
        <v>6636</v>
      </c>
      <c r="AK858" s="123">
        <v>1400</v>
      </c>
      <c r="AL858" s="123">
        <v>12000</v>
      </c>
      <c r="AO858" s="123">
        <v>100000</v>
      </c>
    </row>
    <row r="859" spans="1:41" s="123" customFormat="1" ht="16.2" thickBot="1" x14ac:dyDescent="0.35">
      <c r="A859" s="21"/>
      <c r="B859" s="212" t="s">
        <v>170</v>
      </c>
      <c r="C859" s="31" t="str">
        <f>VLOOKUP((CONCATENATE(B859)),ID!$A$2:$D$305,3,0)</f>
        <v>OT029</v>
      </c>
      <c r="D859" s="21">
        <v>1</v>
      </c>
      <c r="E859" s="21" t="s">
        <v>3903</v>
      </c>
      <c r="F859" s="21" t="s">
        <v>3922</v>
      </c>
      <c r="G859" s="21" t="s">
        <v>3853</v>
      </c>
      <c r="H859" s="88">
        <v>5295</v>
      </c>
      <c r="I859" s="43">
        <v>5460</v>
      </c>
      <c r="J859" s="43">
        <v>5388</v>
      </c>
      <c r="K859" s="21">
        <v>1</v>
      </c>
      <c r="L859" s="43">
        <v>5469</v>
      </c>
      <c r="M859" s="43">
        <v>5118</v>
      </c>
      <c r="N859" s="43">
        <v>5469</v>
      </c>
      <c r="O859" s="21" t="s">
        <v>3923</v>
      </c>
      <c r="P859" s="194">
        <v>1</v>
      </c>
      <c r="Q859" s="21">
        <v>1</v>
      </c>
      <c r="R859" s="39" t="str">
        <f t="shared" si="158"/>
        <v>-</v>
      </c>
      <c r="S859" s="120">
        <f t="shared" si="168"/>
        <v>1030853</v>
      </c>
      <c r="T859" s="123">
        <v>1356376</v>
      </c>
      <c r="U859" s="123">
        <f>T859-V859</f>
        <v>1125851</v>
      </c>
      <c r="V859" s="123">
        <f>271+7108+73746+142274+3187+3939</f>
        <v>230525</v>
      </c>
      <c r="W859" s="122" t="str">
        <f t="shared" si="163"/>
        <v>1</v>
      </c>
      <c r="X859" s="123">
        <f>300000+2000+125+23398</f>
        <v>325523</v>
      </c>
      <c r="Y859" s="123">
        <v>300000</v>
      </c>
      <c r="Z859" s="123">
        <f t="shared" si="165"/>
        <v>25523</v>
      </c>
      <c r="AA859" s="122" t="str">
        <f t="shared" si="166"/>
        <v>1</v>
      </c>
      <c r="AB859" s="120">
        <f t="shared" si="167"/>
        <v>300000</v>
      </c>
      <c r="AC859" s="123">
        <v>0</v>
      </c>
      <c r="AD859" s="123">
        <f>Y859</f>
        <v>300000</v>
      </c>
      <c r="AE859" s="123">
        <v>271</v>
      </c>
      <c r="AG859" s="151">
        <f t="shared" si="160"/>
        <v>-465</v>
      </c>
      <c r="AH859" s="123">
        <f>71696+18-24278-9067-18572-5068-535-1010-AK859</f>
        <v>11535</v>
      </c>
      <c r="AK859" s="123">
        <v>1649</v>
      </c>
      <c r="AL859" s="123">
        <v>12000</v>
      </c>
      <c r="AO859" s="123">
        <v>100000</v>
      </c>
    </row>
    <row r="860" spans="1:41" s="123" customFormat="1" ht="16.2" thickBot="1" x14ac:dyDescent="0.35">
      <c r="A860" s="21"/>
      <c r="B860" s="212" t="s">
        <v>173</v>
      </c>
      <c r="C860" s="31" t="str">
        <f>VLOOKUP((CONCATENATE(B860)),ID!$A$2:$D$305,3,0)</f>
        <v>OT030</v>
      </c>
      <c r="D860" s="21">
        <v>1</v>
      </c>
      <c r="E860" s="21" t="s">
        <v>3903</v>
      </c>
      <c r="F860" s="21" t="s">
        <v>3924</v>
      </c>
      <c r="G860" s="21" t="s">
        <v>3853</v>
      </c>
      <c r="H860" s="88">
        <v>3653</v>
      </c>
      <c r="I860" s="43">
        <v>3708</v>
      </c>
      <c r="J860" s="43">
        <v>3707</v>
      </c>
      <c r="K860" s="21">
        <v>1</v>
      </c>
      <c r="L860" s="43">
        <v>3720</v>
      </c>
      <c r="M860" s="43">
        <v>3730</v>
      </c>
      <c r="N860" s="43">
        <v>3723</v>
      </c>
      <c r="O860" s="21" t="s">
        <v>3843</v>
      </c>
      <c r="P860" s="194" t="str">
        <f t="shared" si="161"/>
        <v>1</v>
      </c>
      <c r="Q860" s="21">
        <v>1</v>
      </c>
      <c r="R860" s="39" t="str">
        <f t="shared" si="158"/>
        <v>-</v>
      </c>
      <c r="S860" s="120">
        <f t="shared" si="168"/>
        <v>6301459</v>
      </c>
      <c r="T860" s="123">
        <v>6743540</v>
      </c>
      <c r="U860" s="123">
        <f>2828306+2190224+108888</f>
        <v>5127418</v>
      </c>
      <c r="V860" s="123">
        <f t="shared" si="162"/>
        <v>1616122</v>
      </c>
      <c r="W860" s="122" t="str">
        <f t="shared" si="163"/>
        <v>1</v>
      </c>
      <c r="X860" s="123">
        <f>442081</f>
        <v>442081</v>
      </c>
      <c r="Y860" s="123">
        <v>0</v>
      </c>
      <c r="Z860" s="123">
        <f t="shared" si="165"/>
        <v>442081</v>
      </c>
      <c r="AA860" s="122" t="str">
        <f t="shared" si="166"/>
        <v>1</v>
      </c>
      <c r="AB860" s="120">
        <f t="shared" si="167"/>
        <v>0</v>
      </c>
      <c r="AC860" s="123">
        <v>0</v>
      </c>
      <c r="AD860" s="123">
        <v>0</v>
      </c>
      <c r="AE860" s="123">
        <v>188711</v>
      </c>
      <c r="AG860" s="151">
        <f t="shared" si="160"/>
        <v>452208</v>
      </c>
      <c r="AH860" s="123">
        <f>545482-AK860-44923</f>
        <v>452208</v>
      </c>
      <c r="AJ860" s="123">
        <f>231250+15000+50000+100000</f>
        <v>396250</v>
      </c>
      <c r="AK860" s="123">
        <v>48351</v>
      </c>
      <c r="AO860" s="123">
        <f>300000+225000</f>
        <v>525000</v>
      </c>
    </row>
    <row r="861" spans="1:41" s="123" customFormat="1" ht="16.2" thickBot="1" x14ac:dyDescent="0.35">
      <c r="A861" s="21">
        <v>142.1</v>
      </c>
      <c r="B861" s="212" t="s">
        <v>173</v>
      </c>
      <c r="C861" s="31" t="str">
        <f>VLOOKUP((CONCATENATE(B861)),ID!$A$2:$D$305,3,0)</f>
        <v>OT030</v>
      </c>
      <c r="D861" s="21">
        <v>1</v>
      </c>
      <c r="E861" s="21" t="s">
        <v>3903</v>
      </c>
      <c r="F861" s="21" t="s">
        <v>3924</v>
      </c>
      <c r="G861" s="21" t="s">
        <v>3853</v>
      </c>
      <c r="H861" s="88">
        <v>4018</v>
      </c>
      <c r="I861" s="43">
        <v>4074</v>
      </c>
      <c r="J861" s="43">
        <v>4073</v>
      </c>
      <c r="K861" s="21">
        <v>1</v>
      </c>
      <c r="L861" s="43">
        <v>4084</v>
      </c>
      <c r="M861" s="43">
        <v>4094</v>
      </c>
      <c r="N861" s="43">
        <v>4087</v>
      </c>
      <c r="O861" s="21" t="s">
        <v>3843</v>
      </c>
      <c r="P861" s="194" t="str">
        <f t="shared" si="161"/>
        <v>1</v>
      </c>
      <c r="Q861" s="21">
        <v>1</v>
      </c>
      <c r="R861" s="39" t="str">
        <f t="shared" si="158"/>
        <v>-</v>
      </c>
      <c r="S861" s="120">
        <f t="shared" si="168"/>
        <v>7616865</v>
      </c>
      <c r="T861" s="123">
        <v>7910650</v>
      </c>
      <c r="U861" s="123">
        <f>3554157+2440126+137880</f>
        <v>6132163</v>
      </c>
      <c r="V861" s="123">
        <f t="shared" si="162"/>
        <v>1778487</v>
      </c>
      <c r="W861" s="122" t="str">
        <f t="shared" si="163"/>
        <v>1</v>
      </c>
      <c r="X861" s="123">
        <v>293785</v>
      </c>
      <c r="Y861" s="123">
        <v>0</v>
      </c>
      <c r="Z861" s="123">
        <f t="shared" si="165"/>
        <v>293785</v>
      </c>
      <c r="AA861" s="122" t="str">
        <f t="shared" si="166"/>
        <v>1</v>
      </c>
      <c r="AB861" s="120">
        <f t="shared" si="167"/>
        <v>0</v>
      </c>
      <c r="AC861" s="123">
        <v>0</v>
      </c>
      <c r="AD861" s="123">
        <v>0</v>
      </c>
      <c r="AE861" s="123">
        <v>219653</v>
      </c>
      <c r="AG861" s="151">
        <f t="shared" si="160"/>
        <v>532218</v>
      </c>
      <c r="AH861" s="123">
        <f>637329-50428-AK861</f>
        <v>532218</v>
      </c>
      <c r="AJ861" s="123">
        <f>277500+20838+64467+100000</f>
        <v>462805</v>
      </c>
      <c r="AK861" s="123">
        <v>54683</v>
      </c>
      <c r="AO861" s="123">
        <f>200000+150000+100000+1000000+100000</f>
        <v>1550000</v>
      </c>
    </row>
    <row r="862" spans="1:41" s="123" customFormat="1" ht="16.2" thickBot="1" x14ac:dyDescent="0.35">
      <c r="A862" s="21">
        <v>142.19999999999999</v>
      </c>
      <c r="B862" s="212" t="s">
        <v>173</v>
      </c>
      <c r="C862" s="31" t="str">
        <f>VLOOKUP((CONCATENATE(B862)),ID!$A$2:$D$305,3,0)</f>
        <v>OT030</v>
      </c>
      <c r="D862" s="21">
        <v>1</v>
      </c>
      <c r="E862" s="21" t="s">
        <v>3903</v>
      </c>
      <c r="F862" s="21" t="s">
        <v>3924</v>
      </c>
      <c r="G862" s="21" t="s">
        <v>3853</v>
      </c>
      <c r="H862" s="88">
        <v>4383</v>
      </c>
      <c r="I862" s="43">
        <v>4442</v>
      </c>
      <c r="J862" s="43">
        <v>4441</v>
      </c>
      <c r="K862" s="21">
        <v>1</v>
      </c>
      <c r="L862" s="43">
        <v>4448</v>
      </c>
      <c r="M862" s="43">
        <v>4458</v>
      </c>
      <c r="N862" s="43">
        <v>4451</v>
      </c>
      <c r="O862" s="21" t="s">
        <v>3843</v>
      </c>
      <c r="P862" s="194" t="str">
        <f t="shared" si="161"/>
        <v>1</v>
      </c>
      <c r="Q862" s="21">
        <v>1</v>
      </c>
      <c r="R862" s="39" t="str">
        <f t="shared" si="158"/>
        <v>-</v>
      </c>
      <c r="S862" s="120">
        <f t="shared" si="168"/>
        <v>9187543</v>
      </c>
      <c r="T862" s="123">
        <v>9452470</v>
      </c>
      <c r="U862" s="123">
        <f>4725797+2613556+159420</f>
        <v>7498773</v>
      </c>
      <c r="V862" s="123">
        <f t="shared" si="162"/>
        <v>1953697</v>
      </c>
      <c r="W862" s="122" t="str">
        <f t="shared" si="163"/>
        <v>1</v>
      </c>
      <c r="X862" s="123">
        <v>264927</v>
      </c>
      <c r="Y862" s="123">
        <v>0</v>
      </c>
      <c r="Z862" s="123">
        <f t="shared" si="165"/>
        <v>264927</v>
      </c>
      <c r="AA862" s="122" t="str">
        <f t="shared" si="166"/>
        <v>1</v>
      </c>
      <c r="AB862" s="120">
        <f t="shared" si="167"/>
        <v>0</v>
      </c>
      <c r="AC862" s="123">
        <v>0</v>
      </c>
      <c r="AD862" s="123">
        <v>0</v>
      </c>
      <c r="AE862" s="123">
        <v>237751</v>
      </c>
      <c r="AG862" s="151">
        <f t="shared" si="160"/>
        <v>609084</v>
      </c>
      <c r="AH862" s="123">
        <f>720748-AK862-53979</f>
        <v>609084</v>
      </c>
      <c r="AJ862" s="123">
        <f>100000+75000+59001+42020+127500+150000</f>
        <v>553521</v>
      </c>
      <c r="AK862" s="123">
        <v>57685</v>
      </c>
      <c r="AO862" s="123">
        <f>200000+150000+100000+1000000+100000+1242500</f>
        <v>2792500</v>
      </c>
    </row>
    <row r="863" spans="1:41" s="123" customFormat="1" ht="16.2" thickBot="1" x14ac:dyDescent="0.35">
      <c r="A863" s="21"/>
      <c r="B863" s="212" t="s">
        <v>173</v>
      </c>
      <c r="C863" s="31" t="str">
        <f>VLOOKUP((CONCATENATE(B863)),ID!$A$2:$D$305,3,0)</f>
        <v>OT030</v>
      </c>
      <c r="D863" s="21">
        <v>1</v>
      </c>
      <c r="E863" s="21" t="s">
        <v>3903</v>
      </c>
      <c r="F863" s="21" t="s">
        <v>3924</v>
      </c>
      <c r="G863" s="21" t="s">
        <v>3853</v>
      </c>
      <c r="H863" s="88">
        <v>4749</v>
      </c>
      <c r="I863" s="43">
        <v>4827</v>
      </c>
      <c r="J863" s="43">
        <v>4826</v>
      </c>
      <c r="K863" s="21">
        <v>1</v>
      </c>
      <c r="L863" s="43">
        <v>4833</v>
      </c>
      <c r="M863" s="43">
        <v>4843</v>
      </c>
      <c r="N863" s="43">
        <v>4836</v>
      </c>
      <c r="O863" s="21" t="s">
        <v>3843</v>
      </c>
      <c r="P863" s="194" t="str">
        <f t="shared" si="161"/>
        <v>1</v>
      </c>
      <c r="Q863" s="21">
        <v>1</v>
      </c>
      <c r="R863" s="39" t="str">
        <f t="shared" ref="R863:R926" si="169">IF(Q863=0,"?","-")</f>
        <v>-</v>
      </c>
      <c r="S863" s="120">
        <f t="shared" si="168"/>
        <v>10324585</v>
      </c>
      <c r="T863" s="123">
        <v>10714542</v>
      </c>
      <c r="U863" s="123">
        <f>173804+2798554+5502140</f>
        <v>8474498</v>
      </c>
      <c r="V863" s="123">
        <f t="shared" si="162"/>
        <v>2240044</v>
      </c>
      <c r="W863" s="122" t="str">
        <f t="shared" si="163"/>
        <v>1</v>
      </c>
      <c r="X863" s="123">
        <v>389957</v>
      </c>
      <c r="Y863" s="123">
        <v>0</v>
      </c>
      <c r="Z863" s="123">
        <f t="shared" si="165"/>
        <v>389957</v>
      </c>
      <c r="AA863" s="122" t="str">
        <f t="shared" si="166"/>
        <v>1</v>
      </c>
      <c r="AB863" s="120">
        <f t="shared" si="167"/>
        <v>0</v>
      </c>
      <c r="AC863" s="123">
        <v>0</v>
      </c>
      <c r="AD863" s="123">
        <v>0</v>
      </c>
      <c r="AE863" s="123">
        <v>229656</v>
      </c>
      <c r="AG863" s="151">
        <f t="shared" si="160"/>
        <v>658267</v>
      </c>
      <c r="AH863" s="123">
        <f>779403-AK863-54294</f>
        <v>658267</v>
      </c>
      <c r="AJ863" s="123">
        <f>188548+60000+77430+127500+150000</f>
        <v>603478</v>
      </c>
      <c r="AK863" s="123">
        <v>66842</v>
      </c>
      <c r="AO863" s="123">
        <f>2250000+1200000</f>
        <v>3450000</v>
      </c>
    </row>
    <row r="864" spans="1:41" s="123" customFormat="1" ht="16.2" thickBot="1" x14ac:dyDescent="0.35">
      <c r="A864" s="21"/>
      <c r="B864" s="212" t="s">
        <v>173</v>
      </c>
      <c r="C864" s="31" t="str">
        <f>VLOOKUP((CONCATENATE(B864)),ID!$A$2:$D$305,3,0)</f>
        <v>OT030</v>
      </c>
      <c r="D864" s="21">
        <v>1</v>
      </c>
      <c r="E864" s="21" t="s">
        <v>3903</v>
      </c>
      <c r="F864" s="21" t="s">
        <v>3924</v>
      </c>
      <c r="G864" s="21" t="s">
        <v>3853</v>
      </c>
      <c r="H864" s="88">
        <v>5114</v>
      </c>
      <c r="I864" s="43">
        <v>5170</v>
      </c>
      <c r="J864" s="43">
        <v>5169</v>
      </c>
      <c r="K864" s="21">
        <v>1</v>
      </c>
      <c r="L864" s="43">
        <v>5175</v>
      </c>
      <c r="M864" s="43">
        <v>5185</v>
      </c>
      <c r="N864" s="43">
        <v>5178</v>
      </c>
      <c r="O864" s="21" t="s">
        <v>3843</v>
      </c>
      <c r="P864" s="194" t="str">
        <f t="shared" si="161"/>
        <v>1</v>
      </c>
      <c r="Q864" s="21">
        <v>1</v>
      </c>
      <c r="R864" s="39" t="str">
        <f t="shared" si="169"/>
        <v>-</v>
      </c>
      <c r="S864" s="120">
        <f t="shared" si="168"/>
        <v>13735103</v>
      </c>
      <c r="T864" s="123">
        <v>14295919</v>
      </c>
      <c r="U864" s="123">
        <f>8333685+3098082+246598</f>
        <v>11678365</v>
      </c>
      <c r="V864" s="123">
        <f t="shared" si="162"/>
        <v>2617554</v>
      </c>
      <c r="W864" s="122" t="str">
        <f t="shared" si="163"/>
        <v>1</v>
      </c>
      <c r="X864" s="123">
        <v>560816</v>
      </c>
      <c r="Y864" s="123">
        <v>0</v>
      </c>
      <c r="Z864" s="123">
        <f t="shared" si="165"/>
        <v>560816</v>
      </c>
      <c r="AA864" s="122" t="str">
        <f t="shared" si="166"/>
        <v>1</v>
      </c>
      <c r="AB864" s="120">
        <f t="shared" si="167"/>
        <v>0</v>
      </c>
      <c r="AC864" s="123">
        <v>0</v>
      </c>
      <c r="AD864" s="123">
        <v>0</v>
      </c>
      <c r="AE864" s="123">
        <v>252757</v>
      </c>
      <c r="AG864" s="151">
        <f t="shared" si="160"/>
        <v>858143</v>
      </c>
      <c r="AH864" s="123">
        <f>988238-AK864-59174</f>
        <v>858143</v>
      </c>
      <c r="AJ864" s="123">
        <f>260000+142603+160719+7068+1587+228493</f>
        <v>800470</v>
      </c>
      <c r="AK864" s="123">
        <v>70921</v>
      </c>
      <c r="AO864" s="123">
        <f>500000+3250000+1331666+100000+127032+200000</f>
        <v>5508698</v>
      </c>
    </row>
    <row r="865" spans="1:41" s="123" customFormat="1" ht="16.2" thickBot="1" x14ac:dyDescent="0.35">
      <c r="A865" s="21"/>
      <c r="B865" s="212" t="s">
        <v>174</v>
      </c>
      <c r="C865" s="31" t="str">
        <f>VLOOKUP((CONCATENATE(B865)),ID!$A$2:$D$305,3,0)</f>
        <v>OT031</v>
      </c>
      <c r="D865" s="21">
        <v>1</v>
      </c>
      <c r="E865" s="21" t="s">
        <v>3903</v>
      </c>
      <c r="F865" s="21" t="s">
        <v>1117</v>
      </c>
      <c r="G865" s="21" t="s">
        <v>3853</v>
      </c>
      <c r="H865" s="88">
        <v>3653</v>
      </c>
      <c r="I865" s="43">
        <v>3799</v>
      </c>
      <c r="J865" s="43">
        <v>3798</v>
      </c>
      <c r="K865" s="21">
        <v>0</v>
      </c>
      <c r="L865" s="43"/>
      <c r="M865" s="43"/>
      <c r="N865" s="43">
        <v>3817</v>
      </c>
      <c r="O865" s="21" t="s">
        <v>3925</v>
      </c>
      <c r="P865" s="194" t="str">
        <f t="shared" si="161"/>
        <v>1</v>
      </c>
      <c r="Q865" s="21">
        <v>1</v>
      </c>
      <c r="R865" s="39" t="str">
        <f t="shared" si="169"/>
        <v>-</v>
      </c>
      <c r="S865" s="120">
        <f t="shared" si="168"/>
        <v>1934338</v>
      </c>
      <c r="T865" s="123">
        <v>2627178</v>
      </c>
      <c r="U865" s="123">
        <f>659311+131937+919005</f>
        <v>1710253</v>
      </c>
      <c r="V865" s="123">
        <f t="shared" si="162"/>
        <v>916925</v>
      </c>
      <c r="W865" s="122" t="str">
        <f t="shared" si="163"/>
        <v>1</v>
      </c>
      <c r="X865" s="123">
        <f>3644+533758+155438</f>
        <v>692840</v>
      </c>
      <c r="Y865" s="123">
        <v>0</v>
      </c>
      <c r="Z865" s="123">
        <f t="shared" si="165"/>
        <v>692840</v>
      </c>
      <c r="AA865" s="122" t="str">
        <f t="shared" si="166"/>
        <v>1</v>
      </c>
      <c r="AB865" s="120">
        <f t="shared" si="167"/>
        <v>0</v>
      </c>
      <c r="AC865" s="123">
        <v>0</v>
      </c>
      <c r="AD865" s="123">
        <v>0</v>
      </c>
      <c r="AE865" s="123">
        <v>38056</v>
      </c>
      <c r="AG865" s="151">
        <f t="shared" si="160"/>
        <v>202255</v>
      </c>
      <c r="AH865" s="123">
        <f>AM865-324806</f>
        <v>214755</v>
      </c>
      <c r="AJ865" s="123">
        <v>60000</v>
      </c>
      <c r="AL865" s="123">
        <v>12500</v>
      </c>
      <c r="AM865" s="123">
        <v>539561</v>
      </c>
      <c r="AO865" s="123">
        <v>220000</v>
      </c>
    </row>
    <row r="866" spans="1:41" s="123" customFormat="1" ht="16.2" thickBot="1" x14ac:dyDescent="0.35">
      <c r="A866" s="21">
        <v>143.1</v>
      </c>
      <c r="B866" s="212" t="s">
        <v>174</v>
      </c>
      <c r="C866" s="31" t="str">
        <f>VLOOKUP((CONCATENATE(B866)),ID!$A$2:$D$305,3,0)</f>
        <v>OT031</v>
      </c>
      <c r="D866" s="21">
        <v>1</v>
      </c>
      <c r="E866" s="21" t="s">
        <v>3903</v>
      </c>
      <c r="F866" s="21" t="s">
        <v>1117</v>
      </c>
      <c r="G866" s="21" t="s">
        <v>3853</v>
      </c>
      <c r="H866" s="88">
        <v>4018</v>
      </c>
      <c r="I866" s="43">
        <v>4157</v>
      </c>
      <c r="J866" s="43">
        <v>4156</v>
      </c>
      <c r="K866" s="21">
        <v>0</v>
      </c>
      <c r="L866" s="21"/>
      <c r="M866" s="21"/>
      <c r="N866" s="43">
        <v>4170</v>
      </c>
      <c r="O866" s="21" t="s">
        <v>3925</v>
      </c>
      <c r="P866" s="194" t="str">
        <f t="shared" si="161"/>
        <v>1</v>
      </c>
      <c r="Q866" s="21">
        <v>1</v>
      </c>
      <c r="R866" s="39" t="str">
        <f t="shared" si="169"/>
        <v>-</v>
      </c>
      <c r="S866" s="120">
        <f t="shared" si="168"/>
        <v>1978288</v>
      </c>
      <c r="T866" s="123">
        <v>2778616</v>
      </c>
      <c r="U866" s="123">
        <f>666328+156305+606621</f>
        <v>1429254</v>
      </c>
      <c r="V866" s="123">
        <f t="shared" si="162"/>
        <v>1349362</v>
      </c>
      <c r="W866" s="122" t="str">
        <f t="shared" si="163"/>
        <v>1</v>
      </c>
      <c r="X866" s="123">
        <f>448194+348500+3634</f>
        <v>800328</v>
      </c>
      <c r="Y866" s="123">
        <v>0</v>
      </c>
      <c r="Z866" s="123">
        <f t="shared" si="165"/>
        <v>800328</v>
      </c>
      <c r="AA866" s="122" t="str">
        <f t="shared" si="166"/>
        <v>1</v>
      </c>
      <c r="AB866" s="120">
        <f t="shared" si="167"/>
        <v>0</v>
      </c>
      <c r="AC866" s="123">
        <v>0</v>
      </c>
      <c r="AD866" s="123">
        <v>0</v>
      </c>
      <c r="AE866" s="123">
        <v>48059</v>
      </c>
      <c r="AG866" s="151">
        <f t="shared" si="160"/>
        <v>209244</v>
      </c>
      <c r="AH866" s="123">
        <f>AM866-351457</f>
        <v>221744</v>
      </c>
      <c r="AJ866" s="123">
        <v>60000</v>
      </c>
      <c r="AL866" s="123">
        <v>12500</v>
      </c>
      <c r="AM866" s="123">
        <v>573201</v>
      </c>
      <c r="AO866" s="123">
        <v>220000</v>
      </c>
    </row>
    <row r="867" spans="1:41" s="123" customFormat="1" ht="16.2" thickBot="1" x14ac:dyDescent="0.35">
      <c r="A867" s="21">
        <v>143.19999999999999</v>
      </c>
      <c r="B867" s="212" t="s">
        <v>174</v>
      </c>
      <c r="C867" s="31" t="str">
        <f>VLOOKUP((CONCATENATE(B867)),ID!$A$2:$D$305,3,0)</f>
        <v>OT031</v>
      </c>
      <c r="D867" s="21">
        <v>1</v>
      </c>
      <c r="E867" s="21" t="s">
        <v>3903</v>
      </c>
      <c r="F867" s="21" t="s">
        <v>1117</v>
      </c>
      <c r="G867" s="21" t="s">
        <v>3853</v>
      </c>
      <c r="H867" s="88">
        <v>4383</v>
      </c>
      <c r="I867" s="43">
        <v>4533</v>
      </c>
      <c r="J867" s="43">
        <v>4532</v>
      </c>
      <c r="K867" s="21">
        <v>0</v>
      </c>
      <c r="L867" s="21"/>
      <c r="M867" s="21"/>
      <c r="N867" s="43">
        <v>4545</v>
      </c>
      <c r="O867" s="21" t="s">
        <v>3925</v>
      </c>
      <c r="P867" s="194" t="str">
        <f t="shared" si="161"/>
        <v>1</v>
      </c>
      <c r="Q867" s="21">
        <v>1</v>
      </c>
      <c r="R867" s="39" t="str">
        <f t="shared" si="169"/>
        <v>-</v>
      </c>
      <c r="S867" s="120">
        <f t="shared" si="168"/>
        <v>2012757</v>
      </c>
      <c r="T867" s="123">
        <v>3300878</v>
      </c>
      <c r="U867" s="123">
        <f>488705+492580+1114561</f>
        <v>2095846</v>
      </c>
      <c r="V867" s="123">
        <f t="shared" si="162"/>
        <v>1205032</v>
      </c>
      <c r="W867" s="122" t="str">
        <f t="shared" si="163"/>
        <v>1</v>
      </c>
      <c r="X867" s="123">
        <f>782104+501975+4042</f>
        <v>1288121</v>
      </c>
      <c r="Y867" s="123">
        <v>0</v>
      </c>
      <c r="Z867" s="123">
        <f t="shared" si="165"/>
        <v>1288121</v>
      </c>
      <c r="AA867" s="122" t="str">
        <f t="shared" si="166"/>
        <v>1</v>
      </c>
      <c r="AB867" s="120">
        <f t="shared" si="167"/>
        <v>0</v>
      </c>
      <c r="AC867" s="123">
        <v>0</v>
      </c>
      <c r="AD867" s="123">
        <v>0</v>
      </c>
      <c r="AE867" s="123">
        <v>67491</v>
      </c>
      <c r="AG867" s="151">
        <f t="shared" si="160"/>
        <v>200836</v>
      </c>
      <c r="AH867" s="123">
        <f>AM867-474061</f>
        <v>213336</v>
      </c>
      <c r="AJ867" s="123">
        <v>60000</v>
      </c>
      <c r="AL867" s="123">
        <v>12500</v>
      </c>
      <c r="AM867" s="123">
        <v>687397</v>
      </c>
      <c r="AO867" s="123">
        <v>220000</v>
      </c>
    </row>
    <row r="868" spans="1:41" s="123" customFormat="1" ht="16.2" thickBot="1" x14ac:dyDescent="0.35">
      <c r="A868" s="21"/>
      <c r="B868" s="212" t="s">
        <v>174</v>
      </c>
      <c r="C868" s="31" t="str">
        <f>VLOOKUP((CONCATENATE(B868)),ID!$A$2:$D$305,3,0)</f>
        <v>OT031</v>
      </c>
      <c r="D868" s="21">
        <v>1</v>
      </c>
      <c r="E868" s="21" t="s">
        <v>3903</v>
      </c>
      <c r="F868" s="21" t="s">
        <v>1117</v>
      </c>
      <c r="G868" s="21" t="s">
        <v>3853</v>
      </c>
      <c r="H868" s="88">
        <v>4749</v>
      </c>
      <c r="I868" s="43">
        <v>4893</v>
      </c>
      <c r="J868" s="43">
        <v>4892</v>
      </c>
      <c r="K868" s="21">
        <v>0</v>
      </c>
      <c r="L868" s="21"/>
      <c r="M868" s="21"/>
      <c r="N868" s="43">
        <v>4905</v>
      </c>
      <c r="O868" s="21" t="s">
        <v>3925</v>
      </c>
      <c r="P868" s="194" t="str">
        <f t="shared" si="161"/>
        <v>1</v>
      </c>
      <c r="Q868" s="21">
        <v>1</v>
      </c>
      <c r="R868" s="39" t="str">
        <f t="shared" si="169"/>
        <v>-</v>
      </c>
      <c r="S868" s="120">
        <f t="shared" si="168"/>
        <v>2560885</v>
      </c>
      <c r="T868" s="123">
        <v>4032602</v>
      </c>
      <c r="U868" s="123">
        <f>561305+553929+1184910</f>
        <v>2300144</v>
      </c>
      <c r="V868" s="123">
        <f t="shared" si="162"/>
        <v>1732458</v>
      </c>
      <c r="W868" s="122" t="str">
        <f t="shared" si="163"/>
        <v>1</v>
      </c>
      <c r="X868" s="123">
        <f>912008+555558+4151</f>
        <v>1471717</v>
      </c>
      <c r="Y868" s="123">
        <v>0</v>
      </c>
      <c r="Z868" s="123">
        <f t="shared" si="165"/>
        <v>1471717</v>
      </c>
      <c r="AA868" s="122" t="str">
        <f t="shared" si="166"/>
        <v>1</v>
      </c>
      <c r="AB868" s="120">
        <f t="shared" si="167"/>
        <v>0</v>
      </c>
      <c r="AC868" s="123">
        <v>0</v>
      </c>
      <c r="AD868" s="123">
        <v>0</v>
      </c>
      <c r="AE868" s="123">
        <v>132108</v>
      </c>
      <c r="AG868" s="151">
        <f t="shared" si="160"/>
        <v>213601</v>
      </c>
      <c r="AH868" s="123">
        <f>AM868-486734</f>
        <v>226101</v>
      </c>
      <c r="AJ868" s="123">
        <v>60000</v>
      </c>
      <c r="AL868" s="123">
        <v>12500</v>
      </c>
      <c r="AM868" s="123">
        <v>712835</v>
      </c>
      <c r="AO868" s="123">
        <v>320000</v>
      </c>
    </row>
    <row r="869" spans="1:41" s="123" customFormat="1" ht="16.2" thickBot="1" x14ac:dyDescent="0.35">
      <c r="A869" s="21"/>
      <c r="B869" s="212" t="s">
        <v>174</v>
      </c>
      <c r="C869" s="31" t="str">
        <f>VLOOKUP((CONCATENATE(B869)),ID!$A$2:$D$305,3,0)</f>
        <v>OT031</v>
      </c>
      <c r="D869" s="21">
        <v>1</v>
      </c>
      <c r="E869" s="21" t="s">
        <v>3903</v>
      </c>
      <c r="F869" s="21" t="s">
        <v>1117</v>
      </c>
      <c r="G869" s="21" t="s">
        <v>3853</v>
      </c>
      <c r="H869" s="88">
        <v>5114</v>
      </c>
      <c r="I869" s="43">
        <v>5259</v>
      </c>
      <c r="J869" s="43">
        <v>5257</v>
      </c>
      <c r="K869" s="21">
        <v>0</v>
      </c>
      <c r="L869" s="21"/>
      <c r="M869" s="21"/>
      <c r="N869" s="43">
        <v>5273</v>
      </c>
      <c r="O869" s="21" t="s">
        <v>3925</v>
      </c>
      <c r="P869" s="194" t="str">
        <f t="shared" si="161"/>
        <v>1</v>
      </c>
      <c r="Q869" s="21">
        <v>1</v>
      </c>
      <c r="R869" s="39" t="str">
        <f t="shared" si="169"/>
        <v>-</v>
      </c>
      <c r="S869" s="120">
        <f t="shared" si="168"/>
        <v>2577378</v>
      </c>
      <c r="T869" s="123">
        <v>3647766</v>
      </c>
      <c r="U869" s="123">
        <f>648259+592741+568884</f>
        <v>1809884</v>
      </c>
      <c r="V869" s="123">
        <f t="shared" si="162"/>
        <v>1837882</v>
      </c>
      <c r="W869" s="122" t="str">
        <f t="shared" si="163"/>
        <v>1</v>
      </c>
      <c r="X869" s="123">
        <f>527961+537461+4966</f>
        <v>1070388</v>
      </c>
      <c r="Y869" s="123">
        <v>0</v>
      </c>
      <c r="Z869" s="123">
        <f t="shared" si="165"/>
        <v>1070388</v>
      </c>
      <c r="AA869" s="122" t="str">
        <f t="shared" si="166"/>
        <v>1</v>
      </c>
      <c r="AB869" s="120">
        <f t="shared" si="167"/>
        <v>0</v>
      </c>
      <c r="AC869" s="123">
        <v>0</v>
      </c>
      <c r="AD869" s="123">
        <v>0</v>
      </c>
      <c r="AE869" s="123">
        <v>99670</v>
      </c>
      <c r="AG869" s="151">
        <f t="shared" si="160"/>
        <v>191043</v>
      </c>
      <c r="AH869" s="123">
        <f>680584-464541</f>
        <v>216043</v>
      </c>
      <c r="AJ869" s="123">
        <v>60000</v>
      </c>
      <c r="AL869" s="123">
        <v>25000</v>
      </c>
      <c r="AM869" s="123">
        <v>680584</v>
      </c>
      <c r="AO869" s="123">
        <v>320000</v>
      </c>
    </row>
    <row r="870" spans="1:41" s="123" customFormat="1" ht="16.2" thickBot="1" x14ac:dyDescent="0.35">
      <c r="A870" s="21"/>
      <c r="B870" s="212" t="s">
        <v>175</v>
      </c>
      <c r="C870" s="31" t="str">
        <f>VLOOKUP((CONCATENATE(B870)),ID!$A$2:$D$305,3,0)</f>
        <v>OT032</v>
      </c>
      <c r="D870" s="21">
        <v>1</v>
      </c>
      <c r="E870" s="21" t="s">
        <v>3903</v>
      </c>
      <c r="F870" s="21" t="s">
        <v>3789</v>
      </c>
      <c r="G870" s="21" t="s">
        <v>3853</v>
      </c>
      <c r="H870" s="88">
        <v>3926</v>
      </c>
      <c r="I870" s="43">
        <v>4049</v>
      </c>
      <c r="J870" s="43">
        <v>4044</v>
      </c>
      <c r="K870" s="21">
        <v>1</v>
      </c>
      <c r="L870" s="43">
        <v>4062</v>
      </c>
      <c r="M870" s="43">
        <v>4076</v>
      </c>
      <c r="N870" s="43">
        <v>4076</v>
      </c>
      <c r="O870" s="21" t="s">
        <v>3926</v>
      </c>
      <c r="P870" s="194" t="str">
        <f t="shared" si="161"/>
        <v>1</v>
      </c>
      <c r="Q870" s="21">
        <v>1</v>
      </c>
      <c r="R870" s="39" t="str">
        <f t="shared" si="169"/>
        <v>-</v>
      </c>
      <c r="S870" s="120">
        <f t="shared" si="168"/>
        <v>3014466</v>
      </c>
      <c r="T870" s="123">
        <v>4130999</v>
      </c>
      <c r="U870" s="123">
        <f>3792116+1754</f>
        <v>3793870</v>
      </c>
      <c r="V870" s="123">
        <f t="shared" si="162"/>
        <v>337129</v>
      </c>
      <c r="W870" s="122" t="str">
        <f t="shared" si="163"/>
        <v>1</v>
      </c>
      <c r="X870" s="123">
        <f>1010000+50500+56033</f>
        <v>1116533</v>
      </c>
      <c r="Y870" s="123">
        <f>AD870</f>
        <v>1060500</v>
      </c>
      <c r="Z870" s="123">
        <f t="shared" si="165"/>
        <v>56033</v>
      </c>
      <c r="AA870" s="122" t="str">
        <f t="shared" si="166"/>
        <v>1</v>
      </c>
      <c r="AB870" s="120">
        <f t="shared" si="167"/>
        <v>1060500</v>
      </c>
      <c r="AC870" s="123">
        <v>0</v>
      </c>
      <c r="AD870" s="123">
        <f>1010000+50500</f>
        <v>1060500</v>
      </c>
      <c r="AE870" s="123">
        <v>130890</v>
      </c>
      <c r="AG870" s="151">
        <f t="shared" si="160"/>
        <v>240541</v>
      </c>
      <c r="AH870" s="123">
        <f>374965+AL870-134424</f>
        <v>481082</v>
      </c>
      <c r="AJ870" s="123">
        <v>60500</v>
      </c>
      <c r="AL870" s="123">
        <v>240541</v>
      </c>
      <c r="AO870" s="123">
        <v>220000</v>
      </c>
    </row>
    <row r="871" spans="1:41" s="123" customFormat="1" ht="16.2" thickBot="1" x14ac:dyDescent="0.35">
      <c r="A871" s="21">
        <v>144.1</v>
      </c>
      <c r="B871" s="212" t="s">
        <v>175</v>
      </c>
      <c r="C871" s="31" t="str">
        <f>VLOOKUP((CONCATENATE(B871)),ID!$A$2:$D$305,3,0)</f>
        <v>OT032</v>
      </c>
      <c r="D871" s="21">
        <v>1</v>
      </c>
      <c r="E871" s="21" t="s">
        <v>3903</v>
      </c>
      <c r="F871" s="21" t="s">
        <v>3789</v>
      </c>
      <c r="G871" s="21" t="s">
        <v>3853</v>
      </c>
      <c r="H871" s="88">
        <v>4291</v>
      </c>
      <c r="I871" s="43">
        <v>4414</v>
      </c>
      <c r="J871" s="43">
        <v>4408</v>
      </c>
      <c r="K871" s="21">
        <v>1</v>
      </c>
      <c r="L871" s="43">
        <v>4427</v>
      </c>
      <c r="M871" s="43">
        <v>4441</v>
      </c>
      <c r="N871" s="43">
        <v>4430</v>
      </c>
      <c r="O871" s="21" t="s">
        <v>3926</v>
      </c>
      <c r="P871" s="194" t="str">
        <f t="shared" si="161"/>
        <v>1</v>
      </c>
      <c r="Q871" s="21">
        <v>1</v>
      </c>
      <c r="R871" s="39" t="str">
        <f t="shared" si="169"/>
        <v>-</v>
      </c>
      <c r="S871" s="120">
        <f t="shared" si="168"/>
        <v>3139444</v>
      </c>
      <c r="T871" s="123">
        <v>4235362</v>
      </c>
      <c r="U871" s="123">
        <f>3890840</f>
        <v>3890840</v>
      </c>
      <c r="V871" s="123">
        <f t="shared" si="162"/>
        <v>344522</v>
      </c>
      <c r="W871" s="122" t="str">
        <f t="shared" si="163"/>
        <v>1</v>
      </c>
      <c r="X871" s="123">
        <f>1010000+50500+35418</f>
        <v>1095918</v>
      </c>
      <c r="Y871" s="123">
        <f>1010000+50500</f>
        <v>1060500</v>
      </c>
      <c r="Z871" s="123">
        <f t="shared" si="165"/>
        <v>35418</v>
      </c>
      <c r="AA871" s="122" t="str">
        <f t="shared" si="166"/>
        <v>1</v>
      </c>
      <c r="AB871" s="120">
        <f t="shared" si="167"/>
        <v>1060500</v>
      </c>
      <c r="AC871" s="123">
        <v>0</v>
      </c>
      <c r="AD871" s="123">
        <f>Y871</f>
        <v>1060500</v>
      </c>
      <c r="AE871" s="123">
        <v>151804</v>
      </c>
      <c r="AG871" s="151">
        <f t="shared" si="160"/>
        <v>245979</v>
      </c>
      <c r="AH871" s="123">
        <f>399944+AL871-153965</f>
        <v>491957</v>
      </c>
      <c r="AJ871" s="123">
        <v>60500</v>
      </c>
      <c r="AL871" s="123">
        <v>245978</v>
      </c>
      <c r="AO871" s="123">
        <f>110000+70000+40000</f>
        <v>220000</v>
      </c>
    </row>
    <row r="872" spans="1:41" s="123" customFormat="1" ht="16.2" thickBot="1" x14ac:dyDescent="0.35">
      <c r="A872" s="21">
        <v>144.19999999999999</v>
      </c>
      <c r="B872" s="212" t="s">
        <v>175</v>
      </c>
      <c r="C872" s="31" t="str">
        <f>VLOOKUP((CONCATENATE(B872)),ID!$A$2:$D$305,3,0)</f>
        <v>OT032</v>
      </c>
      <c r="D872" s="21">
        <v>1</v>
      </c>
      <c r="E872" s="21" t="s">
        <v>3903</v>
      </c>
      <c r="F872" s="21" t="s">
        <v>3789</v>
      </c>
      <c r="G872" s="21" t="s">
        <v>3853</v>
      </c>
      <c r="H872" s="88">
        <v>4657</v>
      </c>
      <c r="I872" s="43">
        <v>4776</v>
      </c>
      <c r="J872" s="43">
        <v>4765</v>
      </c>
      <c r="K872" s="21">
        <v>1</v>
      </c>
      <c r="L872" s="43">
        <v>4793</v>
      </c>
      <c r="M872" s="43">
        <v>4807</v>
      </c>
      <c r="N872" s="43">
        <v>4794</v>
      </c>
      <c r="O872" s="21" t="s">
        <v>3926</v>
      </c>
      <c r="P872" s="194" t="str">
        <f t="shared" si="161"/>
        <v>1</v>
      </c>
      <c r="Q872" s="21">
        <v>1</v>
      </c>
      <c r="R872" s="39" t="str">
        <f t="shared" si="169"/>
        <v>-</v>
      </c>
      <c r="S872" s="120">
        <f t="shared" si="168"/>
        <v>3226528</v>
      </c>
      <c r="T872" s="123">
        <v>4282469</v>
      </c>
      <c r="U872" s="123">
        <v>3931207</v>
      </c>
      <c r="V872" s="123">
        <f t="shared" si="162"/>
        <v>351262</v>
      </c>
      <c r="W872" s="122" t="str">
        <f t="shared" si="163"/>
        <v>1</v>
      </c>
      <c r="X872" s="123">
        <f>1010000+29228+16713</f>
        <v>1055941</v>
      </c>
      <c r="Y872" s="123">
        <v>1010000</v>
      </c>
      <c r="Z872" s="123">
        <f t="shared" si="165"/>
        <v>45941</v>
      </c>
      <c r="AA872" s="122" t="str">
        <f t="shared" si="166"/>
        <v>1</v>
      </c>
      <c r="AB872" s="120">
        <f t="shared" si="167"/>
        <v>1010000</v>
      </c>
      <c r="AC872" s="123">
        <v>0</v>
      </c>
      <c r="AD872" s="123">
        <f>Y872</f>
        <v>1010000</v>
      </c>
      <c r="AE872" s="123">
        <v>97558</v>
      </c>
      <c r="AG872" s="151">
        <f t="shared" si="160"/>
        <v>224583</v>
      </c>
      <c r="AH872" s="123">
        <f>353527+AL872-128944</f>
        <v>449166</v>
      </c>
      <c r="AJ872" s="123">
        <v>77000</v>
      </c>
      <c r="AL872" s="123">
        <v>224583</v>
      </c>
      <c r="AO872" s="123">
        <f>110000+1100000+550000</f>
        <v>1760000</v>
      </c>
    </row>
    <row r="873" spans="1:41" s="123" customFormat="1" ht="16.2" thickBot="1" x14ac:dyDescent="0.35">
      <c r="A873" s="21"/>
      <c r="B873" s="212" t="s">
        <v>175</v>
      </c>
      <c r="C873" s="31" t="str">
        <f>VLOOKUP((CONCATENATE(B873)),ID!$A$2:$D$305,3,0)</f>
        <v>OT032</v>
      </c>
      <c r="D873" s="21">
        <v>1</v>
      </c>
      <c r="E873" s="21" t="s">
        <v>3903</v>
      </c>
      <c r="F873" s="21" t="s">
        <v>3789</v>
      </c>
      <c r="G873" s="21" t="s">
        <v>3853</v>
      </c>
      <c r="H873" s="88">
        <v>5022</v>
      </c>
      <c r="I873" s="43">
        <v>5142</v>
      </c>
      <c r="J873" s="43">
        <v>5137</v>
      </c>
      <c r="K873" s="21">
        <v>1</v>
      </c>
      <c r="L873" s="43">
        <v>5158</v>
      </c>
      <c r="M873" s="43">
        <v>5172</v>
      </c>
      <c r="N873" s="43">
        <v>5157</v>
      </c>
      <c r="O873" s="21" t="s">
        <v>3926</v>
      </c>
      <c r="P873" s="194" t="str">
        <f t="shared" si="161"/>
        <v>1</v>
      </c>
      <c r="Q873" s="21">
        <v>1</v>
      </c>
      <c r="R873" s="39" t="str">
        <f t="shared" si="169"/>
        <v>-</v>
      </c>
      <c r="S873" s="120">
        <f t="shared" si="168"/>
        <v>3261671</v>
      </c>
      <c r="T873" s="123">
        <v>4451432</v>
      </c>
      <c r="U873" s="123">
        <f>4053047</f>
        <v>4053047</v>
      </c>
      <c r="V873" s="123">
        <f t="shared" si="162"/>
        <v>398385</v>
      </c>
      <c r="W873" s="122" t="str">
        <f t="shared" si="163"/>
        <v>1</v>
      </c>
      <c r="X873" s="123">
        <f>AB873+179761</f>
        <v>1189761</v>
      </c>
      <c r="Y873" s="123">
        <f>AB873</f>
        <v>1010000</v>
      </c>
      <c r="Z873" s="123">
        <f t="shared" si="165"/>
        <v>179761</v>
      </c>
      <c r="AA873" s="122" t="str">
        <f t="shared" si="166"/>
        <v>1</v>
      </c>
      <c r="AB873" s="120">
        <f t="shared" si="167"/>
        <v>1010000</v>
      </c>
      <c r="AC873" s="123">
        <v>0</v>
      </c>
      <c r="AD873" s="123">
        <v>1010000</v>
      </c>
      <c r="AE873" s="123">
        <v>89426</v>
      </c>
      <c r="AG873" s="151">
        <f t="shared" si="160"/>
        <v>189143</v>
      </c>
      <c r="AH873" s="123">
        <f>338670+AL873-149527</f>
        <v>378285</v>
      </c>
      <c r="AJ873" s="123">
        <v>77000</v>
      </c>
      <c r="AL873" s="123">
        <v>189142</v>
      </c>
      <c r="AO873" s="123">
        <f>110000+1100000+550000</f>
        <v>1760000</v>
      </c>
    </row>
    <row r="874" spans="1:41" s="123" customFormat="1" ht="16.2" thickBot="1" x14ac:dyDescent="0.35">
      <c r="A874" s="21"/>
      <c r="B874" s="212" t="s">
        <v>175</v>
      </c>
      <c r="C874" s="31" t="str">
        <f>VLOOKUP((CONCATENATE(B874)),ID!$A$2:$D$305,3,0)</f>
        <v>OT032</v>
      </c>
      <c r="D874" s="21">
        <v>1</v>
      </c>
      <c r="E874" s="21" t="s">
        <v>3903</v>
      </c>
      <c r="F874" s="21" t="s">
        <v>3789</v>
      </c>
      <c r="G874" s="21" t="s">
        <v>3853</v>
      </c>
      <c r="H874" s="88">
        <v>5387</v>
      </c>
      <c r="I874" s="43">
        <v>5507</v>
      </c>
      <c r="J874" s="43">
        <v>5500</v>
      </c>
      <c r="K874" s="21">
        <v>1</v>
      </c>
      <c r="L874" s="43">
        <v>5523</v>
      </c>
      <c r="M874" s="43">
        <v>5537</v>
      </c>
      <c r="N874" s="43">
        <v>5529</v>
      </c>
      <c r="O874" s="21" t="s">
        <v>3926</v>
      </c>
      <c r="P874" s="194" t="str">
        <f t="shared" si="161"/>
        <v>1</v>
      </c>
      <c r="Q874" s="21">
        <v>1</v>
      </c>
      <c r="R874" s="39" t="str">
        <f t="shared" si="169"/>
        <v>-</v>
      </c>
      <c r="S874" s="120">
        <f t="shared" si="168"/>
        <v>3296443</v>
      </c>
      <c r="T874" s="123">
        <v>4447877</v>
      </c>
      <c r="U874" s="123">
        <f>3992731</f>
        <v>3992731</v>
      </c>
      <c r="V874" s="123">
        <f t="shared" si="162"/>
        <v>455146</v>
      </c>
      <c r="W874" s="122" t="str">
        <f t="shared" si="163"/>
        <v>1</v>
      </c>
      <c r="X874" s="123">
        <f>141434+1010000</f>
        <v>1151434</v>
      </c>
      <c r="Y874" s="123">
        <f>AB874</f>
        <v>1010000</v>
      </c>
      <c r="Z874" s="123">
        <f t="shared" si="165"/>
        <v>141434</v>
      </c>
      <c r="AA874" s="122" t="str">
        <f t="shared" si="166"/>
        <v>1</v>
      </c>
      <c r="AB874" s="120">
        <f t="shared" si="167"/>
        <v>1010000</v>
      </c>
      <c r="AC874" s="123">
        <v>0</v>
      </c>
      <c r="AD874" s="123">
        <v>1010000</v>
      </c>
      <c r="AE874" s="123">
        <v>147320</v>
      </c>
      <c r="AG874" s="151">
        <f t="shared" si="160"/>
        <v>188772</v>
      </c>
      <c r="AH874" s="123">
        <f>323442+AL874-134670</f>
        <v>377544</v>
      </c>
      <c r="AJ874" s="123">
        <v>77000</v>
      </c>
      <c r="AL874" s="123">
        <v>188772</v>
      </c>
      <c r="AO874" s="123">
        <f>110000+1100000+550000</f>
        <v>1760000</v>
      </c>
    </row>
    <row r="875" spans="1:41" s="123" customFormat="1" ht="16.2" thickBot="1" x14ac:dyDescent="0.35">
      <c r="A875" s="21"/>
      <c r="B875" s="212" t="s">
        <v>176</v>
      </c>
      <c r="C875" s="31" t="str">
        <f>VLOOKUP((CONCATENATE(B875)),ID!$A$2:$D$305,3,0)</f>
        <v>OT033</v>
      </c>
      <c r="D875" s="21">
        <v>1</v>
      </c>
      <c r="E875" s="21" t="s">
        <v>3903</v>
      </c>
      <c r="F875" s="21" t="s">
        <v>1117</v>
      </c>
      <c r="G875" s="21" t="s">
        <v>3853</v>
      </c>
      <c r="H875" s="88">
        <v>3728</v>
      </c>
      <c r="I875" s="43">
        <v>3818</v>
      </c>
      <c r="J875" s="43">
        <v>3811</v>
      </c>
      <c r="K875" s="21">
        <v>1</v>
      </c>
      <c r="L875" s="43">
        <v>3817</v>
      </c>
      <c r="M875" s="43">
        <v>3831</v>
      </c>
      <c r="N875" s="43">
        <v>3827</v>
      </c>
      <c r="O875" s="21" t="s">
        <v>3785</v>
      </c>
      <c r="P875" s="194" t="str">
        <f t="shared" si="161"/>
        <v>1</v>
      </c>
      <c r="Q875" s="21">
        <v>1</v>
      </c>
      <c r="R875" s="39" t="str">
        <f t="shared" si="169"/>
        <v>-</v>
      </c>
      <c r="S875" s="120">
        <f t="shared" si="168"/>
        <v>2714498</v>
      </c>
      <c r="T875" s="123">
        <v>4015311</v>
      </c>
      <c r="U875" s="123">
        <f>1845705+577648</f>
        <v>2423353</v>
      </c>
      <c r="V875" s="123">
        <f t="shared" si="162"/>
        <v>1591958</v>
      </c>
      <c r="W875" s="122" t="str">
        <f t="shared" si="163"/>
        <v>1</v>
      </c>
      <c r="X875" s="123">
        <f>Y875+232288+226212+182196+148814+2320+8983</f>
        <v>1300813</v>
      </c>
      <c r="Y875" s="123">
        <v>500000</v>
      </c>
      <c r="Z875" s="123">
        <f t="shared" si="165"/>
        <v>800813</v>
      </c>
      <c r="AA875" s="122" t="str">
        <f t="shared" si="166"/>
        <v>1</v>
      </c>
      <c r="AB875" s="120">
        <f t="shared" si="167"/>
        <v>500000</v>
      </c>
      <c r="AC875" s="123">
        <v>0</v>
      </c>
      <c r="AD875" s="123">
        <v>500000</v>
      </c>
      <c r="AE875" s="123">
        <v>117568</v>
      </c>
      <c r="AG875" s="151">
        <f t="shared" si="160"/>
        <v>161787</v>
      </c>
      <c r="AH875" s="123">
        <f>161787+AL875</f>
        <v>165669</v>
      </c>
      <c r="AJ875" s="123">
        <v>82500</v>
      </c>
      <c r="AK875" s="123">
        <v>4499</v>
      </c>
      <c r="AL875" s="123">
        <v>3882</v>
      </c>
      <c r="AM875" s="123">
        <v>290490</v>
      </c>
      <c r="AO875" s="123">
        <v>2250000</v>
      </c>
    </row>
    <row r="876" spans="1:41" s="123" customFormat="1" ht="16.2" thickBot="1" x14ac:dyDescent="0.35">
      <c r="A876" s="21">
        <v>145.1</v>
      </c>
      <c r="B876" s="212" t="s">
        <v>176</v>
      </c>
      <c r="C876" s="31" t="str">
        <f>VLOOKUP((CONCATENATE(B876)),ID!$A$2:$D$305,3,0)</f>
        <v>OT033</v>
      </c>
      <c r="D876" s="21">
        <v>1</v>
      </c>
      <c r="E876" s="21" t="s">
        <v>3903</v>
      </c>
      <c r="F876" s="21" t="s">
        <v>1117</v>
      </c>
      <c r="G876" s="21" t="s">
        <v>3853</v>
      </c>
      <c r="H876" s="88">
        <v>4093</v>
      </c>
      <c r="I876" s="43">
        <v>4179</v>
      </c>
      <c r="J876" s="43">
        <v>4178</v>
      </c>
      <c r="K876" s="21">
        <v>1</v>
      </c>
      <c r="L876" s="43">
        <v>4181</v>
      </c>
      <c r="M876" s="43">
        <v>4195</v>
      </c>
      <c r="N876" s="43">
        <v>4188</v>
      </c>
      <c r="O876" s="21" t="s">
        <v>3785</v>
      </c>
      <c r="P876" s="194" t="str">
        <f t="shared" si="161"/>
        <v>1</v>
      </c>
      <c r="Q876" s="21">
        <v>1</v>
      </c>
      <c r="R876" s="39" t="str">
        <f t="shared" si="169"/>
        <v>-</v>
      </c>
      <c r="S876" s="120">
        <f t="shared" si="168"/>
        <v>2685605</v>
      </c>
      <c r="T876" s="123">
        <v>3979234</v>
      </c>
      <c r="U876" s="123">
        <f>1844643+611485</f>
        <v>2456128</v>
      </c>
      <c r="V876" s="123">
        <f t="shared" si="162"/>
        <v>1523106</v>
      </c>
      <c r="W876" s="122" t="str">
        <f t="shared" si="163"/>
        <v>1</v>
      </c>
      <c r="X876" s="123">
        <f>500000+142049+301988+181342+156766+2516+8968</f>
        <v>1293629</v>
      </c>
      <c r="Y876" s="123">
        <f t="shared" ref="Y876:Y881" si="170">AB876</f>
        <v>500000</v>
      </c>
      <c r="Z876" s="123">
        <f t="shared" si="165"/>
        <v>793629</v>
      </c>
      <c r="AA876" s="122" t="str">
        <f t="shared" si="166"/>
        <v>1</v>
      </c>
      <c r="AB876" s="120">
        <f t="shared" si="167"/>
        <v>500000</v>
      </c>
      <c r="AC876" s="123">
        <v>0</v>
      </c>
      <c r="AD876" s="123">
        <v>500000</v>
      </c>
      <c r="AE876" s="123">
        <v>95621</v>
      </c>
      <c r="AG876" s="151">
        <f t="shared" si="160"/>
        <v>146107</v>
      </c>
      <c r="AH876" s="123">
        <f>146107+AL876</f>
        <v>151715</v>
      </c>
      <c r="AJ876" s="123">
        <v>82500</v>
      </c>
      <c r="AK876" s="123">
        <v>4810</v>
      </c>
      <c r="AL876" s="123">
        <v>5608</v>
      </c>
      <c r="AM876" s="123">
        <v>254256</v>
      </c>
      <c r="AO876" s="123">
        <v>2250000</v>
      </c>
    </row>
    <row r="877" spans="1:41" s="123" customFormat="1" ht="16.2" thickBot="1" x14ac:dyDescent="0.35">
      <c r="A877" s="21">
        <v>145.19999999999999</v>
      </c>
      <c r="B877" s="212" t="s">
        <v>176</v>
      </c>
      <c r="C877" s="31" t="str">
        <f>VLOOKUP((CONCATENATE(B877)),ID!$A$2:$D$305,3,0)</f>
        <v>OT033</v>
      </c>
      <c r="D877" s="21">
        <v>1</v>
      </c>
      <c r="E877" s="21" t="s">
        <v>3903</v>
      </c>
      <c r="F877" s="21" t="s">
        <v>1117</v>
      </c>
      <c r="G877" s="21" t="s">
        <v>3853</v>
      </c>
      <c r="H877" s="88">
        <v>4459</v>
      </c>
      <c r="I877" s="43">
        <v>4543</v>
      </c>
      <c r="J877" s="43">
        <v>4542</v>
      </c>
      <c r="K877" s="21">
        <v>1</v>
      </c>
      <c r="L877" s="43">
        <v>4547</v>
      </c>
      <c r="M877" s="43">
        <v>4561</v>
      </c>
      <c r="N877" s="43">
        <v>4552</v>
      </c>
      <c r="O877" s="21" t="s">
        <v>3785</v>
      </c>
      <c r="P877" s="194" t="str">
        <f t="shared" si="161"/>
        <v>1</v>
      </c>
      <c r="Q877" s="21">
        <v>1</v>
      </c>
      <c r="R877" s="39" t="str">
        <f t="shared" si="169"/>
        <v>-</v>
      </c>
      <c r="S877" s="120">
        <f t="shared" si="168"/>
        <v>2692549</v>
      </c>
      <c r="T877" s="123">
        <v>4014508</v>
      </c>
      <c r="U877" s="123">
        <f>1844233+573615</f>
        <v>2417848</v>
      </c>
      <c r="V877" s="123">
        <f t="shared" si="162"/>
        <v>1596660</v>
      </c>
      <c r="W877" s="122" t="str">
        <f t="shared" si="163"/>
        <v>1</v>
      </c>
      <c r="X877" s="123">
        <f>500000+197651+234108+232028+146379+2821+8972</f>
        <v>1321959</v>
      </c>
      <c r="Y877" s="123">
        <f t="shared" si="170"/>
        <v>500000</v>
      </c>
      <c r="Z877" s="123">
        <f t="shared" si="165"/>
        <v>821959</v>
      </c>
      <c r="AA877" s="122" t="str">
        <f t="shared" si="166"/>
        <v>1</v>
      </c>
      <c r="AB877" s="120">
        <f t="shared" si="167"/>
        <v>500000</v>
      </c>
      <c r="AC877" s="123">
        <v>0</v>
      </c>
      <c r="AD877" s="123">
        <v>500000</v>
      </c>
      <c r="AE877" s="123">
        <v>80155</v>
      </c>
      <c r="AG877" s="151">
        <f t="shared" si="160"/>
        <v>151944</v>
      </c>
      <c r="AH877" s="123">
        <f>151944+AL877</f>
        <v>156933</v>
      </c>
      <c r="AJ877" s="123">
        <v>82500</v>
      </c>
      <c r="AK877" s="123">
        <v>51341</v>
      </c>
      <c r="AL877" s="123">
        <v>4989</v>
      </c>
      <c r="AM877" s="123">
        <v>302901</v>
      </c>
      <c r="AO877" s="123">
        <v>2250000</v>
      </c>
    </row>
    <row r="878" spans="1:41" s="123" customFormat="1" ht="16.2" thickBot="1" x14ac:dyDescent="0.35">
      <c r="A878" s="21"/>
      <c r="B878" s="212" t="s">
        <v>176</v>
      </c>
      <c r="C878" s="31" t="str">
        <f>VLOOKUP((CONCATENATE(B878)),ID!$A$2:$D$305,3,0)</f>
        <v>OT033</v>
      </c>
      <c r="D878" s="21">
        <v>1</v>
      </c>
      <c r="E878" s="21" t="s">
        <v>3903</v>
      </c>
      <c r="F878" s="21" t="s">
        <v>1117</v>
      </c>
      <c r="G878" s="21" t="s">
        <v>3853</v>
      </c>
      <c r="H878" s="88">
        <v>4824</v>
      </c>
      <c r="I878" s="43">
        <v>4911</v>
      </c>
      <c r="J878" s="43">
        <v>4911</v>
      </c>
      <c r="K878" s="21">
        <v>1</v>
      </c>
      <c r="L878" s="43">
        <v>4912</v>
      </c>
      <c r="M878" s="43">
        <v>4924</v>
      </c>
      <c r="N878" s="43">
        <v>4923</v>
      </c>
      <c r="O878" s="21" t="s">
        <v>3785</v>
      </c>
      <c r="P878" s="194" t="str">
        <f t="shared" si="161"/>
        <v>1</v>
      </c>
      <c r="Q878" s="21">
        <v>1</v>
      </c>
      <c r="R878" s="39" t="str">
        <f t="shared" si="169"/>
        <v>-</v>
      </c>
      <c r="S878" s="120">
        <f t="shared" si="168"/>
        <v>2710095</v>
      </c>
      <c r="T878" s="123">
        <v>3968081</v>
      </c>
      <c r="U878" s="123">
        <f>1847824+558501</f>
        <v>2406325</v>
      </c>
      <c r="V878" s="123">
        <f t="shared" si="162"/>
        <v>1561756</v>
      </c>
      <c r="W878" s="122" t="str">
        <f t="shared" si="163"/>
        <v>1</v>
      </c>
      <c r="X878" s="123">
        <f>Y878+240763+126946+228336+149892+3073+8976</f>
        <v>1257986</v>
      </c>
      <c r="Y878" s="123">
        <f t="shared" si="170"/>
        <v>500000</v>
      </c>
      <c r="Z878" s="123">
        <f t="shared" si="165"/>
        <v>757986</v>
      </c>
      <c r="AA878" s="122" t="str">
        <f t="shared" si="166"/>
        <v>1</v>
      </c>
      <c r="AB878" s="120">
        <f t="shared" si="167"/>
        <v>500000</v>
      </c>
      <c r="AC878" s="123">
        <v>0</v>
      </c>
      <c r="AD878" s="123">
        <v>500000</v>
      </c>
      <c r="AE878" s="123">
        <v>70799</v>
      </c>
      <c r="AG878" s="151">
        <f t="shared" si="160"/>
        <v>162544</v>
      </c>
      <c r="AH878" s="123">
        <f>162544+AL878</f>
        <v>167277</v>
      </c>
      <c r="AJ878" s="123">
        <v>82500</v>
      </c>
      <c r="AK878" s="123">
        <v>41094</v>
      </c>
      <c r="AL878" s="123">
        <v>4733</v>
      </c>
      <c r="AM878" s="123">
        <v>311293</v>
      </c>
      <c r="AO878" s="123">
        <v>2250000</v>
      </c>
    </row>
    <row r="879" spans="1:41" s="123" customFormat="1" ht="16.2" thickBot="1" x14ac:dyDescent="0.35">
      <c r="A879" s="21"/>
      <c r="B879" s="212" t="s">
        <v>176</v>
      </c>
      <c r="C879" s="31" t="str">
        <f>VLOOKUP((CONCATENATE(B879)),ID!$A$2:$D$305,3,0)</f>
        <v>OT033</v>
      </c>
      <c r="D879" s="21">
        <v>1</v>
      </c>
      <c r="E879" s="21" t="s">
        <v>3903</v>
      </c>
      <c r="F879" s="21" t="s">
        <v>1117</v>
      </c>
      <c r="G879" s="21" t="s">
        <v>3853</v>
      </c>
      <c r="H879" s="88">
        <v>5189</v>
      </c>
      <c r="I879" s="43">
        <v>5295</v>
      </c>
      <c r="J879" s="43">
        <v>5290</v>
      </c>
      <c r="K879" s="21">
        <v>1</v>
      </c>
      <c r="L879" s="43">
        <v>5295</v>
      </c>
      <c r="M879" s="43">
        <v>5309</v>
      </c>
      <c r="N879" s="43">
        <v>5309</v>
      </c>
      <c r="O879" s="21" t="s">
        <v>3785</v>
      </c>
      <c r="P879" s="194" t="str">
        <f t="shared" si="161"/>
        <v>1</v>
      </c>
      <c r="Q879" s="21">
        <v>1</v>
      </c>
      <c r="R879" s="39" t="str">
        <f t="shared" si="169"/>
        <v>-</v>
      </c>
      <c r="S879" s="120">
        <f t="shared" si="168"/>
        <v>2565652</v>
      </c>
      <c r="T879" s="123">
        <v>4063988</v>
      </c>
      <c r="U879" s="123">
        <f>1852960+562495</f>
        <v>2415455</v>
      </c>
      <c r="V879" s="123">
        <f t="shared" si="162"/>
        <v>1648533</v>
      </c>
      <c r="W879" s="122" t="str">
        <f t="shared" si="163"/>
        <v>1</v>
      </c>
      <c r="X879" s="123">
        <f>Y879+297636+159727+159727+207295+161951+3026+8974</f>
        <v>1498336</v>
      </c>
      <c r="Y879" s="123">
        <f t="shared" si="170"/>
        <v>500000</v>
      </c>
      <c r="Z879" s="123">
        <f t="shared" si="165"/>
        <v>998336</v>
      </c>
      <c r="AA879" s="122" t="str">
        <f t="shared" si="166"/>
        <v>1</v>
      </c>
      <c r="AB879" s="120">
        <f t="shared" si="167"/>
        <v>500000</v>
      </c>
      <c r="AC879" s="123">
        <v>0</v>
      </c>
      <c r="AD879" s="123">
        <v>500000</v>
      </c>
      <c r="AE879" s="123">
        <v>82329</v>
      </c>
      <c r="AG879" s="151">
        <f t="shared" si="160"/>
        <v>160286</v>
      </c>
      <c r="AH879" s="123">
        <f>160286+AL879</f>
        <v>165898</v>
      </c>
      <c r="AJ879" s="123">
        <v>82500</v>
      </c>
      <c r="AK879" s="123">
        <v>23201</v>
      </c>
      <c r="AL879" s="123">
        <v>5612</v>
      </c>
      <c r="AM879" s="123">
        <v>310534</v>
      </c>
      <c r="AO879" s="123">
        <v>2250000</v>
      </c>
    </row>
    <row r="880" spans="1:41" s="123" customFormat="1" ht="16.2" thickBot="1" x14ac:dyDescent="0.35">
      <c r="A880" s="21"/>
      <c r="B880" s="212" t="s">
        <v>178</v>
      </c>
      <c r="C880" s="31" t="str">
        <f>VLOOKUP((CONCATENATE(B880)),ID!$A$2:$D$305,3,0)</f>
        <v>OT034</v>
      </c>
      <c r="D880" s="21">
        <v>1</v>
      </c>
      <c r="E880" s="21" t="s">
        <v>3903</v>
      </c>
      <c r="F880" s="21" t="s">
        <v>3908</v>
      </c>
      <c r="G880" s="21" t="s">
        <v>3853</v>
      </c>
      <c r="H880" s="88">
        <v>3987</v>
      </c>
      <c r="I880" s="43">
        <v>4039</v>
      </c>
      <c r="J880" s="43">
        <v>4037</v>
      </c>
      <c r="K880" s="21">
        <v>1</v>
      </c>
      <c r="L880" s="43">
        <v>4043</v>
      </c>
      <c r="M880" s="43">
        <v>4056</v>
      </c>
      <c r="N880" s="43">
        <v>4049</v>
      </c>
      <c r="O880" s="21" t="s">
        <v>3923</v>
      </c>
      <c r="P880" s="194" t="str">
        <f t="shared" si="161"/>
        <v>1</v>
      </c>
      <c r="Q880" s="21">
        <v>1</v>
      </c>
      <c r="R880" s="39" t="str">
        <f t="shared" si="169"/>
        <v>-</v>
      </c>
      <c r="S880" s="120">
        <f t="shared" si="168"/>
        <v>1872550</v>
      </c>
      <c r="T880" s="123">
        <v>2346269</v>
      </c>
      <c r="U880" s="123">
        <f>1376271</f>
        <v>1376271</v>
      </c>
      <c r="V880" s="123">
        <f t="shared" si="162"/>
        <v>969998</v>
      </c>
      <c r="W880" s="122" t="str">
        <f t="shared" si="163"/>
        <v>1</v>
      </c>
      <c r="X880" s="123">
        <f>300000+152719+21000</f>
        <v>473719</v>
      </c>
      <c r="Y880" s="123">
        <f t="shared" si="170"/>
        <v>300000</v>
      </c>
      <c r="Z880" s="123">
        <f t="shared" si="165"/>
        <v>173719</v>
      </c>
      <c r="AA880" s="122" t="str">
        <f t="shared" si="166"/>
        <v>1</v>
      </c>
      <c r="AB880" s="120">
        <f t="shared" si="167"/>
        <v>300000</v>
      </c>
      <c r="AC880" s="123">
        <v>0</v>
      </c>
      <c r="AD880" s="123">
        <v>300000</v>
      </c>
      <c r="AE880" s="123">
        <v>59845</v>
      </c>
      <c r="AF880" s="123">
        <v>1376271</v>
      </c>
      <c r="AG880" s="151">
        <f t="shared" si="160"/>
        <v>148884</v>
      </c>
      <c r="AH880" s="123">
        <f>176384-500</f>
        <v>175884</v>
      </c>
      <c r="AJ880" s="123">
        <f>15000+23750</f>
        <v>38750</v>
      </c>
      <c r="AK880" s="123">
        <v>24000</v>
      </c>
      <c r="AL880" s="123">
        <f>6000+21000</f>
        <v>27000</v>
      </c>
      <c r="AO880" s="123">
        <f>600000+950000</f>
        <v>1550000</v>
      </c>
    </row>
    <row r="881" spans="1:41" s="123" customFormat="1" ht="16.2" thickBot="1" x14ac:dyDescent="0.35">
      <c r="A881" s="21">
        <v>146.1</v>
      </c>
      <c r="B881" s="212" t="s">
        <v>178</v>
      </c>
      <c r="C881" s="31" t="str">
        <f>VLOOKUP((CONCATENATE(B881)),ID!$A$2:$D$305,3,0)</f>
        <v>OT034</v>
      </c>
      <c r="D881" s="21">
        <v>1</v>
      </c>
      <c r="E881" s="21" t="s">
        <v>3903</v>
      </c>
      <c r="F881" s="21" t="s">
        <v>3908</v>
      </c>
      <c r="G881" s="21" t="s">
        <v>3853</v>
      </c>
      <c r="H881" s="88">
        <v>4352</v>
      </c>
      <c r="I881" s="43">
        <v>4403</v>
      </c>
      <c r="J881" s="43">
        <v>4401</v>
      </c>
      <c r="K881" s="21">
        <v>1</v>
      </c>
      <c r="L881" s="43">
        <v>4407</v>
      </c>
      <c r="M881" s="43">
        <v>4420</v>
      </c>
      <c r="N881" s="43">
        <v>4413</v>
      </c>
      <c r="O881" s="21" t="s">
        <v>3923</v>
      </c>
      <c r="P881" s="194" t="str">
        <f t="shared" si="161"/>
        <v>1</v>
      </c>
      <c r="Q881" s="21">
        <v>1</v>
      </c>
      <c r="R881" s="39" t="str">
        <f t="shared" si="169"/>
        <v>-</v>
      </c>
      <c r="S881" s="120">
        <f t="shared" si="168"/>
        <v>1938252</v>
      </c>
      <c r="T881" s="123">
        <v>2453755</v>
      </c>
      <c r="U881" s="123">
        <f>1393667</f>
        <v>1393667</v>
      </c>
      <c r="V881" s="123">
        <f t="shared" si="162"/>
        <v>1060088</v>
      </c>
      <c r="W881" s="122" t="str">
        <f t="shared" si="163"/>
        <v>1</v>
      </c>
      <c r="X881" s="123">
        <f>300000+194503+21000</f>
        <v>515503</v>
      </c>
      <c r="Y881" s="123">
        <f t="shared" si="170"/>
        <v>300000</v>
      </c>
      <c r="Z881" s="123">
        <f t="shared" si="165"/>
        <v>215503</v>
      </c>
      <c r="AA881" s="122" t="str">
        <f t="shared" si="166"/>
        <v>1</v>
      </c>
      <c r="AB881" s="120">
        <f t="shared" si="167"/>
        <v>300000</v>
      </c>
      <c r="AC881" s="123">
        <v>0</v>
      </c>
      <c r="AD881" s="123">
        <v>300000</v>
      </c>
      <c r="AE881" s="123">
        <v>197645</v>
      </c>
      <c r="AF881" s="123">
        <v>1393667</v>
      </c>
      <c r="AG881" s="151">
        <f t="shared" si="160"/>
        <v>151952</v>
      </c>
      <c r="AH881" s="123">
        <f>179452-500</f>
        <v>178952</v>
      </c>
      <c r="AJ881" s="123">
        <f>15000+23750</f>
        <v>38750</v>
      </c>
      <c r="AK881" s="123">
        <v>24500</v>
      </c>
      <c r="AL881" s="123">
        <f>6000+21000</f>
        <v>27000</v>
      </c>
      <c r="AO881" s="123">
        <f>600000+950000</f>
        <v>1550000</v>
      </c>
    </row>
    <row r="882" spans="1:41" s="123" customFormat="1" ht="16.2" thickBot="1" x14ac:dyDescent="0.35">
      <c r="A882" s="21">
        <v>146.19999999999999</v>
      </c>
      <c r="B882" s="212" t="s">
        <v>178</v>
      </c>
      <c r="C882" s="31" t="str">
        <f>VLOOKUP((CONCATENATE(B882)),ID!$A$2:$D$305,3,0)</f>
        <v>OT034</v>
      </c>
      <c r="D882" s="21">
        <v>1</v>
      </c>
      <c r="E882" s="21" t="s">
        <v>3903</v>
      </c>
      <c r="F882" s="21" t="s">
        <v>3908</v>
      </c>
      <c r="G882" s="21" t="s">
        <v>3853</v>
      </c>
      <c r="H882" s="88">
        <v>4718</v>
      </c>
      <c r="I882" s="43">
        <v>4767</v>
      </c>
      <c r="J882" s="43">
        <v>4765</v>
      </c>
      <c r="K882" s="21">
        <v>1</v>
      </c>
      <c r="L882" s="43">
        <v>4771</v>
      </c>
      <c r="M882" s="43">
        <v>4784</v>
      </c>
      <c r="N882" s="43">
        <v>4777</v>
      </c>
      <c r="O882" s="21" t="s">
        <v>3923</v>
      </c>
      <c r="P882" s="194" t="str">
        <f t="shared" si="161"/>
        <v>1</v>
      </c>
      <c r="Q882" s="21">
        <v>1</v>
      </c>
      <c r="R882" s="39" t="str">
        <f t="shared" si="169"/>
        <v>-</v>
      </c>
      <c r="S882" s="120">
        <f t="shared" si="168"/>
        <v>2007136</v>
      </c>
      <c r="T882" s="123">
        <v>2465063</v>
      </c>
      <c r="U882" s="123">
        <v>1393871</v>
      </c>
      <c r="V882" s="123">
        <f t="shared" si="162"/>
        <v>1071192</v>
      </c>
      <c r="W882" s="122" t="str">
        <f t="shared" si="163"/>
        <v>1</v>
      </c>
      <c r="X882" s="123">
        <f>250000+187927+20000</f>
        <v>457927</v>
      </c>
      <c r="Y882" s="123">
        <v>250000</v>
      </c>
      <c r="Z882" s="123">
        <f t="shared" si="165"/>
        <v>207927</v>
      </c>
      <c r="AA882" s="122" t="str">
        <f t="shared" si="166"/>
        <v>1</v>
      </c>
      <c r="AB882" s="120">
        <f t="shared" si="167"/>
        <v>250000</v>
      </c>
      <c r="AC882" s="123">
        <v>0</v>
      </c>
      <c r="AD882" s="123">
        <v>250000</v>
      </c>
      <c r="AE882" s="123">
        <v>164099</v>
      </c>
      <c r="AF882" s="123">
        <v>1393871</v>
      </c>
      <c r="AG882" s="151">
        <f t="shared" si="160"/>
        <v>155134</v>
      </c>
      <c r="AH882" s="123">
        <f>181284-500</f>
        <v>180784</v>
      </c>
      <c r="AJ882" s="123">
        <v>38750</v>
      </c>
      <c r="AK882" s="123">
        <v>25000</v>
      </c>
      <c r="AL882" s="123">
        <f>5650+20000</f>
        <v>25650</v>
      </c>
      <c r="AO882" s="123">
        <f>600000+950000</f>
        <v>1550000</v>
      </c>
    </row>
    <row r="883" spans="1:41" s="123" customFormat="1" ht="16.2" thickBot="1" x14ac:dyDescent="0.35">
      <c r="A883" s="21"/>
      <c r="B883" s="212" t="s">
        <v>178</v>
      </c>
      <c r="C883" s="31" t="str">
        <f>VLOOKUP((CONCATENATE(B883)),ID!$A$2:$D$305,3,0)</f>
        <v>OT034</v>
      </c>
      <c r="D883" s="21">
        <v>1</v>
      </c>
      <c r="E883" s="21" t="s">
        <v>3903</v>
      </c>
      <c r="F883" s="21" t="s">
        <v>3908</v>
      </c>
      <c r="G883" s="21" t="s">
        <v>3853</v>
      </c>
      <c r="H883" s="88">
        <v>5083</v>
      </c>
      <c r="I883" s="43">
        <v>5138</v>
      </c>
      <c r="J883" s="43">
        <v>5136</v>
      </c>
      <c r="K883" s="21">
        <v>1</v>
      </c>
      <c r="L883" s="43">
        <v>5142</v>
      </c>
      <c r="M883" s="43">
        <v>5155</v>
      </c>
      <c r="N883" s="43">
        <v>5148</v>
      </c>
      <c r="O883" s="21" t="s">
        <v>3923</v>
      </c>
      <c r="P883" s="194" t="str">
        <f t="shared" si="161"/>
        <v>1</v>
      </c>
      <c r="Q883" s="21">
        <v>1</v>
      </c>
      <c r="R883" s="39" t="str">
        <f t="shared" si="169"/>
        <v>-</v>
      </c>
      <c r="S883" s="120">
        <f t="shared" si="168"/>
        <v>2041944</v>
      </c>
      <c r="T883" s="123">
        <v>2486249</v>
      </c>
      <c r="U883" s="123">
        <v>1388992</v>
      </c>
      <c r="V883" s="123">
        <f t="shared" si="162"/>
        <v>1097257</v>
      </c>
      <c r="W883" s="122" t="str">
        <f t="shared" si="163"/>
        <v>1</v>
      </c>
      <c r="X883" s="123">
        <f>Y883+174305+20000</f>
        <v>444305</v>
      </c>
      <c r="Y883" s="123">
        <v>250000</v>
      </c>
      <c r="Z883" s="123">
        <f t="shared" si="165"/>
        <v>194305</v>
      </c>
      <c r="AA883" s="122" t="str">
        <f t="shared" si="166"/>
        <v>1</v>
      </c>
      <c r="AB883" s="120">
        <f t="shared" si="167"/>
        <v>250000</v>
      </c>
      <c r="AC883" s="123">
        <v>0</v>
      </c>
      <c r="AD883" s="123">
        <v>250000</v>
      </c>
      <c r="AE883" s="123">
        <v>193356</v>
      </c>
      <c r="AF883" s="123">
        <v>1388992</v>
      </c>
      <c r="AG883" s="151">
        <f t="shared" si="160"/>
        <v>121057</v>
      </c>
      <c r="AH883" s="123">
        <f>151457-500</f>
        <v>150957</v>
      </c>
      <c r="AI883" s="123">
        <v>4900</v>
      </c>
      <c r="AJ883" s="123">
        <f>15000+23750</f>
        <v>38750</v>
      </c>
      <c r="AK883" s="123">
        <v>25050</v>
      </c>
      <c r="AL883" s="123">
        <f>20000+5000</f>
        <v>25000</v>
      </c>
      <c r="AO883" s="123">
        <f>600000+950000</f>
        <v>1550000</v>
      </c>
    </row>
    <row r="884" spans="1:41" s="123" customFormat="1" ht="16.2" thickBot="1" x14ac:dyDescent="0.35">
      <c r="A884" s="21"/>
      <c r="B884" s="212" t="s">
        <v>178</v>
      </c>
      <c r="C884" s="31" t="str">
        <f>VLOOKUP((CONCATENATE(B884)),ID!$A$2:$D$305,3,0)</f>
        <v>OT034</v>
      </c>
      <c r="D884" s="21">
        <v>1</v>
      </c>
      <c r="E884" s="21" t="s">
        <v>3903</v>
      </c>
      <c r="F884" s="21" t="s">
        <v>3908</v>
      </c>
      <c r="G884" s="21" t="s">
        <v>3853</v>
      </c>
      <c r="H884" s="88">
        <v>5448</v>
      </c>
      <c r="I884" s="43">
        <v>5502</v>
      </c>
      <c r="J884" s="43">
        <v>5506</v>
      </c>
      <c r="K884" s="21">
        <v>1</v>
      </c>
      <c r="L884" s="43">
        <v>5506</v>
      </c>
      <c r="M884" s="43">
        <v>5519</v>
      </c>
      <c r="N884" s="43">
        <v>5512</v>
      </c>
      <c r="O884" s="21" t="s">
        <v>3923</v>
      </c>
      <c r="P884" s="194" t="str">
        <f t="shared" si="161"/>
        <v>1</v>
      </c>
      <c r="Q884" s="21">
        <v>1</v>
      </c>
      <c r="R884" s="39" t="str">
        <f t="shared" si="169"/>
        <v>-</v>
      </c>
      <c r="S884" s="120">
        <f t="shared" si="168"/>
        <v>2020597</v>
      </c>
      <c r="T884" s="123">
        <v>2466082</v>
      </c>
      <c r="U884" s="123">
        <v>1372493</v>
      </c>
      <c r="V884" s="123">
        <f t="shared" si="162"/>
        <v>1093589</v>
      </c>
      <c r="W884" s="122" t="str">
        <f t="shared" si="163"/>
        <v>1</v>
      </c>
      <c r="X884" s="123">
        <f>Y884+175485+20000</f>
        <v>445485</v>
      </c>
      <c r="Y884" s="123">
        <v>250000</v>
      </c>
      <c r="Z884" s="123">
        <f t="shared" si="165"/>
        <v>195485</v>
      </c>
      <c r="AA884" s="122" t="str">
        <f t="shared" si="166"/>
        <v>1</v>
      </c>
      <c r="AB884" s="120">
        <f t="shared" si="167"/>
        <v>250000</v>
      </c>
      <c r="AC884" s="123">
        <v>0</v>
      </c>
      <c r="AD884" s="123">
        <v>250000</v>
      </c>
      <c r="AE884" s="123">
        <v>167371</v>
      </c>
      <c r="AF884" s="123">
        <v>1372493</v>
      </c>
      <c r="AG884" s="151">
        <f t="shared" si="160"/>
        <v>56096</v>
      </c>
      <c r="AH884" s="123">
        <f>85596-500</f>
        <v>85096</v>
      </c>
      <c r="AI884" s="123">
        <v>4000</v>
      </c>
      <c r="AJ884" s="123">
        <f>15000+23750</f>
        <v>38750</v>
      </c>
      <c r="AK884" s="123">
        <v>25050</v>
      </c>
      <c r="AL884" s="123">
        <f>25000</f>
        <v>25000</v>
      </c>
      <c r="AO884" s="123">
        <f>600000+950000</f>
        <v>1550000</v>
      </c>
    </row>
    <row r="885" spans="1:41" s="123" customFormat="1" ht="16.2" thickBot="1" x14ac:dyDescent="0.35">
      <c r="A885" s="21"/>
      <c r="B885" s="212" t="s">
        <v>206</v>
      </c>
      <c r="C885" s="31" t="str">
        <f>VLOOKUP((CONCATENATE(B885)),ID!$A$2:$D$305,3,0)</f>
        <v>OT035</v>
      </c>
      <c r="D885" s="21">
        <v>1</v>
      </c>
      <c r="E885" s="21" t="s">
        <v>3903</v>
      </c>
      <c r="F885" s="21" t="s">
        <v>1117</v>
      </c>
      <c r="G885" s="21" t="s">
        <v>3853</v>
      </c>
      <c r="H885" s="88">
        <v>3653</v>
      </c>
      <c r="I885" s="43">
        <v>3699</v>
      </c>
      <c r="J885" s="43">
        <v>3694</v>
      </c>
      <c r="K885" s="21">
        <v>0</v>
      </c>
      <c r="L885" s="43"/>
      <c r="M885" s="43"/>
      <c r="N885" s="43">
        <v>3712</v>
      </c>
      <c r="O885" s="21" t="s">
        <v>3927</v>
      </c>
      <c r="P885" s="194" t="str">
        <f t="shared" si="161"/>
        <v>1</v>
      </c>
      <c r="Q885" s="21">
        <v>1</v>
      </c>
      <c r="R885" s="39" t="str">
        <f t="shared" si="169"/>
        <v>-</v>
      </c>
      <c r="S885" s="120">
        <f t="shared" si="168"/>
        <v>2214587</v>
      </c>
      <c r="T885" s="123">
        <v>3379494</v>
      </c>
      <c r="U885" s="123">
        <f>60000+69159+36892+1048326</f>
        <v>1214377</v>
      </c>
      <c r="V885" s="123">
        <f t="shared" si="162"/>
        <v>2165117</v>
      </c>
      <c r="W885" s="122" t="str">
        <f t="shared" si="163"/>
        <v>1</v>
      </c>
      <c r="X885" s="123">
        <f>1000000+30175+134732</f>
        <v>1164907</v>
      </c>
      <c r="Y885" s="123">
        <f>AB885</f>
        <v>1000000</v>
      </c>
      <c r="Z885" s="123">
        <f t="shared" si="165"/>
        <v>164907</v>
      </c>
      <c r="AA885" s="122" t="str">
        <f t="shared" si="166"/>
        <v>1</v>
      </c>
      <c r="AB885" s="120">
        <f t="shared" si="167"/>
        <v>1000000</v>
      </c>
      <c r="AC885" s="123">
        <v>0</v>
      </c>
      <c r="AD885" s="123">
        <v>1000000</v>
      </c>
      <c r="AE885" s="123">
        <v>33174</v>
      </c>
      <c r="AG885" s="151">
        <v>127666</v>
      </c>
      <c r="AJ885" s="123">
        <v>37500</v>
      </c>
      <c r="AO885" s="123">
        <f>1000000+1000+750000</f>
        <v>1751000</v>
      </c>
    </row>
    <row r="886" spans="1:41" s="123" customFormat="1" ht="16.2" thickBot="1" x14ac:dyDescent="0.35">
      <c r="A886" s="21">
        <v>147.1</v>
      </c>
      <c r="B886" s="212" t="s">
        <v>206</v>
      </c>
      <c r="C886" s="31" t="str">
        <f>VLOOKUP((CONCATENATE(B886)),ID!$A$2:$D$305,3,0)</f>
        <v>OT035</v>
      </c>
      <c r="D886" s="21">
        <v>1</v>
      </c>
      <c r="E886" s="21" t="s">
        <v>3903</v>
      </c>
      <c r="F886" s="21" t="s">
        <v>1117</v>
      </c>
      <c r="G886" s="21" t="s">
        <v>3853</v>
      </c>
      <c r="H886" s="88">
        <v>4018</v>
      </c>
      <c r="I886" s="43">
        <v>4064</v>
      </c>
      <c r="J886" s="43">
        <v>4063</v>
      </c>
      <c r="K886" s="21">
        <v>0</v>
      </c>
      <c r="L886" s="21"/>
      <c r="M886" s="21"/>
      <c r="N886" s="43">
        <v>4076</v>
      </c>
      <c r="O886" s="21" t="s">
        <v>3927</v>
      </c>
      <c r="P886" s="194" t="str">
        <f t="shared" si="161"/>
        <v>1</v>
      </c>
      <c r="Q886" s="21">
        <v>1</v>
      </c>
      <c r="R886" s="39" t="str">
        <f t="shared" si="169"/>
        <v>-</v>
      </c>
      <c r="S886" s="120">
        <f t="shared" si="168"/>
        <v>2515553</v>
      </c>
      <c r="T886" s="123">
        <v>3634667</v>
      </c>
      <c r="U886" s="123">
        <f>60000+67272+39866+1054208</f>
        <v>1221346</v>
      </c>
      <c r="V886" s="123">
        <f t="shared" si="162"/>
        <v>2413321</v>
      </c>
      <c r="W886" s="122" t="str">
        <f t="shared" si="163"/>
        <v>1</v>
      </c>
      <c r="X886" s="123">
        <f>Y886+25887+93227</f>
        <v>1119114</v>
      </c>
      <c r="Y886" s="123">
        <f>AB886</f>
        <v>1000000</v>
      </c>
      <c r="Z886" s="123">
        <f t="shared" si="165"/>
        <v>119114</v>
      </c>
      <c r="AA886" s="122" t="str">
        <f t="shared" si="166"/>
        <v>1</v>
      </c>
      <c r="AB886" s="120">
        <f t="shared" si="167"/>
        <v>1000000</v>
      </c>
      <c r="AC886" s="123">
        <v>0</v>
      </c>
      <c r="AD886" s="123">
        <v>1000000</v>
      </c>
      <c r="AE886" s="123">
        <v>128228</v>
      </c>
      <c r="AG886" s="151">
        <v>153665</v>
      </c>
      <c r="AJ886" s="123">
        <v>43750</v>
      </c>
      <c r="AO886" s="123">
        <f>1000000+1000+875000</f>
        <v>1876000</v>
      </c>
    </row>
    <row r="887" spans="1:41" s="123" customFormat="1" ht="16.2" thickBot="1" x14ac:dyDescent="0.35">
      <c r="A887" s="21">
        <v>147.19999999999999</v>
      </c>
      <c r="B887" s="212" t="s">
        <v>206</v>
      </c>
      <c r="C887" s="31" t="str">
        <f>VLOOKUP((CONCATENATE(B887)),ID!$A$2:$D$305,3,0)</f>
        <v>OT035</v>
      </c>
      <c r="D887" s="21">
        <v>1</v>
      </c>
      <c r="E887" s="21" t="s">
        <v>3903</v>
      </c>
      <c r="F887" s="21" t="s">
        <v>1117</v>
      </c>
      <c r="G887" s="21" t="s">
        <v>3853</v>
      </c>
      <c r="H887" s="88">
        <v>4383</v>
      </c>
      <c r="I887" s="43">
        <v>4428</v>
      </c>
      <c r="J887" s="43">
        <v>4426</v>
      </c>
      <c r="K887" s="21">
        <v>0</v>
      </c>
      <c r="L887" s="21"/>
      <c r="M887" s="21"/>
      <c r="N887" s="43">
        <v>4440</v>
      </c>
      <c r="O887" s="21" t="s">
        <v>3927</v>
      </c>
      <c r="P887" s="194" t="str">
        <f t="shared" si="161"/>
        <v>1</v>
      </c>
      <c r="Q887" s="21">
        <v>1</v>
      </c>
      <c r="R887" s="39" t="str">
        <f t="shared" si="169"/>
        <v>-</v>
      </c>
      <c r="S887" s="120">
        <f t="shared" si="168"/>
        <v>2571008</v>
      </c>
      <c r="T887" s="123">
        <v>3687891</v>
      </c>
      <c r="U887" s="123">
        <f>60000+66193+39769+1035405</f>
        <v>1201367</v>
      </c>
      <c r="V887" s="123">
        <f t="shared" si="162"/>
        <v>2486524</v>
      </c>
      <c r="W887" s="122" t="str">
        <f t="shared" si="163"/>
        <v>1</v>
      </c>
      <c r="X887" s="123">
        <f>Y887+23088+93795</f>
        <v>1116883</v>
      </c>
      <c r="Y887" s="123">
        <f>AB887</f>
        <v>1000000</v>
      </c>
      <c r="Z887" s="123">
        <f t="shared" si="165"/>
        <v>116883</v>
      </c>
      <c r="AA887" s="122" t="str">
        <f t="shared" si="166"/>
        <v>1</v>
      </c>
      <c r="AB887" s="120">
        <f t="shared" si="167"/>
        <v>1000000</v>
      </c>
      <c r="AC887" s="123">
        <v>0</v>
      </c>
      <c r="AD887" s="123">
        <v>1000000</v>
      </c>
      <c r="AE887" s="123">
        <v>58591</v>
      </c>
      <c r="AG887" s="151">
        <v>175768</v>
      </c>
      <c r="AJ887" s="123">
        <v>43750</v>
      </c>
      <c r="AO887" s="123">
        <f>1000000+1000+875000</f>
        <v>1876000</v>
      </c>
    </row>
    <row r="888" spans="1:41" s="123" customFormat="1" ht="16.2" thickBot="1" x14ac:dyDescent="0.35">
      <c r="A888" s="21"/>
      <c r="B888" s="212" t="s">
        <v>206</v>
      </c>
      <c r="C888" s="31" t="str">
        <f>VLOOKUP((CONCATENATE(B888)),ID!$A$2:$D$305,3,0)</f>
        <v>OT035</v>
      </c>
      <c r="D888" s="21">
        <v>1</v>
      </c>
      <c r="E888" s="21" t="s">
        <v>3903</v>
      </c>
      <c r="F888" s="21" t="s">
        <v>1117</v>
      </c>
      <c r="G888" s="21" t="s">
        <v>3853</v>
      </c>
      <c r="H888" s="88">
        <v>4749</v>
      </c>
      <c r="I888" s="43">
        <v>4795</v>
      </c>
      <c r="J888" s="43">
        <v>4794</v>
      </c>
      <c r="K888" s="21">
        <v>0</v>
      </c>
      <c r="L888" s="21"/>
      <c r="M888" s="21"/>
      <c r="N888" s="43">
        <v>4806</v>
      </c>
      <c r="O888" s="21" t="s">
        <v>3927</v>
      </c>
      <c r="P888" s="194" t="str">
        <f t="shared" si="161"/>
        <v>1</v>
      </c>
      <c r="Q888" s="21">
        <v>1</v>
      </c>
      <c r="R888" s="39" t="str">
        <f t="shared" si="169"/>
        <v>-</v>
      </c>
      <c r="S888" s="120">
        <f t="shared" si="168"/>
        <v>2869206</v>
      </c>
      <c r="T888" s="123">
        <v>3979767</v>
      </c>
      <c r="U888" s="123">
        <f>60000+65163+39135+1042903</f>
        <v>1207201</v>
      </c>
      <c r="V888" s="123">
        <f t="shared" si="162"/>
        <v>2772566</v>
      </c>
      <c r="W888" s="122" t="str">
        <f t="shared" si="163"/>
        <v>1</v>
      </c>
      <c r="X888" s="123">
        <f>Y888+15171+95390</f>
        <v>1110561</v>
      </c>
      <c r="Y888" s="123">
        <f>AB888</f>
        <v>1000000</v>
      </c>
      <c r="Z888" s="123">
        <f t="shared" si="165"/>
        <v>110561</v>
      </c>
      <c r="AA888" s="122" t="str">
        <f t="shared" si="166"/>
        <v>1</v>
      </c>
      <c r="AB888" s="120">
        <f t="shared" si="167"/>
        <v>1000000</v>
      </c>
      <c r="AC888" s="123">
        <v>0</v>
      </c>
      <c r="AD888" s="123">
        <v>1000000</v>
      </c>
      <c r="AE888" s="123">
        <v>267008</v>
      </c>
      <c r="AG888" s="151">
        <v>172172</v>
      </c>
      <c r="AJ888" s="123">
        <v>50000</v>
      </c>
      <c r="AO888" s="123">
        <f>2000000+1000</f>
        <v>2001000</v>
      </c>
    </row>
    <row r="889" spans="1:41" s="123" customFormat="1" ht="16.2" thickBot="1" x14ac:dyDescent="0.35">
      <c r="A889" s="21"/>
      <c r="B889" s="212" t="s">
        <v>206</v>
      </c>
      <c r="C889" s="31" t="str">
        <f>VLOOKUP((CONCATENATE(B889)),ID!$A$2:$D$305,3,0)</f>
        <v>OT035</v>
      </c>
      <c r="D889" s="21">
        <v>1</v>
      </c>
      <c r="E889" s="21" t="s">
        <v>3903</v>
      </c>
      <c r="F889" s="21" t="s">
        <v>1117</v>
      </c>
      <c r="G889" s="21" t="s">
        <v>3853</v>
      </c>
      <c r="H889" s="88">
        <v>5114</v>
      </c>
      <c r="I889" s="43">
        <v>5156</v>
      </c>
      <c r="J889" s="43">
        <v>5156</v>
      </c>
      <c r="K889" s="21">
        <v>0</v>
      </c>
      <c r="L889" s="21"/>
      <c r="M889" s="21"/>
      <c r="N889" s="43">
        <v>5171</v>
      </c>
      <c r="O889" s="21" t="s">
        <v>3927</v>
      </c>
      <c r="P889" s="194" t="str">
        <f t="shared" si="161"/>
        <v>1</v>
      </c>
      <c r="Q889" s="21">
        <v>1</v>
      </c>
      <c r="R889" s="39" t="str">
        <f t="shared" si="169"/>
        <v>-</v>
      </c>
      <c r="S889" s="120">
        <f t="shared" si="168"/>
        <v>2866136</v>
      </c>
      <c r="T889" s="123">
        <v>3979047</v>
      </c>
      <c r="U889" s="123">
        <f>60000+63604+35239+1046736</f>
        <v>1205579</v>
      </c>
      <c r="V889" s="123">
        <f t="shared" si="162"/>
        <v>2773468</v>
      </c>
      <c r="W889" s="122" t="str">
        <f t="shared" si="163"/>
        <v>1</v>
      </c>
      <c r="X889" s="123">
        <f>Y889+13787+99124</f>
        <v>1112911</v>
      </c>
      <c r="Y889" s="123">
        <f>AB889</f>
        <v>1000000</v>
      </c>
      <c r="Z889" s="123">
        <f t="shared" si="165"/>
        <v>112911</v>
      </c>
      <c r="AA889" s="122" t="str">
        <f t="shared" si="166"/>
        <v>1</v>
      </c>
      <c r="AB889" s="120">
        <f t="shared" si="167"/>
        <v>1000000</v>
      </c>
      <c r="AC889" s="123">
        <v>0</v>
      </c>
      <c r="AD889" s="123">
        <v>1000000</v>
      </c>
      <c r="AG889" s="151">
        <v>146930</v>
      </c>
      <c r="AJ889" s="123">
        <v>50000</v>
      </c>
      <c r="AO889" s="123">
        <f>2000000+1000</f>
        <v>2001000</v>
      </c>
    </row>
    <row r="890" spans="1:41" s="123" customFormat="1" ht="16.2" thickBot="1" x14ac:dyDescent="0.35">
      <c r="A890" s="21">
        <v>148.1</v>
      </c>
      <c r="B890" s="212" t="s">
        <v>209</v>
      </c>
      <c r="C890" s="31" t="str">
        <f>VLOOKUP((CONCATENATE(B890)),ID!$A$2:$D$305,3,0)</f>
        <v>OT036</v>
      </c>
      <c r="D890" s="21">
        <v>1</v>
      </c>
      <c r="E890" s="21" t="s">
        <v>3903</v>
      </c>
      <c r="F890" s="21" t="s">
        <v>3812</v>
      </c>
      <c r="G890" s="21" t="s">
        <v>3853</v>
      </c>
      <c r="H890" s="88">
        <v>4018</v>
      </c>
      <c r="I890" s="43">
        <v>4059</v>
      </c>
      <c r="J890" s="43">
        <v>4055</v>
      </c>
      <c r="K890" s="21">
        <v>1</v>
      </c>
      <c r="L890" s="43">
        <v>4062</v>
      </c>
      <c r="M890" s="43">
        <v>4077</v>
      </c>
      <c r="N890" s="43">
        <v>4077</v>
      </c>
      <c r="O890" s="21" t="s">
        <v>3928</v>
      </c>
      <c r="P890" s="194" t="str">
        <f t="shared" si="161"/>
        <v>1</v>
      </c>
      <c r="Q890" s="21">
        <v>1</v>
      </c>
      <c r="R890" s="39" t="str">
        <f t="shared" si="169"/>
        <v>-</v>
      </c>
      <c r="S890" s="120">
        <f t="shared" si="168"/>
        <v>1289600</v>
      </c>
      <c r="T890" s="123">
        <v>1455421</v>
      </c>
      <c r="U890" s="123">
        <f>625286+146096</f>
        <v>771382</v>
      </c>
      <c r="V890" s="123">
        <f t="shared" si="162"/>
        <v>684039</v>
      </c>
      <c r="W890" s="122" t="str">
        <f t="shared" si="163"/>
        <v>1</v>
      </c>
      <c r="X890" s="123">
        <f>165821</f>
        <v>165821</v>
      </c>
      <c r="Y890" s="123">
        <v>0</v>
      </c>
      <c r="Z890" s="123">
        <f t="shared" si="165"/>
        <v>165821</v>
      </c>
      <c r="AA890" s="122" t="str">
        <f t="shared" si="166"/>
        <v>1</v>
      </c>
      <c r="AB890" s="120">
        <f t="shared" si="167"/>
        <v>0</v>
      </c>
      <c r="AC890" s="123">
        <v>0</v>
      </c>
      <c r="AD890" s="123">
        <v>0</v>
      </c>
      <c r="AE890" s="123">
        <v>56133</v>
      </c>
      <c r="AG890" s="151">
        <v>109720</v>
      </c>
      <c r="AJ890" s="123">
        <v>40000</v>
      </c>
      <c r="AO890" s="123">
        <v>640000</v>
      </c>
    </row>
    <row r="891" spans="1:41" s="123" customFormat="1" ht="16.2" thickBot="1" x14ac:dyDescent="0.35">
      <c r="A891" s="21">
        <v>148.19999999999999</v>
      </c>
      <c r="B891" s="212" t="s">
        <v>209</v>
      </c>
      <c r="C891" s="31" t="str">
        <f>VLOOKUP((CONCATENATE(B891)),ID!$A$2:$D$305,3,0)</f>
        <v>OT036</v>
      </c>
      <c r="D891" s="21">
        <v>1</v>
      </c>
      <c r="E891" s="21" t="s">
        <v>3903</v>
      </c>
      <c r="F891" s="21" t="s">
        <v>3812</v>
      </c>
      <c r="G891" s="21" t="s">
        <v>3853</v>
      </c>
      <c r="H891" s="88">
        <v>4383</v>
      </c>
      <c r="I891" s="43">
        <v>4433</v>
      </c>
      <c r="J891" s="43">
        <v>4424</v>
      </c>
      <c r="K891" s="21">
        <v>1</v>
      </c>
      <c r="L891" s="43">
        <v>4429</v>
      </c>
      <c r="M891" s="43">
        <v>4443</v>
      </c>
      <c r="N891" s="43">
        <v>4442</v>
      </c>
      <c r="O891" s="21" t="s">
        <v>3928</v>
      </c>
      <c r="P891" s="194" t="str">
        <f t="shared" si="161"/>
        <v>1</v>
      </c>
      <c r="Q891" s="21">
        <v>1</v>
      </c>
      <c r="R891" s="39" t="str">
        <f t="shared" si="169"/>
        <v>-</v>
      </c>
      <c r="S891" s="120">
        <f t="shared" si="168"/>
        <v>1324756</v>
      </c>
      <c r="T891" s="123">
        <v>1547351</v>
      </c>
      <c r="U891" s="123">
        <f>650963+80451</f>
        <v>731414</v>
      </c>
      <c r="V891" s="123">
        <f t="shared" si="162"/>
        <v>815937</v>
      </c>
      <c r="W891" s="122" t="str">
        <f t="shared" si="163"/>
        <v>1</v>
      </c>
      <c r="X891" s="123">
        <f>222595</f>
        <v>222595</v>
      </c>
      <c r="Y891" s="123">
        <v>0</v>
      </c>
      <c r="Z891" s="123">
        <f t="shared" si="165"/>
        <v>222595</v>
      </c>
      <c r="AA891" s="122" t="str">
        <f t="shared" si="166"/>
        <v>1</v>
      </c>
      <c r="AB891" s="120">
        <f t="shared" si="167"/>
        <v>0</v>
      </c>
      <c r="AC891" s="123">
        <v>0</v>
      </c>
      <c r="AD891" s="123">
        <v>0</v>
      </c>
      <c r="AE891" s="123">
        <v>42817</v>
      </c>
      <c r="AG891" s="151">
        <f>164756-37600</f>
        <v>127156</v>
      </c>
      <c r="AJ891" s="123">
        <v>40000</v>
      </c>
      <c r="AO891" s="123">
        <v>640000</v>
      </c>
    </row>
    <row r="892" spans="1:41" s="123" customFormat="1" ht="16.2" thickBot="1" x14ac:dyDescent="0.35">
      <c r="A892" s="21"/>
      <c r="B892" s="212" t="s">
        <v>209</v>
      </c>
      <c r="C892" s="31" t="str">
        <f>VLOOKUP((CONCATENATE(B892)),ID!$A$2:$D$305,3,0)</f>
        <v>OT036</v>
      </c>
      <c r="D892" s="21">
        <v>1</v>
      </c>
      <c r="E892" s="21" t="s">
        <v>3903</v>
      </c>
      <c r="F892" s="21" t="s">
        <v>3812</v>
      </c>
      <c r="G892" s="21" t="s">
        <v>3853</v>
      </c>
      <c r="H892" s="88">
        <v>4749</v>
      </c>
      <c r="I892" s="43">
        <v>4791</v>
      </c>
      <c r="J892" s="43">
        <v>4787</v>
      </c>
      <c r="K892" s="21">
        <v>1</v>
      </c>
      <c r="L892" s="43">
        <v>4793</v>
      </c>
      <c r="M892" s="43">
        <v>4808</v>
      </c>
      <c r="N892" s="43">
        <v>4800</v>
      </c>
      <c r="O892" s="21" t="s">
        <v>3928</v>
      </c>
      <c r="P892" s="194" t="str">
        <f t="shared" si="161"/>
        <v>1</v>
      </c>
      <c r="Q892" s="21">
        <v>1</v>
      </c>
      <c r="R892" s="39" t="str">
        <f t="shared" si="169"/>
        <v>-</v>
      </c>
      <c r="S892" s="120">
        <f t="shared" si="168"/>
        <v>1307506</v>
      </c>
      <c r="T892" s="123">
        <v>1496435</v>
      </c>
      <c r="U892" s="123">
        <f>71986+593339</f>
        <v>665325</v>
      </c>
      <c r="V892" s="123">
        <f t="shared" si="162"/>
        <v>831110</v>
      </c>
      <c r="W892" s="122" t="str">
        <f t="shared" si="163"/>
        <v>1</v>
      </c>
      <c r="X892" s="123">
        <f>188929</f>
        <v>188929</v>
      </c>
      <c r="Y892" s="123">
        <v>0</v>
      </c>
      <c r="Z892" s="123">
        <f t="shared" si="165"/>
        <v>188929</v>
      </c>
      <c r="AA892" s="122" t="str">
        <f t="shared" si="166"/>
        <v>1</v>
      </c>
      <c r="AB892" s="120">
        <f t="shared" si="167"/>
        <v>0</v>
      </c>
      <c r="AC892" s="123">
        <v>0</v>
      </c>
      <c r="AD892" s="123">
        <v>0</v>
      </c>
      <c r="AE892" s="123">
        <v>47474</v>
      </c>
      <c r="AG892" s="151">
        <v>144749</v>
      </c>
      <c r="AJ892" s="123">
        <v>40000</v>
      </c>
      <c r="AO892" s="123">
        <v>640000</v>
      </c>
    </row>
    <row r="893" spans="1:41" s="123" customFormat="1" ht="16.2" thickBot="1" x14ac:dyDescent="0.35">
      <c r="A893" s="21"/>
      <c r="B893" s="212" t="s">
        <v>209</v>
      </c>
      <c r="C893" s="31" t="str">
        <f>VLOOKUP((CONCATENATE(B893)),ID!$A$2:$D$305,3,0)</f>
        <v>OT036</v>
      </c>
      <c r="D893" s="21">
        <v>1</v>
      </c>
      <c r="E893" s="21" t="s">
        <v>3903</v>
      </c>
      <c r="F893" s="21" t="s">
        <v>3812</v>
      </c>
      <c r="G893" s="21" t="s">
        <v>3853</v>
      </c>
      <c r="H893" s="88">
        <v>5114</v>
      </c>
      <c r="I893" s="43">
        <v>5156</v>
      </c>
      <c r="J893" s="43">
        <v>5152</v>
      </c>
      <c r="K893" s="21">
        <v>1</v>
      </c>
      <c r="L893" s="43">
        <v>5158</v>
      </c>
      <c r="M893" s="43">
        <v>5173</v>
      </c>
      <c r="N893" s="43">
        <v>5164</v>
      </c>
      <c r="O893" s="21" t="s">
        <v>3928</v>
      </c>
      <c r="P893" s="194" t="str">
        <f t="shared" si="161"/>
        <v>1</v>
      </c>
      <c r="Q893" s="21">
        <v>1</v>
      </c>
      <c r="R893" s="39" t="str">
        <f t="shared" si="169"/>
        <v>-</v>
      </c>
      <c r="S893" s="120">
        <f t="shared" si="168"/>
        <v>1380031</v>
      </c>
      <c r="T893" s="123">
        <v>1597307</v>
      </c>
      <c r="U893" s="123">
        <f>589832+68597</f>
        <v>658429</v>
      </c>
      <c r="V893" s="123">
        <f t="shared" si="162"/>
        <v>938878</v>
      </c>
      <c r="W893" s="122" t="str">
        <f t="shared" si="163"/>
        <v>1</v>
      </c>
      <c r="X893" s="123">
        <v>217276</v>
      </c>
      <c r="Y893" s="123">
        <v>0</v>
      </c>
      <c r="Z893" s="123">
        <f t="shared" si="165"/>
        <v>217276</v>
      </c>
      <c r="AA893" s="122" t="str">
        <f t="shared" si="166"/>
        <v>1</v>
      </c>
      <c r="AB893" s="120">
        <f t="shared" si="167"/>
        <v>0</v>
      </c>
      <c r="AC893" s="123">
        <v>0</v>
      </c>
      <c r="AD893" s="123">
        <v>0</v>
      </c>
      <c r="AE893" s="123">
        <v>76694</v>
      </c>
      <c r="AG893" s="151">
        <v>164524</v>
      </c>
      <c r="AJ893" s="123">
        <v>40000</v>
      </c>
      <c r="AO893" s="123">
        <v>640000</v>
      </c>
    </row>
    <row r="894" spans="1:41" s="123" customFormat="1" ht="16.2" thickBot="1" x14ac:dyDescent="0.35">
      <c r="A894" s="21"/>
      <c r="B894" s="212" t="s">
        <v>4060</v>
      </c>
      <c r="C894" s="31" t="str">
        <f>VLOOKUP((CONCATENATE(B894)),ID!$A$2:$D$305,3,0)</f>
        <v>OT037</v>
      </c>
      <c r="D894" s="21">
        <v>1</v>
      </c>
      <c r="E894" s="21" t="s">
        <v>3903</v>
      </c>
      <c r="F894" s="21" t="s">
        <v>3885</v>
      </c>
      <c r="G894" s="21" t="s">
        <v>3853</v>
      </c>
      <c r="H894" s="88">
        <v>3742</v>
      </c>
      <c r="I894" s="43">
        <v>3797</v>
      </c>
      <c r="J894" s="43">
        <v>3797</v>
      </c>
      <c r="K894" s="21">
        <v>0</v>
      </c>
      <c r="L894" s="43"/>
      <c r="M894" s="43"/>
      <c r="N894" s="43">
        <v>3805</v>
      </c>
      <c r="O894" s="21" t="s">
        <v>3929</v>
      </c>
      <c r="P894" s="194" t="str">
        <f t="shared" si="161"/>
        <v>1</v>
      </c>
      <c r="Q894" s="21">
        <v>1</v>
      </c>
      <c r="R894" s="39" t="str">
        <f t="shared" si="169"/>
        <v>-</v>
      </c>
      <c r="S894" s="120">
        <f t="shared" si="168"/>
        <v>2111431</v>
      </c>
      <c r="T894" s="123">
        <v>2212965</v>
      </c>
      <c r="U894" s="123">
        <f>761775+772207</f>
        <v>1533982</v>
      </c>
      <c r="V894" s="123">
        <f t="shared" si="162"/>
        <v>678983</v>
      </c>
      <c r="W894" s="122" t="str">
        <f t="shared" si="163"/>
        <v>1</v>
      </c>
      <c r="X894" s="123">
        <v>101534</v>
      </c>
      <c r="Y894" s="123">
        <v>0</v>
      </c>
      <c r="Z894" s="123">
        <f t="shared" si="165"/>
        <v>101534</v>
      </c>
      <c r="AA894" s="122" t="str">
        <f t="shared" si="166"/>
        <v>1</v>
      </c>
      <c r="AB894" s="120">
        <f t="shared" si="167"/>
        <v>0</v>
      </c>
      <c r="AC894" s="123">
        <v>0</v>
      </c>
      <c r="AD894" s="123">
        <v>0</v>
      </c>
      <c r="AE894" s="123">
        <v>293686</v>
      </c>
      <c r="AG894" s="151">
        <f>276589-55932</f>
        <v>220657</v>
      </c>
      <c r="AJ894" s="123">
        <v>48097</v>
      </c>
      <c r="AO894" s="123">
        <f>949808+248132+235000</f>
        <v>1432940</v>
      </c>
    </row>
    <row r="895" spans="1:41" s="123" customFormat="1" ht="16.2" thickBot="1" x14ac:dyDescent="0.35">
      <c r="A895" s="21">
        <v>149.1</v>
      </c>
      <c r="B895" s="212" t="s">
        <v>4060</v>
      </c>
      <c r="C895" s="31" t="str">
        <f>VLOOKUP((CONCATENATE(B895)),ID!$A$2:$D$305,3,0)</f>
        <v>OT037</v>
      </c>
      <c r="D895" s="21">
        <v>1</v>
      </c>
      <c r="E895" s="21" t="s">
        <v>3903</v>
      </c>
      <c r="F895" s="21" t="s">
        <v>3885</v>
      </c>
      <c r="G895" s="21" t="s">
        <v>3853</v>
      </c>
      <c r="H895" s="88">
        <v>4107</v>
      </c>
      <c r="I895" s="43">
        <v>4162</v>
      </c>
      <c r="J895" s="43">
        <v>4162</v>
      </c>
      <c r="K895" s="21">
        <v>0</v>
      </c>
      <c r="L895" s="21"/>
      <c r="M895" s="21"/>
      <c r="N895" s="43">
        <v>4170</v>
      </c>
      <c r="O895" s="21" t="s">
        <v>3929</v>
      </c>
      <c r="P895" s="194" t="str">
        <f t="shared" si="161"/>
        <v>1</v>
      </c>
      <c r="Q895" s="21">
        <v>1</v>
      </c>
      <c r="R895" s="39" t="str">
        <f t="shared" si="169"/>
        <v>-</v>
      </c>
      <c r="S895" s="120">
        <f t="shared" si="168"/>
        <v>2171504</v>
      </c>
      <c r="T895" s="123">
        <v>2380442</v>
      </c>
      <c r="U895" s="123">
        <f>791501+769337</f>
        <v>1560838</v>
      </c>
      <c r="V895" s="123">
        <f t="shared" si="162"/>
        <v>819604</v>
      </c>
      <c r="W895" s="122" t="str">
        <f t="shared" si="163"/>
        <v>1</v>
      </c>
      <c r="X895" s="123">
        <f>208938</f>
        <v>208938</v>
      </c>
      <c r="Y895" s="123">
        <v>0</v>
      </c>
      <c r="Z895" s="123">
        <f t="shared" si="165"/>
        <v>208938</v>
      </c>
      <c r="AA895" s="122" t="str">
        <f t="shared" si="166"/>
        <v>1</v>
      </c>
      <c r="AB895" s="120">
        <f t="shared" si="167"/>
        <v>0</v>
      </c>
      <c r="AC895" s="123">
        <v>0</v>
      </c>
      <c r="AD895" s="123">
        <v>0</v>
      </c>
      <c r="AE895" s="123">
        <v>344226</v>
      </c>
      <c r="AG895" s="151">
        <f>286662-59157</f>
        <v>227505</v>
      </c>
      <c r="AJ895" s="123">
        <v>48097</v>
      </c>
      <c r="AO895" s="123">
        <f>949808+248132+235000</f>
        <v>1432940</v>
      </c>
    </row>
    <row r="896" spans="1:41" s="123" customFormat="1" ht="16.2" thickBot="1" x14ac:dyDescent="0.35">
      <c r="A896" s="21">
        <v>149.19999999999999</v>
      </c>
      <c r="B896" s="212" t="s">
        <v>4060</v>
      </c>
      <c r="C896" s="31" t="str">
        <f>VLOOKUP((CONCATENATE(B896)),ID!$A$2:$D$305,3,0)</f>
        <v>OT037</v>
      </c>
      <c r="D896" s="21">
        <v>1</v>
      </c>
      <c r="E896" s="21" t="s">
        <v>3903</v>
      </c>
      <c r="F896" s="21" t="s">
        <v>3885</v>
      </c>
      <c r="G896" s="21" t="s">
        <v>3853</v>
      </c>
      <c r="H896" s="88">
        <v>4473</v>
      </c>
      <c r="I896" s="43">
        <v>4529</v>
      </c>
      <c r="J896" s="43">
        <v>4529</v>
      </c>
      <c r="K896" s="21">
        <v>0</v>
      </c>
      <c r="L896" s="21"/>
      <c r="M896" s="21"/>
      <c r="N896" s="43">
        <v>4540</v>
      </c>
      <c r="O896" s="21" t="s">
        <v>3929</v>
      </c>
      <c r="P896" s="194" t="str">
        <f t="shared" si="161"/>
        <v>1</v>
      </c>
      <c r="Q896" s="21">
        <v>1</v>
      </c>
      <c r="R896" s="39" t="str">
        <f t="shared" si="169"/>
        <v>-</v>
      </c>
      <c r="S896" s="120">
        <f t="shared" si="168"/>
        <v>2243627</v>
      </c>
      <c r="T896" s="123">
        <v>2610862</v>
      </c>
      <c r="U896" s="123">
        <f>760863+782124</f>
        <v>1542987</v>
      </c>
      <c r="V896" s="123">
        <f t="shared" si="162"/>
        <v>1067875</v>
      </c>
      <c r="W896" s="122" t="str">
        <f t="shared" si="163"/>
        <v>1</v>
      </c>
      <c r="X896" s="123">
        <f>367235</f>
        <v>367235</v>
      </c>
      <c r="Y896" s="123">
        <v>0</v>
      </c>
      <c r="Z896" s="123">
        <f t="shared" si="165"/>
        <v>367235</v>
      </c>
      <c r="AA896" s="122" t="str">
        <f t="shared" si="166"/>
        <v>1</v>
      </c>
      <c r="AB896" s="120">
        <f t="shared" si="167"/>
        <v>0</v>
      </c>
      <c r="AC896" s="123">
        <v>0</v>
      </c>
      <c r="AD896" s="123">
        <v>0</v>
      </c>
      <c r="AE896" s="123">
        <v>263846</v>
      </c>
      <c r="AG896" s="151">
        <f>308784-69231</f>
        <v>239553</v>
      </c>
      <c r="AJ896" s="123">
        <v>48097</v>
      </c>
      <c r="AO896" s="123">
        <f>949808+248132+235000</f>
        <v>1432940</v>
      </c>
    </row>
    <row r="897" spans="1:41" s="123" customFormat="1" ht="16.2" thickBot="1" x14ac:dyDescent="0.35">
      <c r="A897" s="21"/>
      <c r="B897" s="212" t="s">
        <v>4060</v>
      </c>
      <c r="C897" s="31" t="str">
        <f>VLOOKUP((CONCATENATE(B897)),ID!$A$2:$D$305,3,0)</f>
        <v>OT037</v>
      </c>
      <c r="D897" s="21">
        <v>1</v>
      </c>
      <c r="E897" s="21" t="s">
        <v>3903</v>
      </c>
      <c r="F897" s="21" t="s">
        <v>3885</v>
      </c>
      <c r="G897" s="21" t="s">
        <v>3853</v>
      </c>
      <c r="H897" s="88">
        <v>4838</v>
      </c>
      <c r="I897" s="43"/>
      <c r="J897" s="43"/>
      <c r="K897" s="21"/>
      <c r="L897" s="21"/>
      <c r="M897" s="21"/>
      <c r="N897" s="43"/>
      <c r="O897" s="21" t="s">
        <v>3929</v>
      </c>
      <c r="P897" s="194" t="str">
        <f t="shared" si="161"/>
        <v>?</v>
      </c>
      <c r="Q897" s="21">
        <v>1</v>
      </c>
      <c r="R897" s="39" t="str">
        <f t="shared" si="169"/>
        <v>-</v>
      </c>
      <c r="S897" s="175">
        <f t="shared" si="168"/>
        <v>0</v>
      </c>
      <c r="T897" s="136"/>
      <c r="U897" s="136"/>
      <c r="V897" s="136">
        <f t="shared" si="162"/>
        <v>0</v>
      </c>
      <c r="W897" s="176" t="str">
        <f t="shared" si="163"/>
        <v>1</v>
      </c>
      <c r="X897" s="136"/>
      <c r="Y897" s="136"/>
      <c r="Z897" s="136">
        <f t="shared" si="165"/>
        <v>0</v>
      </c>
      <c r="AA897" s="176" t="str">
        <f t="shared" si="166"/>
        <v>1</v>
      </c>
      <c r="AB897" s="175">
        <f t="shared" si="167"/>
        <v>0</v>
      </c>
      <c r="AC897" s="136"/>
      <c r="AD897" s="136"/>
      <c r="AE897" s="136"/>
      <c r="AF897" s="136"/>
      <c r="AG897" s="159">
        <f t="shared" ref="AG897:AG950" si="171">AH897-AL897-AI897</f>
        <v>0</v>
      </c>
      <c r="AH897" s="136"/>
      <c r="AI897" s="136"/>
      <c r="AJ897" s="136"/>
      <c r="AK897" s="136"/>
      <c r="AL897" s="136"/>
      <c r="AM897" s="136"/>
      <c r="AN897" s="136"/>
      <c r="AO897" s="136"/>
    </row>
    <row r="898" spans="1:41" s="123" customFormat="1" ht="16.2" thickBot="1" x14ac:dyDescent="0.35">
      <c r="A898" s="21"/>
      <c r="B898" s="212" t="s">
        <v>222</v>
      </c>
      <c r="C898" s="31" t="str">
        <f>VLOOKUP((CONCATENATE(B898)),ID!$A$2:$D$305,3,0)</f>
        <v>OT038</v>
      </c>
      <c r="D898" s="21">
        <v>1</v>
      </c>
      <c r="E898" s="21" t="s">
        <v>3903</v>
      </c>
      <c r="F898" s="21" t="s">
        <v>1117</v>
      </c>
      <c r="G898" s="21" t="s">
        <v>3853</v>
      </c>
      <c r="H898" s="88">
        <v>3653</v>
      </c>
      <c r="I898" s="43">
        <v>3829</v>
      </c>
      <c r="J898" s="43">
        <v>3828</v>
      </c>
      <c r="K898" s="21">
        <v>0</v>
      </c>
      <c r="L898" s="21"/>
      <c r="M898" s="21"/>
      <c r="N898" s="43">
        <v>3838</v>
      </c>
      <c r="O898" s="21" t="s">
        <v>3930</v>
      </c>
      <c r="P898" s="194" t="str">
        <f t="shared" ref="P898:P961" si="172">IF(AJ898=0,"?","1")</f>
        <v>1</v>
      </c>
      <c r="Q898" s="21">
        <v>1</v>
      </c>
      <c r="R898" s="39" t="str">
        <f t="shared" si="169"/>
        <v>-</v>
      </c>
      <c r="S898" s="120">
        <f t="shared" si="168"/>
        <v>1625650</v>
      </c>
      <c r="T898" s="123">
        <v>2356792</v>
      </c>
      <c r="U898" s="123">
        <f>1311219+100000+132007+64250+14272</f>
        <v>1621748</v>
      </c>
      <c r="V898" s="123">
        <f t="shared" si="162"/>
        <v>735044</v>
      </c>
      <c r="W898" s="122" t="str">
        <f t="shared" si="163"/>
        <v>1</v>
      </c>
      <c r="X898" s="123">
        <f>451900+52260+121765+105217</f>
        <v>731142</v>
      </c>
      <c r="Y898" s="123">
        <f>441956+52260</f>
        <v>494216</v>
      </c>
      <c r="Z898" s="123">
        <f t="shared" si="165"/>
        <v>236926</v>
      </c>
      <c r="AA898" s="122" t="str">
        <f t="shared" si="166"/>
        <v>1</v>
      </c>
      <c r="AB898" s="120">
        <f t="shared" si="167"/>
        <v>504160</v>
      </c>
      <c r="AC898" s="123">
        <v>0</v>
      </c>
      <c r="AD898" s="123">
        <f>451900+52260</f>
        <v>504160</v>
      </c>
      <c r="AE898" s="123">
        <v>43566</v>
      </c>
      <c r="AG898" s="151">
        <f t="shared" si="171"/>
        <v>161292</v>
      </c>
      <c r="AH898" s="123">
        <f>184147+AI898</f>
        <v>187235</v>
      </c>
      <c r="AI898" s="123">
        <v>3088</v>
      </c>
      <c r="AJ898" s="123">
        <v>31757</v>
      </c>
      <c r="AL898" s="123">
        <v>22855</v>
      </c>
      <c r="AO898" s="123">
        <v>1243597</v>
      </c>
    </row>
    <row r="899" spans="1:41" s="123" customFormat="1" ht="16.2" thickBot="1" x14ac:dyDescent="0.35">
      <c r="A899" s="21">
        <v>150.1</v>
      </c>
      <c r="B899" s="212" t="s">
        <v>222</v>
      </c>
      <c r="C899" s="31" t="str">
        <f>VLOOKUP((CONCATENATE(B899)),ID!$A$2:$D$305,3,0)</f>
        <v>OT038</v>
      </c>
      <c r="D899" s="21">
        <v>1</v>
      </c>
      <c r="E899" s="21" t="s">
        <v>3903</v>
      </c>
      <c r="F899" s="21" t="s">
        <v>1117</v>
      </c>
      <c r="G899" s="21" t="s">
        <v>3853</v>
      </c>
      <c r="H899" s="88">
        <v>4018</v>
      </c>
      <c r="I899" s="43">
        <v>4200</v>
      </c>
      <c r="J899" s="43">
        <v>4198</v>
      </c>
      <c r="K899" s="21">
        <v>0</v>
      </c>
      <c r="L899" s="21"/>
      <c r="M899" s="21"/>
      <c r="N899" s="43">
        <v>4210</v>
      </c>
      <c r="O899" s="21" t="s">
        <v>3930</v>
      </c>
      <c r="P899" s="194" t="str">
        <f t="shared" si="172"/>
        <v>1</v>
      </c>
      <c r="Q899" s="21">
        <v>1</v>
      </c>
      <c r="R899" s="39" t="str">
        <f t="shared" si="169"/>
        <v>-</v>
      </c>
      <c r="S899" s="120">
        <f t="shared" si="168"/>
        <v>1858521</v>
      </c>
      <c r="T899" s="123">
        <v>2476469</v>
      </c>
      <c r="U899" s="123">
        <f>1374979+100000+139559+68455+20496</f>
        <v>1703489</v>
      </c>
      <c r="V899" s="123">
        <f t="shared" si="162"/>
        <v>772980</v>
      </c>
      <c r="W899" s="122" t="str">
        <f t="shared" si="163"/>
        <v>1</v>
      </c>
      <c r="X899" s="123">
        <f>430076+114391+73481</f>
        <v>617948</v>
      </c>
      <c r="Y899" s="123">
        <v>420613</v>
      </c>
      <c r="Z899" s="123">
        <f t="shared" si="165"/>
        <v>197335</v>
      </c>
      <c r="AA899" s="122" t="str">
        <f t="shared" si="166"/>
        <v>1</v>
      </c>
      <c r="AB899" s="120">
        <f t="shared" si="167"/>
        <v>430076</v>
      </c>
      <c r="AC899" s="123">
        <v>0</v>
      </c>
      <c r="AD899" s="123">
        <f>430076</f>
        <v>430076</v>
      </c>
      <c r="AE899" s="123">
        <v>70584</v>
      </c>
      <c r="AG899" s="151">
        <f t="shared" si="171"/>
        <v>168815</v>
      </c>
      <c r="AH899" s="123">
        <f>191617+AI899</f>
        <v>192447</v>
      </c>
      <c r="AI899" s="123">
        <v>830</v>
      </c>
      <c r="AJ899" s="123">
        <v>33041</v>
      </c>
      <c r="AL899" s="123">
        <v>22802</v>
      </c>
      <c r="AO899" s="123">
        <v>1400000</v>
      </c>
    </row>
    <row r="900" spans="1:41" s="123" customFormat="1" ht="16.2" thickBot="1" x14ac:dyDescent="0.35">
      <c r="A900" s="21">
        <v>150.19999999999999</v>
      </c>
      <c r="B900" s="212" t="s">
        <v>222</v>
      </c>
      <c r="C900" s="31" t="str">
        <f>VLOOKUP((CONCATENATE(B900)),ID!$A$2:$D$305,3,0)</f>
        <v>OT038</v>
      </c>
      <c r="D900" s="21">
        <v>1</v>
      </c>
      <c r="E900" s="21" t="s">
        <v>3903</v>
      </c>
      <c r="F900" s="21" t="s">
        <v>1117</v>
      </c>
      <c r="G900" s="21" t="s">
        <v>3853</v>
      </c>
      <c r="H900" s="88">
        <v>4383</v>
      </c>
      <c r="I900" s="43">
        <v>4570</v>
      </c>
      <c r="J900" s="43">
        <v>4569</v>
      </c>
      <c r="K900" s="21">
        <v>0</v>
      </c>
      <c r="L900" s="21"/>
      <c r="M900" s="21"/>
      <c r="N900" s="43">
        <v>4580</v>
      </c>
      <c r="O900" s="21" t="s">
        <v>3930</v>
      </c>
      <c r="P900" s="194" t="str">
        <f t="shared" si="172"/>
        <v>1</v>
      </c>
      <c r="Q900" s="21">
        <v>1</v>
      </c>
      <c r="R900" s="39" t="str">
        <f t="shared" si="169"/>
        <v>-</v>
      </c>
      <c r="S900" s="120">
        <f t="shared" si="168"/>
        <v>1900599</v>
      </c>
      <c r="T900" s="123">
        <v>2656411</v>
      </c>
      <c r="U900" s="123">
        <f>1483569+100000+187954+68455+14259</f>
        <v>1854237</v>
      </c>
      <c r="V900" s="123">
        <f t="shared" si="162"/>
        <v>802174</v>
      </c>
      <c r="W900" s="122" t="str">
        <f t="shared" si="163"/>
        <v>1</v>
      </c>
      <c r="X900" s="123">
        <f>408253+110273+140684+96602</f>
        <v>755812</v>
      </c>
      <c r="Y900" s="123">
        <v>509543</v>
      </c>
      <c r="Z900" s="123">
        <f t="shared" si="165"/>
        <v>246269</v>
      </c>
      <c r="AA900" s="122" t="str">
        <f t="shared" si="166"/>
        <v>1</v>
      </c>
      <c r="AB900" s="120">
        <f t="shared" si="167"/>
        <v>518526</v>
      </c>
      <c r="AC900" s="123">
        <v>0</v>
      </c>
      <c r="AD900" s="123">
        <f>408253+110273</f>
        <v>518526</v>
      </c>
      <c r="AE900" s="123">
        <v>33630</v>
      </c>
      <c r="AG900" s="151">
        <f t="shared" si="171"/>
        <v>159729</v>
      </c>
      <c r="AH900" s="123">
        <f>179985+1962</f>
        <v>181947</v>
      </c>
      <c r="AJ900" s="123">
        <v>5524</v>
      </c>
      <c r="AL900" s="123">
        <v>22218</v>
      </c>
      <c r="AO900" s="123">
        <v>1400000</v>
      </c>
    </row>
    <row r="901" spans="1:41" s="123" customFormat="1" ht="16.2" thickBot="1" x14ac:dyDescent="0.35">
      <c r="A901" s="21"/>
      <c r="B901" s="212" t="s">
        <v>222</v>
      </c>
      <c r="C901" s="31" t="str">
        <f>VLOOKUP((CONCATENATE(B901)),ID!$A$2:$D$305,3,0)</f>
        <v>OT038</v>
      </c>
      <c r="D901" s="21">
        <v>1</v>
      </c>
      <c r="E901" s="21" t="s">
        <v>3903</v>
      </c>
      <c r="F901" s="21" t="s">
        <v>1117</v>
      </c>
      <c r="G901" s="21" t="s">
        <v>3853</v>
      </c>
      <c r="H901" s="88">
        <v>4749</v>
      </c>
      <c r="I901" s="43">
        <v>4948</v>
      </c>
      <c r="J901" s="43">
        <v>4947</v>
      </c>
      <c r="K901" s="21">
        <v>0</v>
      </c>
      <c r="L901" s="21"/>
      <c r="M901" s="21"/>
      <c r="N901" s="43">
        <v>4958</v>
      </c>
      <c r="O901" s="21" t="s">
        <v>3930</v>
      </c>
      <c r="P901" s="194" t="str">
        <f t="shared" si="172"/>
        <v>1</v>
      </c>
      <c r="Q901" s="21">
        <v>1</v>
      </c>
      <c r="R901" s="39" t="str">
        <f t="shared" si="169"/>
        <v>-</v>
      </c>
      <c r="S901" s="120">
        <f t="shared" si="168"/>
        <v>2213884</v>
      </c>
      <c r="T901" s="123">
        <v>2960460</v>
      </c>
      <c r="U901" s="123">
        <f>1614827+259177+68455+1721+100000</f>
        <v>2044180</v>
      </c>
      <c r="V901" s="123">
        <f t="shared" si="162"/>
        <v>916280</v>
      </c>
      <c r="W901" s="122" t="str">
        <f t="shared" si="163"/>
        <v>1</v>
      </c>
      <c r="X901" s="123">
        <f>179444+381947+125078+60107</f>
        <v>746576</v>
      </c>
      <c r="Y901" s="123">
        <v>552987</v>
      </c>
      <c r="Z901" s="123">
        <f t="shared" si="165"/>
        <v>193589</v>
      </c>
      <c r="AA901" s="122" t="str">
        <f t="shared" si="166"/>
        <v>1</v>
      </c>
      <c r="AB901" s="120">
        <f t="shared" si="167"/>
        <v>561391</v>
      </c>
      <c r="AC901" s="123">
        <v>0</v>
      </c>
      <c r="AD901" s="123">
        <f>179444+381947</f>
        <v>561391</v>
      </c>
      <c r="AE901" s="123">
        <v>141216</v>
      </c>
      <c r="AG901" s="151">
        <f t="shared" si="171"/>
        <v>135659</v>
      </c>
      <c r="AH901" s="123">
        <f>157034+782</f>
        <v>157816</v>
      </c>
      <c r="AJ901" s="123">
        <v>42426</v>
      </c>
      <c r="AL901" s="123">
        <v>22157</v>
      </c>
      <c r="AO901" s="123">
        <v>1700000</v>
      </c>
    </row>
    <row r="902" spans="1:41" s="123" customFormat="1" ht="16.2" thickBot="1" x14ac:dyDescent="0.35">
      <c r="A902" s="21"/>
      <c r="B902" s="212" t="s">
        <v>222</v>
      </c>
      <c r="C902" s="31" t="str">
        <f>VLOOKUP((CONCATENATE(B902)),ID!$A$2:$D$305,3,0)</f>
        <v>OT038</v>
      </c>
      <c r="D902" s="21">
        <v>1</v>
      </c>
      <c r="E902" s="21" t="s">
        <v>3903</v>
      </c>
      <c r="F902" s="21" t="s">
        <v>1117</v>
      </c>
      <c r="G902" s="21" t="s">
        <v>3853</v>
      </c>
      <c r="H902" s="88">
        <v>5114</v>
      </c>
      <c r="I902" s="43">
        <v>5294</v>
      </c>
      <c r="J902" s="43">
        <v>5294</v>
      </c>
      <c r="K902" s="21">
        <v>0</v>
      </c>
      <c r="L902" s="21"/>
      <c r="M902" s="21"/>
      <c r="N902" s="43">
        <v>5303</v>
      </c>
      <c r="O902" s="21" t="s">
        <v>3930</v>
      </c>
      <c r="P902" s="194" t="str">
        <f t="shared" si="172"/>
        <v>1</v>
      </c>
      <c r="Q902" s="21">
        <v>1</v>
      </c>
      <c r="R902" s="39" t="str">
        <f t="shared" si="169"/>
        <v>-</v>
      </c>
      <c r="S902" s="120">
        <f t="shared" si="168"/>
        <v>2283225</v>
      </c>
      <c r="T902" s="123">
        <v>3074184</v>
      </c>
      <c r="U902" s="123">
        <f>1600171+100000+344974+72606+116181</f>
        <v>2233932</v>
      </c>
      <c r="V902" s="123">
        <f t="shared" si="162"/>
        <v>840252</v>
      </c>
      <c r="W902" s="122" t="str">
        <f t="shared" si="163"/>
        <v>1</v>
      </c>
      <c r="X902" s="123">
        <f>130426+123983+173914+362636</f>
        <v>790959</v>
      </c>
      <c r="Y902" s="123">
        <f>354637+173914</f>
        <v>528551</v>
      </c>
      <c r="Z902" s="123">
        <f t="shared" si="165"/>
        <v>262408</v>
      </c>
      <c r="AA902" s="122" t="str">
        <f t="shared" si="166"/>
        <v>1</v>
      </c>
      <c r="AB902" s="120">
        <f t="shared" si="167"/>
        <v>536550</v>
      </c>
      <c r="AC902" s="123">
        <v>0</v>
      </c>
      <c r="AD902" s="123">
        <f>173914+362636</f>
        <v>536550</v>
      </c>
      <c r="AE902" s="123">
        <v>116181</v>
      </c>
      <c r="AG902" s="151">
        <f t="shared" si="171"/>
        <v>161181</v>
      </c>
      <c r="AH902" s="123">
        <f>181669+1176</f>
        <v>182845</v>
      </c>
      <c r="AJ902" s="123">
        <v>51000</v>
      </c>
      <c r="AL902" s="123">
        <v>21664</v>
      </c>
      <c r="AO902" s="123">
        <v>1700000</v>
      </c>
    </row>
    <row r="903" spans="1:41" s="123" customFormat="1" ht="16.2" thickBot="1" x14ac:dyDescent="0.35">
      <c r="A903" s="21"/>
      <c r="B903" s="212" t="s">
        <v>224</v>
      </c>
      <c r="C903" s="31" t="str">
        <f>VLOOKUP((CONCATENATE(B903)),ID!$A$2:$D$305,3,0)</f>
        <v>OT039</v>
      </c>
      <c r="D903" s="21">
        <v>1</v>
      </c>
      <c r="E903" s="21" t="s">
        <v>3903</v>
      </c>
      <c r="F903" s="21" t="s">
        <v>3865</v>
      </c>
      <c r="G903" s="21" t="s">
        <v>3853</v>
      </c>
      <c r="H903" s="88">
        <v>3653</v>
      </c>
      <c r="I903" s="43">
        <v>3687</v>
      </c>
      <c r="J903" s="43">
        <v>3680</v>
      </c>
      <c r="K903" s="21">
        <v>1</v>
      </c>
      <c r="L903" s="43">
        <v>3691</v>
      </c>
      <c r="M903" s="43">
        <v>3699</v>
      </c>
      <c r="N903" s="43">
        <v>3699</v>
      </c>
      <c r="O903" s="21" t="s">
        <v>3931</v>
      </c>
      <c r="P903" s="194" t="str">
        <f t="shared" si="172"/>
        <v>1</v>
      </c>
      <c r="Q903" s="21">
        <v>1</v>
      </c>
      <c r="R903" s="39" t="str">
        <f t="shared" si="169"/>
        <v>-</v>
      </c>
      <c r="S903" s="120">
        <f t="shared" si="168"/>
        <v>1430885</v>
      </c>
      <c r="T903" s="123">
        <v>2043789</v>
      </c>
      <c r="U903" s="123">
        <f>115941+1833599+30510</f>
        <v>1980050</v>
      </c>
      <c r="V903" s="123">
        <f t="shared" si="162"/>
        <v>63739</v>
      </c>
      <c r="W903" s="122" t="str">
        <f t="shared" si="163"/>
        <v>1</v>
      </c>
      <c r="X903" s="123">
        <f>Y903+49565</f>
        <v>612904</v>
      </c>
      <c r="Y903" s="123">
        <f>332855+188900+41584</f>
        <v>563339</v>
      </c>
      <c r="Z903" s="123">
        <f t="shared" si="165"/>
        <v>49565</v>
      </c>
      <c r="AA903" s="122" t="str">
        <f t="shared" si="166"/>
        <v>1</v>
      </c>
      <c r="AB903" s="120">
        <f t="shared" si="167"/>
        <v>521755</v>
      </c>
      <c r="AC903" s="123">
        <v>0</v>
      </c>
      <c r="AD903" s="123">
        <f>188900+332855</f>
        <v>521755</v>
      </c>
      <c r="AE903" s="123">
        <v>21184</v>
      </c>
      <c r="AG903" s="151">
        <f t="shared" si="171"/>
        <v>62700</v>
      </c>
      <c r="AH903" s="123">
        <f>73988-11288+AL903+AI903</f>
        <v>92475</v>
      </c>
      <c r="AI903" s="123">
        <v>5258</v>
      </c>
      <c r="AJ903" s="123">
        <v>36596</v>
      </c>
      <c r="AK903" s="123">
        <v>14081</v>
      </c>
      <c r="AL903" s="123">
        <f>12566+11010+941</f>
        <v>24517</v>
      </c>
      <c r="AO903" s="123">
        <f>112000+95757</f>
        <v>207757</v>
      </c>
    </row>
    <row r="904" spans="1:41" s="123" customFormat="1" ht="16.2" thickBot="1" x14ac:dyDescent="0.35">
      <c r="A904" s="21">
        <v>151.1</v>
      </c>
      <c r="B904" s="212" t="s">
        <v>224</v>
      </c>
      <c r="C904" s="31" t="str">
        <f>VLOOKUP((CONCATENATE(B904)),ID!$A$2:$D$305,3,0)</f>
        <v>OT039</v>
      </c>
      <c r="D904" s="21">
        <v>1</v>
      </c>
      <c r="E904" s="21" t="s">
        <v>3903</v>
      </c>
      <c r="F904" s="21" t="s">
        <v>3865</v>
      </c>
      <c r="G904" s="21" t="s">
        <v>3853</v>
      </c>
      <c r="H904" s="88">
        <v>4018</v>
      </c>
      <c r="I904" s="43">
        <v>4056</v>
      </c>
      <c r="J904" s="43">
        <v>4045</v>
      </c>
      <c r="K904" s="21">
        <v>1</v>
      </c>
      <c r="L904" s="43">
        <v>4057</v>
      </c>
      <c r="M904" s="43">
        <v>4065</v>
      </c>
      <c r="N904" s="43">
        <v>4065</v>
      </c>
      <c r="O904" s="21" t="s">
        <v>3931</v>
      </c>
      <c r="P904" s="194" t="str">
        <f t="shared" si="172"/>
        <v>1</v>
      </c>
      <c r="Q904" s="21">
        <v>1</v>
      </c>
      <c r="R904" s="39" t="str">
        <f t="shared" si="169"/>
        <v>-</v>
      </c>
      <c r="S904" s="120">
        <f t="shared" si="168"/>
        <v>1448743</v>
      </c>
      <c r="T904" s="123">
        <v>2055632</v>
      </c>
      <c r="U904" s="123">
        <f>1849763+114013+32253</f>
        <v>1996029</v>
      </c>
      <c r="V904" s="123">
        <f t="shared" si="162"/>
        <v>59603</v>
      </c>
      <c r="W904" s="122" t="str">
        <f t="shared" si="163"/>
        <v>1</v>
      </c>
      <c r="X904" s="123">
        <f>332855+178500+48866+46668</f>
        <v>606889</v>
      </c>
      <c r="Y904" s="123">
        <f>332855+178500+48866</f>
        <v>560221</v>
      </c>
      <c r="Z904" s="123">
        <f t="shared" si="165"/>
        <v>46668</v>
      </c>
      <c r="AA904" s="122" t="str">
        <f t="shared" si="166"/>
        <v>1</v>
      </c>
      <c r="AB904" s="120">
        <f t="shared" si="167"/>
        <v>511355</v>
      </c>
      <c r="AC904" s="123">
        <v>0</v>
      </c>
      <c r="AD904" s="123">
        <f>332855+178500</f>
        <v>511355</v>
      </c>
      <c r="AE904" s="123">
        <v>19274</v>
      </c>
      <c r="AG904" s="151">
        <f t="shared" si="171"/>
        <v>67381</v>
      </c>
      <c r="AH904" s="123">
        <f>79742-12361+AI904+AL904</f>
        <v>97905</v>
      </c>
      <c r="AI904" s="123">
        <v>5722</v>
      </c>
      <c r="AJ904" s="123">
        <v>36541</v>
      </c>
      <c r="AK904" s="123">
        <v>14406</v>
      </c>
      <c r="AL904" s="123">
        <f>12537+10379+1886</f>
        <v>24802</v>
      </c>
      <c r="AO904" s="123">
        <f>112000+95757</f>
        <v>207757</v>
      </c>
    </row>
    <row r="905" spans="1:41" s="123" customFormat="1" ht="16.2" thickBot="1" x14ac:dyDescent="0.35">
      <c r="A905" s="21">
        <v>151.19999999999999</v>
      </c>
      <c r="B905" s="212" t="s">
        <v>224</v>
      </c>
      <c r="C905" s="31" t="str">
        <f>VLOOKUP((CONCATENATE(B905)),ID!$A$2:$D$305,3,0)</f>
        <v>OT039</v>
      </c>
      <c r="D905" s="21">
        <v>1</v>
      </c>
      <c r="E905" s="21" t="s">
        <v>3903</v>
      </c>
      <c r="F905" s="21" t="s">
        <v>3865</v>
      </c>
      <c r="G905" s="21" t="s">
        <v>3853</v>
      </c>
      <c r="H905" s="88">
        <v>4383</v>
      </c>
      <c r="I905" s="43">
        <v>4417</v>
      </c>
      <c r="J905" s="43">
        <v>4406</v>
      </c>
      <c r="K905" s="21">
        <v>1</v>
      </c>
      <c r="L905" s="43">
        <v>4420</v>
      </c>
      <c r="M905" s="43">
        <v>4429</v>
      </c>
      <c r="N905" s="43">
        <v>4429</v>
      </c>
      <c r="O905" s="21" t="s">
        <v>3931</v>
      </c>
      <c r="P905" s="194" t="str">
        <f t="shared" si="172"/>
        <v>1</v>
      </c>
      <c r="Q905" s="21">
        <v>1</v>
      </c>
      <c r="R905" s="39" t="str">
        <f t="shared" si="169"/>
        <v>-</v>
      </c>
      <c r="S905" s="120">
        <f t="shared" si="168"/>
        <v>1453855</v>
      </c>
      <c r="T905" s="123">
        <v>2062182</v>
      </c>
      <c r="U905" s="123">
        <f>1861278+116018+33180</f>
        <v>2010476</v>
      </c>
      <c r="V905" s="123">
        <f t="shared" si="162"/>
        <v>51706</v>
      </c>
      <c r="W905" s="122" t="str">
        <f t="shared" si="163"/>
        <v>1</v>
      </c>
      <c r="X905" s="123">
        <f>Y905+40429</f>
        <v>608327</v>
      </c>
      <c r="Y905" s="123">
        <f>AD905+67443</f>
        <v>567898</v>
      </c>
      <c r="Z905" s="123">
        <f t="shared" si="165"/>
        <v>40429</v>
      </c>
      <c r="AA905" s="122" t="str">
        <f t="shared" si="166"/>
        <v>1</v>
      </c>
      <c r="AB905" s="120">
        <f t="shared" si="167"/>
        <v>500455</v>
      </c>
      <c r="AC905" s="123">
        <v>0</v>
      </c>
      <c r="AD905" s="123">
        <f>332855+167600</f>
        <v>500455</v>
      </c>
      <c r="AE905" s="123">
        <v>14627</v>
      </c>
      <c r="AG905" s="151">
        <f t="shared" si="171"/>
        <v>53466</v>
      </c>
      <c r="AH905" s="123">
        <f>72017-18551+AI905+AL905</f>
        <v>82722</v>
      </c>
      <c r="AI905" s="123">
        <v>4157</v>
      </c>
      <c r="AJ905" s="123">
        <v>36542</v>
      </c>
      <c r="AK905" s="123">
        <v>14173</v>
      </c>
      <c r="AL905" s="123">
        <f>12537+9777+2785</f>
        <v>25099</v>
      </c>
      <c r="AO905" s="123">
        <f>112000+95757</f>
        <v>207757</v>
      </c>
    </row>
    <row r="906" spans="1:41" s="123" customFormat="1" ht="16.2" thickBot="1" x14ac:dyDescent="0.35">
      <c r="A906" s="21"/>
      <c r="B906" s="212" t="s">
        <v>224</v>
      </c>
      <c r="C906" s="31" t="str">
        <f>VLOOKUP((CONCATENATE(B906)),ID!$A$2:$D$305,3,0)</f>
        <v>OT039</v>
      </c>
      <c r="D906" s="21">
        <v>1</v>
      </c>
      <c r="E906" s="21" t="s">
        <v>3903</v>
      </c>
      <c r="F906" s="21" t="s">
        <v>3865</v>
      </c>
      <c r="G906" s="21" t="s">
        <v>3853</v>
      </c>
      <c r="H906" s="88">
        <v>4749</v>
      </c>
      <c r="I906" s="43">
        <v>4786</v>
      </c>
      <c r="J906" s="43">
        <v>4767</v>
      </c>
      <c r="K906" s="21">
        <v>1</v>
      </c>
      <c r="L906" s="43">
        <v>4788</v>
      </c>
      <c r="M906" s="43">
        <v>4798</v>
      </c>
      <c r="N906" s="43">
        <v>4798</v>
      </c>
      <c r="O906" s="21" t="s">
        <v>3931</v>
      </c>
      <c r="P906" s="194" t="str">
        <f t="shared" si="172"/>
        <v>1</v>
      </c>
      <c r="Q906" s="21">
        <v>1</v>
      </c>
      <c r="R906" s="39" t="str">
        <f t="shared" si="169"/>
        <v>-</v>
      </c>
      <c r="S906" s="120">
        <f t="shared" si="168"/>
        <v>1536908</v>
      </c>
      <c r="T906" s="123">
        <v>2106881</v>
      </c>
      <c r="U906" s="123">
        <f>1863630+105866+35957+29641</f>
        <v>2035094</v>
      </c>
      <c r="V906" s="123">
        <f t="shared" si="162"/>
        <v>71787</v>
      </c>
      <c r="W906" s="122" t="str">
        <f t="shared" si="163"/>
        <v>1</v>
      </c>
      <c r="X906" s="123">
        <f>Y906+46118</f>
        <v>569973</v>
      </c>
      <c r="Y906" s="123">
        <f>AB906</f>
        <v>523855</v>
      </c>
      <c r="Z906" s="123">
        <f t="shared" si="165"/>
        <v>46118</v>
      </c>
      <c r="AA906" s="122" t="str">
        <f t="shared" si="166"/>
        <v>1</v>
      </c>
      <c r="AB906" s="120">
        <f t="shared" si="167"/>
        <v>523855</v>
      </c>
      <c r="AC906" s="123">
        <v>0</v>
      </c>
      <c r="AD906" s="123">
        <f>332855+156000+35000</f>
        <v>523855</v>
      </c>
      <c r="AE906" s="123">
        <v>37106</v>
      </c>
      <c r="AG906" s="151">
        <f t="shared" si="171"/>
        <v>131404</v>
      </c>
      <c r="AH906" s="123">
        <f>141628-10224+AI906+AL906</f>
        <v>158483</v>
      </c>
      <c r="AI906" s="123">
        <v>3483</v>
      </c>
      <c r="AJ906" s="123">
        <v>36542</v>
      </c>
      <c r="AK906" s="123">
        <v>13425</v>
      </c>
      <c r="AL906" s="123">
        <f>12537+9141+1918</f>
        <v>23596</v>
      </c>
      <c r="AO906" s="123">
        <f>112000+95757</f>
        <v>207757</v>
      </c>
    </row>
    <row r="907" spans="1:41" s="123" customFormat="1" ht="16.2" thickBot="1" x14ac:dyDescent="0.35">
      <c r="A907" s="21"/>
      <c r="B907" s="212" t="s">
        <v>224</v>
      </c>
      <c r="C907" s="31" t="str">
        <f>VLOOKUP((CONCATENATE(B907)),ID!$A$2:$D$305,3,0)</f>
        <v>OT039</v>
      </c>
      <c r="D907" s="21">
        <v>1</v>
      </c>
      <c r="E907" s="21" t="s">
        <v>3903</v>
      </c>
      <c r="F907" s="21" t="s">
        <v>3865</v>
      </c>
      <c r="G907" s="21" t="s">
        <v>3853</v>
      </c>
      <c r="H907" s="88">
        <v>5114</v>
      </c>
      <c r="I907" s="43">
        <v>5150</v>
      </c>
      <c r="J907" s="43">
        <v>5131</v>
      </c>
      <c r="K907" s="21">
        <v>1</v>
      </c>
      <c r="L907" s="43">
        <v>5152</v>
      </c>
      <c r="M907" s="43">
        <v>5162</v>
      </c>
      <c r="N907" s="43">
        <v>5162</v>
      </c>
      <c r="O907" s="21" t="s">
        <v>3931</v>
      </c>
      <c r="P907" s="194" t="str">
        <f t="shared" si="172"/>
        <v>1</v>
      </c>
      <c r="Q907" s="21">
        <v>1</v>
      </c>
      <c r="R907" s="39" t="str">
        <f t="shared" si="169"/>
        <v>-</v>
      </c>
      <c r="S907" s="120">
        <f t="shared" si="168"/>
        <v>1545351</v>
      </c>
      <c r="T907" s="123">
        <v>2099545</v>
      </c>
      <c r="U907" s="123">
        <f>14545+35390+99134+1889733</f>
        <v>2038802</v>
      </c>
      <c r="V907" s="123">
        <f t="shared" si="162"/>
        <v>60743</v>
      </c>
      <c r="W907" s="122" t="str">
        <f t="shared" si="163"/>
        <v>1</v>
      </c>
      <c r="X907" s="123">
        <f>Y907+45039</f>
        <v>554194</v>
      </c>
      <c r="Y907" s="123">
        <f>AB907</f>
        <v>509155</v>
      </c>
      <c r="Z907" s="123">
        <f t="shared" si="165"/>
        <v>45039</v>
      </c>
      <c r="AA907" s="122" t="str">
        <f t="shared" si="166"/>
        <v>1</v>
      </c>
      <c r="AB907" s="120">
        <f t="shared" si="167"/>
        <v>509155</v>
      </c>
      <c r="AC907" s="123">
        <v>0</v>
      </c>
      <c r="AD907" s="123">
        <f>332855+143800+32500</f>
        <v>509155</v>
      </c>
      <c r="AE907" s="123">
        <v>14320</v>
      </c>
      <c r="AG907" s="151">
        <f t="shared" si="171"/>
        <v>118235</v>
      </c>
      <c r="AH907" s="123">
        <f>140204-21969+AL907+AI907</f>
        <v>143576</v>
      </c>
      <c r="AI907" s="123">
        <v>4209</v>
      </c>
      <c r="AJ907" s="123">
        <v>50542</v>
      </c>
      <c r="AK907" s="123">
        <v>12472</v>
      </c>
      <c r="AL907" s="123">
        <f>12537+8469+126</f>
        <v>21132</v>
      </c>
      <c r="AO907" s="123">
        <f>112000+95757</f>
        <v>207757</v>
      </c>
    </row>
    <row r="908" spans="1:41" s="123" customFormat="1" ht="16.2" thickBot="1" x14ac:dyDescent="0.35">
      <c r="A908" s="21"/>
      <c r="B908" s="212" t="s">
        <v>241</v>
      </c>
      <c r="C908" s="31" t="str">
        <f>VLOOKUP((CONCATENATE(B908)),ID!$A$2:$D$305,3,0)</f>
        <v>OT040</v>
      </c>
      <c r="D908" s="21">
        <v>1</v>
      </c>
      <c r="E908" s="21" t="s">
        <v>3903</v>
      </c>
      <c r="F908" s="21" t="s">
        <v>1117</v>
      </c>
      <c r="G908" s="21" t="s">
        <v>3853</v>
      </c>
      <c r="H908" s="88">
        <v>3773</v>
      </c>
      <c r="I908" s="43">
        <v>3786</v>
      </c>
      <c r="J908" s="43">
        <v>3784</v>
      </c>
      <c r="K908" s="21">
        <v>1</v>
      </c>
      <c r="L908" s="43">
        <v>3790</v>
      </c>
      <c r="M908" s="43">
        <v>3804</v>
      </c>
      <c r="N908" s="43">
        <v>3804</v>
      </c>
      <c r="O908" s="21" t="s">
        <v>3843</v>
      </c>
      <c r="P908" s="194" t="str">
        <f t="shared" si="172"/>
        <v>1</v>
      </c>
      <c r="Q908" s="21">
        <v>1</v>
      </c>
      <c r="R908" s="39" t="str">
        <f t="shared" si="169"/>
        <v>-</v>
      </c>
      <c r="S908" s="120">
        <f t="shared" si="168"/>
        <v>3975763</v>
      </c>
      <c r="T908" s="123">
        <v>3985300</v>
      </c>
      <c r="U908" s="123">
        <f>200+2568946+1068000</f>
        <v>3637146</v>
      </c>
      <c r="V908" s="123">
        <f t="shared" si="162"/>
        <v>348154</v>
      </c>
      <c r="W908" s="122" t="str">
        <f t="shared" si="163"/>
        <v>1</v>
      </c>
      <c r="X908" s="123">
        <f>9537</f>
        <v>9537</v>
      </c>
      <c r="Y908" s="123">
        <v>0</v>
      </c>
      <c r="Z908" s="123">
        <f t="shared" si="165"/>
        <v>9537</v>
      </c>
      <c r="AA908" s="122" t="str">
        <f t="shared" si="166"/>
        <v>1</v>
      </c>
      <c r="AB908" s="120">
        <f t="shared" si="167"/>
        <v>0</v>
      </c>
      <c r="AC908" s="123">
        <v>0</v>
      </c>
      <c r="AD908" s="123">
        <v>0</v>
      </c>
      <c r="AE908" s="123">
        <v>346563</v>
      </c>
      <c r="AG908" s="151">
        <f t="shared" si="171"/>
        <v>310997</v>
      </c>
      <c r="AH908" s="123">
        <f>310997+AI908</f>
        <v>312142</v>
      </c>
      <c r="AI908" s="123">
        <v>1145</v>
      </c>
      <c r="AJ908" s="123">
        <v>25000</v>
      </c>
      <c r="AO908" s="123">
        <v>328540</v>
      </c>
    </row>
    <row r="909" spans="1:41" s="123" customFormat="1" ht="16.2" thickBot="1" x14ac:dyDescent="0.35">
      <c r="A909" s="21">
        <v>152.1</v>
      </c>
      <c r="B909" s="212" t="s">
        <v>241</v>
      </c>
      <c r="C909" s="31" t="str">
        <f>VLOOKUP((CONCATENATE(B909)),ID!$A$2:$D$305,3,0)</f>
        <v>OT040</v>
      </c>
      <c r="D909" s="21">
        <v>1</v>
      </c>
      <c r="E909" s="21" t="s">
        <v>3903</v>
      </c>
      <c r="F909" s="21" t="s">
        <v>1117</v>
      </c>
      <c r="G909" s="21" t="s">
        <v>3853</v>
      </c>
      <c r="H909" s="88">
        <v>4138</v>
      </c>
      <c r="I909" s="43">
        <v>4150</v>
      </c>
      <c r="J909" s="43">
        <v>4148</v>
      </c>
      <c r="K909" s="21">
        <v>1</v>
      </c>
      <c r="L909" s="43">
        <v>4154</v>
      </c>
      <c r="M909" s="43">
        <v>4168</v>
      </c>
      <c r="N909" s="43">
        <v>4168</v>
      </c>
      <c r="O909" s="21" t="s">
        <v>3843</v>
      </c>
      <c r="P909" s="194" t="str">
        <f t="shared" si="172"/>
        <v>1</v>
      </c>
      <c r="Q909" s="21">
        <v>1</v>
      </c>
      <c r="R909" s="39" t="str">
        <f t="shared" si="169"/>
        <v>-</v>
      </c>
      <c r="S909" s="120">
        <f t="shared" si="168"/>
        <v>4045793</v>
      </c>
      <c r="T909" s="123">
        <v>4056266</v>
      </c>
      <c r="U909" s="123">
        <f>200+2568946+1068000</f>
        <v>3637146</v>
      </c>
      <c r="V909" s="123">
        <f t="shared" ref="V909:V966" si="173">T909-U909</f>
        <v>419120</v>
      </c>
      <c r="W909" s="122" t="str">
        <f t="shared" ref="W909:W966" si="174">IF(V909+U909=T909,"1","0")</f>
        <v>1</v>
      </c>
      <c r="X909" s="123">
        <v>10473</v>
      </c>
      <c r="Y909" s="123">
        <v>0</v>
      </c>
      <c r="Z909" s="123">
        <f t="shared" ref="Z909:Z967" si="175">X909-Y909</f>
        <v>10473</v>
      </c>
      <c r="AA909" s="122" t="str">
        <f t="shared" ref="AA909:AA967" si="176">IF(Z909+Y909=X909,"1","0")</f>
        <v>1</v>
      </c>
      <c r="AB909" s="120">
        <f t="shared" ref="AB909:AB966" si="177">SUM(AC909+AD909)</f>
        <v>0</v>
      </c>
      <c r="AC909" s="123">
        <v>0</v>
      </c>
      <c r="AD909" s="123">
        <v>0</v>
      </c>
      <c r="AE909" s="123">
        <v>417244</v>
      </c>
      <c r="AG909" s="151">
        <f t="shared" si="171"/>
        <v>348568</v>
      </c>
      <c r="AH909" s="123">
        <f>348568+AI909</f>
        <v>349398</v>
      </c>
      <c r="AI909" s="123">
        <v>830</v>
      </c>
      <c r="AJ909" s="123">
        <v>25000</v>
      </c>
      <c r="AO909" s="123">
        <v>328540</v>
      </c>
    </row>
    <row r="910" spans="1:41" s="123" customFormat="1" ht="16.2" thickBot="1" x14ac:dyDescent="0.35">
      <c r="A910" s="21">
        <v>152.19999999999999</v>
      </c>
      <c r="B910" s="212" t="s">
        <v>241</v>
      </c>
      <c r="C910" s="31" t="str">
        <f>VLOOKUP((CONCATENATE(B910)),ID!$A$2:$D$305,3,0)</f>
        <v>OT040</v>
      </c>
      <c r="D910" s="21">
        <v>1</v>
      </c>
      <c r="E910" s="21" t="s">
        <v>3903</v>
      </c>
      <c r="F910" s="21" t="s">
        <v>1117</v>
      </c>
      <c r="G910" s="21" t="s">
        <v>3853</v>
      </c>
      <c r="H910" s="88">
        <v>4504</v>
      </c>
      <c r="I910" s="43">
        <v>4519</v>
      </c>
      <c r="J910" s="43">
        <v>4534</v>
      </c>
      <c r="K910" s="21">
        <v>1</v>
      </c>
      <c r="L910" s="43">
        <v>4521</v>
      </c>
      <c r="M910" s="43">
        <v>4535</v>
      </c>
      <c r="N910" s="43">
        <v>4535</v>
      </c>
      <c r="O910" s="21" t="s">
        <v>3843</v>
      </c>
      <c r="P910" s="194" t="str">
        <f t="shared" si="172"/>
        <v>1</v>
      </c>
      <c r="Q910" s="21">
        <v>1</v>
      </c>
      <c r="R910" s="39" t="str">
        <f t="shared" si="169"/>
        <v>-</v>
      </c>
      <c r="S910" s="120">
        <f t="shared" si="168"/>
        <v>4142388</v>
      </c>
      <c r="T910" s="123">
        <v>4154052</v>
      </c>
      <c r="U910" s="123">
        <f>100+2568946+1175000</f>
        <v>3744046</v>
      </c>
      <c r="V910" s="123">
        <f t="shared" si="173"/>
        <v>410006</v>
      </c>
      <c r="W910" s="122" t="str">
        <f t="shared" si="174"/>
        <v>1</v>
      </c>
      <c r="X910" s="123">
        <v>11664</v>
      </c>
      <c r="Y910" s="123">
        <v>0</v>
      </c>
      <c r="Z910" s="123">
        <f t="shared" si="175"/>
        <v>11664</v>
      </c>
      <c r="AA910" s="122" t="str">
        <f t="shared" si="176"/>
        <v>1</v>
      </c>
      <c r="AB910" s="120">
        <f t="shared" si="177"/>
        <v>0</v>
      </c>
      <c r="AC910" s="123">
        <v>0</v>
      </c>
      <c r="AD910" s="123">
        <v>0</v>
      </c>
      <c r="AE910" s="123">
        <v>408031</v>
      </c>
      <c r="AG910" s="151">
        <f t="shared" si="171"/>
        <v>375135</v>
      </c>
      <c r="AH910" s="123">
        <f>375135+AI910</f>
        <v>377709</v>
      </c>
      <c r="AI910" s="123">
        <v>2574</v>
      </c>
      <c r="AJ910" s="123">
        <v>25000</v>
      </c>
      <c r="AO910" s="123">
        <v>328540</v>
      </c>
    </row>
    <row r="911" spans="1:41" s="123" customFormat="1" ht="16.2" thickBot="1" x14ac:dyDescent="0.35">
      <c r="A911" s="21"/>
      <c r="B911" s="212" t="s">
        <v>241</v>
      </c>
      <c r="C911" s="31" t="str">
        <f>VLOOKUP((CONCATENATE(B911)),ID!$A$2:$D$305,3,0)</f>
        <v>OT040</v>
      </c>
      <c r="D911" s="21">
        <v>1</v>
      </c>
      <c r="E911" s="21" t="s">
        <v>3903</v>
      </c>
      <c r="F911" s="21" t="s">
        <v>1117</v>
      </c>
      <c r="G911" s="21" t="s">
        <v>3853</v>
      </c>
      <c r="H911" s="88">
        <v>4869</v>
      </c>
      <c r="I911" s="43">
        <v>4882</v>
      </c>
      <c r="J911" s="43">
        <v>4877</v>
      </c>
      <c r="K911" s="21">
        <v>1</v>
      </c>
      <c r="L911" s="43">
        <v>4885</v>
      </c>
      <c r="M911" s="43">
        <v>4899</v>
      </c>
      <c r="N911" s="43">
        <v>4899</v>
      </c>
      <c r="O911" s="21" t="s">
        <v>3843</v>
      </c>
      <c r="P911" s="194" t="str">
        <f t="shared" si="172"/>
        <v>1</v>
      </c>
      <c r="Q911" s="21">
        <v>1</v>
      </c>
      <c r="R911" s="39" t="str">
        <f t="shared" si="169"/>
        <v>-</v>
      </c>
      <c r="S911" s="120">
        <f t="shared" si="168"/>
        <v>4244572</v>
      </c>
      <c r="T911" s="123">
        <f>4258752</f>
        <v>4258752</v>
      </c>
      <c r="U911" s="123">
        <f>1175000+2568946+100</f>
        <v>3744046</v>
      </c>
      <c r="V911" s="123">
        <f t="shared" si="173"/>
        <v>514706</v>
      </c>
      <c r="W911" s="122" t="str">
        <f t="shared" si="174"/>
        <v>1</v>
      </c>
      <c r="X911" s="123">
        <v>14180</v>
      </c>
      <c r="Y911" s="123">
        <v>0</v>
      </c>
      <c r="Z911" s="123">
        <f t="shared" si="175"/>
        <v>14180</v>
      </c>
      <c r="AA911" s="122" t="str">
        <f t="shared" si="176"/>
        <v>1</v>
      </c>
      <c r="AB911" s="120">
        <f t="shared" si="177"/>
        <v>0</v>
      </c>
      <c r="AC911" s="123">
        <v>0</v>
      </c>
      <c r="AD911" s="123">
        <v>0</v>
      </c>
      <c r="AE911" s="123">
        <v>511886</v>
      </c>
      <c r="AG911" s="151">
        <f t="shared" si="171"/>
        <v>380725</v>
      </c>
      <c r="AH911" s="123">
        <f>380725+AI911</f>
        <v>383114</v>
      </c>
      <c r="AI911" s="123">
        <v>2389</v>
      </c>
      <c r="AJ911" s="123">
        <v>25000</v>
      </c>
      <c r="AO911" s="123">
        <v>328540</v>
      </c>
    </row>
    <row r="912" spans="1:41" s="123" customFormat="1" ht="16.2" thickBot="1" x14ac:dyDescent="0.35">
      <c r="A912" s="21"/>
      <c r="B912" s="212" t="s">
        <v>241</v>
      </c>
      <c r="C912" s="31" t="str">
        <f>VLOOKUP((CONCATENATE(B912)),ID!$A$2:$D$305,3,0)</f>
        <v>OT040</v>
      </c>
      <c r="D912" s="21">
        <v>1</v>
      </c>
      <c r="E912" s="21" t="s">
        <v>3903</v>
      </c>
      <c r="F912" s="21" t="s">
        <v>1117</v>
      </c>
      <c r="G912" s="21" t="s">
        <v>3853</v>
      </c>
      <c r="H912" s="88">
        <v>5234</v>
      </c>
      <c r="I912" s="43">
        <v>5246</v>
      </c>
      <c r="J912" s="43">
        <v>5243</v>
      </c>
      <c r="K912" s="21">
        <v>1</v>
      </c>
      <c r="L912" s="43">
        <v>5248</v>
      </c>
      <c r="M912" s="43">
        <v>5262</v>
      </c>
      <c r="N912" s="43">
        <v>5262</v>
      </c>
      <c r="O912" s="21" t="s">
        <v>3843</v>
      </c>
      <c r="P912" s="194" t="str">
        <f t="shared" si="172"/>
        <v>1</v>
      </c>
      <c r="Q912" s="21">
        <v>1</v>
      </c>
      <c r="R912" s="39" t="str">
        <f t="shared" si="169"/>
        <v>-</v>
      </c>
      <c r="S912" s="120">
        <f t="shared" si="168"/>
        <v>5202288</v>
      </c>
      <c r="T912" s="123">
        <v>5212570</v>
      </c>
      <c r="U912" s="123">
        <f>T912-V912</f>
        <v>4767547</v>
      </c>
      <c r="V912" s="123">
        <v>445023</v>
      </c>
      <c r="W912" s="122" t="str">
        <f t="shared" si="174"/>
        <v>1</v>
      </c>
      <c r="X912" s="123">
        <v>10282</v>
      </c>
      <c r="Y912" s="123">
        <v>0</v>
      </c>
      <c r="Z912" s="123">
        <f t="shared" si="175"/>
        <v>10282</v>
      </c>
      <c r="AA912" s="122" t="str">
        <f t="shared" si="176"/>
        <v>1</v>
      </c>
      <c r="AB912" s="120">
        <f t="shared" si="177"/>
        <v>0</v>
      </c>
      <c r="AC912" s="123">
        <v>0</v>
      </c>
      <c r="AD912" s="123">
        <v>0</v>
      </c>
      <c r="AE912" s="123">
        <v>445023</v>
      </c>
      <c r="AG912" s="151">
        <f t="shared" si="171"/>
        <v>381275</v>
      </c>
      <c r="AH912" s="123">
        <f>381275+AI912</f>
        <v>382996</v>
      </c>
      <c r="AI912" s="123">
        <v>1721</v>
      </c>
      <c r="AJ912" s="123">
        <v>25000</v>
      </c>
      <c r="AO912" s="123">
        <v>400000</v>
      </c>
    </row>
    <row r="913" spans="1:41" s="123" customFormat="1" ht="16.2" thickBot="1" x14ac:dyDescent="0.35">
      <c r="A913" s="21"/>
      <c r="B913" s="212" t="s">
        <v>262</v>
      </c>
      <c r="C913" s="31" t="str">
        <f>VLOOKUP((CONCATENATE(B913)),ID!$A$2:$D$305,3,0)</f>
        <v>OT041</v>
      </c>
      <c r="D913" s="21">
        <v>1</v>
      </c>
      <c r="E913" s="21" t="s">
        <v>3903</v>
      </c>
      <c r="F913" s="21" t="s">
        <v>1117</v>
      </c>
      <c r="G913" s="21" t="s">
        <v>3853</v>
      </c>
      <c r="H913" s="88">
        <v>3896</v>
      </c>
      <c r="I913" s="43">
        <v>4156</v>
      </c>
      <c r="J913" s="43">
        <v>4165</v>
      </c>
      <c r="K913" s="21">
        <v>1</v>
      </c>
      <c r="L913" s="43">
        <v>4189</v>
      </c>
      <c r="M913" s="43">
        <v>4203</v>
      </c>
      <c r="N913" s="43">
        <v>4202</v>
      </c>
      <c r="O913" s="27" t="s">
        <v>3800</v>
      </c>
      <c r="P913" s="194">
        <v>1</v>
      </c>
      <c r="Q913" s="21">
        <v>1</v>
      </c>
      <c r="R913" s="39" t="str">
        <f t="shared" si="169"/>
        <v>-</v>
      </c>
      <c r="S913" s="120">
        <f t="shared" si="168"/>
        <v>1098754</v>
      </c>
      <c r="T913" s="123">
        <v>2673046</v>
      </c>
      <c r="U913" s="123">
        <f>5154+573+375+61106+1728453</f>
        <v>1795661</v>
      </c>
      <c r="V913" s="123">
        <f>T913-U913</f>
        <v>877385</v>
      </c>
      <c r="W913" s="122" t="str">
        <f t="shared" si="174"/>
        <v>1</v>
      </c>
      <c r="X913" s="123">
        <f>Y913+79+19421+4363+52388</f>
        <v>1574292</v>
      </c>
      <c r="Y913" s="123">
        <f>AD913</f>
        <v>1498041</v>
      </c>
      <c r="Z913" s="123">
        <f t="shared" si="175"/>
        <v>76251</v>
      </c>
      <c r="AA913" s="122" t="str">
        <f>IF(Z913+Y913=X913,"1","0")</f>
        <v>1</v>
      </c>
      <c r="AB913" s="120">
        <f>SUM(AC913+AD913)</f>
        <v>1498041</v>
      </c>
      <c r="AC913" s="123">
        <v>0</v>
      </c>
      <c r="AD913" s="123">
        <f>875000+609752+6341+6948</f>
        <v>1498041</v>
      </c>
      <c r="AE913" s="123">
        <v>4783</v>
      </c>
      <c r="AG913" s="151">
        <f t="shared" si="171"/>
        <v>2377</v>
      </c>
      <c r="AH913" s="123">
        <f>103764-9823-2967+118-283-535</f>
        <v>90274</v>
      </c>
      <c r="AI913" s="123">
        <v>118</v>
      </c>
      <c r="AL913" s="123">
        <f>52500+30656+4623</f>
        <v>87779</v>
      </c>
      <c r="AO913" s="123">
        <v>100000</v>
      </c>
    </row>
    <row r="914" spans="1:41" s="123" customFormat="1" ht="16.2" thickBot="1" x14ac:dyDescent="0.35">
      <c r="A914" s="21">
        <v>153.1</v>
      </c>
      <c r="B914" s="212" t="s">
        <v>262</v>
      </c>
      <c r="C914" s="31" t="str">
        <f>VLOOKUP((CONCATENATE(B914)),ID!$A$2:$D$305,3,0)</f>
        <v>OT041</v>
      </c>
      <c r="D914" s="21">
        <v>1</v>
      </c>
      <c r="E914" s="21" t="s">
        <v>3903</v>
      </c>
      <c r="F914" s="21" t="s">
        <v>1117</v>
      </c>
      <c r="G914" s="21" t="s">
        <v>3853</v>
      </c>
      <c r="H914" s="88">
        <v>4261</v>
      </c>
      <c r="I914" s="43">
        <v>4448</v>
      </c>
      <c r="J914" s="43">
        <v>4444</v>
      </c>
      <c r="K914" s="21">
        <v>1</v>
      </c>
      <c r="L914" s="43">
        <v>4464</v>
      </c>
      <c r="M914" s="43">
        <v>4478</v>
      </c>
      <c r="N914" s="43">
        <v>4477</v>
      </c>
      <c r="O914" s="27" t="s">
        <v>3800</v>
      </c>
      <c r="P914" s="194">
        <v>1</v>
      </c>
      <c r="Q914" s="21">
        <v>1</v>
      </c>
      <c r="R914" s="39" t="str">
        <f t="shared" si="169"/>
        <v>-</v>
      </c>
      <c r="S914" s="120">
        <f t="shared" si="168"/>
        <v>1085713</v>
      </c>
      <c r="T914" s="123">
        <v>2673856</v>
      </c>
      <c r="U914" s="123">
        <f>1727683+77186+376+5184</f>
        <v>1810429</v>
      </c>
      <c r="V914" s="123">
        <f>T914-U914</f>
        <v>863427</v>
      </c>
      <c r="W914" s="122" t="str">
        <f t="shared" si="174"/>
        <v>1</v>
      </c>
      <c r="X914" s="123">
        <f>Y914+104+19399+5296+65157</f>
        <v>1588143</v>
      </c>
      <c r="Y914" s="123">
        <f>AD914</f>
        <v>1498187</v>
      </c>
      <c r="Z914" s="123">
        <f t="shared" si="175"/>
        <v>89956</v>
      </c>
      <c r="AA914" s="122" t="str">
        <f>IF(Z914+Y914=X914,"1","0")</f>
        <v>1</v>
      </c>
      <c r="AB914" s="120">
        <f>SUM(AC914+AD914)</f>
        <v>1498187</v>
      </c>
      <c r="AC914" s="123">
        <v>0</v>
      </c>
      <c r="AD914" s="123">
        <f>875000+602773+6487+13927</f>
        <v>1498187</v>
      </c>
      <c r="AE914" s="123">
        <v>2236</v>
      </c>
      <c r="AG914" s="151">
        <f t="shared" si="171"/>
        <v>-4925</v>
      </c>
      <c r="AH914" s="123">
        <f>94892-14422-1781+AI914-250-600</f>
        <v>77846</v>
      </c>
      <c r="AI914" s="123">
        <v>7</v>
      </c>
      <c r="AL914" s="123">
        <f>52500+30264</f>
        <v>82764</v>
      </c>
      <c r="AO914" s="123">
        <v>47360</v>
      </c>
    </row>
    <row r="915" spans="1:41" s="123" customFormat="1" ht="16.2" thickBot="1" x14ac:dyDescent="0.35">
      <c r="A915" s="21">
        <v>153.19999999999999</v>
      </c>
      <c r="B915" s="212" t="s">
        <v>262</v>
      </c>
      <c r="C915" s="31" t="str">
        <f>VLOOKUP((CONCATENATE(B915)),ID!$A$2:$D$305,3,0)</f>
        <v>OT041</v>
      </c>
      <c r="D915" s="21">
        <v>1</v>
      </c>
      <c r="E915" s="21" t="s">
        <v>3903</v>
      </c>
      <c r="F915" s="21" t="s">
        <v>1117</v>
      </c>
      <c r="G915" s="21" t="s">
        <v>3853</v>
      </c>
      <c r="H915" s="88">
        <v>4627</v>
      </c>
      <c r="I915" s="43">
        <v>4709</v>
      </c>
      <c r="J915" s="43">
        <v>4695</v>
      </c>
      <c r="K915" s="21">
        <v>1</v>
      </c>
      <c r="L915" s="43">
        <v>4721</v>
      </c>
      <c r="M915" s="43">
        <v>4735</v>
      </c>
      <c r="N915" s="43">
        <v>4734</v>
      </c>
      <c r="O915" s="27" t="s">
        <v>3800</v>
      </c>
      <c r="P915" s="194">
        <v>1</v>
      </c>
      <c r="Q915" s="21">
        <v>1</v>
      </c>
      <c r="R915" s="39" t="str">
        <f t="shared" si="169"/>
        <v>-</v>
      </c>
      <c r="S915" s="120">
        <f t="shared" si="168"/>
        <v>968975</v>
      </c>
      <c r="T915" s="123">
        <v>2564187</v>
      </c>
      <c r="U915" s="123">
        <f>1600141+90632+375+946+5154</f>
        <v>1697248</v>
      </c>
      <c r="V915" s="123">
        <f t="shared" si="173"/>
        <v>866939</v>
      </c>
      <c r="W915" s="122" t="str">
        <f t="shared" si="174"/>
        <v>1</v>
      </c>
      <c r="X915" s="123">
        <f>875000+595608+6637+21092+67781+6000+3489+19376+229</f>
        <v>1595212</v>
      </c>
      <c r="Y915" s="123">
        <f>AD915-6000</f>
        <v>1498337</v>
      </c>
      <c r="Z915" s="123">
        <f t="shared" si="175"/>
        <v>96875</v>
      </c>
      <c r="AA915" s="122" t="str">
        <f t="shared" si="176"/>
        <v>1</v>
      </c>
      <c r="AB915" s="120">
        <f t="shared" si="177"/>
        <v>1504337</v>
      </c>
      <c r="AC915" s="123">
        <v>0</v>
      </c>
      <c r="AD915" s="123">
        <f>875000+595608+6637+21092+6000</f>
        <v>1504337</v>
      </c>
      <c r="AE915" s="123">
        <v>8439</v>
      </c>
      <c r="AG915" s="151">
        <f t="shared" si="171"/>
        <v>14782</v>
      </c>
      <c r="AH915" s="123">
        <f>102436-2477-1910+5-250-608</f>
        <v>97196</v>
      </c>
      <c r="AI915" s="123">
        <v>5</v>
      </c>
      <c r="AL915" s="123">
        <f>29909+52500</f>
        <v>82409</v>
      </c>
      <c r="AO915" s="123">
        <f>AO914+47252</f>
        <v>94612</v>
      </c>
    </row>
    <row r="916" spans="1:41" s="123" customFormat="1" ht="16.2" thickBot="1" x14ac:dyDescent="0.35">
      <c r="A916" s="21"/>
      <c r="B916" s="212" t="s">
        <v>262</v>
      </c>
      <c r="C916" s="31" t="str">
        <f>VLOOKUP((CONCATENATE(B916)),ID!$A$2:$D$305,3,0)</f>
        <v>OT041</v>
      </c>
      <c r="D916" s="21">
        <v>1</v>
      </c>
      <c r="E916" s="21" t="s">
        <v>3903</v>
      </c>
      <c r="F916" s="21" t="s">
        <v>1117</v>
      </c>
      <c r="G916" s="21" t="s">
        <v>3853</v>
      </c>
      <c r="H916" s="88">
        <v>4992</v>
      </c>
      <c r="I916" s="43">
        <v>5112</v>
      </c>
      <c r="J916" s="43">
        <v>5107</v>
      </c>
      <c r="K916" s="21">
        <v>1</v>
      </c>
      <c r="L916" s="43">
        <v>5115</v>
      </c>
      <c r="M916" s="43">
        <v>5129</v>
      </c>
      <c r="N916" s="43">
        <v>5122</v>
      </c>
      <c r="O916" s="27" t="s">
        <v>3800</v>
      </c>
      <c r="P916" s="194">
        <v>1</v>
      </c>
      <c r="Q916" s="21">
        <v>1</v>
      </c>
      <c r="R916" s="39" t="str">
        <f t="shared" si="169"/>
        <v>-</v>
      </c>
      <c r="S916" s="120">
        <f t="shared" si="168"/>
        <v>1052867</v>
      </c>
      <c r="T916" s="123">
        <v>2585758</v>
      </c>
      <c r="U916" s="123">
        <f>1600141+106745+375+5154</f>
        <v>1712415</v>
      </c>
      <c r="V916" s="123">
        <f t="shared" si="173"/>
        <v>873343</v>
      </c>
      <c r="W916" s="122" t="str">
        <f t="shared" si="174"/>
        <v>1</v>
      </c>
      <c r="X916" s="123">
        <f>96+19350+3566+12000+29412+6179+587288+875000</f>
        <v>1532891</v>
      </c>
      <c r="Y916" s="123">
        <f>29412+6179+587288+875000</f>
        <v>1497879</v>
      </c>
      <c r="Z916" s="123">
        <f t="shared" si="175"/>
        <v>35012</v>
      </c>
      <c r="AA916" s="122" t="str">
        <f t="shared" si="176"/>
        <v>1</v>
      </c>
      <c r="AB916" s="120">
        <f t="shared" si="177"/>
        <v>1510337</v>
      </c>
      <c r="AC916" s="123">
        <v>0</v>
      </c>
      <c r="AD916" s="123">
        <f>875000+595608+6637+21092+12000</f>
        <v>1510337</v>
      </c>
      <c r="AE916" s="123">
        <v>6741</v>
      </c>
      <c r="AG916" s="151">
        <f t="shared" si="171"/>
        <v>66873</v>
      </c>
      <c r="AH916" s="123">
        <f>151291-1482+36-250-648</f>
        <v>148947</v>
      </c>
      <c r="AI916" s="123">
        <v>1</v>
      </c>
      <c r="AL916" s="123">
        <f>35+29538+52500</f>
        <v>82073</v>
      </c>
    </row>
    <row r="917" spans="1:41" s="123" customFormat="1" ht="16.2" thickBot="1" x14ac:dyDescent="0.35">
      <c r="A917" s="21"/>
      <c r="B917" s="212" t="s">
        <v>262</v>
      </c>
      <c r="C917" s="31" t="str">
        <f>VLOOKUP((CONCATENATE(B917)),ID!$A$2:$D$305,3,0)</f>
        <v>OT041</v>
      </c>
      <c r="D917" s="21">
        <v>1</v>
      </c>
      <c r="E917" s="21" t="s">
        <v>3903</v>
      </c>
      <c r="F917" s="21" t="s">
        <v>1117</v>
      </c>
      <c r="G917" s="21" t="s">
        <v>3853</v>
      </c>
      <c r="H917" s="88">
        <v>5357</v>
      </c>
      <c r="I917" s="43">
        <v>5490</v>
      </c>
      <c r="J917" s="43">
        <v>5487</v>
      </c>
      <c r="K917" s="21">
        <v>1</v>
      </c>
      <c r="L917" s="43">
        <v>5487</v>
      </c>
      <c r="M917" s="43">
        <v>5504</v>
      </c>
      <c r="N917" s="43">
        <v>5500</v>
      </c>
      <c r="O917" s="27" t="s">
        <v>3800</v>
      </c>
      <c r="P917" s="194">
        <v>0</v>
      </c>
      <c r="Q917" s="21">
        <v>1</v>
      </c>
      <c r="R917" s="39" t="str">
        <f t="shared" si="169"/>
        <v>-</v>
      </c>
      <c r="S917" s="120">
        <f t="shared" si="168"/>
        <v>1095714</v>
      </c>
      <c r="T917" s="123">
        <v>2634254</v>
      </c>
      <c r="U917" s="123">
        <f>1749732+375+1731+5154</f>
        <v>1756992</v>
      </c>
      <c r="V917" s="123">
        <f t="shared" si="173"/>
        <v>877262</v>
      </c>
      <c r="W917" s="122" t="str">
        <f t="shared" si="174"/>
        <v>1</v>
      </c>
      <c r="X917" s="123">
        <f>Y917+12000+110+19325+3501</f>
        <v>1538540</v>
      </c>
      <c r="Y917" s="123">
        <f>AB917-12000</f>
        <v>1503604</v>
      </c>
      <c r="Z917" s="123">
        <f t="shared" si="175"/>
        <v>34936</v>
      </c>
      <c r="AA917" s="122" t="str">
        <f t="shared" si="176"/>
        <v>1</v>
      </c>
      <c r="AB917" s="120">
        <f t="shared" si="177"/>
        <v>1515604</v>
      </c>
      <c r="AC917" s="123">
        <v>0</v>
      </c>
      <c r="AD917" s="123">
        <f>875000+579515+11904+37185+12000</f>
        <v>1515604</v>
      </c>
      <c r="AE917" s="123">
        <v>6045</v>
      </c>
      <c r="AG917" s="151">
        <f t="shared" si="171"/>
        <v>40794</v>
      </c>
      <c r="AH917" s="123">
        <f>96193-1435-250-607+AI917</f>
        <v>93908</v>
      </c>
      <c r="AI917" s="123">
        <v>7</v>
      </c>
      <c r="AL917" s="123">
        <f>607+52500</f>
        <v>53107</v>
      </c>
      <c r="AO917" s="123">
        <v>94612</v>
      </c>
    </row>
    <row r="918" spans="1:41" s="123" customFormat="1" ht="16.2" thickBot="1" x14ac:dyDescent="0.35">
      <c r="A918" s="21"/>
      <c r="B918" s="212" t="s">
        <v>273</v>
      </c>
      <c r="C918" s="31" t="str">
        <f>VLOOKUP((CONCATENATE(B918)),ID!$A$2:$D$305,3,0)</f>
        <v>OT042</v>
      </c>
      <c r="D918" s="21">
        <v>1</v>
      </c>
      <c r="E918" s="21" t="s">
        <v>3903</v>
      </c>
      <c r="F918" s="21" t="s">
        <v>1117</v>
      </c>
      <c r="G918" s="21" t="s">
        <v>3821</v>
      </c>
      <c r="H918" s="88">
        <v>3653</v>
      </c>
      <c r="I918" s="43">
        <v>3734</v>
      </c>
      <c r="J918" s="43">
        <v>3734</v>
      </c>
      <c r="K918" s="21">
        <v>1</v>
      </c>
      <c r="L918" s="43">
        <v>3744</v>
      </c>
      <c r="M918" s="43">
        <v>3758</v>
      </c>
      <c r="N918" s="43">
        <v>3748</v>
      </c>
      <c r="O918" s="21" t="s">
        <v>3932</v>
      </c>
      <c r="P918" s="194" t="str">
        <f t="shared" si="172"/>
        <v>1</v>
      </c>
      <c r="Q918" s="21">
        <v>1</v>
      </c>
      <c r="R918" s="39" t="str">
        <f t="shared" si="169"/>
        <v>-</v>
      </c>
      <c r="S918" s="120">
        <f t="shared" si="168"/>
        <v>1286593</v>
      </c>
      <c r="T918" s="123">
        <v>2104049</v>
      </c>
      <c r="U918" s="123">
        <f>1814813+57452</f>
        <v>1872265</v>
      </c>
      <c r="V918" s="123">
        <f>T918-U918</f>
        <v>231784</v>
      </c>
      <c r="W918" s="122" t="str">
        <f>IF(V918+U918=T918,"1","0")</f>
        <v>1</v>
      </c>
      <c r="X918" s="123">
        <f>Y918+52456-AC918</f>
        <v>817456</v>
      </c>
      <c r="Y918" s="123">
        <f>AB918</f>
        <v>777000</v>
      </c>
      <c r="Z918" s="123">
        <f>X918-Y918</f>
        <v>40456</v>
      </c>
      <c r="AA918" s="122" t="str">
        <f>IF(Z918+Y918=X918,"1","0")</f>
        <v>1</v>
      </c>
      <c r="AB918" s="120">
        <f>SUM(AC918+AD918)</f>
        <v>777000</v>
      </c>
      <c r="AC918" s="123">
        <v>12000</v>
      </c>
      <c r="AD918" s="123">
        <v>765000</v>
      </c>
      <c r="AE918" s="123">
        <v>5915</v>
      </c>
      <c r="AG918" s="151">
        <f>AH918-AL918-AI918</f>
        <v>73800</v>
      </c>
      <c r="AH918" s="123">
        <f>73800+AI918+AL918</f>
        <v>118328</v>
      </c>
      <c r="AI918" s="123">
        <v>5494</v>
      </c>
      <c r="AJ918" s="123">
        <v>29819</v>
      </c>
      <c r="AL918" s="123">
        <v>39034</v>
      </c>
      <c r="AO918" s="123">
        <v>238555</v>
      </c>
    </row>
    <row r="919" spans="1:41" s="123" customFormat="1" ht="16.2" thickBot="1" x14ac:dyDescent="0.35">
      <c r="A919" s="21">
        <v>154.1</v>
      </c>
      <c r="B919" s="212" t="s">
        <v>273</v>
      </c>
      <c r="C919" s="31" t="str">
        <f>VLOOKUP((CONCATENATE(B919)),ID!$A$2:$D$305,3,0)</f>
        <v>OT042</v>
      </c>
      <c r="D919" s="21">
        <v>1</v>
      </c>
      <c r="E919" s="21" t="s">
        <v>3903</v>
      </c>
      <c r="F919" s="21" t="s">
        <v>1117</v>
      </c>
      <c r="G919" s="21" t="s">
        <v>3821</v>
      </c>
      <c r="H919" s="88">
        <v>4018</v>
      </c>
      <c r="I919" s="43">
        <v>4098</v>
      </c>
      <c r="J919" s="43">
        <v>4098</v>
      </c>
      <c r="K919" s="21">
        <v>1</v>
      </c>
      <c r="L919" s="43">
        <v>4109</v>
      </c>
      <c r="M919" s="43">
        <v>4123</v>
      </c>
      <c r="N919" s="43">
        <v>4112</v>
      </c>
      <c r="O919" s="21" t="s">
        <v>3932</v>
      </c>
      <c r="P919" s="194" t="str">
        <f t="shared" si="172"/>
        <v>1</v>
      </c>
      <c r="Q919" s="21">
        <v>1</v>
      </c>
      <c r="R919" s="39" t="str">
        <f t="shared" si="169"/>
        <v>-</v>
      </c>
      <c r="S919" s="120">
        <f t="shared" si="168"/>
        <v>1832419</v>
      </c>
      <c r="T919" s="123">
        <v>2673856</v>
      </c>
      <c r="U919" s="123">
        <f>1811347+58666</f>
        <v>1870013</v>
      </c>
      <c r="V919" s="123">
        <f>T919-U919</f>
        <v>803843</v>
      </c>
      <c r="W919" s="122" t="str">
        <f>IF(V919+U919=T919,"1","0")</f>
        <v>1</v>
      </c>
      <c r="X919" s="123">
        <f>Y919+105037-AC919</f>
        <v>841437</v>
      </c>
      <c r="Y919" s="123">
        <f>AB919</f>
        <v>784400</v>
      </c>
      <c r="Z919" s="123">
        <f>X919-Y919</f>
        <v>57037</v>
      </c>
      <c r="AA919" s="122" t="str">
        <f>IF(Z919+Y919=X919,"1","0")</f>
        <v>1</v>
      </c>
      <c r="AB919" s="120">
        <f>SUM(AC919+AD919)</f>
        <v>784400</v>
      </c>
      <c r="AC919" s="123">
        <v>48000</v>
      </c>
      <c r="AD919" s="123">
        <v>736400</v>
      </c>
      <c r="AE919" s="123">
        <v>2236</v>
      </c>
      <c r="AG919" s="151">
        <f>AH919-AL919-AI919</f>
        <v>79734</v>
      </c>
      <c r="AH919" s="123">
        <f>79734+AI919+AL919</f>
        <v>123148</v>
      </c>
      <c r="AI919" s="123">
        <v>5734</v>
      </c>
      <c r="AJ919" s="123">
        <v>29819</v>
      </c>
      <c r="AL919" s="123">
        <v>37680</v>
      </c>
      <c r="AO919" s="123">
        <v>238555</v>
      </c>
    </row>
    <row r="920" spans="1:41" s="123" customFormat="1" ht="16.2" thickBot="1" x14ac:dyDescent="0.35">
      <c r="A920" s="21">
        <v>154.19999999999999</v>
      </c>
      <c r="B920" s="212" t="s">
        <v>273</v>
      </c>
      <c r="C920" s="31" t="str">
        <f>VLOOKUP((CONCATENATE(B920)),ID!$A$2:$D$305,3,0)</f>
        <v>OT042</v>
      </c>
      <c r="D920" s="21">
        <v>1</v>
      </c>
      <c r="E920" s="21" t="s">
        <v>3903</v>
      </c>
      <c r="F920" s="21" t="s">
        <v>1117</v>
      </c>
      <c r="G920" s="21" t="s">
        <v>3821</v>
      </c>
      <c r="H920" s="88">
        <v>4383</v>
      </c>
      <c r="I920" s="43">
        <v>4462</v>
      </c>
      <c r="J920" s="43">
        <v>4462</v>
      </c>
      <c r="K920" s="21">
        <v>1</v>
      </c>
      <c r="L920" s="43">
        <v>4475</v>
      </c>
      <c r="M920" s="43">
        <v>4489</v>
      </c>
      <c r="N920" s="43">
        <v>4476</v>
      </c>
      <c r="O920" s="21" t="s">
        <v>3932</v>
      </c>
      <c r="P920" s="194" t="str">
        <f t="shared" si="172"/>
        <v>1</v>
      </c>
      <c r="Q920" s="21">
        <v>1</v>
      </c>
      <c r="R920" s="39" t="str">
        <f t="shared" si="169"/>
        <v>-</v>
      </c>
      <c r="S920" s="120">
        <f t="shared" si="168"/>
        <v>1271670</v>
      </c>
      <c r="T920" s="123">
        <v>2141398</v>
      </c>
      <c r="U920" s="123">
        <f>1826576+65279</f>
        <v>1891855</v>
      </c>
      <c r="V920" s="123">
        <f t="shared" si="173"/>
        <v>249543</v>
      </c>
      <c r="W920" s="122" t="str">
        <f t="shared" si="174"/>
        <v>1</v>
      </c>
      <c r="X920" s="123">
        <f>706300+163428</f>
        <v>869728</v>
      </c>
      <c r="Y920" s="123">
        <f>AB920</f>
        <v>788300</v>
      </c>
      <c r="Z920" s="123">
        <f t="shared" si="175"/>
        <v>81428</v>
      </c>
      <c r="AA920" s="122" t="str">
        <f t="shared" si="176"/>
        <v>1</v>
      </c>
      <c r="AB920" s="120">
        <f t="shared" si="177"/>
        <v>788300</v>
      </c>
      <c r="AC920" s="123">
        <v>82000</v>
      </c>
      <c r="AD920" s="123">
        <v>706300</v>
      </c>
      <c r="AE920" s="123">
        <v>5710</v>
      </c>
      <c r="AG920" s="151">
        <f t="shared" si="171"/>
        <v>79832</v>
      </c>
      <c r="AH920" s="123">
        <f>79832+AI920+AL920</f>
        <v>122331</v>
      </c>
      <c r="AI920" s="123">
        <v>6278</v>
      </c>
      <c r="AJ920" s="123">
        <v>29819</v>
      </c>
      <c r="AL920" s="123">
        <v>36221</v>
      </c>
      <c r="AO920" s="123">
        <v>238555</v>
      </c>
    </row>
    <row r="921" spans="1:41" s="123" customFormat="1" ht="16.2" thickBot="1" x14ac:dyDescent="0.35">
      <c r="A921" s="21"/>
      <c r="B921" s="212" t="s">
        <v>273</v>
      </c>
      <c r="C921" s="31" t="str">
        <f>VLOOKUP((CONCATENATE(B921)),ID!$A$2:$D$305,3,0)</f>
        <v>OT042</v>
      </c>
      <c r="D921" s="21">
        <v>1</v>
      </c>
      <c r="E921" s="21" t="s">
        <v>3903</v>
      </c>
      <c r="F921" s="21" t="s">
        <v>1117</v>
      </c>
      <c r="G921" s="21" t="s">
        <v>3821</v>
      </c>
      <c r="H921" s="88">
        <v>4749</v>
      </c>
      <c r="I921" s="43">
        <v>4834</v>
      </c>
      <c r="J921" s="43">
        <v>4834</v>
      </c>
      <c r="K921" s="21">
        <v>1</v>
      </c>
      <c r="L921" s="43">
        <v>4840</v>
      </c>
      <c r="M921" s="43">
        <v>4854</v>
      </c>
      <c r="N921" s="43">
        <v>4854</v>
      </c>
      <c r="O921" s="21" t="s">
        <v>3932</v>
      </c>
      <c r="P921" s="194" t="str">
        <f t="shared" si="172"/>
        <v>1</v>
      </c>
      <c r="Q921" s="21">
        <v>1</v>
      </c>
      <c r="R921" s="39" t="str">
        <f t="shared" si="169"/>
        <v>-</v>
      </c>
      <c r="S921" s="120">
        <f t="shared" ref="S921:S980" si="178">T921-X921</f>
        <v>1280590</v>
      </c>
      <c r="T921" s="123">
        <v>2152138</v>
      </c>
      <c r="U921" s="123">
        <f>1836495+67702</f>
        <v>1904197</v>
      </c>
      <c r="V921" s="123">
        <f t="shared" si="173"/>
        <v>247941</v>
      </c>
      <c r="W921" s="122" t="str">
        <f t="shared" si="174"/>
        <v>1</v>
      </c>
      <c r="X921" s="123">
        <f>Y921+196748-AC921</f>
        <v>871548</v>
      </c>
      <c r="Y921" s="123">
        <f>AB921</f>
        <v>769800</v>
      </c>
      <c r="Z921" s="123">
        <f t="shared" si="175"/>
        <v>101748</v>
      </c>
      <c r="AA921" s="122" t="str">
        <f t="shared" si="176"/>
        <v>1</v>
      </c>
      <c r="AB921" s="120">
        <f t="shared" si="177"/>
        <v>769800</v>
      </c>
      <c r="AC921" s="123">
        <v>95000</v>
      </c>
      <c r="AD921" s="123">
        <v>674800</v>
      </c>
      <c r="AE921" s="123">
        <v>3665</v>
      </c>
      <c r="AG921" s="151">
        <f t="shared" si="171"/>
        <v>88558</v>
      </c>
      <c r="AH921" s="123">
        <f>88558+AI921+AL921</f>
        <v>130047</v>
      </c>
      <c r="AI921" s="123">
        <v>6799</v>
      </c>
      <c r="AJ921" s="123">
        <v>29819</v>
      </c>
      <c r="AL921" s="123">
        <v>34690</v>
      </c>
      <c r="AO921" s="123">
        <v>238555</v>
      </c>
    </row>
    <row r="922" spans="1:41" s="123" customFormat="1" ht="16.2" thickBot="1" x14ac:dyDescent="0.35">
      <c r="A922" s="21"/>
      <c r="B922" s="212" t="s">
        <v>273</v>
      </c>
      <c r="C922" s="31" t="str">
        <f>VLOOKUP((CONCATENATE(B922)),ID!$A$2:$D$305,3,0)</f>
        <v>OT042</v>
      </c>
      <c r="D922" s="21">
        <v>1</v>
      </c>
      <c r="E922" s="21" t="s">
        <v>3903</v>
      </c>
      <c r="F922" s="21" t="s">
        <v>1117</v>
      </c>
      <c r="G922" s="21" t="s">
        <v>3821</v>
      </c>
      <c r="H922" s="88">
        <v>5114</v>
      </c>
      <c r="I922" s="43">
        <v>5204</v>
      </c>
      <c r="J922" s="43">
        <v>5204</v>
      </c>
      <c r="K922" s="21">
        <v>1</v>
      </c>
      <c r="L922" s="43">
        <v>5206</v>
      </c>
      <c r="M922" s="43">
        <v>5220</v>
      </c>
      <c r="N922" s="43">
        <v>5219</v>
      </c>
      <c r="O922" s="21" t="s">
        <v>3932</v>
      </c>
      <c r="P922" s="194" t="str">
        <f t="shared" si="172"/>
        <v>1</v>
      </c>
      <c r="Q922" s="21">
        <v>1</v>
      </c>
      <c r="R922" s="39" t="str">
        <f t="shared" si="169"/>
        <v>-</v>
      </c>
      <c r="S922" s="120">
        <f t="shared" si="178"/>
        <v>1332169</v>
      </c>
      <c r="T922" s="123">
        <v>2206431</v>
      </c>
      <c r="U922" s="123">
        <f>1878683+72657</f>
        <v>1951340</v>
      </c>
      <c r="V922" s="123">
        <f t="shared" si="173"/>
        <v>255091</v>
      </c>
      <c r="W922" s="122" t="str">
        <f t="shared" si="174"/>
        <v>1</v>
      </c>
      <c r="X922" s="123">
        <f>641100+233162</f>
        <v>874262</v>
      </c>
      <c r="Y922" s="123">
        <f>AB922</f>
        <v>733100</v>
      </c>
      <c r="Z922" s="123">
        <f t="shared" si="175"/>
        <v>141162</v>
      </c>
      <c r="AA922" s="122" t="str">
        <f t="shared" si="176"/>
        <v>1</v>
      </c>
      <c r="AB922" s="120">
        <f t="shared" si="177"/>
        <v>733100</v>
      </c>
      <c r="AC922" s="123">
        <v>92000</v>
      </c>
      <c r="AD922" s="123">
        <v>641100</v>
      </c>
      <c r="AE922" s="123">
        <v>5100</v>
      </c>
      <c r="AG922" s="151">
        <f t="shared" si="171"/>
        <v>111217</v>
      </c>
      <c r="AH922" s="123">
        <f>111217+AI922+AL922</f>
        <v>151521</v>
      </c>
      <c r="AI922" s="123">
        <v>7225</v>
      </c>
      <c r="AJ922" s="123">
        <v>29819</v>
      </c>
      <c r="AL922" s="123">
        <v>33079</v>
      </c>
      <c r="AO922" s="123">
        <v>238555</v>
      </c>
    </row>
    <row r="923" spans="1:41" s="123" customFormat="1" ht="16.2" thickBot="1" x14ac:dyDescent="0.35">
      <c r="A923" s="21"/>
      <c r="B923" s="212" t="s">
        <v>278</v>
      </c>
      <c r="C923" s="31" t="str">
        <f>VLOOKUP((CONCATENATE(B923)),ID!$A$2:$D$305,3,0)</f>
        <v>OT043</v>
      </c>
      <c r="D923" s="21">
        <v>0</v>
      </c>
      <c r="E923" s="21" t="s">
        <v>3903</v>
      </c>
      <c r="F923" s="21" t="s">
        <v>3812</v>
      </c>
      <c r="G923" s="21" t="s">
        <v>3853</v>
      </c>
      <c r="H923" s="88">
        <v>3653</v>
      </c>
      <c r="I923" s="43">
        <v>3681</v>
      </c>
      <c r="J923" s="43">
        <v>3678</v>
      </c>
      <c r="K923" s="21">
        <v>1</v>
      </c>
      <c r="L923" s="43">
        <v>3681</v>
      </c>
      <c r="M923" s="43">
        <v>3694</v>
      </c>
      <c r="N923" s="43">
        <v>3695</v>
      </c>
      <c r="O923" s="21" t="s">
        <v>3843</v>
      </c>
      <c r="P923" s="194">
        <v>1</v>
      </c>
      <c r="Q923" s="21">
        <v>1</v>
      </c>
      <c r="R923" s="39" t="str">
        <f t="shared" si="169"/>
        <v>-</v>
      </c>
      <c r="S923" s="120">
        <f t="shared" si="178"/>
        <v>2288330</v>
      </c>
      <c r="T923" s="123">
        <v>3912084</v>
      </c>
      <c r="U923" s="123">
        <f>735185</f>
        <v>735185</v>
      </c>
      <c r="V923" s="123">
        <f t="shared" si="173"/>
        <v>3176899</v>
      </c>
      <c r="W923" s="122" t="str">
        <f t="shared" si="174"/>
        <v>1</v>
      </c>
      <c r="X923" s="123">
        <f>719479+600000+304275</f>
        <v>1623754</v>
      </c>
      <c r="Y923" s="123">
        <v>600000</v>
      </c>
      <c r="Z923" s="123">
        <f t="shared" si="175"/>
        <v>1023754</v>
      </c>
      <c r="AA923" s="122" t="str">
        <f t="shared" si="176"/>
        <v>1</v>
      </c>
      <c r="AB923" s="120">
        <f t="shared" si="177"/>
        <v>600000</v>
      </c>
      <c r="AC923" s="123">
        <v>0</v>
      </c>
      <c r="AD923" s="123">
        <f t="shared" ref="AD923:AD932" si="179">Y923</f>
        <v>600000</v>
      </c>
      <c r="AG923" s="151">
        <f t="shared" si="171"/>
        <v>80793</v>
      </c>
      <c r="AH923" s="123">
        <v>85168</v>
      </c>
      <c r="AI923" s="123">
        <v>4375</v>
      </c>
      <c r="AO923" s="123">
        <v>100000</v>
      </c>
    </row>
    <row r="924" spans="1:41" s="123" customFormat="1" ht="16.2" thickBot="1" x14ac:dyDescent="0.35">
      <c r="A924" s="21">
        <v>155.1</v>
      </c>
      <c r="B924" s="212" t="s">
        <v>278</v>
      </c>
      <c r="C924" s="31" t="str">
        <f>VLOOKUP((CONCATENATE(B924)),ID!$A$2:$D$305,3,0)</f>
        <v>OT043</v>
      </c>
      <c r="D924" s="21">
        <v>0</v>
      </c>
      <c r="E924" s="21" t="s">
        <v>3903</v>
      </c>
      <c r="F924" s="21" t="s">
        <v>3812</v>
      </c>
      <c r="G924" s="21" t="s">
        <v>3853</v>
      </c>
      <c r="H924" s="88">
        <v>3834</v>
      </c>
      <c r="I924" s="43">
        <v>3863</v>
      </c>
      <c r="J924" s="43">
        <v>3863</v>
      </c>
      <c r="K924" s="21">
        <v>1</v>
      </c>
      <c r="L924" s="43">
        <v>3854</v>
      </c>
      <c r="M924" s="43">
        <v>3876</v>
      </c>
      <c r="N924" s="43">
        <v>3877</v>
      </c>
      <c r="O924" s="21" t="s">
        <v>3843</v>
      </c>
      <c r="P924" s="194">
        <v>1</v>
      </c>
      <c r="Q924" s="21">
        <v>1</v>
      </c>
      <c r="R924" s="39" t="str">
        <f t="shared" si="169"/>
        <v>-</v>
      </c>
      <c r="S924" s="120">
        <f t="shared" si="178"/>
        <v>2303539</v>
      </c>
      <c r="T924" s="123">
        <v>3939304</v>
      </c>
      <c r="U924" s="123">
        <f>730816</f>
        <v>730816</v>
      </c>
      <c r="V924" s="123">
        <f t="shared" si="173"/>
        <v>3208488</v>
      </c>
      <c r="W924" s="122" t="str">
        <f t="shared" si="174"/>
        <v>1</v>
      </c>
      <c r="X924" s="123">
        <f>304275+600000+731490</f>
        <v>1635765</v>
      </c>
      <c r="Y924" s="123">
        <v>600000</v>
      </c>
      <c r="Z924" s="123">
        <f t="shared" si="175"/>
        <v>1035765</v>
      </c>
      <c r="AA924" s="122" t="str">
        <f t="shared" si="176"/>
        <v>1</v>
      </c>
      <c r="AB924" s="120">
        <f t="shared" si="177"/>
        <v>600000</v>
      </c>
      <c r="AC924" s="123">
        <v>0</v>
      </c>
      <c r="AD924" s="123">
        <f t="shared" si="179"/>
        <v>600000</v>
      </c>
      <c r="AG924" s="151">
        <f t="shared" si="171"/>
        <v>74929</v>
      </c>
      <c r="AH924" s="123">
        <v>79304</v>
      </c>
      <c r="AI924" s="123">
        <v>4375</v>
      </c>
      <c r="AO924" s="123">
        <f t="shared" ref="AO924:AO932" si="180">1500000/15</f>
        <v>100000</v>
      </c>
    </row>
    <row r="925" spans="1:41" s="123" customFormat="1" ht="16.2" thickBot="1" x14ac:dyDescent="0.35">
      <c r="A925" s="21"/>
      <c r="B925" s="212" t="s">
        <v>278</v>
      </c>
      <c r="C925" s="31" t="str">
        <f>VLOOKUP((CONCATENATE(B925)),ID!$A$2:$D$305,3,0)</f>
        <v>OT043</v>
      </c>
      <c r="D925" s="21">
        <v>0</v>
      </c>
      <c r="E925" s="21" t="s">
        <v>3903</v>
      </c>
      <c r="F925" s="21" t="s">
        <v>3812</v>
      </c>
      <c r="G925" s="21" t="s">
        <v>3853</v>
      </c>
      <c r="H925" s="88">
        <v>4018</v>
      </c>
      <c r="I925" s="43">
        <v>4045</v>
      </c>
      <c r="J925" s="43">
        <v>4045</v>
      </c>
      <c r="K925" s="21">
        <v>1</v>
      </c>
      <c r="L925" s="43">
        <v>4045</v>
      </c>
      <c r="M925" s="43">
        <v>4054</v>
      </c>
      <c r="N925" s="43">
        <v>4059</v>
      </c>
      <c r="O925" s="21" t="s">
        <v>3843</v>
      </c>
      <c r="P925" s="194">
        <v>1</v>
      </c>
      <c r="Q925" s="21">
        <v>1</v>
      </c>
      <c r="R925" s="39" t="str">
        <f t="shared" si="169"/>
        <v>-</v>
      </c>
      <c r="S925" s="120">
        <f t="shared" si="178"/>
        <v>2295023</v>
      </c>
      <c r="T925" s="123">
        <v>3841625</v>
      </c>
      <c r="U925" s="123">
        <v>720517</v>
      </c>
      <c r="V925" s="123">
        <f t="shared" si="173"/>
        <v>3121108</v>
      </c>
      <c r="W925" s="122" t="str">
        <f t="shared" si="174"/>
        <v>1</v>
      </c>
      <c r="X925" s="123">
        <f>642327+600000+304275</f>
        <v>1546602</v>
      </c>
      <c r="Y925" s="123">
        <v>600000</v>
      </c>
      <c r="Z925" s="123">
        <f t="shared" si="175"/>
        <v>946602</v>
      </c>
      <c r="AA925" s="122" t="str">
        <f t="shared" si="176"/>
        <v>1</v>
      </c>
      <c r="AB925" s="120">
        <f t="shared" si="177"/>
        <v>600000</v>
      </c>
      <c r="AC925" s="123">
        <v>0</v>
      </c>
      <c r="AD925" s="123">
        <f t="shared" si="179"/>
        <v>600000</v>
      </c>
      <c r="AG925" s="151">
        <f t="shared" si="171"/>
        <v>64264</v>
      </c>
      <c r="AH925" s="123">
        <v>68639</v>
      </c>
      <c r="AI925" s="123">
        <v>4375</v>
      </c>
      <c r="AO925" s="123">
        <f t="shared" si="180"/>
        <v>100000</v>
      </c>
    </row>
    <row r="926" spans="1:41" s="123" customFormat="1" ht="16.2" thickBot="1" x14ac:dyDescent="0.35">
      <c r="A926" s="21">
        <v>155.19999999999999</v>
      </c>
      <c r="B926" s="212" t="s">
        <v>278</v>
      </c>
      <c r="C926" s="31" t="str">
        <f>VLOOKUP((CONCATENATE(B926)),ID!$A$2:$D$305,3,0)</f>
        <v>OT043</v>
      </c>
      <c r="D926" s="21">
        <v>0</v>
      </c>
      <c r="E926" s="21" t="s">
        <v>3903</v>
      </c>
      <c r="F926" s="21" t="s">
        <v>3812</v>
      </c>
      <c r="G926" s="21" t="s">
        <v>3853</v>
      </c>
      <c r="H926" s="88">
        <v>4199</v>
      </c>
      <c r="I926" s="43">
        <v>4227</v>
      </c>
      <c r="J926" s="43">
        <v>4227</v>
      </c>
      <c r="K926" s="21">
        <v>1</v>
      </c>
      <c r="L926" s="43">
        <v>4227</v>
      </c>
      <c r="M926" s="43">
        <v>4240</v>
      </c>
      <c r="N926" s="43">
        <v>4241</v>
      </c>
      <c r="O926" s="21" t="s">
        <v>3843</v>
      </c>
      <c r="P926" s="194">
        <v>1</v>
      </c>
      <c r="Q926" s="21">
        <v>1</v>
      </c>
      <c r="R926" s="39" t="str">
        <f t="shared" si="169"/>
        <v>-</v>
      </c>
      <c r="S926" s="120">
        <f t="shared" si="178"/>
        <v>2309774</v>
      </c>
      <c r="T926" s="123">
        <v>3945539</v>
      </c>
      <c r="U926" s="123">
        <f>716265</f>
        <v>716265</v>
      </c>
      <c r="V926" s="123">
        <f t="shared" si="173"/>
        <v>3229274</v>
      </c>
      <c r="W926" s="122" t="str">
        <f t="shared" si="174"/>
        <v>1</v>
      </c>
      <c r="X926" s="123">
        <f>Y926+731490+304275</f>
        <v>1635765</v>
      </c>
      <c r="Y926" s="123">
        <v>600000</v>
      </c>
      <c r="Z926" s="123">
        <f t="shared" si="175"/>
        <v>1035765</v>
      </c>
      <c r="AA926" s="122" t="str">
        <f t="shared" si="176"/>
        <v>1</v>
      </c>
      <c r="AB926" s="120">
        <f t="shared" si="177"/>
        <v>600000</v>
      </c>
      <c r="AC926" s="123">
        <v>0</v>
      </c>
      <c r="AD926" s="123">
        <f t="shared" si="179"/>
        <v>600000</v>
      </c>
      <c r="AG926" s="151">
        <f t="shared" si="171"/>
        <v>80999</v>
      </c>
      <c r="AH926" s="123">
        <v>85374</v>
      </c>
      <c r="AI926" s="123">
        <v>4375</v>
      </c>
      <c r="AO926" s="123">
        <f t="shared" si="180"/>
        <v>100000</v>
      </c>
    </row>
    <row r="927" spans="1:41" s="123" customFormat="1" ht="16.2" thickBot="1" x14ac:dyDescent="0.35">
      <c r="A927" s="21"/>
      <c r="B927" s="212" t="s">
        <v>278</v>
      </c>
      <c r="C927" s="31" t="str">
        <f>VLOOKUP((CONCATENATE(B927)),ID!$A$2:$D$305,3,0)</f>
        <v>OT043</v>
      </c>
      <c r="D927" s="21">
        <v>0</v>
      </c>
      <c r="E927" s="21" t="s">
        <v>3903</v>
      </c>
      <c r="F927" s="21" t="s">
        <v>3812</v>
      </c>
      <c r="G927" s="21" t="s">
        <v>3853</v>
      </c>
      <c r="H927" s="88">
        <v>4383</v>
      </c>
      <c r="I927" s="43">
        <v>4411</v>
      </c>
      <c r="J927" s="43">
        <v>4409</v>
      </c>
      <c r="K927" s="21">
        <v>1</v>
      </c>
      <c r="L927" s="43">
        <v>4411</v>
      </c>
      <c r="M927" s="43">
        <v>4423</v>
      </c>
      <c r="N927" s="43">
        <v>4423</v>
      </c>
      <c r="O927" s="21" t="s">
        <v>3843</v>
      </c>
      <c r="P927" s="194">
        <v>1</v>
      </c>
      <c r="Q927" s="21">
        <v>1</v>
      </c>
      <c r="R927" s="39" t="str">
        <f t="shared" ref="R927:R990" si="181">IF(Q927=0,"?","-")</f>
        <v>-</v>
      </c>
      <c r="S927" s="120">
        <f t="shared" si="178"/>
        <v>2305819</v>
      </c>
      <c r="T927" s="123">
        <v>3896985</v>
      </c>
      <c r="U927" s="123">
        <v>708943</v>
      </c>
      <c r="V927" s="123">
        <f t="shared" si="173"/>
        <v>3188042</v>
      </c>
      <c r="W927" s="122" t="str">
        <f t="shared" si="174"/>
        <v>1</v>
      </c>
      <c r="X927" s="123">
        <f>Y927+686891+304275</f>
        <v>1591166</v>
      </c>
      <c r="Y927" s="123">
        <v>600000</v>
      </c>
      <c r="Z927" s="123">
        <f t="shared" si="175"/>
        <v>991166</v>
      </c>
      <c r="AA927" s="122" t="str">
        <f t="shared" si="176"/>
        <v>1</v>
      </c>
      <c r="AB927" s="120">
        <f t="shared" si="177"/>
        <v>600000</v>
      </c>
      <c r="AC927" s="123">
        <v>0</v>
      </c>
      <c r="AD927" s="123">
        <f t="shared" si="179"/>
        <v>600000</v>
      </c>
      <c r="AG927" s="151">
        <f t="shared" si="171"/>
        <v>62295</v>
      </c>
      <c r="AH927" s="123">
        <v>66670</v>
      </c>
      <c r="AI927" s="123">
        <v>4375</v>
      </c>
      <c r="AO927" s="123">
        <f t="shared" si="180"/>
        <v>100000</v>
      </c>
    </row>
    <row r="928" spans="1:41" s="123" customFormat="1" ht="16.2" thickBot="1" x14ac:dyDescent="0.35">
      <c r="A928" s="21"/>
      <c r="B928" s="212" t="s">
        <v>278</v>
      </c>
      <c r="C928" s="31" t="str">
        <f>VLOOKUP((CONCATENATE(B928)),ID!$A$2:$D$305,3,0)</f>
        <v>OT043</v>
      </c>
      <c r="D928" s="21">
        <v>0</v>
      </c>
      <c r="E928" s="21" t="s">
        <v>3903</v>
      </c>
      <c r="F928" s="21" t="s">
        <v>3812</v>
      </c>
      <c r="G928" s="21" t="s">
        <v>3853</v>
      </c>
      <c r="H928" s="88">
        <v>4565</v>
      </c>
      <c r="I928" s="43">
        <v>4591</v>
      </c>
      <c r="J928" s="43">
        <v>4591</v>
      </c>
      <c r="K928" s="21">
        <v>1</v>
      </c>
      <c r="L928" s="43">
        <v>4593</v>
      </c>
      <c r="M928" s="43">
        <v>4604</v>
      </c>
      <c r="N928" s="43">
        <v>4605</v>
      </c>
      <c r="O928" s="21" t="s">
        <v>3843</v>
      </c>
      <c r="P928" s="194">
        <v>1</v>
      </c>
      <c r="Q928" s="21">
        <v>1</v>
      </c>
      <c r="R928" s="39" t="str">
        <f t="shared" si="181"/>
        <v>-</v>
      </c>
      <c r="S928" s="120">
        <f t="shared" si="178"/>
        <v>2334323</v>
      </c>
      <c r="T928" s="123">
        <v>3962392</v>
      </c>
      <c r="U928" s="123">
        <v>699687</v>
      </c>
      <c r="V928" s="123">
        <f t="shared" si="173"/>
        <v>3262705</v>
      </c>
      <c r="W928" s="122" t="str">
        <f t="shared" si="174"/>
        <v>1</v>
      </c>
      <c r="X928" s="123">
        <f>Y928+723794+304275</f>
        <v>1628069</v>
      </c>
      <c r="Y928" s="123">
        <v>600000</v>
      </c>
      <c r="Z928" s="123">
        <f t="shared" si="175"/>
        <v>1028069</v>
      </c>
      <c r="AA928" s="122" t="str">
        <f t="shared" si="176"/>
        <v>1</v>
      </c>
      <c r="AB928" s="120">
        <f t="shared" si="177"/>
        <v>600000</v>
      </c>
      <c r="AC928" s="123">
        <v>0</v>
      </c>
      <c r="AD928" s="123">
        <f t="shared" si="179"/>
        <v>600000</v>
      </c>
      <c r="AG928" s="151">
        <f t="shared" si="171"/>
        <v>94753</v>
      </c>
      <c r="AH928" s="123">
        <v>99128</v>
      </c>
      <c r="AI928" s="123">
        <v>4375</v>
      </c>
      <c r="AO928" s="123">
        <f t="shared" si="180"/>
        <v>100000</v>
      </c>
    </row>
    <row r="929" spans="1:41" s="123" customFormat="1" ht="16.2" thickBot="1" x14ac:dyDescent="0.35">
      <c r="A929" s="21"/>
      <c r="B929" s="212" t="s">
        <v>278</v>
      </c>
      <c r="C929" s="31" t="str">
        <f>VLOOKUP((CONCATENATE(B929)),ID!$A$2:$D$305,3,0)</f>
        <v>OT043</v>
      </c>
      <c r="D929" s="21">
        <v>0</v>
      </c>
      <c r="E929" s="21" t="s">
        <v>3903</v>
      </c>
      <c r="F929" s="21" t="s">
        <v>3812</v>
      </c>
      <c r="G929" s="21" t="s">
        <v>3853</v>
      </c>
      <c r="H929" s="88">
        <v>4749</v>
      </c>
      <c r="I929" s="43">
        <v>4773</v>
      </c>
      <c r="J929" s="43">
        <v>4773</v>
      </c>
      <c r="K929" s="21">
        <v>1</v>
      </c>
      <c r="L929" s="43">
        <v>4773</v>
      </c>
      <c r="M929" s="43">
        <v>4786</v>
      </c>
      <c r="N929" s="43">
        <v>4786</v>
      </c>
      <c r="O929" s="21" t="s">
        <v>3843</v>
      </c>
      <c r="P929" s="194">
        <v>1</v>
      </c>
      <c r="Q929" s="21">
        <v>1</v>
      </c>
      <c r="R929" s="39" t="str">
        <f t="shared" si="181"/>
        <v>-</v>
      </c>
      <c r="S929" s="120">
        <f t="shared" si="178"/>
        <v>2351407</v>
      </c>
      <c r="T929" s="123">
        <v>3937073</v>
      </c>
      <c r="U929" s="123">
        <v>686941</v>
      </c>
      <c r="V929" s="123">
        <f t="shared" si="173"/>
        <v>3250132</v>
      </c>
      <c r="W929" s="122" t="str">
        <f t="shared" si="174"/>
        <v>1</v>
      </c>
      <c r="X929" s="123">
        <f>Y929+681391+304275</f>
        <v>1585666</v>
      </c>
      <c r="Y929" s="123">
        <v>600000</v>
      </c>
      <c r="Z929" s="123">
        <f t="shared" si="175"/>
        <v>985666</v>
      </c>
      <c r="AA929" s="122" t="str">
        <f t="shared" si="176"/>
        <v>1</v>
      </c>
      <c r="AB929" s="120">
        <f t="shared" si="177"/>
        <v>600000</v>
      </c>
      <c r="AC929" s="123">
        <v>0</v>
      </c>
      <c r="AD929" s="123">
        <f t="shared" si="179"/>
        <v>600000</v>
      </c>
      <c r="AG929" s="151">
        <f t="shared" si="171"/>
        <v>83334</v>
      </c>
      <c r="AH929" s="123">
        <v>87709</v>
      </c>
      <c r="AI929" s="123">
        <v>4375</v>
      </c>
      <c r="AO929" s="123">
        <f t="shared" si="180"/>
        <v>100000</v>
      </c>
    </row>
    <row r="930" spans="1:41" s="123" customFormat="1" ht="16.2" thickBot="1" x14ac:dyDescent="0.35">
      <c r="A930" s="21"/>
      <c r="B930" s="212" t="s">
        <v>278</v>
      </c>
      <c r="C930" s="31" t="str">
        <f>VLOOKUP((CONCATENATE(B930)),ID!$A$2:$D$305,3,0)</f>
        <v>OT043</v>
      </c>
      <c r="D930" s="21">
        <v>0</v>
      </c>
      <c r="E930" s="21" t="s">
        <v>3903</v>
      </c>
      <c r="F930" s="21" t="s">
        <v>3812</v>
      </c>
      <c r="G930" s="21" t="s">
        <v>3853</v>
      </c>
      <c r="H930" s="88">
        <v>4930</v>
      </c>
      <c r="I930" s="43">
        <v>4955</v>
      </c>
      <c r="J930" s="43">
        <v>4955</v>
      </c>
      <c r="K930" s="21">
        <v>1</v>
      </c>
      <c r="L930" s="43">
        <v>4955</v>
      </c>
      <c r="M930" s="43">
        <v>4968</v>
      </c>
      <c r="N930" s="43">
        <v>4969</v>
      </c>
      <c r="O930" s="21" t="s">
        <v>3843</v>
      </c>
      <c r="P930" s="194">
        <v>1</v>
      </c>
      <c r="Q930" s="21">
        <v>1</v>
      </c>
      <c r="R930" s="39" t="str">
        <f t="shared" si="181"/>
        <v>-</v>
      </c>
      <c r="S930" s="120">
        <f t="shared" si="178"/>
        <v>2378409</v>
      </c>
      <c r="T930" s="123">
        <v>4059911</v>
      </c>
      <c r="U930" s="123">
        <v>679351</v>
      </c>
      <c r="V930" s="123">
        <f t="shared" si="173"/>
        <v>3380560</v>
      </c>
      <c r="W930" s="122" t="str">
        <f t="shared" si="174"/>
        <v>1</v>
      </c>
      <c r="X930" s="123">
        <f>Y930+777227+304275</f>
        <v>1681502</v>
      </c>
      <c r="Y930" s="123">
        <v>600000</v>
      </c>
      <c r="Z930" s="123">
        <f t="shared" si="175"/>
        <v>1081502</v>
      </c>
      <c r="AA930" s="122" t="str">
        <f t="shared" si="176"/>
        <v>1</v>
      </c>
      <c r="AB930" s="120">
        <f t="shared" si="177"/>
        <v>600000</v>
      </c>
      <c r="AC930" s="123">
        <v>0</v>
      </c>
      <c r="AD930" s="123">
        <f t="shared" si="179"/>
        <v>600000</v>
      </c>
      <c r="AG930" s="151">
        <f t="shared" si="171"/>
        <v>93251</v>
      </c>
      <c r="AH930" s="123">
        <v>97626</v>
      </c>
      <c r="AI930" s="123">
        <v>4375</v>
      </c>
      <c r="AO930" s="123">
        <f t="shared" si="180"/>
        <v>100000</v>
      </c>
    </row>
    <row r="931" spans="1:41" s="123" customFormat="1" ht="16.2" thickBot="1" x14ac:dyDescent="0.35">
      <c r="A931" s="21"/>
      <c r="B931" s="212" t="s">
        <v>278</v>
      </c>
      <c r="C931" s="31" t="str">
        <f>VLOOKUP((CONCATENATE(B931)),ID!$A$2:$D$305,3,0)</f>
        <v>OT043</v>
      </c>
      <c r="D931" s="21">
        <v>0</v>
      </c>
      <c r="E931" s="21" t="s">
        <v>3903</v>
      </c>
      <c r="F931" s="21" t="s">
        <v>3812</v>
      </c>
      <c r="G931" s="21" t="s">
        <v>3853</v>
      </c>
      <c r="H931" s="88">
        <v>5114</v>
      </c>
      <c r="I931" s="43">
        <v>5137</v>
      </c>
      <c r="J931" s="43">
        <v>5143</v>
      </c>
      <c r="K931" s="21">
        <v>1</v>
      </c>
      <c r="L931" s="43">
        <v>5137</v>
      </c>
      <c r="M931" s="43">
        <v>5150</v>
      </c>
      <c r="N931" s="43">
        <v>5151</v>
      </c>
      <c r="O931" s="21" t="s">
        <v>3843</v>
      </c>
      <c r="P931" s="194">
        <v>1</v>
      </c>
      <c r="Q931" s="21">
        <v>1</v>
      </c>
      <c r="R931" s="39" t="str">
        <f t="shared" si="181"/>
        <v>-</v>
      </c>
      <c r="S931" s="120">
        <f t="shared" si="178"/>
        <v>2374090</v>
      </c>
      <c r="T931" s="123">
        <v>3936345</v>
      </c>
      <c r="U931" s="123">
        <v>671664</v>
      </c>
      <c r="V931" s="123">
        <f t="shared" si="173"/>
        <v>3264681</v>
      </c>
      <c r="W931" s="122" t="str">
        <f t="shared" si="174"/>
        <v>1</v>
      </c>
      <c r="X931" s="123">
        <f>Y931+657980+304275</f>
        <v>1562255</v>
      </c>
      <c r="Y931" s="123">
        <v>600000</v>
      </c>
      <c r="Z931" s="123">
        <f t="shared" si="175"/>
        <v>962255</v>
      </c>
      <c r="AA931" s="122" t="str">
        <f t="shared" si="176"/>
        <v>1</v>
      </c>
      <c r="AB931" s="120">
        <f t="shared" si="177"/>
        <v>600000</v>
      </c>
      <c r="AC931" s="123">
        <v>0</v>
      </c>
      <c r="AD931" s="123">
        <f t="shared" si="179"/>
        <v>600000</v>
      </c>
      <c r="AG931" s="151">
        <f t="shared" si="171"/>
        <v>61930</v>
      </c>
      <c r="AH931" s="123">
        <v>66305</v>
      </c>
      <c r="AI931" s="123">
        <v>4375</v>
      </c>
      <c r="AO931" s="123">
        <f t="shared" si="180"/>
        <v>100000</v>
      </c>
    </row>
    <row r="932" spans="1:41" s="123" customFormat="1" ht="16.2" thickBot="1" x14ac:dyDescent="0.35">
      <c r="A932" s="21"/>
      <c r="B932" s="212" t="s">
        <v>278</v>
      </c>
      <c r="C932" s="31" t="str">
        <f>VLOOKUP((CONCATENATE(B932)),ID!$A$2:$D$305,3,0)</f>
        <v>OT043</v>
      </c>
      <c r="D932" s="21">
        <v>0</v>
      </c>
      <c r="E932" s="21" t="s">
        <v>3903</v>
      </c>
      <c r="F932" s="21" t="s">
        <v>3812</v>
      </c>
      <c r="G932" s="21" t="s">
        <v>3853</v>
      </c>
      <c r="H932" s="88">
        <v>5295</v>
      </c>
      <c r="I932" s="43">
        <v>5319</v>
      </c>
      <c r="J932" s="43">
        <v>5317</v>
      </c>
      <c r="K932" s="21">
        <v>1</v>
      </c>
      <c r="L932" s="43">
        <v>5319</v>
      </c>
      <c r="M932" s="43">
        <v>5332</v>
      </c>
      <c r="N932" s="43">
        <v>5333</v>
      </c>
      <c r="O932" s="21" t="s">
        <v>3843</v>
      </c>
      <c r="P932" s="194">
        <v>1</v>
      </c>
      <c r="Q932" s="21">
        <v>1</v>
      </c>
      <c r="R932" s="39" t="str">
        <f t="shared" si="181"/>
        <v>-</v>
      </c>
      <c r="S932" s="120">
        <f t="shared" si="178"/>
        <v>1785414</v>
      </c>
      <c r="T932" s="123">
        <v>3963142</v>
      </c>
      <c r="U932" s="123">
        <v>662585</v>
      </c>
      <c r="V932" s="123">
        <f t="shared" si="173"/>
        <v>3300557</v>
      </c>
      <c r="W932" s="122" t="str">
        <f t="shared" si="174"/>
        <v>1</v>
      </c>
      <c r="X932" s="123">
        <f>Y932+304275+300000+973453</f>
        <v>2177728</v>
      </c>
      <c r="Y932" s="123">
        <v>600000</v>
      </c>
      <c r="Z932" s="123">
        <f t="shared" si="175"/>
        <v>1577728</v>
      </c>
      <c r="AA932" s="122" t="str">
        <f t="shared" si="176"/>
        <v>1</v>
      </c>
      <c r="AB932" s="120">
        <f t="shared" si="177"/>
        <v>600000</v>
      </c>
      <c r="AC932" s="123">
        <v>0</v>
      </c>
      <c r="AD932" s="123">
        <f t="shared" si="179"/>
        <v>600000</v>
      </c>
      <c r="AG932" s="151">
        <v>81949</v>
      </c>
      <c r="AH932" s="123">
        <v>4531</v>
      </c>
      <c r="AO932" s="123">
        <f t="shared" si="180"/>
        <v>100000</v>
      </c>
    </row>
    <row r="933" spans="1:41" s="123" customFormat="1" ht="16.2" thickBot="1" x14ac:dyDescent="0.35">
      <c r="A933" s="21"/>
      <c r="B933" s="212" t="s">
        <v>279</v>
      </c>
      <c r="C933" s="31" t="str">
        <f>VLOOKUP((CONCATENATE(B933)),ID!$A$2:$D$305,3,0)</f>
        <v>OT044</v>
      </c>
      <c r="D933" s="21">
        <v>1</v>
      </c>
      <c r="E933" s="21" t="s">
        <v>3903</v>
      </c>
      <c r="F933" s="21" t="s">
        <v>3861</v>
      </c>
      <c r="G933" s="21" t="s">
        <v>3853</v>
      </c>
      <c r="H933" s="88">
        <v>3653</v>
      </c>
      <c r="I933" s="43">
        <v>3720</v>
      </c>
      <c r="J933" s="43">
        <v>3721</v>
      </c>
      <c r="K933" s="21">
        <v>1</v>
      </c>
      <c r="L933" s="43">
        <v>3720</v>
      </c>
      <c r="M933" s="43">
        <v>3730</v>
      </c>
      <c r="N933" s="43">
        <v>3730</v>
      </c>
      <c r="O933" s="21" t="s">
        <v>3872</v>
      </c>
      <c r="P933" s="194">
        <v>1</v>
      </c>
      <c r="Q933" s="21">
        <v>1</v>
      </c>
      <c r="R933" s="39" t="str">
        <f t="shared" si="181"/>
        <v>-</v>
      </c>
      <c r="S933" s="120">
        <f t="shared" si="178"/>
        <v>1601584</v>
      </c>
      <c r="T933" s="123">
        <v>2906790</v>
      </c>
      <c r="U933" s="123">
        <f>2110740+138336+4242+4399+208360+79507</f>
        <v>2545584</v>
      </c>
      <c r="V933" s="123">
        <f t="shared" si="173"/>
        <v>361206</v>
      </c>
      <c r="W933" s="122" t="str">
        <f t="shared" si="174"/>
        <v>1</v>
      </c>
      <c r="X933" s="123">
        <f>Y933+105206</f>
        <v>1305206</v>
      </c>
      <c r="Y933" s="123">
        <f>AB933</f>
        <v>1200000</v>
      </c>
      <c r="Z933" s="123">
        <f t="shared" si="175"/>
        <v>105206</v>
      </c>
      <c r="AA933" s="122" t="str">
        <f t="shared" si="176"/>
        <v>1</v>
      </c>
      <c r="AB933" s="120">
        <f t="shared" si="177"/>
        <v>1200000</v>
      </c>
      <c r="AC933" s="123">
        <v>0</v>
      </c>
      <c r="AD933" s="123">
        <v>1200000</v>
      </c>
      <c r="AE933" s="123">
        <v>68549</v>
      </c>
      <c r="AG933" s="151">
        <f t="shared" si="171"/>
        <v>46438</v>
      </c>
      <c r="AH933" s="123">
        <v>100438</v>
      </c>
      <c r="AL933" s="123">
        <v>54000</v>
      </c>
      <c r="AM933" s="123">
        <v>179395</v>
      </c>
      <c r="AO933" s="123">
        <v>300000</v>
      </c>
    </row>
    <row r="934" spans="1:41" s="123" customFormat="1" ht="16.2" thickBot="1" x14ac:dyDescent="0.35">
      <c r="A934" s="21">
        <v>156.1</v>
      </c>
      <c r="B934" s="212" t="s">
        <v>279</v>
      </c>
      <c r="C934" s="31" t="str">
        <f>VLOOKUP((CONCATENATE(B934)),ID!$A$2:$D$305,3,0)</f>
        <v>OT044</v>
      </c>
      <c r="D934" s="21">
        <v>1</v>
      </c>
      <c r="E934" s="21" t="s">
        <v>3903</v>
      </c>
      <c r="F934" s="21" t="s">
        <v>3861</v>
      </c>
      <c r="G934" s="21" t="s">
        <v>3853</v>
      </c>
      <c r="H934" s="88">
        <v>4018</v>
      </c>
      <c r="I934" s="43">
        <v>4085</v>
      </c>
      <c r="J934" s="43">
        <v>4085</v>
      </c>
      <c r="K934" s="21">
        <v>1</v>
      </c>
      <c r="L934" s="43">
        <v>4084</v>
      </c>
      <c r="M934" s="43">
        <v>4094</v>
      </c>
      <c r="N934" s="43">
        <v>4094</v>
      </c>
      <c r="O934" s="21" t="s">
        <v>3872</v>
      </c>
      <c r="P934" s="194">
        <v>1</v>
      </c>
      <c r="Q934" s="21">
        <v>1</v>
      </c>
      <c r="R934" s="39" t="str">
        <f t="shared" si="181"/>
        <v>-</v>
      </c>
      <c r="S934" s="120">
        <f t="shared" si="178"/>
        <v>1632337</v>
      </c>
      <c r="T934" s="123">
        <v>2953302</v>
      </c>
      <c r="U934" s="123">
        <f>2198276+79505+1058+207350+87781</f>
        <v>2573970</v>
      </c>
      <c r="V934" s="123">
        <f t="shared" si="173"/>
        <v>379332</v>
      </c>
      <c r="W934" s="122" t="str">
        <f t="shared" si="174"/>
        <v>1</v>
      </c>
      <c r="X934" s="123">
        <f>1000000+200000+120965</f>
        <v>1320965</v>
      </c>
      <c r="Y934" s="123">
        <f>AB934</f>
        <v>1200000</v>
      </c>
      <c r="Z934" s="123">
        <f t="shared" si="175"/>
        <v>120965</v>
      </c>
      <c r="AA934" s="122" t="str">
        <f t="shared" si="176"/>
        <v>1</v>
      </c>
      <c r="AB934" s="120">
        <f t="shared" si="177"/>
        <v>1200000</v>
      </c>
      <c r="AC934" s="123">
        <v>0</v>
      </c>
      <c r="AD934" s="123">
        <v>1200000</v>
      </c>
      <c r="AE934" s="123">
        <v>45931</v>
      </c>
      <c r="AG934" s="151">
        <f t="shared" si="171"/>
        <v>55973</v>
      </c>
      <c r="AH934" s="123">
        <v>109973</v>
      </c>
      <c r="AL934" s="123">
        <v>54000</v>
      </c>
      <c r="AM934" s="123">
        <v>186160</v>
      </c>
      <c r="AO934" s="123">
        <v>300000</v>
      </c>
    </row>
    <row r="935" spans="1:41" s="123" customFormat="1" ht="16.2" thickBot="1" x14ac:dyDescent="0.35">
      <c r="A935" s="21">
        <v>156.19999999999999</v>
      </c>
      <c r="B935" s="212" t="s">
        <v>279</v>
      </c>
      <c r="C935" s="31" t="str">
        <f>VLOOKUP((CONCATENATE(B935)),ID!$A$2:$D$305,3,0)</f>
        <v>OT044</v>
      </c>
      <c r="D935" s="21">
        <v>1</v>
      </c>
      <c r="E935" s="21" t="s">
        <v>3903</v>
      </c>
      <c r="F935" s="21" t="s">
        <v>3861</v>
      </c>
      <c r="G935" s="21" t="s">
        <v>3853</v>
      </c>
      <c r="H935" s="88">
        <v>4383</v>
      </c>
      <c r="I935" s="43">
        <v>4449</v>
      </c>
      <c r="J935" s="43">
        <v>4449</v>
      </c>
      <c r="K935" s="21">
        <v>1</v>
      </c>
      <c r="L935" s="43">
        <v>4448</v>
      </c>
      <c r="M935" s="43">
        <v>4458</v>
      </c>
      <c r="N935" s="43">
        <v>4458</v>
      </c>
      <c r="O935" s="21" t="s">
        <v>3872</v>
      </c>
      <c r="P935" s="194">
        <v>1</v>
      </c>
      <c r="Q935" s="21">
        <v>1</v>
      </c>
      <c r="R935" s="39" t="str">
        <f t="shared" si="181"/>
        <v>-</v>
      </c>
      <c r="S935" s="120">
        <f t="shared" si="178"/>
        <v>1674779</v>
      </c>
      <c r="T935" s="123">
        <v>2990960</v>
      </c>
      <c r="U935" s="123">
        <f>2247119+1124+86268+(T935-46260-6491-5807-145179-62378-46075-1124-75687-86268-2247119)</f>
        <v>2603083</v>
      </c>
      <c r="V935" s="123">
        <f t="shared" si="173"/>
        <v>387877</v>
      </c>
      <c r="W935" s="122" t="str">
        <f t="shared" si="174"/>
        <v>1</v>
      </c>
      <c r="X935" s="123">
        <f>1000000+200000+116181</f>
        <v>1316181</v>
      </c>
      <c r="Y935" s="123">
        <f>AB935</f>
        <v>1200000</v>
      </c>
      <c r="Z935" s="123">
        <f t="shared" si="175"/>
        <v>116181</v>
      </c>
      <c r="AA935" s="122" t="str">
        <f t="shared" si="176"/>
        <v>1</v>
      </c>
      <c r="AB935" s="120">
        <f t="shared" si="177"/>
        <v>1200000</v>
      </c>
      <c r="AC935" s="123">
        <v>0</v>
      </c>
      <c r="AD935" s="123">
        <v>1200000</v>
      </c>
      <c r="AE935" s="123">
        <v>46860</v>
      </c>
      <c r="AG935" s="151">
        <f t="shared" si="171"/>
        <v>71896</v>
      </c>
      <c r="AH935" s="123">
        <v>125896</v>
      </c>
      <c r="AL935" s="123">
        <v>54000</v>
      </c>
      <c r="AM935" s="123">
        <v>211361</v>
      </c>
      <c r="AO935" s="123">
        <v>300000</v>
      </c>
    </row>
    <row r="936" spans="1:41" s="123" customFormat="1" ht="16.2" thickBot="1" x14ac:dyDescent="0.35">
      <c r="A936" s="21"/>
      <c r="B936" s="212" t="s">
        <v>279</v>
      </c>
      <c r="C936" s="31" t="str">
        <f>VLOOKUP((CONCATENATE(B936)),ID!$A$2:$D$305,3,0)</f>
        <v>OT044</v>
      </c>
      <c r="D936" s="21">
        <v>1</v>
      </c>
      <c r="E936" s="21" t="s">
        <v>3903</v>
      </c>
      <c r="F936" s="21" t="s">
        <v>3861</v>
      </c>
      <c r="G936" s="21" t="s">
        <v>3853</v>
      </c>
      <c r="H936" s="88">
        <v>4749</v>
      </c>
      <c r="I936" s="43">
        <v>4812</v>
      </c>
      <c r="J936" s="43">
        <v>4812</v>
      </c>
      <c r="K936" s="21">
        <v>1</v>
      </c>
      <c r="L936" s="43">
        <v>4812</v>
      </c>
      <c r="M936" s="43">
        <v>4822</v>
      </c>
      <c r="N936" s="43">
        <v>4822</v>
      </c>
      <c r="O936" s="21" t="s">
        <v>3872</v>
      </c>
      <c r="P936" s="194">
        <v>0</v>
      </c>
      <c r="Q936" s="21">
        <v>1</v>
      </c>
      <c r="R936" s="39" t="str">
        <f t="shared" si="181"/>
        <v>-</v>
      </c>
      <c r="S936" s="120">
        <f t="shared" si="178"/>
        <v>1663620</v>
      </c>
      <c r="T936" s="123">
        <v>3006914</v>
      </c>
      <c r="U936" s="123">
        <f>2262654+84217+1242+292776</f>
        <v>2640889</v>
      </c>
      <c r="V936" s="123">
        <f t="shared" si="173"/>
        <v>366025</v>
      </c>
      <c r="W936" s="122" t="str">
        <f t="shared" si="174"/>
        <v>1</v>
      </c>
      <c r="X936" s="123">
        <f>Y936+143294</f>
        <v>1343294</v>
      </c>
      <c r="Y936" s="123">
        <f>AB936</f>
        <v>1200000</v>
      </c>
      <c r="Z936" s="123">
        <f t="shared" si="175"/>
        <v>143294</v>
      </c>
      <c r="AA936" s="122" t="str">
        <f t="shared" si="176"/>
        <v>1</v>
      </c>
      <c r="AB936" s="120">
        <f t="shared" si="177"/>
        <v>1200000</v>
      </c>
      <c r="AC936" s="123">
        <v>0</v>
      </c>
      <c r="AD936" s="123">
        <v>1200000</v>
      </c>
      <c r="AE936" s="123">
        <v>41554</v>
      </c>
      <c r="AG936" s="151">
        <f t="shared" si="171"/>
        <v>26146</v>
      </c>
      <c r="AH936" s="123">
        <v>80146</v>
      </c>
      <c r="AL936" s="123">
        <v>54000</v>
      </c>
      <c r="AM936" s="123">
        <v>182156</v>
      </c>
      <c r="AO936" s="123">
        <v>300000</v>
      </c>
    </row>
    <row r="937" spans="1:41" s="123" customFormat="1" ht="16.2" thickBot="1" x14ac:dyDescent="0.35">
      <c r="A937" s="21"/>
      <c r="B937" s="212" t="s">
        <v>279</v>
      </c>
      <c r="C937" s="31" t="str">
        <f>VLOOKUP((CONCATENATE(B937)),ID!$A$2:$D$305,3,0)</f>
        <v>OT044</v>
      </c>
      <c r="D937" s="21">
        <v>1</v>
      </c>
      <c r="E937" s="21" t="s">
        <v>3903</v>
      </c>
      <c r="F937" s="21" t="s">
        <v>3861</v>
      </c>
      <c r="G937" s="21" t="s">
        <v>3853</v>
      </c>
      <c r="H937" s="88">
        <v>5114</v>
      </c>
      <c r="I937" s="43">
        <v>5180</v>
      </c>
      <c r="J937" s="43">
        <v>5178</v>
      </c>
      <c r="K937" s="21">
        <v>1</v>
      </c>
      <c r="L937" s="43">
        <v>5180</v>
      </c>
      <c r="M937" s="43">
        <v>5190</v>
      </c>
      <c r="N937" s="43">
        <v>5190</v>
      </c>
      <c r="O937" s="21" t="s">
        <v>3872</v>
      </c>
      <c r="P937" s="194">
        <v>0</v>
      </c>
      <c r="Q937" s="21">
        <v>1</v>
      </c>
      <c r="R937" s="39" t="str">
        <f t="shared" si="181"/>
        <v>-</v>
      </c>
      <c r="S937" s="120">
        <f t="shared" si="178"/>
        <v>1681426</v>
      </c>
      <c r="T937" s="123">
        <v>3023433</v>
      </c>
      <c r="U937" s="123">
        <f>2256565+80096+1303+275385</f>
        <v>2613349</v>
      </c>
      <c r="V937" s="123">
        <f t="shared" si="173"/>
        <v>410084</v>
      </c>
      <c r="W937" s="122" t="str">
        <f t="shared" si="174"/>
        <v>1</v>
      </c>
      <c r="X937" s="123">
        <f>Y937+142007</f>
        <v>1342007</v>
      </c>
      <c r="Y937" s="123">
        <f>AB937</f>
        <v>1200000</v>
      </c>
      <c r="Z937" s="123">
        <f t="shared" si="175"/>
        <v>142007</v>
      </c>
      <c r="AA937" s="122" t="str">
        <f t="shared" si="176"/>
        <v>1</v>
      </c>
      <c r="AB937" s="120">
        <f t="shared" si="177"/>
        <v>1200000</v>
      </c>
      <c r="AC937" s="123">
        <v>0</v>
      </c>
      <c r="AD937" s="123">
        <v>1200000</v>
      </c>
      <c r="AE937" s="123">
        <v>80942</v>
      </c>
      <c r="AG937" s="151">
        <f t="shared" si="171"/>
        <v>28791</v>
      </c>
      <c r="AH937" s="123">
        <v>82791</v>
      </c>
      <c r="AL937" s="123">
        <v>54000</v>
      </c>
      <c r="AM937" s="123">
        <v>178727</v>
      </c>
      <c r="AO937" s="123">
        <v>300000</v>
      </c>
    </row>
    <row r="938" spans="1:41" s="123" customFormat="1" ht="16.2" thickBot="1" x14ac:dyDescent="0.35">
      <c r="A938" s="21"/>
      <c r="B938" s="212" t="s">
        <v>294</v>
      </c>
      <c r="C938" s="31" t="str">
        <f>VLOOKUP((CONCATENATE(B938)),ID!$A$2:$D$305,3,0)</f>
        <v>OT045</v>
      </c>
      <c r="D938" s="21">
        <v>1</v>
      </c>
      <c r="E938" s="21" t="s">
        <v>3903</v>
      </c>
      <c r="F938" s="21" t="s">
        <v>3845</v>
      </c>
      <c r="G938" s="21" t="s">
        <v>3853</v>
      </c>
      <c r="H938" s="88">
        <v>3712</v>
      </c>
      <c r="I938" s="43">
        <v>3770</v>
      </c>
      <c r="J938" s="43">
        <v>3765</v>
      </c>
      <c r="K938" s="21">
        <v>1</v>
      </c>
      <c r="L938" s="43">
        <v>3770</v>
      </c>
      <c r="M938" s="43">
        <v>3782</v>
      </c>
      <c r="N938" s="43">
        <v>3780</v>
      </c>
      <c r="O938" s="21" t="s">
        <v>3997</v>
      </c>
      <c r="P938" s="194" t="str">
        <f t="shared" si="172"/>
        <v>1</v>
      </c>
      <c r="Q938" s="21">
        <v>1</v>
      </c>
      <c r="R938" s="39" t="str">
        <f t="shared" si="181"/>
        <v>-</v>
      </c>
      <c r="S938" s="120">
        <f t="shared" si="178"/>
        <v>1566126</v>
      </c>
      <c r="T938" s="123">
        <v>1832257</v>
      </c>
      <c r="U938" s="123">
        <f>135847+75320+54030</f>
        <v>265197</v>
      </c>
      <c r="V938" s="123">
        <f t="shared" si="173"/>
        <v>1567060</v>
      </c>
      <c r="W938" s="122" t="str">
        <f t="shared" si="174"/>
        <v>1</v>
      </c>
      <c r="X938" s="123">
        <f>Y938+242955</f>
        <v>266131</v>
      </c>
      <c r="Y938" s="123">
        <f>AD938</f>
        <v>23176</v>
      </c>
      <c r="Z938" s="123">
        <f t="shared" si="175"/>
        <v>242955</v>
      </c>
      <c r="AA938" s="122" t="str">
        <f t="shared" si="176"/>
        <v>1</v>
      </c>
      <c r="AB938" s="120">
        <f t="shared" si="177"/>
        <v>23176</v>
      </c>
      <c r="AC938" s="123">
        <v>0</v>
      </c>
      <c r="AD938" s="123">
        <v>23176</v>
      </c>
      <c r="AE938" s="123">
        <v>12171</v>
      </c>
      <c r="AF938" s="123">
        <v>54030</v>
      </c>
      <c r="AG938" s="151">
        <f t="shared" si="171"/>
        <v>184882</v>
      </c>
      <c r="AH938" s="123">
        <v>184882</v>
      </c>
      <c r="AJ938" s="123">
        <v>40038</v>
      </c>
      <c r="AO938" s="123">
        <v>50000</v>
      </c>
    </row>
    <row r="939" spans="1:41" s="123" customFormat="1" ht="16.2" thickBot="1" x14ac:dyDescent="0.35">
      <c r="A939" s="21">
        <v>157.1</v>
      </c>
      <c r="B939" s="212" t="s">
        <v>294</v>
      </c>
      <c r="C939" s="31" t="str">
        <f>VLOOKUP((CONCATENATE(B939)),ID!$A$2:$D$305,3,0)</f>
        <v>OT045</v>
      </c>
      <c r="D939" s="21">
        <v>1</v>
      </c>
      <c r="E939" s="21" t="s">
        <v>3903</v>
      </c>
      <c r="F939" s="21" t="s">
        <v>3845</v>
      </c>
      <c r="G939" s="21" t="s">
        <v>3853</v>
      </c>
      <c r="H939" s="88" t="s">
        <v>4107</v>
      </c>
      <c r="I939" s="43">
        <v>4134</v>
      </c>
      <c r="J939" s="43">
        <v>4130</v>
      </c>
      <c r="K939" s="21">
        <v>1</v>
      </c>
      <c r="L939" s="43">
        <v>4135</v>
      </c>
      <c r="M939" s="43">
        <v>4146</v>
      </c>
      <c r="N939" s="43">
        <v>4144</v>
      </c>
      <c r="O939" s="21" t="s">
        <v>3997</v>
      </c>
      <c r="P939" s="194" t="str">
        <f t="shared" si="172"/>
        <v>1</v>
      </c>
      <c r="Q939" s="21">
        <v>1</v>
      </c>
      <c r="R939" s="39" t="str">
        <f t="shared" si="181"/>
        <v>-</v>
      </c>
      <c r="S939" s="120">
        <f t="shared" si="178"/>
        <v>1473671</v>
      </c>
      <c r="T939" s="123">
        <v>1675170</v>
      </c>
      <c r="U939" s="123">
        <f>153961+467437</f>
        <v>621398</v>
      </c>
      <c r="V939" s="123">
        <f t="shared" si="173"/>
        <v>1053772</v>
      </c>
      <c r="W939" s="122" t="str">
        <f t="shared" si="174"/>
        <v>1</v>
      </c>
      <c r="X939" s="123">
        <f>201499</f>
        <v>201499</v>
      </c>
      <c r="Y939" s="123">
        <v>0</v>
      </c>
      <c r="Z939" s="123">
        <f t="shared" si="175"/>
        <v>201499</v>
      </c>
      <c r="AA939" s="122" t="str">
        <f t="shared" si="176"/>
        <v>1</v>
      </c>
      <c r="AB939" s="120">
        <f t="shared" si="177"/>
        <v>0</v>
      </c>
      <c r="AC939" s="123">
        <v>0</v>
      </c>
      <c r="AD939" s="123">
        <v>0</v>
      </c>
      <c r="AE939" s="123">
        <v>16864</v>
      </c>
      <c r="AG939" s="151">
        <f t="shared" si="171"/>
        <v>71872</v>
      </c>
      <c r="AH939" s="123">
        <v>71872</v>
      </c>
      <c r="AJ939" s="123">
        <v>40020</v>
      </c>
      <c r="AO939" s="123">
        <v>550000</v>
      </c>
    </row>
    <row r="940" spans="1:41" s="123" customFormat="1" ht="16.2" thickBot="1" x14ac:dyDescent="0.35">
      <c r="A940" s="21">
        <v>157.19999999999999</v>
      </c>
      <c r="B940" s="212" t="s">
        <v>294</v>
      </c>
      <c r="C940" s="31" t="str">
        <f>VLOOKUP((CONCATENATE(B940)),ID!$A$2:$D$305,3,0)</f>
        <v>OT045</v>
      </c>
      <c r="D940" s="21">
        <v>1</v>
      </c>
      <c r="E940" s="21" t="s">
        <v>3903</v>
      </c>
      <c r="F940" s="21" t="s">
        <v>3845</v>
      </c>
      <c r="G940" s="21" t="s">
        <v>3853</v>
      </c>
      <c r="H940" s="88">
        <v>4443</v>
      </c>
      <c r="I940" s="43">
        <v>4499</v>
      </c>
      <c r="J940" s="43">
        <v>4497</v>
      </c>
      <c r="K940" s="21">
        <v>1</v>
      </c>
      <c r="L940" s="43">
        <v>4499</v>
      </c>
      <c r="M940" s="43">
        <v>4510</v>
      </c>
      <c r="N940" s="43">
        <v>4508</v>
      </c>
      <c r="O940" s="21" t="s">
        <v>3997</v>
      </c>
      <c r="P940" s="194" t="str">
        <f t="shared" si="172"/>
        <v>1</v>
      </c>
      <c r="Q940" s="21">
        <v>1</v>
      </c>
      <c r="R940" s="39" t="str">
        <f t="shared" si="181"/>
        <v>-</v>
      </c>
      <c r="S940" s="120">
        <f t="shared" si="178"/>
        <v>1581286</v>
      </c>
      <c r="T940" s="123">
        <v>1885741</v>
      </c>
      <c r="U940" s="123">
        <f>183706+464612</f>
        <v>648318</v>
      </c>
      <c r="V940" s="123">
        <f t="shared" si="173"/>
        <v>1237423</v>
      </c>
      <c r="W940" s="122" t="str">
        <f t="shared" si="174"/>
        <v>1</v>
      </c>
      <c r="X940" s="123">
        <f>304455</f>
        <v>304455</v>
      </c>
      <c r="Y940" s="123">
        <v>0</v>
      </c>
      <c r="Z940" s="123">
        <f t="shared" si="175"/>
        <v>304455</v>
      </c>
      <c r="AA940" s="122" t="str">
        <f t="shared" si="176"/>
        <v>1</v>
      </c>
      <c r="AB940" s="120">
        <f t="shared" si="177"/>
        <v>0</v>
      </c>
      <c r="AC940" s="123">
        <v>0</v>
      </c>
      <c r="AD940" s="123">
        <v>0</v>
      </c>
      <c r="AE940" s="123">
        <v>8279</v>
      </c>
      <c r="AG940" s="151">
        <f t="shared" si="171"/>
        <v>196517</v>
      </c>
      <c r="AH940" s="123">
        <v>196517</v>
      </c>
      <c r="AJ940" s="123">
        <v>40020</v>
      </c>
      <c r="AO940" s="123">
        <v>550000</v>
      </c>
    </row>
    <row r="941" spans="1:41" s="123" customFormat="1" ht="16.2" thickBot="1" x14ac:dyDescent="0.35">
      <c r="A941" s="21"/>
      <c r="B941" s="212" t="s">
        <v>294</v>
      </c>
      <c r="C941" s="31" t="str">
        <f>VLOOKUP((CONCATENATE(B941)),ID!$A$2:$D$305,3,0)</f>
        <v>OT045</v>
      </c>
      <c r="D941" s="21">
        <v>1</v>
      </c>
      <c r="E941" s="21" t="s">
        <v>3903</v>
      </c>
      <c r="F941" s="21" t="s">
        <v>3845</v>
      </c>
      <c r="G941" s="21" t="s">
        <v>3853</v>
      </c>
      <c r="H941" s="88" t="s">
        <v>4108</v>
      </c>
      <c r="I941" s="43">
        <v>4863</v>
      </c>
      <c r="J941" s="43">
        <v>4861</v>
      </c>
      <c r="K941" s="21">
        <v>1</v>
      </c>
      <c r="L941" s="43">
        <v>4863</v>
      </c>
      <c r="M941" s="43">
        <v>4872</v>
      </c>
      <c r="N941" s="43">
        <v>4872</v>
      </c>
      <c r="O941" s="21" t="s">
        <v>3997</v>
      </c>
      <c r="P941" s="194" t="str">
        <f t="shared" si="172"/>
        <v>1</v>
      </c>
      <c r="Q941" s="21">
        <v>1</v>
      </c>
      <c r="R941" s="39" t="str">
        <f t="shared" si="181"/>
        <v>-</v>
      </c>
      <c r="S941" s="120">
        <f t="shared" si="178"/>
        <v>1617451</v>
      </c>
      <c r="T941" s="123">
        <v>1922064</v>
      </c>
      <c r="U941" s="123">
        <f>324251+510745</f>
        <v>834996</v>
      </c>
      <c r="V941" s="123">
        <f t="shared" si="173"/>
        <v>1087068</v>
      </c>
      <c r="W941" s="122" t="str">
        <f t="shared" si="174"/>
        <v>1</v>
      </c>
      <c r="X941" s="123">
        <v>304613</v>
      </c>
      <c r="Y941" s="123">
        <v>0</v>
      </c>
      <c r="Z941" s="123">
        <f t="shared" si="175"/>
        <v>304613</v>
      </c>
      <c r="AA941" s="122" t="str">
        <f t="shared" si="176"/>
        <v>1</v>
      </c>
      <c r="AB941" s="120">
        <f t="shared" si="177"/>
        <v>0</v>
      </c>
      <c r="AC941" s="123">
        <v>0</v>
      </c>
      <c r="AD941" s="123">
        <v>0</v>
      </c>
      <c r="AE941" s="123">
        <v>7832</v>
      </c>
      <c r="AG941" s="151">
        <f t="shared" si="171"/>
        <v>135542</v>
      </c>
      <c r="AH941" s="123">
        <v>135542</v>
      </c>
      <c r="AJ941" s="123">
        <v>40020</v>
      </c>
      <c r="AO941" s="123">
        <v>550000</v>
      </c>
    </row>
    <row r="942" spans="1:41" s="123" customFormat="1" ht="16.2" thickBot="1" x14ac:dyDescent="0.35">
      <c r="A942" s="21"/>
      <c r="B942" s="212" t="s">
        <v>294</v>
      </c>
      <c r="C942" s="31" t="str">
        <f>VLOOKUP((CONCATENATE(B942)),ID!$A$2:$D$305,3,0)</f>
        <v>OT045</v>
      </c>
      <c r="D942" s="21">
        <v>1</v>
      </c>
      <c r="E942" s="21" t="s">
        <v>3903</v>
      </c>
      <c r="F942" s="21" t="s">
        <v>3845</v>
      </c>
      <c r="G942" s="21" t="s">
        <v>3853</v>
      </c>
      <c r="H942" s="88">
        <v>5174</v>
      </c>
      <c r="I942" s="43">
        <v>5226</v>
      </c>
      <c r="J942" s="43">
        <v>5225</v>
      </c>
      <c r="K942" s="21">
        <v>1</v>
      </c>
      <c r="L942" s="43">
        <v>5229</v>
      </c>
      <c r="M942" s="43">
        <v>5238</v>
      </c>
      <c r="N942" s="43">
        <v>5236</v>
      </c>
      <c r="O942" s="21" t="s">
        <v>3997</v>
      </c>
      <c r="P942" s="194" t="str">
        <f t="shared" si="172"/>
        <v>1</v>
      </c>
      <c r="Q942" s="21">
        <v>1</v>
      </c>
      <c r="R942" s="39" t="str">
        <f t="shared" si="181"/>
        <v>-</v>
      </c>
      <c r="S942" s="120">
        <f t="shared" si="178"/>
        <v>1599000</v>
      </c>
      <c r="T942" s="123">
        <v>1951237</v>
      </c>
      <c r="U942" s="123">
        <f>508168+485505+93368</f>
        <v>1087041</v>
      </c>
      <c r="V942" s="123">
        <f t="shared" si="173"/>
        <v>864196</v>
      </c>
      <c r="W942" s="122" t="str">
        <f t="shared" si="174"/>
        <v>1</v>
      </c>
      <c r="X942" s="123">
        <v>352237</v>
      </c>
      <c r="Y942" s="123">
        <v>0</v>
      </c>
      <c r="Z942" s="123">
        <f t="shared" si="175"/>
        <v>352237</v>
      </c>
      <c r="AA942" s="122" t="str">
        <f t="shared" si="176"/>
        <v>1</v>
      </c>
      <c r="AB942" s="120">
        <f t="shared" si="177"/>
        <v>0</v>
      </c>
      <c r="AC942" s="123">
        <v>0</v>
      </c>
      <c r="AD942" s="123">
        <v>0</v>
      </c>
      <c r="AE942" s="123">
        <v>2075</v>
      </c>
      <c r="AG942" s="151">
        <f t="shared" si="171"/>
        <v>89351</v>
      </c>
      <c r="AH942" s="123">
        <v>89351</v>
      </c>
      <c r="AJ942" s="123">
        <v>40020</v>
      </c>
      <c r="AO942" s="123">
        <v>550000</v>
      </c>
    </row>
    <row r="943" spans="1:41" s="123" customFormat="1" ht="16.2" thickBot="1" x14ac:dyDescent="0.35">
      <c r="A943" s="21"/>
      <c r="B943" s="212" t="s">
        <v>298</v>
      </c>
      <c r="C943" s="31" t="str">
        <f>VLOOKUP((CONCATENATE(B943)),ID!$A$2:$D$305,3,0)</f>
        <v>OT046</v>
      </c>
      <c r="D943" s="21">
        <v>1</v>
      </c>
      <c r="E943" s="21" t="s">
        <v>3903</v>
      </c>
      <c r="F943" s="21" t="s">
        <v>1117</v>
      </c>
      <c r="G943" s="21" t="s">
        <v>3933</v>
      </c>
      <c r="H943" s="88">
        <v>3653</v>
      </c>
      <c r="I943" s="43"/>
      <c r="J943" s="43"/>
      <c r="K943" s="21"/>
      <c r="L943" s="43"/>
      <c r="M943" s="43"/>
      <c r="N943" s="43"/>
      <c r="O943" s="27" t="s">
        <v>3800</v>
      </c>
      <c r="P943" s="194" t="str">
        <f t="shared" si="172"/>
        <v>?</v>
      </c>
      <c r="Q943" s="21">
        <v>1</v>
      </c>
      <c r="R943" s="39" t="str">
        <f t="shared" si="181"/>
        <v>-</v>
      </c>
      <c r="S943" s="120">
        <f>T944-X944</f>
        <v>1153690</v>
      </c>
    </row>
    <row r="944" spans="1:41" s="123" customFormat="1" ht="16.2" thickBot="1" x14ac:dyDescent="0.35">
      <c r="A944" s="21">
        <v>158.1</v>
      </c>
      <c r="B944" s="212" t="s">
        <v>298</v>
      </c>
      <c r="C944" s="31" t="str">
        <f>VLOOKUP((CONCATENATE(B944)),ID!$A$2:$D$305,3,0)</f>
        <v>OT046</v>
      </c>
      <c r="D944" s="21">
        <v>1</v>
      </c>
      <c r="E944" s="21" t="s">
        <v>3903</v>
      </c>
      <c r="F944" s="21" t="s">
        <v>1117</v>
      </c>
      <c r="G944" s="21" t="s">
        <v>3933</v>
      </c>
      <c r="H944" s="88">
        <v>4018</v>
      </c>
      <c r="I944" s="43">
        <v>4129</v>
      </c>
      <c r="J944" s="43">
        <v>4128</v>
      </c>
      <c r="K944" s="21">
        <v>0</v>
      </c>
      <c r="L944" s="21"/>
      <c r="M944" s="21"/>
      <c r="N944" s="21"/>
      <c r="O944" s="27" t="s">
        <v>3800</v>
      </c>
      <c r="P944" s="194" t="str">
        <f t="shared" si="172"/>
        <v>1</v>
      </c>
      <c r="Q944" s="21">
        <v>1</v>
      </c>
      <c r="R944" s="39" t="str">
        <f t="shared" si="181"/>
        <v>-</v>
      </c>
      <c r="S944" s="120">
        <f t="shared" si="178"/>
        <v>1153690</v>
      </c>
      <c r="T944" s="123">
        <v>1646249</v>
      </c>
      <c r="U944" s="123">
        <f>272461+159451+69500+353968+87005</f>
        <v>942385</v>
      </c>
      <c r="V944" s="123">
        <f>T944-U944</f>
        <v>703864</v>
      </c>
      <c r="W944" s="122" t="str">
        <f>IF(V944+U944=T944,"1","0")</f>
        <v>1</v>
      </c>
      <c r="X944" s="123">
        <f>69500+138148+22354+24542+49503+5285+83227+100000</f>
        <v>492559</v>
      </c>
      <c r="Y944" s="123">
        <f>49503+22354+100000+69500</f>
        <v>241357</v>
      </c>
      <c r="Z944" s="123">
        <f>X944-Y944</f>
        <v>251202</v>
      </c>
      <c r="AA944" s="122" t="str">
        <f>IF(Z944+Y944=X944,"1","0")</f>
        <v>1</v>
      </c>
      <c r="AB944" s="120">
        <f>SUM(AC944+AD944)</f>
        <v>22354</v>
      </c>
      <c r="AC944" s="123">
        <v>22354</v>
      </c>
      <c r="AD944" s="123">
        <v>0</v>
      </c>
      <c r="AE944" s="123">
        <v>43198</v>
      </c>
      <c r="AG944" s="151">
        <f>AH944-AL944-AI944</f>
        <v>111636</v>
      </c>
      <c r="AH944" s="123">
        <v>111636</v>
      </c>
      <c r="AJ944" s="123">
        <v>73597</v>
      </c>
      <c r="AO944" s="123">
        <v>84000</v>
      </c>
    </row>
    <row r="945" spans="1:41" s="123" customFormat="1" ht="16.2" thickBot="1" x14ac:dyDescent="0.35">
      <c r="A945" s="21">
        <v>158.19999999999999</v>
      </c>
      <c r="B945" s="212" t="s">
        <v>298</v>
      </c>
      <c r="C945" s="31" t="str">
        <f>VLOOKUP((CONCATENATE(B945)),ID!$A$2:$D$305,3,0)</f>
        <v>OT046</v>
      </c>
      <c r="D945" s="21">
        <v>1</v>
      </c>
      <c r="E945" s="21" t="s">
        <v>3903</v>
      </c>
      <c r="F945" s="21" t="s">
        <v>1117</v>
      </c>
      <c r="G945" s="21" t="s">
        <v>3933</v>
      </c>
      <c r="H945" s="88">
        <v>4383</v>
      </c>
      <c r="I945" s="43">
        <v>4494</v>
      </c>
      <c r="J945" s="43">
        <v>4492</v>
      </c>
      <c r="K945" s="21">
        <v>0</v>
      </c>
      <c r="L945" s="21"/>
      <c r="M945" s="21"/>
      <c r="N945" s="21"/>
      <c r="O945" s="27" t="s">
        <v>3800</v>
      </c>
      <c r="P945" s="194" t="str">
        <f t="shared" si="172"/>
        <v>1</v>
      </c>
      <c r="Q945" s="21">
        <v>1</v>
      </c>
      <c r="R945" s="39" t="str">
        <f t="shared" si="181"/>
        <v>-</v>
      </c>
      <c r="S945" s="120">
        <f t="shared" si="178"/>
        <v>1161451</v>
      </c>
      <c r="T945" s="123">
        <v>1644092</v>
      </c>
      <c r="U945" s="123">
        <f>275010+180997+64500+389755</f>
        <v>910262</v>
      </c>
      <c r="V945" s="123">
        <f t="shared" si="173"/>
        <v>733830</v>
      </c>
      <c r="W945" s="122" t="str">
        <f t="shared" si="174"/>
        <v>1</v>
      </c>
      <c r="X945" s="123">
        <f>110506+14931+25800+103017+64500+110000+5698+48189</f>
        <v>482641</v>
      </c>
      <c r="Y945" s="123">
        <f>14931+48189+110000+64500+25800</f>
        <v>263420</v>
      </c>
      <c r="Z945" s="123">
        <f t="shared" si="175"/>
        <v>219221</v>
      </c>
      <c r="AA945" s="122" t="str">
        <f t="shared" si="176"/>
        <v>1</v>
      </c>
      <c r="AB945" s="120">
        <f t="shared" si="177"/>
        <v>25800</v>
      </c>
      <c r="AC945" s="123">
        <v>25800</v>
      </c>
      <c r="AD945" s="123">
        <v>0</v>
      </c>
      <c r="AE945" s="123">
        <v>59944</v>
      </c>
      <c r="AG945" s="151">
        <f t="shared" si="171"/>
        <v>102358</v>
      </c>
      <c r="AH945" s="123">
        <v>102358</v>
      </c>
      <c r="AJ945" s="123">
        <f>48000+24000</f>
        <v>72000</v>
      </c>
      <c r="AO945" s="123">
        <v>84000</v>
      </c>
    </row>
    <row r="946" spans="1:41" s="123" customFormat="1" ht="16.2" thickBot="1" x14ac:dyDescent="0.35">
      <c r="A946" s="21"/>
      <c r="B946" s="212" t="s">
        <v>298</v>
      </c>
      <c r="C946" s="31" t="str">
        <f>VLOOKUP((CONCATENATE(B946)),ID!$A$2:$D$305,3,0)</f>
        <v>OT046</v>
      </c>
      <c r="D946" s="21">
        <v>1</v>
      </c>
      <c r="E946" s="21" t="s">
        <v>3903</v>
      </c>
      <c r="F946" s="21" t="s">
        <v>1117</v>
      </c>
      <c r="G946" s="21" t="s">
        <v>3933</v>
      </c>
      <c r="H946" s="88">
        <v>4749</v>
      </c>
      <c r="I946" s="43">
        <v>4860</v>
      </c>
      <c r="J946" s="43">
        <v>4857</v>
      </c>
      <c r="K946" s="21">
        <v>0</v>
      </c>
      <c r="L946" s="21"/>
      <c r="M946" s="21"/>
      <c r="N946" s="21"/>
      <c r="O946" s="27" t="s">
        <v>3800</v>
      </c>
      <c r="P946" s="194" t="str">
        <f t="shared" si="172"/>
        <v>1</v>
      </c>
      <c r="Q946" s="21">
        <v>1</v>
      </c>
      <c r="R946" s="39" t="str">
        <f t="shared" si="181"/>
        <v>-</v>
      </c>
      <c r="S946" s="120">
        <f t="shared" si="178"/>
        <v>1194423</v>
      </c>
      <c r="T946" s="123">
        <v>1780319</v>
      </c>
      <c r="U946" s="123">
        <f>407840+73000+187532+277933</f>
        <v>946305</v>
      </c>
      <c r="V946" s="123">
        <f t="shared" si="173"/>
        <v>834014</v>
      </c>
      <c r="W946" s="122" t="str">
        <f t="shared" si="174"/>
        <v>1</v>
      </c>
      <c r="X946" s="123">
        <f>129588+6464+62302+8234+206308+73000+100000</f>
        <v>585896</v>
      </c>
      <c r="Y946" s="123">
        <f>173000+8234+62302</f>
        <v>243536</v>
      </c>
      <c r="Z946" s="123">
        <f t="shared" si="175"/>
        <v>342360</v>
      </c>
      <c r="AA946" s="122" t="str">
        <f t="shared" si="176"/>
        <v>1</v>
      </c>
      <c r="AB946" s="120">
        <f t="shared" si="177"/>
        <v>0</v>
      </c>
      <c r="AC946" s="123">
        <v>0</v>
      </c>
      <c r="AD946" s="123">
        <v>0</v>
      </c>
      <c r="AE946" s="123">
        <v>73401</v>
      </c>
      <c r="AG946" s="151">
        <f t="shared" si="171"/>
        <v>131417</v>
      </c>
      <c r="AH946" s="123">
        <v>131417</v>
      </c>
      <c r="AJ946" s="123">
        <f>48000+24000</f>
        <v>72000</v>
      </c>
      <c r="AO946" s="123">
        <v>84000</v>
      </c>
    </row>
    <row r="947" spans="1:41" s="123" customFormat="1" ht="16.2" thickBot="1" x14ac:dyDescent="0.35">
      <c r="A947" s="21"/>
      <c r="B947" s="212" t="s">
        <v>298</v>
      </c>
      <c r="C947" s="31" t="str">
        <f>VLOOKUP((CONCATENATE(B947)),ID!$A$2:$D$305,3,0)</f>
        <v>OT046</v>
      </c>
      <c r="D947" s="21">
        <v>1</v>
      </c>
      <c r="E947" s="21" t="s">
        <v>3903</v>
      </c>
      <c r="F947" s="21" t="s">
        <v>1117</v>
      </c>
      <c r="G947" s="21" t="s">
        <v>3933</v>
      </c>
      <c r="H947" s="88">
        <v>5114</v>
      </c>
      <c r="I947" s="43">
        <v>5225</v>
      </c>
      <c r="J947" s="43">
        <v>5225</v>
      </c>
      <c r="K947" s="21">
        <v>0</v>
      </c>
      <c r="L947" s="21"/>
      <c r="M947" s="21"/>
      <c r="N947" s="21"/>
      <c r="O947" s="27" t="s">
        <v>3800</v>
      </c>
      <c r="P947" s="194" t="str">
        <f t="shared" si="172"/>
        <v>1</v>
      </c>
      <c r="Q947" s="21">
        <v>1</v>
      </c>
      <c r="R947" s="39" t="str">
        <f t="shared" si="181"/>
        <v>-</v>
      </c>
      <c r="S947" s="120">
        <f t="shared" si="178"/>
        <v>1382999</v>
      </c>
      <c r="T947" s="123">
        <v>1906273</v>
      </c>
      <c r="U947" s="123">
        <f>328444+187087+72500+423107+62927</f>
        <v>1074065</v>
      </c>
      <c r="V947" s="123">
        <f t="shared" si="173"/>
        <v>832208</v>
      </c>
      <c r="W947" s="122" t="str">
        <f t="shared" si="174"/>
        <v>1</v>
      </c>
      <c r="X947" s="123">
        <f>154172+6108+94231+25104+51159+72500+120000</f>
        <v>523274</v>
      </c>
      <c r="Y947" s="123">
        <f>120000+72500+25104+94231+7500</f>
        <v>319335</v>
      </c>
      <c r="Z947" s="123">
        <f t="shared" si="175"/>
        <v>203939</v>
      </c>
      <c r="AA947" s="122" t="str">
        <f t="shared" si="176"/>
        <v>1</v>
      </c>
      <c r="AB947" s="120">
        <f t="shared" si="177"/>
        <v>0</v>
      </c>
      <c r="AC947" s="123">
        <v>0</v>
      </c>
      <c r="AD947" s="123">
        <v>0</v>
      </c>
      <c r="AE947" s="123">
        <v>75904</v>
      </c>
      <c r="AG947" s="151">
        <f t="shared" si="171"/>
        <v>324253</v>
      </c>
      <c r="AH947" s="123">
        <v>324253</v>
      </c>
      <c r="AJ947" s="123">
        <f>48000+24000</f>
        <v>72000</v>
      </c>
      <c r="AO947" s="123">
        <v>84000</v>
      </c>
    </row>
    <row r="948" spans="1:41" s="123" customFormat="1" ht="16.2" thickBot="1" x14ac:dyDescent="0.35">
      <c r="A948" s="21"/>
      <c r="B948" s="212" t="s">
        <v>313</v>
      </c>
      <c r="C948" s="31" t="str">
        <f>VLOOKUP((CONCATENATE(B948)),ID!$A$2:$D$305,3,0)</f>
        <v>OT047</v>
      </c>
      <c r="D948" s="21">
        <v>1</v>
      </c>
      <c r="E948" s="21" t="s">
        <v>3903</v>
      </c>
      <c r="F948" s="21" t="s">
        <v>3861</v>
      </c>
      <c r="G948" s="21" t="s">
        <v>3853</v>
      </c>
      <c r="H948" s="88">
        <v>3653</v>
      </c>
      <c r="I948" s="43">
        <v>3727</v>
      </c>
      <c r="J948" s="43">
        <v>3723</v>
      </c>
      <c r="K948" s="21">
        <v>1</v>
      </c>
      <c r="L948" s="43">
        <v>3726</v>
      </c>
      <c r="M948" s="43">
        <v>3742</v>
      </c>
      <c r="N948" s="43">
        <v>3735</v>
      </c>
      <c r="O948" s="21" t="s">
        <v>3934</v>
      </c>
      <c r="P948" s="194" t="str">
        <f t="shared" si="172"/>
        <v>1</v>
      </c>
      <c r="Q948" s="21">
        <v>1</v>
      </c>
      <c r="R948" s="39" t="str">
        <f t="shared" si="181"/>
        <v>-</v>
      </c>
      <c r="S948" s="120">
        <f t="shared" si="178"/>
        <v>6311820</v>
      </c>
      <c r="T948" s="123">
        <v>9880241</v>
      </c>
      <c r="U948" s="123">
        <f>8010829+400+358352+366461</f>
        <v>8736042</v>
      </c>
      <c r="V948" s="123">
        <f t="shared" si="173"/>
        <v>1144199</v>
      </c>
      <c r="W948" s="122" t="str">
        <f t="shared" si="174"/>
        <v>1</v>
      </c>
      <c r="X948" s="123">
        <f>1296+471+66621+Y948</f>
        <v>3568421</v>
      </c>
      <c r="Y948" s="123">
        <f>2830000+140000+55631+351264+120000+3138</f>
        <v>3500033</v>
      </c>
      <c r="Z948" s="123">
        <f t="shared" si="175"/>
        <v>68388</v>
      </c>
      <c r="AA948" s="122" t="str">
        <f t="shared" si="176"/>
        <v>1</v>
      </c>
      <c r="AB948" s="120">
        <f t="shared" si="177"/>
        <v>3376895</v>
      </c>
      <c r="AC948" s="123">
        <v>0</v>
      </c>
      <c r="AD948" s="123">
        <v>3376895</v>
      </c>
      <c r="AE948" s="123">
        <v>212890</v>
      </c>
      <c r="AG948" s="151">
        <f t="shared" si="171"/>
        <v>334054</v>
      </c>
      <c r="AH948" s="123">
        <f>467841+AI948</f>
        <v>498830</v>
      </c>
      <c r="AI948" s="123">
        <v>30989</v>
      </c>
      <c r="AJ948" s="123">
        <v>93527</v>
      </c>
      <c r="AL948" s="123">
        <v>133787</v>
      </c>
      <c r="AM948" s="123">
        <v>545920</v>
      </c>
      <c r="AO948" s="123">
        <f>282524+299843</f>
        <v>582367</v>
      </c>
    </row>
    <row r="949" spans="1:41" s="123" customFormat="1" ht="16.2" thickBot="1" x14ac:dyDescent="0.35">
      <c r="A949" s="21">
        <v>159.1</v>
      </c>
      <c r="B949" s="212" t="s">
        <v>313</v>
      </c>
      <c r="C949" s="31" t="str">
        <f>VLOOKUP((CONCATENATE(B949)),ID!$A$2:$D$305,3,0)</f>
        <v>OT047</v>
      </c>
      <c r="D949" s="21">
        <v>1</v>
      </c>
      <c r="E949" s="21" t="s">
        <v>3903</v>
      </c>
      <c r="F949" s="21" t="s">
        <v>3861</v>
      </c>
      <c r="G949" s="21" t="s">
        <v>3853</v>
      </c>
      <c r="H949" s="88">
        <v>4018</v>
      </c>
      <c r="I949" s="43">
        <v>4092</v>
      </c>
      <c r="J949" s="43">
        <v>4087</v>
      </c>
      <c r="K949" s="21">
        <v>1</v>
      </c>
      <c r="L949" s="43">
        <v>4092</v>
      </c>
      <c r="M949" s="43">
        <v>4107</v>
      </c>
      <c r="N949" s="43">
        <v>4100</v>
      </c>
      <c r="O949" s="21" t="s">
        <v>3934</v>
      </c>
      <c r="P949" s="194" t="str">
        <f t="shared" si="172"/>
        <v>1</v>
      </c>
      <c r="Q949" s="21">
        <v>1</v>
      </c>
      <c r="R949" s="39" t="str">
        <f t="shared" si="181"/>
        <v>-</v>
      </c>
      <c r="S949" s="120">
        <f t="shared" si="178"/>
        <v>6334174</v>
      </c>
      <c r="T949" s="123">
        <v>9912690</v>
      </c>
      <c r="U949" s="123">
        <f>7973579+400+345695+372705</f>
        <v>8692379</v>
      </c>
      <c r="V949" s="123">
        <f t="shared" si="173"/>
        <v>1220311</v>
      </c>
      <c r="W949" s="122" t="str">
        <f t="shared" si="174"/>
        <v>1</v>
      </c>
      <c r="X949" s="123">
        <f>66268+425+1146+Y949</f>
        <v>3578516</v>
      </c>
      <c r="Y949" s="123">
        <f>2815000+120000+52362+384673+3642+135000</f>
        <v>3510677</v>
      </c>
      <c r="Z949" s="123">
        <f t="shared" si="175"/>
        <v>67839</v>
      </c>
      <c r="AA949" s="122" t="str">
        <f t="shared" si="176"/>
        <v>1</v>
      </c>
      <c r="AB949" s="120">
        <f t="shared" si="177"/>
        <v>3372035</v>
      </c>
      <c r="AC949" s="123">
        <v>0</v>
      </c>
      <c r="AD949" s="123">
        <v>3372035</v>
      </c>
      <c r="AE949" s="123">
        <v>129349</v>
      </c>
      <c r="AG949" s="151">
        <f t="shared" si="171"/>
        <v>328967</v>
      </c>
      <c r="AH949" s="123">
        <f>AM949-3200-2454-42857</f>
        <v>492307</v>
      </c>
      <c r="AI949" s="123">
        <v>30340</v>
      </c>
      <c r="AJ949" s="123">
        <v>93115</v>
      </c>
      <c r="AL949" s="123">
        <v>133000</v>
      </c>
      <c r="AM949" s="123">
        <v>540818</v>
      </c>
      <c r="AO949" s="123">
        <v>581867</v>
      </c>
    </row>
    <row r="950" spans="1:41" s="123" customFormat="1" ht="16.2" thickBot="1" x14ac:dyDescent="0.35">
      <c r="A950" s="21">
        <v>159.19999999999999</v>
      </c>
      <c r="B950" s="212" t="s">
        <v>313</v>
      </c>
      <c r="C950" s="31" t="str">
        <f>VLOOKUP((CONCATENATE(B950)),ID!$A$2:$D$305,3,0)</f>
        <v>OT047</v>
      </c>
      <c r="D950" s="21">
        <v>1</v>
      </c>
      <c r="E950" s="21" t="s">
        <v>3903</v>
      </c>
      <c r="F950" s="21" t="s">
        <v>3861</v>
      </c>
      <c r="G950" s="21" t="s">
        <v>3853</v>
      </c>
      <c r="H950" s="88">
        <v>4383</v>
      </c>
      <c r="I950" s="43">
        <v>4462</v>
      </c>
      <c r="J950" s="43">
        <v>4457</v>
      </c>
      <c r="K950" s="21">
        <v>1</v>
      </c>
      <c r="L950" s="43">
        <v>4457</v>
      </c>
      <c r="M950" s="43">
        <v>4472</v>
      </c>
      <c r="N950" s="43">
        <v>4471</v>
      </c>
      <c r="O950" s="21" t="s">
        <v>3934</v>
      </c>
      <c r="P950" s="194" t="str">
        <f t="shared" si="172"/>
        <v>1</v>
      </c>
      <c r="Q950" s="21">
        <v>1</v>
      </c>
      <c r="R950" s="39" t="str">
        <f t="shared" si="181"/>
        <v>-</v>
      </c>
      <c r="S950" s="120">
        <f t="shared" si="178"/>
        <v>6350777</v>
      </c>
      <c r="T950" s="123">
        <v>9880800</v>
      </c>
      <c r="U950" s="123">
        <f>7922753+381001+374808</f>
        <v>8678562</v>
      </c>
      <c r="V950" s="123">
        <f t="shared" si="173"/>
        <v>1202238</v>
      </c>
      <c r="W950" s="122" t="str">
        <f t="shared" si="174"/>
        <v>1</v>
      </c>
      <c r="X950" s="123">
        <f>Y950+65914+480</f>
        <v>3530023</v>
      </c>
      <c r="Y950" s="123">
        <f>2800000+100000+49331+358190+6108+150000</f>
        <v>3463629</v>
      </c>
      <c r="Z950" s="123">
        <f t="shared" si="175"/>
        <v>66394</v>
      </c>
      <c r="AA950" s="122" t="str">
        <f t="shared" si="176"/>
        <v>1</v>
      </c>
      <c r="AB950" s="120">
        <f t="shared" si="177"/>
        <v>3307521</v>
      </c>
      <c r="AC950" s="123">
        <v>0</v>
      </c>
      <c r="AD950" s="123">
        <v>3307521</v>
      </c>
      <c r="AE950" s="123">
        <v>133367</v>
      </c>
      <c r="AG950" s="151">
        <f t="shared" si="171"/>
        <v>321970</v>
      </c>
      <c r="AH950" s="123">
        <f>453846+AI950</f>
        <v>483755</v>
      </c>
      <c r="AI950" s="123">
        <v>29909</v>
      </c>
      <c r="AJ950" s="123">
        <v>93115</v>
      </c>
      <c r="AL950" s="123">
        <v>131876</v>
      </c>
      <c r="AM950" s="123">
        <v>532511</v>
      </c>
      <c r="AO950" s="123">
        <f>299343+282524</f>
        <v>581867</v>
      </c>
    </row>
    <row r="951" spans="1:41" s="123" customFormat="1" ht="16.2" thickBot="1" x14ac:dyDescent="0.35">
      <c r="A951" s="21"/>
      <c r="B951" s="212" t="s">
        <v>313</v>
      </c>
      <c r="C951" s="31" t="str">
        <f>VLOOKUP((CONCATENATE(B951)),ID!$A$2:$D$305,3,0)</f>
        <v>OT047</v>
      </c>
      <c r="D951" s="21">
        <v>1</v>
      </c>
      <c r="E951" s="21" t="s">
        <v>3903</v>
      </c>
      <c r="F951" s="21" t="s">
        <v>3861</v>
      </c>
      <c r="G951" s="21" t="s">
        <v>3853</v>
      </c>
      <c r="H951" s="88">
        <v>4749</v>
      </c>
      <c r="I951" s="43">
        <v>4828</v>
      </c>
      <c r="J951" s="43">
        <v>4822</v>
      </c>
      <c r="K951" s="21">
        <v>1</v>
      </c>
      <c r="L951" s="43">
        <v>4822</v>
      </c>
      <c r="M951" s="43">
        <v>4837</v>
      </c>
      <c r="N951" s="43">
        <v>4837</v>
      </c>
      <c r="O951" s="21" t="s">
        <v>3934</v>
      </c>
      <c r="P951" s="194" t="str">
        <f t="shared" si="172"/>
        <v>1</v>
      </c>
      <c r="Q951" s="21">
        <v>1</v>
      </c>
      <c r="R951" s="39" t="str">
        <f t="shared" si="181"/>
        <v>-</v>
      </c>
      <c r="S951" s="120">
        <f t="shared" si="178"/>
        <v>6273568</v>
      </c>
      <c r="T951" s="123">
        <v>9807945</v>
      </c>
      <c r="U951" s="123">
        <f>7871301+370338+360382</f>
        <v>8602021</v>
      </c>
      <c r="V951" s="123">
        <f t="shared" si="173"/>
        <v>1205924</v>
      </c>
      <c r="W951" s="122" t="str">
        <f t="shared" si="174"/>
        <v>1</v>
      </c>
      <c r="X951" s="123">
        <f>Y951+65561+393+1653</f>
        <v>3534377</v>
      </c>
      <c r="Y951" s="123">
        <f>2785000+80000+45975+383994+165000+6801</f>
        <v>3466770</v>
      </c>
      <c r="Z951" s="123">
        <f t="shared" si="175"/>
        <v>67607</v>
      </c>
      <c r="AA951" s="122" t="str">
        <f t="shared" si="176"/>
        <v>1</v>
      </c>
      <c r="AB951" s="120">
        <f t="shared" si="177"/>
        <v>3294969</v>
      </c>
      <c r="AC951" s="123">
        <v>0</v>
      </c>
      <c r="AD951" s="123">
        <v>3294969</v>
      </c>
      <c r="AE951" s="123">
        <v>176787</v>
      </c>
      <c r="AG951" s="151">
        <f t="shared" ref="AG951:AG1009" si="182">AH951-AL951-AI951</f>
        <v>236173</v>
      </c>
      <c r="AH951" s="123">
        <f>367296+AI951</f>
        <v>399232</v>
      </c>
      <c r="AI951" s="123">
        <v>31936</v>
      </c>
      <c r="AJ951" s="123">
        <v>93115</v>
      </c>
      <c r="AL951" s="123">
        <v>131123</v>
      </c>
      <c r="AM951" s="123">
        <f>299343+282524</f>
        <v>581867</v>
      </c>
      <c r="AO951" s="123">
        <f>299343+282524</f>
        <v>581867</v>
      </c>
    </row>
    <row r="952" spans="1:41" s="123" customFormat="1" ht="16.2" thickBot="1" x14ac:dyDescent="0.35">
      <c r="A952" s="21"/>
      <c r="B952" s="212" t="s">
        <v>313</v>
      </c>
      <c r="C952" s="31" t="str">
        <f>VLOOKUP((CONCATENATE(B952)),ID!$A$2:$D$305,3,0)</f>
        <v>OT047</v>
      </c>
      <c r="D952" s="21">
        <v>1</v>
      </c>
      <c r="E952" s="21" t="s">
        <v>3903</v>
      </c>
      <c r="F952" s="21" t="s">
        <v>3861</v>
      </c>
      <c r="G952" s="21" t="s">
        <v>3853</v>
      </c>
      <c r="H952" s="88">
        <v>5114</v>
      </c>
      <c r="I952" s="43">
        <v>5184</v>
      </c>
      <c r="J952" s="43">
        <v>5183</v>
      </c>
      <c r="K952" s="21">
        <v>1</v>
      </c>
      <c r="L952" s="43">
        <v>5189</v>
      </c>
      <c r="M952" s="43">
        <v>5203</v>
      </c>
      <c r="N952" s="43">
        <v>5193</v>
      </c>
      <c r="O952" s="21" t="s">
        <v>3934</v>
      </c>
      <c r="P952" s="194" t="str">
        <f t="shared" si="172"/>
        <v>1</v>
      </c>
      <c r="Q952" s="21">
        <v>1</v>
      </c>
      <c r="R952" s="39" t="str">
        <f t="shared" si="181"/>
        <v>-</v>
      </c>
      <c r="S952" s="120">
        <f t="shared" si="178"/>
        <v>3744557</v>
      </c>
      <c r="T952" s="123">
        <v>7237724</v>
      </c>
      <c r="U952" s="123">
        <f>5427333+372927+355087</f>
        <v>6155347</v>
      </c>
      <c r="V952" s="123">
        <f t="shared" si="173"/>
        <v>1082377</v>
      </c>
      <c r="W952" s="122" t="str">
        <f t="shared" si="174"/>
        <v>1</v>
      </c>
      <c r="X952" s="123">
        <f>65208+428+1669+Y952</f>
        <v>3493167</v>
      </c>
      <c r="Y952" s="123">
        <f>2770000+60000+46067+361743+8052+180000</f>
        <v>3425862</v>
      </c>
      <c r="Z952" s="123">
        <f t="shared" si="175"/>
        <v>67305</v>
      </c>
      <c r="AA952" s="122" t="str">
        <f t="shared" si="176"/>
        <v>1</v>
      </c>
      <c r="AB952" s="120">
        <f t="shared" si="177"/>
        <v>3237810</v>
      </c>
      <c r="AC952" s="123">
        <v>0</v>
      </c>
      <c r="AD952" s="123">
        <v>3237810</v>
      </c>
      <c r="AE952" s="123">
        <v>58918</v>
      </c>
      <c r="AG952" s="151">
        <f t="shared" si="182"/>
        <v>193604</v>
      </c>
      <c r="AH952" s="123">
        <f>324021+AI952</f>
        <v>354269</v>
      </c>
      <c r="AI952" s="123">
        <v>30248</v>
      </c>
      <c r="AJ952" s="123">
        <v>93115</v>
      </c>
      <c r="AL952" s="123">
        <v>130417</v>
      </c>
      <c r="AM952" s="123">
        <f>598686+282524</f>
        <v>881210</v>
      </c>
      <c r="AO952" s="123">
        <f>299343+282524</f>
        <v>581867</v>
      </c>
    </row>
    <row r="953" spans="1:41" s="123" customFormat="1" ht="16.2" thickBot="1" x14ac:dyDescent="0.35">
      <c r="A953" s="21">
        <v>160.1</v>
      </c>
      <c r="B953" s="212" t="s">
        <v>318</v>
      </c>
      <c r="C953" s="31" t="str">
        <f>VLOOKUP((CONCATENATE(B953)),ID!$A$2:$D$305,3,0)</f>
        <v>OT048</v>
      </c>
      <c r="D953" s="21">
        <v>1</v>
      </c>
      <c r="E953" s="21" t="s">
        <v>3903</v>
      </c>
      <c r="F953" s="21" t="s">
        <v>1117</v>
      </c>
      <c r="G953" s="21" t="s">
        <v>3935</v>
      </c>
      <c r="H953" s="88">
        <v>4018</v>
      </c>
      <c r="I953" s="43">
        <v>4118</v>
      </c>
      <c r="J953" s="108">
        <v>4116</v>
      </c>
      <c r="K953" s="21">
        <v>0</v>
      </c>
      <c r="L953" s="21"/>
      <c r="M953" s="21"/>
      <c r="N953" s="43">
        <v>4135</v>
      </c>
      <c r="O953" s="21" t="s">
        <v>3733</v>
      </c>
      <c r="P953" s="194" t="str">
        <f t="shared" si="172"/>
        <v>1</v>
      </c>
      <c r="Q953" s="21">
        <v>1</v>
      </c>
      <c r="R953" s="39" t="str">
        <f t="shared" si="181"/>
        <v>-</v>
      </c>
      <c r="S953" s="120">
        <f t="shared" si="178"/>
        <v>2152557</v>
      </c>
      <c r="T953" s="123">
        <v>3069666</v>
      </c>
      <c r="U953" s="123">
        <f>656462+64443+195216+116346+16806+255492+115126</f>
        <v>1419891</v>
      </c>
      <c r="V953" s="123">
        <f t="shared" si="173"/>
        <v>1649775</v>
      </c>
      <c r="W953" s="122" t="str">
        <f t="shared" si="174"/>
        <v>1</v>
      </c>
      <c r="X953" s="123">
        <f>283669+257753+265311+99847+10529</f>
        <v>917109</v>
      </c>
      <c r="Y953" s="123">
        <f>10529+99847+265311</f>
        <v>375687</v>
      </c>
      <c r="Z953" s="123">
        <f t="shared" si="175"/>
        <v>541422</v>
      </c>
      <c r="AA953" s="122" t="str">
        <f t="shared" si="176"/>
        <v>1</v>
      </c>
      <c r="AB953" s="120">
        <f t="shared" si="177"/>
        <v>375687</v>
      </c>
      <c r="AC953" s="123">
        <v>0</v>
      </c>
      <c r="AD953" s="123">
        <f>Y953</f>
        <v>375687</v>
      </c>
      <c r="AE953" s="123">
        <v>175455</v>
      </c>
      <c r="AF953" s="123">
        <v>656462</v>
      </c>
      <c r="AG953" s="151">
        <f t="shared" si="182"/>
        <v>213079</v>
      </c>
      <c r="AH953" s="123">
        <f>260919-1200-8000-16630-20510</f>
        <v>214579</v>
      </c>
      <c r="AI953" s="123">
        <v>1500</v>
      </c>
      <c r="AJ953" s="123">
        <f>37500+6079+12000+27000</f>
        <v>82579</v>
      </c>
      <c r="AK953" s="123">
        <v>16630</v>
      </c>
      <c r="AO953" s="123">
        <f>90000+200000+300000+625000</f>
        <v>1215000</v>
      </c>
    </row>
    <row r="954" spans="1:41" s="123" customFormat="1" ht="16.2" thickBot="1" x14ac:dyDescent="0.35">
      <c r="A954" s="21">
        <v>160.19999999999999</v>
      </c>
      <c r="B954" s="212" t="s">
        <v>318</v>
      </c>
      <c r="C954" s="31" t="str">
        <f>VLOOKUP((CONCATENATE(B954)),ID!$A$2:$D$305,3,0)</f>
        <v>OT048</v>
      </c>
      <c r="D954" s="21">
        <v>1</v>
      </c>
      <c r="E954" s="21" t="s">
        <v>3903</v>
      </c>
      <c r="F954" s="21" t="s">
        <v>1117</v>
      </c>
      <c r="G954" s="21" t="s">
        <v>3935</v>
      </c>
      <c r="H954" s="88">
        <v>4383</v>
      </c>
      <c r="I954" s="43">
        <v>4504</v>
      </c>
      <c r="J954" s="108">
        <v>4504</v>
      </c>
      <c r="K954" s="21">
        <v>0</v>
      </c>
      <c r="L954" s="21"/>
      <c r="M954" s="21"/>
      <c r="N954" s="43">
        <v>4513</v>
      </c>
      <c r="O954" s="21" t="s">
        <v>3733</v>
      </c>
      <c r="P954" s="194" t="str">
        <f t="shared" si="172"/>
        <v>1</v>
      </c>
      <c r="Q954" s="21">
        <v>1</v>
      </c>
      <c r="R954" s="39" t="str">
        <f t="shared" si="181"/>
        <v>-</v>
      </c>
      <c r="S954" s="120">
        <f t="shared" si="178"/>
        <v>2150473</v>
      </c>
      <c r="T954" s="123">
        <v>3151430</v>
      </c>
      <c r="U954" s="123">
        <f>T954-V954</f>
        <v>1505136</v>
      </c>
      <c r="V954" s="123">
        <f>906471+457517+105858+176448</f>
        <v>1646294</v>
      </c>
      <c r="W954" s="122" t="str">
        <f t="shared" si="174"/>
        <v>1</v>
      </c>
      <c r="X954" s="123">
        <f>324409+279009+292764+95679+9096</f>
        <v>1000957</v>
      </c>
      <c r="Y954" s="123">
        <f>AB954</f>
        <v>397539</v>
      </c>
      <c r="Z954" s="123">
        <f t="shared" si="175"/>
        <v>603418</v>
      </c>
      <c r="AA954" s="122" t="str">
        <f t="shared" si="176"/>
        <v>1</v>
      </c>
      <c r="AB954" s="120">
        <f t="shared" si="177"/>
        <v>397539</v>
      </c>
      <c r="AC954" s="123">
        <v>0</v>
      </c>
      <c r="AD954" s="123">
        <f>292764+95679+9096</f>
        <v>397539</v>
      </c>
      <c r="AE954" s="123">
        <v>176448</v>
      </c>
      <c r="AF954" s="123">
        <v>656462</v>
      </c>
      <c r="AG954" s="151">
        <f t="shared" si="182"/>
        <v>193593</v>
      </c>
      <c r="AH954" s="123">
        <f>246671-1200-8000-17558-26320</f>
        <v>193593</v>
      </c>
      <c r="AJ954" s="123">
        <f>27000+30000+31250</f>
        <v>88250</v>
      </c>
      <c r="AK954" s="123">
        <v>17558</v>
      </c>
      <c r="AO954" s="123">
        <f>(450000/5)+500000+625000</f>
        <v>1215000</v>
      </c>
    </row>
    <row r="955" spans="1:41" s="123" customFormat="1" ht="16.2" thickBot="1" x14ac:dyDescent="0.35">
      <c r="A955" s="21"/>
      <c r="B955" s="212" t="s">
        <v>318</v>
      </c>
      <c r="C955" s="31" t="str">
        <f>VLOOKUP((CONCATENATE(B955)),ID!$A$2:$D$305,3,0)</f>
        <v>OT048</v>
      </c>
      <c r="D955" s="21">
        <v>1</v>
      </c>
      <c r="E955" s="21" t="s">
        <v>3903</v>
      </c>
      <c r="F955" s="21" t="s">
        <v>1117</v>
      </c>
      <c r="G955" s="21" t="s">
        <v>3935</v>
      </c>
      <c r="H955" s="88">
        <v>4749</v>
      </c>
      <c r="I955" s="108">
        <v>4868</v>
      </c>
      <c r="J955" s="108">
        <v>4868</v>
      </c>
      <c r="K955" s="21">
        <v>0</v>
      </c>
      <c r="L955" s="43"/>
      <c r="M955" s="43"/>
      <c r="N955" s="43">
        <v>4878</v>
      </c>
      <c r="O955" s="21" t="s">
        <v>3733</v>
      </c>
      <c r="P955" s="194" t="str">
        <f t="shared" si="172"/>
        <v>1</v>
      </c>
      <c r="Q955" s="21">
        <v>1</v>
      </c>
      <c r="R955" s="39" t="str">
        <f t="shared" si="181"/>
        <v>-</v>
      </c>
      <c r="S955" s="120">
        <f t="shared" si="178"/>
        <v>2239299</v>
      </c>
      <c r="T955" s="123">
        <v>3528060</v>
      </c>
      <c r="U955" s="123">
        <f>656462+77610+154465+22488+347023+114023</f>
        <v>1372071</v>
      </c>
      <c r="V955" s="123">
        <f t="shared" si="173"/>
        <v>2155989</v>
      </c>
      <c r="W955" s="122" t="str">
        <f t="shared" si="174"/>
        <v>1</v>
      </c>
      <c r="X955" s="123">
        <f>Y955+532009+412702</f>
        <v>1288761</v>
      </c>
      <c r="Y955" s="123">
        <f>AB955</f>
        <v>344050</v>
      </c>
      <c r="Z955" s="123">
        <f t="shared" si="175"/>
        <v>944711</v>
      </c>
      <c r="AA955" s="122" t="str">
        <f t="shared" si="176"/>
        <v>1</v>
      </c>
      <c r="AB955" s="120">
        <f t="shared" si="177"/>
        <v>344050</v>
      </c>
      <c r="AC955" s="123">
        <v>0</v>
      </c>
      <c r="AD955" s="123">
        <f>6375+112774+224901</f>
        <v>344050</v>
      </c>
      <c r="AE955" s="123">
        <v>195720</v>
      </c>
      <c r="AF955" s="123">
        <v>656462</v>
      </c>
      <c r="AG955" s="151">
        <f t="shared" si="182"/>
        <v>260431</v>
      </c>
      <c r="AH955" s="123">
        <f>260431+AI955</f>
        <v>266431</v>
      </c>
      <c r="AI955" s="123">
        <v>6000</v>
      </c>
      <c r="AJ955" s="123">
        <f>48000+31250</f>
        <v>79250</v>
      </c>
      <c r="AK955" s="123">
        <v>19227</v>
      </c>
      <c r="AO955" s="123">
        <f>(450000/5)+500000+625000</f>
        <v>1215000</v>
      </c>
    </row>
    <row r="956" spans="1:41" s="123" customFormat="1" ht="16.2" thickBot="1" x14ac:dyDescent="0.35">
      <c r="A956" s="21"/>
      <c r="B956" s="212" t="s">
        <v>318</v>
      </c>
      <c r="C956" s="31" t="str">
        <f>VLOOKUP((CONCATENATE(B956)),ID!$A$2:$D$305,3,0)</f>
        <v>OT048</v>
      </c>
      <c r="D956" s="21">
        <v>0</v>
      </c>
      <c r="E956" s="21" t="s">
        <v>3903</v>
      </c>
      <c r="F956" s="21" t="s">
        <v>1117</v>
      </c>
      <c r="G956" s="21" t="s">
        <v>3935</v>
      </c>
      <c r="H956" s="88">
        <v>4869</v>
      </c>
      <c r="I956" s="43">
        <v>5255</v>
      </c>
      <c r="J956" s="108">
        <v>5255</v>
      </c>
      <c r="K956" s="21">
        <v>0</v>
      </c>
      <c r="L956" s="21"/>
      <c r="M956" s="21"/>
      <c r="N956" s="43">
        <v>5263</v>
      </c>
      <c r="O956" s="21" t="s">
        <v>3733</v>
      </c>
      <c r="P956" s="194" t="str">
        <f t="shared" si="172"/>
        <v>1</v>
      </c>
      <c r="Q956" s="21">
        <v>1</v>
      </c>
      <c r="R956" s="39" t="str">
        <f t="shared" si="181"/>
        <v>-</v>
      </c>
      <c r="S956" s="120">
        <f t="shared" si="178"/>
        <v>2716996</v>
      </c>
      <c r="T956" s="123">
        <v>4031955</v>
      </c>
      <c r="U956" s="123">
        <f>T956-V956</f>
        <v>1693117</v>
      </c>
      <c r="V956" s="123">
        <f>9681+31217+265600+188626+736265+1107449</f>
        <v>2338838</v>
      </c>
      <c r="W956" s="122" t="str">
        <f t="shared" si="174"/>
        <v>1</v>
      </c>
      <c r="X956" s="123">
        <f>T956-311384-2035474-370138</f>
        <v>1314959</v>
      </c>
      <c r="Y956" s="123">
        <f>337361+89166+3654</f>
        <v>430181</v>
      </c>
      <c r="Z956" s="123">
        <f t="shared" si="175"/>
        <v>884778</v>
      </c>
      <c r="AA956" s="122" t="str">
        <f t="shared" si="176"/>
        <v>1</v>
      </c>
      <c r="AB956" s="120">
        <f t="shared" si="177"/>
        <v>430181</v>
      </c>
      <c r="AC956" s="123">
        <v>0</v>
      </c>
      <c r="AD956" s="123">
        <f>Y956</f>
        <v>430181</v>
      </c>
      <c r="AE956" s="123">
        <v>265600</v>
      </c>
      <c r="AF956" s="123">
        <v>656462</v>
      </c>
      <c r="AG956" s="151">
        <f t="shared" si="182"/>
        <v>244155</v>
      </c>
      <c r="AH956" s="123">
        <f>240713+3442</f>
        <v>244155</v>
      </c>
      <c r="AJ956" s="123">
        <f>459650-370138</f>
        <v>89512</v>
      </c>
      <c r="AK956" s="123">
        <v>28489</v>
      </c>
      <c r="AO956" s="123">
        <f>90000+500000+500000+625000</f>
        <v>1715000</v>
      </c>
    </row>
    <row r="957" spans="1:41" s="228" customFormat="1" ht="16.2" thickBot="1" x14ac:dyDescent="0.35">
      <c r="A957" s="221"/>
      <c r="B957" s="222" t="s">
        <v>321</v>
      </c>
      <c r="C957" s="223" t="str">
        <f>VLOOKUP((CONCATENATE(B957)),ID!$A$2:$D$305,3,0)</f>
        <v>OT049</v>
      </c>
      <c r="D957" s="221">
        <v>1</v>
      </c>
      <c r="E957" s="221" t="s">
        <v>3903</v>
      </c>
      <c r="F957" s="221" t="s">
        <v>1117</v>
      </c>
      <c r="G957" s="221" t="s">
        <v>3853</v>
      </c>
      <c r="H957" s="224">
        <v>3896</v>
      </c>
      <c r="I957" s="225">
        <v>3972</v>
      </c>
      <c r="J957" s="225">
        <v>3953</v>
      </c>
      <c r="K957" s="221">
        <v>1</v>
      </c>
      <c r="L957" s="225">
        <v>3974</v>
      </c>
      <c r="M957" s="225">
        <v>3987</v>
      </c>
      <c r="N957" s="225">
        <v>3981</v>
      </c>
      <c r="O957" s="221" t="s">
        <v>3919</v>
      </c>
      <c r="P957" s="226" t="str">
        <f t="shared" si="172"/>
        <v>1</v>
      </c>
      <c r="Q957" s="221">
        <v>1</v>
      </c>
      <c r="R957" s="226" t="str">
        <f t="shared" si="181"/>
        <v>-</v>
      </c>
      <c r="S957" s="227">
        <f t="shared" si="178"/>
        <v>3677479</v>
      </c>
      <c r="T957" s="228">
        <v>4824558</v>
      </c>
      <c r="U957" s="228">
        <f>3663858+127388</f>
        <v>3791246</v>
      </c>
      <c r="V957" s="228">
        <f t="shared" si="173"/>
        <v>1033312</v>
      </c>
      <c r="W957" s="229" t="str">
        <f t="shared" si="174"/>
        <v>1</v>
      </c>
      <c r="X957" s="228">
        <f>996113+149360+1606</f>
        <v>1147079</v>
      </c>
      <c r="Y957" s="228">
        <f>AB957</f>
        <v>996113</v>
      </c>
      <c r="Z957" s="228">
        <f t="shared" si="175"/>
        <v>150966</v>
      </c>
      <c r="AA957" s="229" t="str">
        <f t="shared" si="176"/>
        <v>1</v>
      </c>
      <c r="AB957" s="227">
        <f t="shared" si="177"/>
        <v>996113</v>
      </c>
      <c r="AC957" s="228">
        <v>0</v>
      </c>
      <c r="AD957" s="228">
        <v>996113</v>
      </c>
      <c r="AE957" s="228">
        <v>1229</v>
      </c>
      <c r="AG957" s="230">
        <f t="shared" si="182"/>
        <v>159222</v>
      </c>
      <c r="AH957" s="228">
        <v>202568</v>
      </c>
      <c r="AI957" s="228">
        <v>3502</v>
      </c>
      <c r="AJ957" s="228">
        <f>24902+21912</f>
        <v>46814</v>
      </c>
      <c r="AK957" s="228">
        <v>49302</v>
      </c>
      <c r="AL957" s="228">
        <v>39844</v>
      </c>
      <c r="AO957" s="228">
        <f>996113+1095621+1095621</f>
        <v>3187355</v>
      </c>
    </row>
    <row r="958" spans="1:41" s="228" customFormat="1" ht="16.2" thickBot="1" x14ac:dyDescent="0.35">
      <c r="A958" s="221">
        <v>161.1</v>
      </c>
      <c r="B958" s="222" t="s">
        <v>321</v>
      </c>
      <c r="C958" s="223" t="str">
        <f>VLOOKUP((CONCATENATE(B958)),ID!$A$2:$D$305,3,0)</f>
        <v>OT049</v>
      </c>
      <c r="D958" s="221">
        <v>1</v>
      </c>
      <c r="E958" s="221" t="s">
        <v>3903</v>
      </c>
      <c r="F958" s="221" t="s">
        <v>1117</v>
      </c>
      <c r="G958" s="221" t="s">
        <v>3853</v>
      </c>
      <c r="H958" s="224">
        <v>4261</v>
      </c>
      <c r="I958" s="225">
        <v>4335</v>
      </c>
      <c r="J958" s="225">
        <v>4316</v>
      </c>
      <c r="K958" s="221">
        <v>1</v>
      </c>
      <c r="L958" s="225">
        <v>4339</v>
      </c>
      <c r="M958" s="225">
        <v>4352</v>
      </c>
      <c r="N958" s="225">
        <v>4345</v>
      </c>
      <c r="O958" s="221" t="s">
        <v>3919</v>
      </c>
      <c r="P958" s="226" t="str">
        <f t="shared" si="172"/>
        <v>1</v>
      </c>
      <c r="Q958" s="221">
        <v>1</v>
      </c>
      <c r="R958" s="226" t="str">
        <f t="shared" si="181"/>
        <v>-</v>
      </c>
      <c r="S958" s="227">
        <f t="shared" si="178"/>
        <v>3740654</v>
      </c>
      <c r="T958" s="228">
        <v>4783131</v>
      </c>
      <c r="U958" s="228">
        <f>3620248+139386</f>
        <v>3759634</v>
      </c>
      <c r="V958" s="228">
        <f t="shared" si="173"/>
        <v>1023497</v>
      </c>
      <c r="W958" s="229" t="str">
        <f t="shared" si="174"/>
        <v>1</v>
      </c>
      <c r="X958" s="228">
        <f>996113+44718+1646</f>
        <v>1042477</v>
      </c>
      <c r="Y958" s="228">
        <f>AB958</f>
        <v>996113</v>
      </c>
      <c r="Z958" s="228">
        <f t="shared" si="175"/>
        <v>46364</v>
      </c>
      <c r="AA958" s="229" t="str">
        <f t="shared" si="176"/>
        <v>1</v>
      </c>
      <c r="AB958" s="227">
        <f t="shared" si="177"/>
        <v>996113</v>
      </c>
      <c r="AC958" s="228">
        <v>0</v>
      </c>
      <c r="AD958" s="228">
        <v>996113</v>
      </c>
      <c r="AE958" s="228">
        <v>5634</v>
      </c>
      <c r="AG958" s="230">
        <f t="shared" si="182"/>
        <v>167762</v>
      </c>
      <c r="AH958" s="228">
        <f>210468</f>
        <v>210468</v>
      </c>
      <c r="AI958" s="228">
        <v>2862</v>
      </c>
      <c r="AJ958" s="228">
        <f>24902+21912</f>
        <v>46814</v>
      </c>
      <c r="AK958" s="228">
        <v>50514</v>
      </c>
      <c r="AL958" s="228">
        <v>39844</v>
      </c>
      <c r="AO958" s="228">
        <f>996113+1095621+1095621</f>
        <v>3187355</v>
      </c>
    </row>
    <row r="959" spans="1:41" s="228" customFormat="1" ht="16.2" thickBot="1" x14ac:dyDescent="0.35">
      <c r="A959" s="221">
        <v>161.19999999999999</v>
      </c>
      <c r="B959" s="222" t="s">
        <v>321</v>
      </c>
      <c r="C959" s="223" t="str">
        <f>VLOOKUP((CONCATENATE(B959)),ID!$A$2:$D$305,3,0)</f>
        <v>OT049</v>
      </c>
      <c r="D959" s="221">
        <v>1</v>
      </c>
      <c r="E959" s="221" t="s">
        <v>3903</v>
      </c>
      <c r="F959" s="221" t="s">
        <v>1117</v>
      </c>
      <c r="G959" s="221" t="s">
        <v>3853</v>
      </c>
      <c r="H959" s="224">
        <v>4627</v>
      </c>
      <c r="I959" s="225">
        <v>4706</v>
      </c>
      <c r="J959" s="225">
        <v>4681</v>
      </c>
      <c r="K959" s="221">
        <v>1</v>
      </c>
      <c r="L959" s="225">
        <v>4704</v>
      </c>
      <c r="M959" s="225">
        <v>4716</v>
      </c>
      <c r="N959" s="225">
        <v>4716</v>
      </c>
      <c r="O959" s="221" t="s">
        <v>3919</v>
      </c>
      <c r="P959" s="226" t="str">
        <f t="shared" si="172"/>
        <v>1</v>
      </c>
      <c r="Q959" s="221">
        <v>1</v>
      </c>
      <c r="R959" s="226" t="str">
        <f t="shared" si="181"/>
        <v>-</v>
      </c>
      <c r="S959" s="227">
        <f t="shared" si="178"/>
        <v>3784461</v>
      </c>
      <c r="T959" s="228">
        <v>4842494</v>
      </c>
      <c r="U959" s="228">
        <f>3607674+125217</f>
        <v>3732891</v>
      </c>
      <c r="V959" s="228">
        <f t="shared" si="173"/>
        <v>1109603</v>
      </c>
      <c r="W959" s="229" t="str">
        <f t="shared" si="174"/>
        <v>1</v>
      </c>
      <c r="X959" s="228">
        <f>996113+60279+1641</f>
        <v>1058033</v>
      </c>
      <c r="Y959" s="228">
        <f>996113</f>
        <v>996113</v>
      </c>
      <c r="Z959" s="228">
        <f t="shared" si="175"/>
        <v>61920</v>
      </c>
      <c r="AA959" s="229" t="str">
        <f t="shared" si="176"/>
        <v>1</v>
      </c>
      <c r="AB959" s="227">
        <f t="shared" si="177"/>
        <v>996113</v>
      </c>
      <c r="AC959" s="228">
        <v>0</v>
      </c>
      <c r="AD959" s="228">
        <v>996113</v>
      </c>
      <c r="AE959" s="228">
        <v>64699</v>
      </c>
      <c r="AG959" s="230">
        <f t="shared" si="182"/>
        <v>148394</v>
      </c>
      <c r="AH959" s="228">
        <v>191333</v>
      </c>
      <c r="AI959" s="228">
        <v>3095</v>
      </c>
      <c r="AJ959" s="228">
        <f>24902+21912</f>
        <v>46814</v>
      </c>
      <c r="AK959" s="228">
        <v>49406</v>
      </c>
      <c r="AL959" s="228">
        <v>39844</v>
      </c>
      <c r="AO959" s="228">
        <f>996113+1095621+1095621</f>
        <v>3187355</v>
      </c>
    </row>
    <row r="960" spans="1:41" s="228" customFormat="1" ht="16.2" thickBot="1" x14ac:dyDescent="0.35">
      <c r="A960" s="221"/>
      <c r="B960" s="222" t="s">
        <v>321</v>
      </c>
      <c r="C960" s="223" t="str">
        <f>VLOOKUP((CONCATENATE(B960)),ID!$A$2:$D$305,3,0)</f>
        <v>OT049</v>
      </c>
      <c r="D960" s="221">
        <v>1</v>
      </c>
      <c r="E960" s="221" t="s">
        <v>3903</v>
      </c>
      <c r="F960" s="221" t="s">
        <v>1117</v>
      </c>
      <c r="G960" s="221" t="s">
        <v>3853</v>
      </c>
      <c r="H960" s="224">
        <v>4992</v>
      </c>
      <c r="I960" s="225">
        <v>5070</v>
      </c>
      <c r="J960" s="225">
        <v>5045</v>
      </c>
      <c r="K960" s="221">
        <v>1</v>
      </c>
      <c r="L960" s="225">
        <v>5068</v>
      </c>
      <c r="M960" s="225">
        <v>5082</v>
      </c>
      <c r="N960" s="225">
        <v>5080</v>
      </c>
      <c r="O960" s="221" t="s">
        <v>3919</v>
      </c>
      <c r="P960" s="226" t="str">
        <f t="shared" si="172"/>
        <v>1</v>
      </c>
      <c r="Q960" s="221">
        <v>1</v>
      </c>
      <c r="R960" s="226" t="str">
        <f t="shared" si="181"/>
        <v>-</v>
      </c>
      <c r="S960" s="227">
        <f t="shared" si="178"/>
        <v>3825853</v>
      </c>
      <c r="T960" s="228">
        <v>4883036</v>
      </c>
      <c r="U960" s="228">
        <f>3612794+128253</f>
        <v>3741047</v>
      </c>
      <c r="V960" s="228">
        <f t="shared" si="173"/>
        <v>1141989</v>
      </c>
      <c r="W960" s="229" t="str">
        <f t="shared" si="174"/>
        <v>1</v>
      </c>
      <c r="X960" s="228">
        <f>996113+59387+1683</f>
        <v>1057183</v>
      </c>
      <c r="Y960" s="228">
        <f>AD960</f>
        <v>996113</v>
      </c>
      <c r="Z960" s="228">
        <f t="shared" si="175"/>
        <v>61070</v>
      </c>
      <c r="AA960" s="229" t="str">
        <f t="shared" si="176"/>
        <v>1</v>
      </c>
      <c r="AB960" s="227">
        <f t="shared" si="177"/>
        <v>996113</v>
      </c>
      <c r="AC960" s="228">
        <v>0</v>
      </c>
      <c r="AD960" s="228">
        <v>996113</v>
      </c>
      <c r="AE960" s="228">
        <v>49772</v>
      </c>
      <c r="AG960" s="230">
        <f t="shared" si="182"/>
        <v>145979</v>
      </c>
      <c r="AH960" s="228">
        <v>189674</v>
      </c>
      <c r="AI960" s="228">
        <v>3851</v>
      </c>
      <c r="AJ960" s="228">
        <f>24902+21912</f>
        <v>46814</v>
      </c>
      <c r="AK960" s="228">
        <v>49556</v>
      </c>
      <c r="AL960" s="228">
        <v>39844</v>
      </c>
      <c r="AO960" s="228">
        <f>996113+1095621+1095621</f>
        <v>3187355</v>
      </c>
    </row>
    <row r="961" spans="1:41" s="228" customFormat="1" ht="16.2" thickBot="1" x14ac:dyDescent="0.35">
      <c r="A961" s="221"/>
      <c r="B961" s="222" t="s">
        <v>321</v>
      </c>
      <c r="C961" s="223" t="str">
        <f>VLOOKUP((CONCATENATE(B961)),ID!$A$2:$D$305,3,0)</f>
        <v>OT049</v>
      </c>
      <c r="D961" s="221">
        <v>1</v>
      </c>
      <c r="E961" s="221" t="s">
        <v>3903</v>
      </c>
      <c r="F961" s="221" t="s">
        <v>1117</v>
      </c>
      <c r="G961" s="221" t="s">
        <v>3853</v>
      </c>
      <c r="H961" s="224">
        <v>5357</v>
      </c>
      <c r="I961" s="225">
        <v>5434</v>
      </c>
      <c r="J961" s="225">
        <v>5434</v>
      </c>
      <c r="K961" s="221">
        <v>0</v>
      </c>
      <c r="L961" s="225"/>
      <c r="M961" s="225"/>
      <c r="N961" s="225">
        <v>5444</v>
      </c>
      <c r="O961" s="221" t="s">
        <v>3919</v>
      </c>
      <c r="P961" s="226" t="str">
        <f t="shared" si="172"/>
        <v>1</v>
      </c>
      <c r="Q961" s="221">
        <v>1</v>
      </c>
      <c r="R961" s="226" t="str">
        <f t="shared" si="181"/>
        <v>-</v>
      </c>
      <c r="S961" s="227">
        <f t="shared" si="178"/>
        <v>3826957</v>
      </c>
      <c r="T961" s="228">
        <v>4880890</v>
      </c>
      <c r="U961" s="228">
        <f>3634992+123191</f>
        <v>3758183</v>
      </c>
      <c r="V961" s="228">
        <f t="shared" si="173"/>
        <v>1122707</v>
      </c>
      <c r="W961" s="229" t="str">
        <f t="shared" si="174"/>
        <v>1</v>
      </c>
      <c r="X961" s="228">
        <f>Y961+56003+1817</f>
        <v>1053933</v>
      </c>
      <c r="Y961" s="228">
        <f>AD961</f>
        <v>996113</v>
      </c>
      <c r="Z961" s="228">
        <f t="shared" si="175"/>
        <v>57820</v>
      </c>
      <c r="AA961" s="229" t="str">
        <f t="shared" si="176"/>
        <v>1</v>
      </c>
      <c r="AB961" s="227">
        <f t="shared" si="177"/>
        <v>996113</v>
      </c>
      <c r="AC961" s="228">
        <v>0</v>
      </c>
      <c r="AD961" s="228">
        <v>996113</v>
      </c>
      <c r="AE961" s="228">
        <v>21198</v>
      </c>
      <c r="AG961" s="230">
        <f t="shared" si="182"/>
        <v>105691</v>
      </c>
      <c r="AH961" s="228">
        <v>151499</v>
      </c>
      <c r="AI961" s="228">
        <v>5964</v>
      </c>
      <c r="AJ961" s="228">
        <f>24902+21912</f>
        <v>46814</v>
      </c>
      <c r="AK961" s="228">
        <v>49447</v>
      </c>
      <c r="AL961" s="228">
        <v>39844</v>
      </c>
      <c r="AO961" s="228">
        <f>996113+1095621+1095621</f>
        <v>3187355</v>
      </c>
    </row>
    <row r="962" spans="1:41" s="123" customFormat="1" ht="16.2" thickBot="1" x14ac:dyDescent="0.35">
      <c r="A962" s="21"/>
      <c r="B962" s="212" t="s">
        <v>323</v>
      </c>
      <c r="C962" s="31" t="str">
        <f>VLOOKUP((CONCATENATE(B962)),ID!$A$2:$D$305,3,0)</f>
        <v>OT050</v>
      </c>
      <c r="D962" s="21">
        <v>1</v>
      </c>
      <c r="E962" s="21" t="s">
        <v>3903</v>
      </c>
      <c r="F962" s="21" t="s">
        <v>1117</v>
      </c>
      <c r="G962" s="21" t="s">
        <v>3853</v>
      </c>
      <c r="H962" s="88">
        <v>3926</v>
      </c>
      <c r="I962" s="43">
        <v>3993</v>
      </c>
      <c r="J962" s="43">
        <v>3988</v>
      </c>
      <c r="K962" s="21">
        <v>0</v>
      </c>
      <c r="L962" s="43"/>
      <c r="M962" s="43"/>
      <c r="N962" s="43">
        <v>4002</v>
      </c>
      <c r="O962" s="21" t="s">
        <v>3936</v>
      </c>
      <c r="P962" s="194" t="str">
        <f t="shared" ref="P962:P1025" si="183">IF(AJ962=0,"?","1")</f>
        <v>1</v>
      </c>
      <c r="Q962" s="21">
        <v>1</v>
      </c>
      <c r="R962" s="39" t="str">
        <f t="shared" si="181"/>
        <v>-</v>
      </c>
      <c r="S962" s="120">
        <f>T1421-X1421</f>
        <v>1749954</v>
      </c>
      <c r="T962" s="123">
        <v>1919453</v>
      </c>
      <c r="U962" s="123">
        <f>84230+1227589</f>
        <v>1311819</v>
      </c>
      <c r="V962" s="123">
        <f t="shared" si="173"/>
        <v>607634</v>
      </c>
      <c r="W962" s="122" t="str">
        <f t="shared" si="174"/>
        <v>1</v>
      </c>
      <c r="X962" s="123">
        <f>98139+86</f>
        <v>98225</v>
      </c>
      <c r="Y962" s="123">
        <v>0</v>
      </c>
      <c r="Z962" s="123">
        <f t="shared" si="175"/>
        <v>98225</v>
      </c>
      <c r="AA962" s="122" t="str">
        <f t="shared" si="176"/>
        <v>1</v>
      </c>
      <c r="AB962" s="120">
        <f t="shared" si="177"/>
        <v>0</v>
      </c>
      <c r="AC962" s="123">
        <v>0</v>
      </c>
      <c r="AD962" s="123">
        <v>0</v>
      </c>
      <c r="AE962" s="123">
        <v>438707</v>
      </c>
      <c r="AG962" s="151">
        <f t="shared" si="182"/>
        <v>156819</v>
      </c>
      <c r="AH962" s="123">
        <v>156819</v>
      </c>
      <c r="AJ962" s="123">
        <v>51300</v>
      </c>
      <c r="AO962" s="123">
        <f>54000+54000+27000</f>
        <v>135000</v>
      </c>
    </row>
    <row r="963" spans="1:41" s="123" customFormat="1" ht="16.2" thickBot="1" x14ac:dyDescent="0.35">
      <c r="A963" s="21">
        <v>162.1</v>
      </c>
      <c r="B963" s="212" t="s">
        <v>323</v>
      </c>
      <c r="C963" s="31" t="str">
        <f>VLOOKUP((CONCATENATE(B963)),ID!$A$2:$D$305,3,0)</f>
        <v>OT050</v>
      </c>
      <c r="D963" s="21">
        <v>1</v>
      </c>
      <c r="E963" s="21" t="s">
        <v>3903</v>
      </c>
      <c r="F963" s="21" t="s">
        <v>1117</v>
      </c>
      <c r="G963" s="21" t="s">
        <v>3853</v>
      </c>
      <c r="H963" s="88">
        <v>4291</v>
      </c>
      <c r="I963" s="43">
        <v>4357</v>
      </c>
      <c r="J963" s="43">
        <v>4353</v>
      </c>
      <c r="K963" s="21">
        <v>0</v>
      </c>
      <c r="L963" s="21"/>
      <c r="M963" s="21"/>
      <c r="N963" s="43">
        <v>4366</v>
      </c>
      <c r="O963" s="21" t="s">
        <v>3936</v>
      </c>
      <c r="P963" s="194" t="str">
        <f t="shared" si="183"/>
        <v>1</v>
      </c>
      <c r="Q963" s="21">
        <v>1</v>
      </c>
      <c r="R963" s="39" t="str">
        <f t="shared" si="181"/>
        <v>-</v>
      </c>
      <c r="S963" s="120">
        <f t="shared" si="178"/>
        <v>1852044</v>
      </c>
      <c r="T963" s="123">
        <v>1953564</v>
      </c>
      <c r="U963" s="123">
        <f>84230+1231836</f>
        <v>1316066</v>
      </c>
      <c r="V963" s="123">
        <f t="shared" si="173"/>
        <v>637498</v>
      </c>
      <c r="W963" s="122" t="str">
        <f t="shared" si="174"/>
        <v>1</v>
      </c>
      <c r="X963" s="123">
        <f>101385+135</f>
        <v>101520</v>
      </c>
      <c r="Y963" s="123">
        <v>0</v>
      </c>
      <c r="Z963" s="123">
        <f t="shared" si="175"/>
        <v>101520</v>
      </c>
      <c r="AA963" s="122" t="str">
        <f t="shared" si="176"/>
        <v>1</v>
      </c>
      <c r="AB963" s="120">
        <f t="shared" si="177"/>
        <v>0</v>
      </c>
      <c r="AC963" s="123">
        <v>0</v>
      </c>
      <c r="AD963" s="123">
        <v>0</v>
      </c>
      <c r="AE963" s="134">
        <v>468187</v>
      </c>
      <c r="AG963" s="151">
        <f t="shared" si="182"/>
        <v>152316</v>
      </c>
      <c r="AH963" s="123">
        <v>152316</v>
      </c>
      <c r="AJ963" s="123">
        <v>51300</v>
      </c>
      <c r="AO963" s="123">
        <f>54000+54000+27000</f>
        <v>135000</v>
      </c>
    </row>
    <row r="964" spans="1:41" s="123" customFormat="1" ht="16.2" thickBot="1" x14ac:dyDescent="0.35">
      <c r="A964" s="21">
        <v>162.19999999999999</v>
      </c>
      <c r="B964" s="212" t="s">
        <v>323</v>
      </c>
      <c r="C964" s="31" t="str">
        <f>VLOOKUP((CONCATENATE(B964)),ID!$A$2:$D$305,3,0)</f>
        <v>OT050</v>
      </c>
      <c r="D964" s="21">
        <v>1</v>
      </c>
      <c r="E964" s="21" t="s">
        <v>3903</v>
      </c>
      <c r="F964" s="21" t="s">
        <v>1117</v>
      </c>
      <c r="G964" s="21" t="s">
        <v>3853</v>
      </c>
      <c r="H964" s="88">
        <v>4657</v>
      </c>
      <c r="I964" s="43">
        <v>4727</v>
      </c>
      <c r="J964" s="43">
        <v>4720</v>
      </c>
      <c r="K964" s="21">
        <v>0</v>
      </c>
      <c r="L964" s="21"/>
      <c r="M964" s="21"/>
      <c r="N964" s="43">
        <v>4735</v>
      </c>
      <c r="O964" s="21" t="s">
        <v>3936</v>
      </c>
      <c r="P964" s="194" t="str">
        <f t="shared" si="183"/>
        <v>1</v>
      </c>
      <c r="Q964" s="21">
        <v>1</v>
      </c>
      <c r="R964" s="39" t="str">
        <f t="shared" si="181"/>
        <v>-</v>
      </c>
      <c r="S964" s="120">
        <f t="shared" si="178"/>
        <v>1888565</v>
      </c>
      <c r="T964" s="123">
        <v>2006512</v>
      </c>
      <c r="U964" s="123">
        <f>1264061+84230</f>
        <v>1348291</v>
      </c>
      <c r="V964" s="123">
        <f t="shared" si="173"/>
        <v>658221</v>
      </c>
      <c r="W964" s="122" t="str">
        <f t="shared" si="174"/>
        <v>1</v>
      </c>
      <c r="X964" s="123">
        <f>117854+93</f>
        <v>117947</v>
      </c>
      <c r="Y964" s="123">
        <v>0</v>
      </c>
      <c r="Z964" s="123">
        <f t="shared" si="175"/>
        <v>117947</v>
      </c>
      <c r="AA964" s="122" t="str">
        <f t="shared" si="176"/>
        <v>1</v>
      </c>
      <c r="AB964" s="120">
        <f t="shared" si="177"/>
        <v>0</v>
      </c>
      <c r="AC964" s="123">
        <v>0</v>
      </c>
      <c r="AD964" s="123">
        <v>0</v>
      </c>
      <c r="AE964" s="123">
        <v>478647</v>
      </c>
      <c r="AG964" s="151">
        <f t="shared" si="182"/>
        <v>158021</v>
      </c>
      <c r="AH964" s="123">
        <v>158021</v>
      </c>
      <c r="AJ964" s="123">
        <v>51300</v>
      </c>
      <c r="AO964" s="123">
        <f>54000+54000+27000</f>
        <v>135000</v>
      </c>
    </row>
    <row r="965" spans="1:41" s="123" customFormat="1" ht="16.2" thickBot="1" x14ac:dyDescent="0.35">
      <c r="A965" s="21"/>
      <c r="B965" s="212" t="s">
        <v>323</v>
      </c>
      <c r="C965" s="31" t="str">
        <f>VLOOKUP((CONCATENATE(B965)),ID!$A$2:$D$305,3,0)</f>
        <v>OT050</v>
      </c>
      <c r="D965" s="21">
        <v>1</v>
      </c>
      <c r="E965" s="21" t="s">
        <v>3903</v>
      </c>
      <c r="F965" s="21" t="s">
        <v>1117</v>
      </c>
      <c r="G965" s="21" t="s">
        <v>3853</v>
      </c>
      <c r="H965" s="88">
        <v>5022</v>
      </c>
      <c r="I965" s="43">
        <v>5092</v>
      </c>
      <c r="J965" s="43">
        <v>5085</v>
      </c>
      <c r="K965" s="21">
        <v>0</v>
      </c>
      <c r="L965" s="21"/>
      <c r="M965" s="21"/>
      <c r="N965" s="43">
        <v>5101</v>
      </c>
      <c r="O965" s="21" t="s">
        <v>3936</v>
      </c>
      <c r="P965" s="194" t="str">
        <f t="shared" si="183"/>
        <v>1</v>
      </c>
      <c r="Q965" s="21">
        <v>1</v>
      </c>
      <c r="R965" s="39" t="str">
        <f t="shared" si="181"/>
        <v>-</v>
      </c>
      <c r="S965" s="120">
        <f t="shared" si="178"/>
        <v>1896659</v>
      </c>
      <c r="T965" s="123">
        <v>2018938</v>
      </c>
      <c r="U965" s="123">
        <f>1275601+94853</f>
        <v>1370454</v>
      </c>
      <c r="V965" s="123">
        <f t="shared" si="173"/>
        <v>648484</v>
      </c>
      <c r="W965" s="122" t="str">
        <f t="shared" si="174"/>
        <v>1</v>
      </c>
      <c r="X965" s="123">
        <f>122193+86</f>
        <v>122279</v>
      </c>
      <c r="Y965" s="123">
        <v>0</v>
      </c>
      <c r="Z965" s="123">
        <f t="shared" si="175"/>
        <v>122279</v>
      </c>
      <c r="AA965" s="122" t="str">
        <f t="shared" si="176"/>
        <v>1</v>
      </c>
      <c r="AB965" s="120">
        <f t="shared" si="177"/>
        <v>0</v>
      </c>
      <c r="AC965" s="123">
        <v>0</v>
      </c>
      <c r="AD965" s="123">
        <v>0</v>
      </c>
      <c r="AE965" s="123">
        <v>479206</v>
      </c>
      <c r="AG965" s="151">
        <f t="shared" si="182"/>
        <v>148493</v>
      </c>
      <c r="AH965" s="123">
        <v>148493</v>
      </c>
      <c r="AJ965" s="123">
        <v>64800</v>
      </c>
      <c r="AO965" s="123">
        <v>135000</v>
      </c>
    </row>
    <row r="966" spans="1:41" s="123" customFormat="1" ht="16.2" thickBot="1" x14ac:dyDescent="0.35">
      <c r="A966" s="21"/>
      <c r="B966" s="212" t="s">
        <v>323</v>
      </c>
      <c r="C966" s="31" t="str">
        <f>VLOOKUP((CONCATENATE(B966)),ID!$A$2:$D$305,3,0)</f>
        <v>OT050</v>
      </c>
      <c r="D966" s="21">
        <v>1</v>
      </c>
      <c r="E966" s="21" t="s">
        <v>3903</v>
      </c>
      <c r="F966" s="21" t="s">
        <v>1117</v>
      </c>
      <c r="G966" s="21" t="s">
        <v>3853</v>
      </c>
      <c r="H966" s="88">
        <v>5387</v>
      </c>
      <c r="I966" s="43">
        <v>5456</v>
      </c>
      <c r="J966" s="43">
        <v>5451</v>
      </c>
      <c r="K966" s="21">
        <v>0</v>
      </c>
      <c r="L966" s="21"/>
      <c r="M966" s="21"/>
      <c r="N966" s="43">
        <v>5465</v>
      </c>
      <c r="O966" s="21" t="s">
        <v>3936</v>
      </c>
      <c r="P966" s="194" t="str">
        <f t="shared" si="183"/>
        <v>1</v>
      </c>
      <c r="Q966" s="21">
        <v>1</v>
      </c>
      <c r="R966" s="39" t="str">
        <f t="shared" si="181"/>
        <v>-</v>
      </c>
      <c r="S966" s="120">
        <f t="shared" si="178"/>
        <v>1927443</v>
      </c>
      <c r="T966" s="123">
        <v>2060434</v>
      </c>
      <c r="U966" s="123">
        <f>103387+1306151</f>
        <v>1409538</v>
      </c>
      <c r="V966" s="123">
        <f t="shared" si="173"/>
        <v>650896</v>
      </c>
      <c r="W966" s="122" t="str">
        <f t="shared" si="174"/>
        <v>1</v>
      </c>
      <c r="X966" s="123">
        <f>132896+95</f>
        <v>132991</v>
      </c>
      <c r="Y966" s="123">
        <v>0</v>
      </c>
      <c r="Z966" s="123">
        <f t="shared" si="175"/>
        <v>132991</v>
      </c>
      <c r="AA966" s="122" t="str">
        <f t="shared" si="176"/>
        <v>1</v>
      </c>
      <c r="AB966" s="120">
        <f t="shared" si="177"/>
        <v>0</v>
      </c>
      <c r="AC966" s="123">
        <v>0</v>
      </c>
      <c r="AD966" s="123">
        <v>0</v>
      </c>
      <c r="AE966" s="123">
        <v>485986</v>
      </c>
      <c r="AG966" s="151">
        <f t="shared" si="182"/>
        <v>157684</v>
      </c>
      <c r="AH966" s="123">
        <v>157684</v>
      </c>
      <c r="AJ966" s="123">
        <v>64800</v>
      </c>
      <c r="AO966" s="123">
        <v>135000</v>
      </c>
    </row>
    <row r="967" spans="1:41" s="123" customFormat="1" ht="16.2" thickBot="1" x14ac:dyDescent="0.35">
      <c r="A967" s="21"/>
      <c r="B967" s="212" t="s">
        <v>31</v>
      </c>
      <c r="C967" s="31" t="str">
        <f>VLOOKUP((CONCATENATE(B967)),ID!$A$2:$D$305,3,0)</f>
        <v>BR001</v>
      </c>
      <c r="D967" s="21">
        <v>1</v>
      </c>
      <c r="E967" s="21" t="s">
        <v>3937</v>
      </c>
      <c r="F967" s="21" t="s">
        <v>1117</v>
      </c>
      <c r="G967" s="21" t="s">
        <v>3853</v>
      </c>
      <c r="H967" s="88">
        <v>3743</v>
      </c>
      <c r="I967" s="43">
        <v>3824</v>
      </c>
      <c r="J967" s="43">
        <v>3814</v>
      </c>
      <c r="K967" s="21">
        <v>0</v>
      </c>
      <c r="L967" s="21"/>
      <c r="M967" s="21"/>
      <c r="N967" s="21"/>
      <c r="O967" s="21" t="s">
        <v>3733</v>
      </c>
      <c r="P967" s="194" t="str">
        <f t="shared" si="183"/>
        <v>1</v>
      </c>
      <c r="Q967" s="21">
        <v>1</v>
      </c>
      <c r="R967" s="39" t="str">
        <f t="shared" si="181"/>
        <v>-</v>
      </c>
      <c r="S967" s="120">
        <f t="shared" si="178"/>
        <v>3073812</v>
      </c>
      <c r="T967" s="123">
        <v>5182489</v>
      </c>
      <c r="U967" s="123">
        <f>611191+2304133+1017878+358988+694000</f>
        <v>4986190</v>
      </c>
      <c r="V967" s="123">
        <f t="shared" ref="V967:V1025" si="184">T967-U967</f>
        <v>196299</v>
      </c>
      <c r="W967" s="122" t="str">
        <f t="shared" ref="W967:W1025" si="185">IF(V967+U967=T967,"1","0")</f>
        <v>1</v>
      </c>
      <c r="X967" s="123">
        <f>T967-68972-184840-2820000</f>
        <v>2108677</v>
      </c>
      <c r="Y967" s="123">
        <f>1450000+86597+315000</f>
        <v>1851597</v>
      </c>
      <c r="Z967" s="123">
        <f t="shared" si="175"/>
        <v>257080</v>
      </c>
      <c r="AA967" s="122" t="str">
        <f t="shared" si="176"/>
        <v>1</v>
      </c>
      <c r="AB967" s="120">
        <f t="shared" ref="AB967:AB1025" si="186">SUM(AC967+AD967)</f>
        <v>1765000</v>
      </c>
      <c r="AC967" s="123">
        <v>0</v>
      </c>
      <c r="AD967" s="123">
        <f>Y967-86597</f>
        <v>1765000</v>
      </c>
      <c r="AE967" s="123">
        <v>14269</v>
      </c>
      <c r="AF967" s="123">
        <v>358988</v>
      </c>
      <c r="AG967" s="151">
        <f t="shared" si="182"/>
        <v>80052</v>
      </c>
      <c r="AH967" s="123">
        <f>182766-AK967</f>
        <v>142813</v>
      </c>
      <c r="AI967" s="123">
        <v>172</v>
      </c>
      <c r="AJ967" s="123">
        <v>72000</v>
      </c>
      <c r="AK967" s="123">
        <v>39953</v>
      </c>
      <c r="AL967" s="123">
        <f>50750+11839</f>
        <v>62589</v>
      </c>
      <c r="AO967" s="123">
        <v>190200</v>
      </c>
    </row>
    <row r="968" spans="1:41" s="123" customFormat="1" ht="16.2" thickBot="1" x14ac:dyDescent="0.35">
      <c r="A968" s="21">
        <v>164.1</v>
      </c>
      <c r="B968" s="212" t="s">
        <v>31</v>
      </c>
      <c r="C968" s="31" t="str">
        <f>VLOOKUP((CONCATENATE(B968)),ID!$A$2:$D$305,3,0)</f>
        <v>BR001</v>
      </c>
      <c r="D968" s="21">
        <v>1</v>
      </c>
      <c r="E968" s="21" t="s">
        <v>3937</v>
      </c>
      <c r="F968" s="21" t="s">
        <v>1117</v>
      </c>
      <c r="G968" s="21" t="s">
        <v>3853</v>
      </c>
      <c r="H968" s="88">
        <v>4108</v>
      </c>
      <c r="I968" s="43">
        <v>4212</v>
      </c>
      <c r="J968" s="43">
        <v>4213</v>
      </c>
      <c r="K968" s="21">
        <v>0</v>
      </c>
      <c r="L968" s="21"/>
      <c r="M968" s="21"/>
      <c r="N968" s="43">
        <v>4223</v>
      </c>
      <c r="O968" s="21" t="s">
        <v>3733</v>
      </c>
      <c r="P968" s="194" t="str">
        <f t="shared" si="183"/>
        <v>1</v>
      </c>
      <c r="Q968" s="21">
        <v>1</v>
      </c>
      <c r="R968" s="39" t="str">
        <f t="shared" si="181"/>
        <v>-</v>
      </c>
      <c r="S968" s="120">
        <f t="shared" si="178"/>
        <v>2957141</v>
      </c>
      <c r="T968" s="123">
        <v>5295961</v>
      </c>
      <c r="U968" s="123">
        <f>T968-21299-189286</f>
        <v>5085376</v>
      </c>
      <c r="V968" s="123">
        <f t="shared" si="184"/>
        <v>210585</v>
      </c>
      <c r="W968" s="122" t="str">
        <f t="shared" si="185"/>
        <v>1</v>
      </c>
      <c r="X968" s="123">
        <f>T968-2820000-101264-14000-21877</f>
        <v>2338820</v>
      </c>
      <c r="Y968" s="123">
        <f>1450000+100000+85547+480350</f>
        <v>2115897</v>
      </c>
      <c r="Z968" s="123">
        <f t="shared" ref="Z968:Z1031" si="187">X968-Y968</f>
        <v>222923</v>
      </c>
      <c r="AA968" s="122" t="str">
        <f t="shared" ref="AA968:AA1031" si="188">IF(Z968+Y968=X968,"1","0")</f>
        <v>1</v>
      </c>
      <c r="AB968" s="120">
        <f t="shared" si="186"/>
        <v>2030350</v>
      </c>
      <c r="AC968" s="123">
        <v>0</v>
      </c>
      <c r="AD968" s="123">
        <f>Y968-85547</f>
        <v>2030350</v>
      </c>
      <c r="AE968" s="123">
        <v>21999</v>
      </c>
      <c r="AF968" s="123">
        <v>284013</v>
      </c>
      <c r="AG968" s="151">
        <f t="shared" si="182"/>
        <v>91131</v>
      </c>
      <c r="AH968" s="123">
        <f>168739-AK968</f>
        <v>154297</v>
      </c>
      <c r="AI968" s="123">
        <v>941</v>
      </c>
      <c r="AJ968" s="123">
        <v>36000</v>
      </c>
      <c r="AK968" s="123">
        <v>14442</v>
      </c>
      <c r="AL968" s="123">
        <f>50750+11475</f>
        <v>62225</v>
      </c>
      <c r="AO968" s="123">
        <v>190200</v>
      </c>
    </row>
    <row r="969" spans="1:41" s="123" customFormat="1" ht="16.2" thickBot="1" x14ac:dyDescent="0.35">
      <c r="A969" s="21">
        <v>164.2</v>
      </c>
      <c r="B969" s="212" t="s">
        <v>31</v>
      </c>
      <c r="C969" s="31" t="str">
        <f>VLOOKUP((CONCATENATE(B969)),ID!$A$2:$D$305,3,0)</f>
        <v>BR001</v>
      </c>
      <c r="D969" s="21">
        <v>1</v>
      </c>
      <c r="E969" s="21" t="s">
        <v>3937</v>
      </c>
      <c r="F969" s="21" t="s">
        <v>1117</v>
      </c>
      <c r="G969" s="21" t="s">
        <v>3853</v>
      </c>
      <c r="H969" s="88">
        <v>4474</v>
      </c>
      <c r="I969" s="43">
        <v>4561</v>
      </c>
      <c r="J969" s="43">
        <v>4560</v>
      </c>
      <c r="K969" s="21">
        <v>0</v>
      </c>
      <c r="L969" s="21"/>
      <c r="M969" s="21"/>
      <c r="N969" s="43">
        <v>4573</v>
      </c>
      <c r="O969" s="21" t="s">
        <v>3733</v>
      </c>
      <c r="P969" s="194">
        <v>1</v>
      </c>
      <c r="Q969" s="21">
        <v>1</v>
      </c>
      <c r="R969" s="39" t="str">
        <f t="shared" si="181"/>
        <v>-</v>
      </c>
      <c r="S969" s="120">
        <f t="shared" si="178"/>
        <v>1065216</v>
      </c>
      <c r="T969" s="123">
        <v>3192909</v>
      </c>
      <c r="U969" s="123">
        <f>T969-46756-210007</f>
        <v>2936146</v>
      </c>
      <c r="V969" s="123">
        <f t="shared" si="184"/>
        <v>256763</v>
      </c>
      <c r="W969" s="122" t="str">
        <f t="shared" si="185"/>
        <v>1</v>
      </c>
      <c r="X969" s="123">
        <f>T969-127144-106570-101302-730200</f>
        <v>2127693</v>
      </c>
      <c r="Y969" s="123">
        <f>1450000+152500+100000+326550</f>
        <v>2029050</v>
      </c>
      <c r="Z969" s="123">
        <f t="shared" si="187"/>
        <v>98643</v>
      </c>
      <c r="AA969" s="122" t="str">
        <f t="shared" si="188"/>
        <v>1</v>
      </c>
      <c r="AB969" s="120">
        <f t="shared" si="186"/>
        <v>1702500</v>
      </c>
      <c r="AC969" s="123">
        <v>0</v>
      </c>
      <c r="AD969" s="123">
        <f>Y969-326550</f>
        <v>1702500</v>
      </c>
      <c r="AE969" s="123">
        <v>46756</v>
      </c>
      <c r="AF969" s="123">
        <v>284013</v>
      </c>
      <c r="AG969" s="151">
        <f t="shared" si="182"/>
        <v>80142</v>
      </c>
      <c r="AH969" s="123">
        <f>224682-AK969</f>
        <v>196248</v>
      </c>
      <c r="AI969" s="123">
        <v>2721</v>
      </c>
      <c r="AJ969" s="123">
        <v>0</v>
      </c>
      <c r="AK969" s="123">
        <v>28434</v>
      </c>
      <c r="AL969" s="123">
        <f>50750+57113+5522</f>
        <v>113385</v>
      </c>
      <c r="AO969" s="123">
        <v>190200</v>
      </c>
    </row>
    <row r="970" spans="1:41" s="123" customFormat="1" ht="16.2" thickBot="1" x14ac:dyDescent="0.35">
      <c r="A970" s="21"/>
      <c r="B970" s="212" t="s">
        <v>31</v>
      </c>
      <c r="C970" s="31" t="str">
        <f>VLOOKUP((CONCATENATE(B970)),ID!$A$2:$D$305,3,0)</f>
        <v>BR001</v>
      </c>
      <c r="D970" s="21">
        <v>1</v>
      </c>
      <c r="E970" s="21" t="s">
        <v>3937</v>
      </c>
      <c r="F970" s="21" t="s">
        <v>1117</v>
      </c>
      <c r="G970" s="21" t="s">
        <v>3853</v>
      </c>
      <c r="H970" s="88">
        <v>4839</v>
      </c>
      <c r="I970" s="43">
        <v>4925</v>
      </c>
      <c r="J970" s="43">
        <v>4918</v>
      </c>
      <c r="K970" s="21">
        <v>0</v>
      </c>
      <c r="L970" s="21"/>
      <c r="M970" s="21"/>
      <c r="N970" s="43">
        <v>4937</v>
      </c>
      <c r="O970" s="21" t="s">
        <v>3733</v>
      </c>
      <c r="P970" s="194" t="str">
        <f t="shared" si="183"/>
        <v>1</v>
      </c>
      <c r="Q970" s="21">
        <v>1</v>
      </c>
      <c r="R970" s="39" t="str">
        <f t="shared" si="181"/>
        <v>-</v>
      </c>
      <c r="S970" s="120">
        <f t="shared" si="178"/>
        <v>1024210</v>
      </c>
      <c r="T970" s="123">
        <v>3209363</v>
      </c>
      <c r="U970" s="123">
        <f>T970-51164-223197-124766</f>
        <v>2810236</v>
      </c>
      <c r="V970" s="123">
        <f t="shared" si="184"/>
        <v>399127</v>
      </c>
      <c r="W970" s="122" t="str">
        <f t="shared" si="185"/>
        <v>1</v>
      </c>
      <c r="X970" s="123">
        <v>2185153</v>
      </c>
      <c r="Y970" s="123">
        <f>100000+1462687+152500+295522</f>
        <v>2010709</v>
      </c>
      <c r="Z970" s="123">
        <f t="shared" si="187"/>
        <v>174444</v>
      </c>
      <c r="AA970" s="122" t="str">
        <f t="shared" si="188"/>
        <v>1</v>
      </c>
      <c r="AB970" s="120">
        <f t="shared" si="186"/>
        <v>1715187</v>
      </c>
      <c r="AC970" s="123">
        <v>0</v>
      </c>
      <c r="AD970" s="123">
        <f>Y970-295522</f>
        <v>1715187</v>
      </c>
      <c r="AE970" s="123">
        <v>51164</v>
      </c>
      <c r="AF970" s="123">
        <v>284013</v>
      </c>
      <c r="AG970" s="151">
        <f t="shared" si="182"/>
        <v>102883</v>
      </c>
      <c r="AH970" s="123">
        <f>189920-AK970</f>
        <v>163392</v>
      </c>
      <c r="AI970" s="123">
        <v>0</v>
      </c>
      <c r="AJ970" s="123">
        <v>18000</v>
      </c>
      <c r="AK970" s="123">
        <v>26528</v>
      </c>
      <c r="AL970" s="123">
        <f>2134+50750+7625</f>
        <v>60509</v>
      </c>
      <c r="AO970" s="123">
        <v>190200</v>
      </c>
    </row>
    <row r="971" spans="1:41" s="123" customFormat="1" ht="16.2" thickBot="1" x14ac:dyDescent="0.35">
      <c r="A971" s="21"/>
      <c r="B971" s="212" t="s">
        <v>31</v>
      </c>
      <c r="C971" s="31" t="str">
        <f>VLOOKUP((CONCATENATE(B971)),ID!$A$2:$D$305,3,0)</f>
        <v>BR001</v>
      </c>
      <c r="D971" s="21">
        <v>1</v>
      </c>
      <c r="E971" s="21" t="s">
        <v>3937</v>
      </c>
      <c r="F971" s="21" t="s">
        <v>1117</v>
      </c>
      <c r="G971" s="21" t="s">
        <v>3853</v>
      </c>
      <c r="H971" s="88">
        <v>5204</v>
      </c>
      <c r="I971" s="43">
        <v>5283</v>
      </c>
      <c r="J971" s="43">
        <v>5280</v>
      </c>
      <c r="K971" s="21">
        <v>0</v>
      </c>
      <c r="L971" s="21"/>
      <c r="M971" s="21"/>
      <c r="N971" s="43">
        <v>5294</v>
      </c>
      <c r="O971" s="21" t="s">
        <v>3733</v>
      </c>
      <c r="P971" s="194" t="str">
        <f t="shared" si="183"/>
        <v>1</v>
      </c>
      <c r="Q971" s="21">
        <v>1</v>
      </c>
      <c r="R971" s="39" t="str">
        <f t="shared" si="181"/>
        <v>-</v>
      </c>
      <c r="S971" s="120">
        <f t="shared" si="178"/>
        <v>1058464</v>
      </c>
      <c r="T971" s="123">
        <v>3186952</v>
      </c>
      <c r="U971" s="123">
        <f>T971-67714-210272-124134</f>
        <v>2784832</v>
      </c>
      <c r="V971" s="123">
        <f t="shared" si="184"/>
        <v>402120</v>
      </c>
      <c r="W971" s="122" t="str">
        <f t="shared" si="185"/>
        <v>1</v>
      </c>
      <c r="X971" s="123">
        <f>T971-105694-222570-730200</f>
        <v>2128488</v>
      </c>
      <c r="Y971" s="123">
        <f>1450000+152500+100000+255138</f>
        <v>1957638</v>
      </c>
      <c r="Z971" s="123">
        <f t="shared" si="187"/>
        <v>170850</v>
      </c>
      <c r="AA971" s="122" t="str">
        <f t="shared" si="188"/>
        <v>1</v>
      </c>
      <c r="AB971" s="120">
        <f t="shared" si="186"/>
        <v>1702500</v>
      </c>
      <c r="AC971" s="123">
        <v>0</v>
      </c>
      <c r="AD971" s="123">
        <f>Y971-255138</f>
        <v>1702500</v>
      </c>
      <c r="AE971" s="123">
        <v>67714</v>
      </c>
      <c r="AF971" s="123">
        <v>284013</v>
      </c>
      <c r="AG971" s="151">
        <f t="shared" si="182"/>
        <v>122784</v>
      </c>
      <c r="AH971" s="123">
        <f>185825-AK971</f>
        <v>183148</v>
      </c>
      <c r="AI971" s="123">
        <v>0</v>
      </c>
      <c r="AJ971" s="123">
        <v>36000</v>
      </c>
      <c r="AK971" s="123">
        <v>2677</v>
      </c>
      <c r="AL971" s="123">
        <f>50750+7625+1989</f>
        <v>60364</v>
      </c>
      <c r="AO971" s="123">
        <v>190200</v>
      </c>
    </row>
    <row r="972" spans="1:41" s="123" customFormat="1" ht="16.2" thickBot="1" x14ac:dyDescent="0.35">
      <c r="A972" s="21"/>
      <c r="B972" s="212" t="s">
        <v>33</v>
      </c>
      <c r="C972" s="31" t="str">
        <f>VLOOKUP((CONCATENATE(B972)),ID!$A$2:$D$305,3,0)</f>
        <v>BR002</v>
      </c>
      <c r="D972" s="21">
        <v>1</v>
      </c>
      <c r="E972" s="21" t="s">
        <v>3937</v>
      </c>
      <c r="F972" s="21" t="s">
        <v>3938</v>
      </c>
      <c r="G972" s="21" t="s">
        <v>3853</v>
      </c>
      <c r="H972" s="88">
        <v>3834</v>
      </c>
      <c r="I972" s="43">
        <v>3867</v>
      </c>
      <c r="J972" s="43">
        <v>3867</v>
      </c>
      <c r="K972" s="21">
        <v>0</v>
      </c>
      <c r="L972" s="21"/>
      <c r="M972" s="21"/>
      <c r="N972" s="43">
        <v>3877</v>
      </c>
      <c r="O972" s="21" t="s">
        <v>3843</v>
      </c>
      <c r="P972" s="194" t="str">
        <f t="shared" si="183"/>
        <v>1</v>
      </c>
      <c r="Q972" s="21">
        <v>1</v>
      </c>
      <c r="R972" s="39" t="str">
        <f t="shared" si="181"/>
        <v>-</v>
      </c>
      <c r="S972" s="120">
        <f t="shared" si="178"/>
        <v>3670766</v>
      </c>
      <c r="T972" s="123">
        <v>5879744</v>
      </c>
      <c r="U972" s="123">
        <f>T972-415468-340455-3834-750786-867611</f>
        <v>3501590</v>
      </c>
      <c r="V972" s="123">
        <f t="shared" si="184"/>
        <v>2378154</v>
      </c>
      <c r="W972" s="122" t="str">
        <f t="shared" si="185"/>
        <v>1</v>
      </c>
      <c r="X972" s="123">
        <f>T972-110766-840000-2720000</f>
        <v>2208978</v>
      </c>
      <c r="Y972" s="123">
        <f>1920000</f>
        <v>1920000</v>
      </c>
      <c r="Z972" s="123">
        <f t="shared" si="187"/>
        <v>288978</v>
      </c>
      <c r="AA972" s="122" t="str">
        <f t="shared" si="188"/>
        <v>1</v>
      </c>
      <c r="AB972" s="120">
        <f t="shared" si="186"/>
        <v>1920000</v>
      </c>
      <c r="AC972" s="123">
        <v>0</v>
      </c>
      <c r="AD972" s="123">
        <f>Y972</f>
        <v>1920000</v>
      </c>
      <c r="AE972" s="123">
        <v>415468</v>
      </c>
      <c r="AF972" s="123">
        <v>800000</v>
      </c>
      <c r="AG972" s="151">
        <f t="shared" si="182"/>
        <v>205970</v>
      </c>
      <c r="AH972" s="123">
        <f>845281-43309-40647-326454-76357-AK972</f>
        <v>306229</v>
      </c>
      <c r="AI972" s="123">
        <v>12196</v>
      </c>
      <c r="AJ972" s="123">
        <f>27200+68000</f>
        <v>95200</v>
      </c>
      <c r="AK972" s="123">
        <v>52285</v>
      </c>
      <c r="AL972" s="123">
        <f>80800+7263</f>
        <v>88063</v>
      </c>
    </row>
    <row r="973" spans="1:41" s="123" customFormat="1" ht="16.2" thickBot="1" x14ac:dyDescent="0.35">
      <c r="A973" s="21">
        <v>165.1</v>
      </c>
      <c r="B973" s="212" t="s">
        <v>33</v>
      </c>
      <c r="C973" s="31" t="str">
        <f>VLOOKUP((CONCATENATE(B973)),ID!$A$2:$D$305,3,0)</f>
        <v>BR002</v>
      </c>
      <c r="D973" s="21">
        <v>1</v>
      </c>
      <c r="E973" s="21" t="s">
        <v>3937</v>
      </c>
      <c r="F973" s="21" t="s">
        <v>3938</v>
      </c>
      <c r="G973" s="21" t="s">
        <v>3853</v>
      </c>
      <c r="H973" s="88">
        <v>4199</v>
      </c>
      <c r="I973" s="43">
        <v>4227</v>
      </c>
      <c r="J973" s="43">
        <v>4227</v>
      </c>
      <c r="K973" s="21">
        <v>0</v>
      </c>
      <c r="L973" s="21"/>
      <c r="M973" s="21"/>
      <c r="N973" s="43">
        <v>4238</v>
      </c>
      <c r="O973" s="21" t="s">
        <v>3843</v>
      </c>
      <c r="P973" s="194" t="str">
        <f t="shared" si="183"/>
        <v>1</v>
      </c>
      <c r="Q973" s="21">
        <v>1</v>
      </c>
      <c r="R973" s="39" t="str">
        <f t="shared" si="181"/>
        <v>-</v>
      </c>
      <c r="S973" s="120">
        <f t="shared" si="178"/>
        <v>3219461</v>
      </c>
      <c r="T973" s="123">
        <v>5380554</v>
      </c>
      <c r="U973" s="123">
        <f>T973-360199-139535-124242-6685-741612-840539</f>
        <v>3167742</v>
      </c>
      <c r="V973" s="123">
        <f t="shared" si="184"/>
        <v>2212812</v>
      </c>
      <c r="W973" s="122" t="str">
        <f t="shared" si="185"/>
        <v>1</v>
      </c>
      <c r="X973" s="123">
        <f>T973-2720000-336922-162539</f>
        <v>2161093</v>
      </c>
      <c r="Y973" s="123">
        <v>1920000</v>
      </c>
      <c r="Z973" s="123">
        <f t="shared" si="187"/>
        <v>241093</v>
      </c>
      <c r="AA973" s="122" t="str">
        <f t="shared" si="188"/>
        <v>1</v>
      </c>
      <c r="AB973" s="120">
        <f t="shared" si="186"/>
        <v>1920000</v>
      </c>
      <c r="AC973" s="123">
        <v>0</v>
      </c>
      <c r="AD973" s="123">
        <f>Y973</f>
        <v>1920000</v>
      </c>
      <c r="AE973" s="123">
        <v>360199</v>
      </c>
      <c r="AF973" s="123">
        <v>800000</v>
      </c>
      <c r="AG973" s="151">
        <f t="shared" si="182"/>
        <v>292555</v>
      </c>
      <c r="AH973" s="123">
        <f>881479-37844-40106-330546-84225</f>
        <v>388758</v>
      </c>
      <c r="AI973" s="123">
        <v>10259</v>
      </c>
      <c r="AJ973" s="123">
        <f>27200+68000</f>
        <v>95200</v>
      </c>
      <c r="AK973" s="123">
        <v>34812</v>
      </c>
      <c r="AL973" s="123">
        <f>80800+5144</f>
        <v>85944</v>
      </c>
    </row>
    <row r="974" spans="1:41" s="123" customFormat="1" ht="16.2" thickBot="1" x14ac:dyDescent="0.35">
      <c r="A974" s="21">
        <v>165.2</v>
      </c>
      <c r="B974" s="212" t="s">
        <v>33</v>
      </c>
      <c r="C974" s="31" t="str">
        <f>VLOOKUP((CONCATENATE(B974)),ID!$A$2:$D$305,3,0)</f>
        <v>BR002</v>
      </c>
      <c r="D974" s="21">
        <v>1</v>
      </c>
      <c r="E974" s="21" t="s">
        <v>3937</v>
      </c>
      <c r="F974" s="21" t="s">
        <v>3938</v>
      </c>
      <c r="G974" s="21" t="s">
        <v>3853</v>
      </c>
      <c r="H974" s="88">
        <v>4565</v>
      </c>
      <c r="I974" s="43">
        <v>4594</v>
      </c>
      <c r="J974" s="43">
        <v>4594</v>
      </c>
      <c r="K974" s="21">
        <v>0</v>
      </c>
      <c r="L974" s="21"/>
      <c r="M974" s="21"/>
      <c r="N974" s="43">
        <v>4608</v>
      </c>
      <c r="O974" s="21" t="s">
        <v>3843</v>
      </c>
      <c r="P974" s="194" t="str">
        <f t="shared" si="183"/>
        <v>1</v>
      </c>
      <c r="Q974" s="21">
        <v>1</v>
      </c>
      <c r="R974" s="39" t="str">
        <f t="shared" si="181"/>
        <v>-</v>
      </c>
      <c r="S974" s="120">
        <f t="shared" si="178"/>
        <v>3306188</v>
      </c>
      <c r="T974" s="123">
        <v>5450390</v>
      </c>
      <c r="U974" s="123">
        <f>T974-206148-333952-3180-712655-1097491</f>
        <v>3096964</v>
      </c>
      <c r="V974" s="123">
        <f t="shared" si="184"/>
        <v>2353426</v>
      </c>
      <c r="W974" s="122" t="str">
        <f t="shared" si="185"/>
        <v>1</v>
      </c>
      <c r="X974" s="123">
        <f>T974-2720000-199266-386922</f>
        <v>2144202</v>
      </c>
      <c r="Y974" s="123">
        <v>1920000</v>
      </c>
      <c r="Z974" s="123">
        <f t="shared" si="187"/>
        <v>224202</v>
      </c>
      <c r="AA974" s="122" t="str">
        <f t="shared" si="188"/>
        <v>1</v>
      </c>
      <c r="AB974" s="120">
        <f t="shared" si="186"/>
        <v>1920000</v>
      </c>
      <c r="AC974" s="123">
        <v>0</v>
      </c>
      <c r="AD974" s="123">
        <f>Y974</f>
        <v>1920000</v>
      </c>
      <c r="AE974" s="123">
        <v>206148</v>
      </c>
      <c r="AF974" s="123">
        <v>800000</v>
      </c>
      <c r="AG974" s="151">
        <f t="shared" si="182"/>
        <v>294468</v>
      </c>
      <c r="AH974" s="123">
        <f>869930-AK974-39944-41410-325863-39739</f>
        <v>387563</v>
      </c>
      <c r="AI974" s="123">
        <v>8551</v>
      </c>
      <c r="AJ974" s="123">
        <f>80800+27200</f>
        <v>108000</v>
      </c>
      <c r="AK974" s="123">
        <v>35411</v>
      </c>
      <c r="AL974" s="123">
        <f>80800+3744</f>
        <v>84544</v>
      </c>
    </row>
    <row r="975" spans="1:41" s="123" customFormat="1" ht="16.2" thickBot="1" x14ac:dyDescent="0.35">
      <c r="A975" s="21"/>
      <c r="B975" s="212" t="s">
        <v>33</v>
      </c>
      <c r="C975" s="31" t="str">
        <f>VLOOKUP((CONCATENATE(B975)),ID!$A$2:$D$305,3,0)</f>
        <v>BR002</v>
      </c>
      <c r="D975" s="21">
        <v>1</v>
      </c>
      <c r="E975" s="21" t="s">
        <v>3937</v>
      </c>
      <c r="F975" s="21" t="s">
        <v>3938</v>
      </c>
      <c r="G975" s="21" t="s">
        <v>3853</v>
      </c>
      <c r="H975" s="88">
        <v>4930</v>
      </c>
      <c r="I975" s="43">
        <v>4962</v>
      </c>
      <c r="J975" s="43">
        <v>4962</v>
      </c>
      <c r="K975" s="21">
        <v>0</v>
      </c>
      <c r="L975" s="21"/>
      <c r="M975" s="21"/>
      <c r="N975" s="43">
        <v>4972</v>
      </c>
      <c r="O975" s="21" t="s">
        <v>3843</v>
      </c>
      <c r="P975" s="194" t="str">
        <f t="shared" si="183"/>
        <v>1</v>
      </c>
      <c r="Q975" s="21">
        <v>1</v>
      </c>
      <c r="R975" s="39" t="str">
        <f t="shared" si="181"/>
        <v>-</v>
      </c>
      <c r="S975" s="120">
        <f t="shared" si="178"/>
        <v>3386592</v>
      </c>
      <c r="T975" s="123">
        <v>5512596</v>
      </c>
      <c r="U975" s="123">
        <f>T975-955766-723152-8905-353484</f>
        <v>3471289</v>
      </c>
      <c r="V975" s="123">
        <f t="shared" si="184"/>
        <v>2041307</v>
      </c>
      <c r="W975" s="122" t="str">
        <f t="shared" si="185"/>
        <v>1</v>
      </c>
      <c r="X975" s="123">
        <f>T975-2720000-229670-436922</f>
        <v>2126004</v>
      </c>
      <c r="Y975" s="123">
        <v>1920000</v>
      </c>
      <c r="Z975" s="123">
        <f t="shared" si="187"/>
        <v>206004</v>
      </c>
      <c r="AA975" s="122" t="str">
        <f t="shared" si="188"/>
        <v>1</v>
      </c>
      <c r="AB975" s="120">
        <f t="shared" si="186"/>
        <v>1920000</v>
      </c>
      <c r="AC975" s="123">
        <v>0</v>
      </c>
      <c r="AD975" s="123">
        <f>Y975</f>
        <v>1920000</v>
      </c>
      <c r="AE975" s="123">
        <v>353484</v>
      </c>
      <c r="AF975" s="123">
        <v>800000</v>
      </c>
      <c r="AG975" s="151">
        <f t="shared" si="182"/>
        <v>331672</v>
      </c>
      <c r="AH975" s="123">
        <f>900402-AK975-40106-39413-329606-40031</f>
        <v>415682</v>
      </c>
      <c r="AI975" s="123">
        <v>0</v>
      </c>
      <c r="AJ975" s="123">
        <f>34000+68000</f>
        <v>102000</v>
      </c>
      <c r="AK975" s="123">
        <v>35564</v>
      </c>
      <c r="AL975" s="123">
        <f>3210+80800</f>
        <v>84010</v>
      </c>
    </row>
    <row r="976" spans="1:41" s="123" customFormat="1" ht="16.2" thickBot="1" x14ac:dyDescent="0.35">
      <c r="A976" s="21"/>
      <c r="B976" s="212" t="s">
        <v>33</v>
      </c>
      <c r="C976" s="31" t="str">
        <f>VLOOKUP((CONCATENATE(B976)),ID!$A$2:$D$305,3,0)</f>
        <v>BR002</v>
      </c>
      <c r="D976" s="21">
        <v>1</v>
      </c>
      <c r="E976" s="21" t="s">
        <v>3937</v>
      </c>
      <c r="F976" s="21" t="s">
        <v>3938</v>
      </c>
      <c r="G976" s="21" t="s">
        <v>3853</v>
      </c>
      <c r="H976" s="88">
        <v>5295</v>
      </c>
      <c r="I976" s="43">
        <v>5326</v>
      </c>
      <c r="J976" s="43">
        <v>5326</v>
      </c>
      <c r="K976" s="21">
        <v>0</v>
      </c>
      <c r="L976" s="21"/>
      <c r="M976" s="21"/>
      <c r="N976" s="43">
        <v>5336</v>
      </c>
      <c r="O976" s="21" t="s">
        <v>3843</v>
      </c>
      <c r="P976" s="194" t="str">
        <f t="shared" si="183"/>
        <v>1</v>
      </c>
      <c r="Q976" s="21">
        <v>1</v>
      </c>
      <c r="R976" s="39" t="str">
        <f t="shared" si="181"/>
        <v>-</v>
      </c>
      <c r="S976" s="120">
        <f t="shared" si="178"/>
        <v>3484275</v>
      </c>
      <c r="T976" s="123">
        <v>5645493</v>
      </c>
      <c r="U976" s="123">
        <f>T976-1027956-735522-4004-304453</f>
        <v>3573558</v>
      </c>
      <c r="V976" s="123">
        <f t="shared" si="184"/>
        <v>2071935</v>
      </c>
      <c r="W976" s="122" t="str">
        <f t="shared" si="185"/>
        <v>1</v>
      </c>
      <c r="X976" s="123">
        <f>T976-2720000-500000-264275</f>
        <v>2161218</v>
      </c>
      <c r="Y976" s="123">
        <v>1920000</v>
      </c>
      <c r="Z976" s="123">
        <f t="shared" si="187"/>
        <v>241218</v>
      </c>
      <c r="AA976" s="122" t="str">
        <f t="shared" si="188"/>
        <v>1</v>
      </c>
      <c r="AB976" s="120">
        <f t="shared" si="186"/>
        <v>1920000</v>
      </c>
      <c r="AC976" s="123">
        <v>0</v>
      </c>
      <c r="AD976" s="123">
        <f>Y976</f>
        <v>1920000</v>
      </c>
      <c r="AE976" s="123">
        <v>304453</v>
      </c>
      <c r="AF976" s="123">
        <v>800000</v>
      </c>
      <c r="AG976" s="151">
        <f t="shared" si="182"/>
        <v>396891</v>
      </c>
      <c r="AH976" s="123">
        <f>957153-AK976-34256-323479-40380-38740</f>
        <v>481112</v>
      </c>
      <c r="AI976" s="123">
        <v>0</v>
      </c>
      <c r="AJ976" s="123">
        <f>68000+54400</f>
        <v>122400</v>
      </c>
      <c r="AK976" s="123">
        <v>39186</v>
      </c>
      <c r="AL976" s="123">
        <f>80800+3421</f>
        <v>84221</v>
      </c>
    </row>
    <row r="977" spans="1:41" s="123" customFormat="1" ht="16.2" thickBot="1" x14ac:dyDescent="0.35">
      <c r="A977" s="21"/>
      <c r="B977" s="212" t="s">
        <v>66</v>
      </c>
      <c r="C977" s="31" t="str">
        <f>VLOOKUP((CONCATENATE(B977)),ID!$A$2:$D$305,3,0)</f>
        <v>BR003</v>
      </c>
      <c r="D977" s="21">
        <v>1</v>
      </c>
      <c r="E977" s="21" t="s">
        <v>3937</v>
      </c>
      <c r="F977" s="21" t="s">
        <v>3865</v>
      </c>
      <c r="G977" s="21" t="s">
        <v>3853</v>
      </c>
      <c r="H977" s="88">
        <v>3653</v>
      </c>
      <c r="I977" s="43">
        <v>3699</v>
      </c>
      <c r="J977" s="43">
        <v>3699</v>
      </c>
      <c r="K977" s="21">
        <v>0</v>
      </c>
      <c r="L977" s="21"/>
      <c r="M977" s="21"/>
      <c r="N977" s="43"/>
      <c r="O977" s="21" t="s">
        <v>3733</v>
      </c>
      <c r="P977" s="194" t="str">
        <f t="shared" si="183"/>
        <v>1</v>
      </c>
      <c r="Q977" s="21">
        <v>1</v>
      </c>
      <c r="R977" s="39" t="str">
        <f t="shared" si="181"/>
        <v>-</v>
      </c>
      <c r="S977" s="120">
        <f t="shared" si="178"/>
        <v>3215604</v>
      </c>
      <c r="T977" s="123">
        <v>4622052</v>
      </c>
      <c r="U977" s="123">
        <f>54851+291754+3672774+298639</f>
        <v>4318018</v>
      </c>
      <c r="V977" s="123">
        <f t="shared" si="184"/>
        <v>304034</v>
      </c>
      <c r="W977" s="122" t="str">
        <f t="shared" si="185"/>
        <v>1</v>
      </c>
      <c r="X977" s="123">
        <f>Y977+12275+141134+42374</f>
        <v>1406448</v>
      </c>
      <c r="Y977" s="123">
        <f>687475+473190+50000</f>
        <v>1210665</v>
      </c>
      <c r="Z977" s="123">
        <f t="shared" si="187"/>
        <v>195783</v>
      </c>
      <c r="AA977" s="122" t="str">
        <f t="shared" si="188"/>
        <v>1</v>
      </c>
      <c r="AB977" s="120">
        <f t="shared" si="186"/>
        <v>1210665</v>
      </c>
      <c r="AC977" s="123">
        <v>50000</v>
      </c>
      <c r="AD977" s="123">
        <f>687475+473190</f>
        <v>1160665</v>
      </c>
      <c r="AE977" s="123">
        <v>12447</v>
      </c>
      <c r="AF977" s="123">
        <v>291754</v>
      </c>
      <c r="AG977" s="151">
        <f t="shared" si="182"/>
        <v>68967</v>
      </c>
      <c r="AH977" s="123">
        <v>171678</v>
      </c>
      <c r="AJ977" s="123">
        <f>42374</f>
        <v>42374</v>
      </c>
      <c r="AL977" s="123">
        <f>145085-AJ977</f>
        <v>102711</v>
      </c>
      <c r="AO977" s="123">
        <v>237000</v>
      </c>
    </row>
    <row r="978" spans="1:41" s="123" customFormat="1" ht="16.2" thickBot="1" x14ac:dyDescent="0.35">
      <c r="A978" s="21">
        <v>166.1</v>
      </c>
      <c r="B978" s="212" t="s">
        <v>66</v>
      </c>
      <c r="C978" s="31" t="str">
        <f>VLOOKUP((CONCATENATE(B978)),ID!$A$2:$D$305,3,0)</f>
        <v>BR003</v>
      </c>
      <c r="D978" s="21">
        <v>1</v>
      </c>
      <c r="E978" s="21" t="s">
        <v>3937</v>
      </c>
      <c r="F978" s="21" t="s">
        <v>3865</v>
      </c>
      <c r="G978" s="21" t="s">
        <v>3853</v>
      </c>
      <c r="H978" s="88">
        <v>4018</v>
      </c>
      <c r="I978" s="43">
        <v>4078</v>
      </c>
      <c r="J978" s="43">
        <v>4078</v>
      </c>
      <c r="K978" s="21">
        <v>0</v>
      </c>
      <c r="L978" s="21"/>
      <c r="M978" s="21"/>
      <c r="N978" s="21"/>
      <c r="O978" s="21" t="s">
        <v>3733</v>
      </c>
      <c r="P978" s="194" t="str">
        <f t="shared" si="183"/>
        <v>1</v>
      </c>
      <c r="Q978" s="21">
        <v>1</v>
      </c>
      <c r="R978" s="39" t="str">
        <f t="shared" si="181"/>
        <v>-</v>
      </c>
      <c r="S978" s="120">
        <f t="shared" si="178"/>
        <v>2483438</v>
      </c>
      <c r="T978" s="123">
        <v>3815340</v>
      </c>
      <c r="U978" s="123">
        <f>T978-58296-42620-11779</f>
        <v>3702645</v>
      </c>
      <c r="V978" s="123">
        <f t="shared" si="184"/>
        <v>112695</v>
      </c>
      <c r="W978" s="122" t="str">
        <f t="shared" si="185"/>
        <v>1</v>
      </c>
      <c r="X978" s="123">
        <f>Y978+12275+31587+42375</f>
        <v>1331902</v>
      </c>
      <c r="Y978" s="123">
        <f>AB978</f>
        <v>1245665</v>
      </c>
      <c r="Z978" s="123">
        <f t="shared" si="187"/>
        <v>86237</v>
      </c>
      <c r="AA978" s="122" t="str">
        <f t="shared" si="188"/>
        <v>1</v>
      </c>
      <c r="AB978" s="120">
        <f t="shared" si="186"/>
        <v>1245665</v>
      </c>
      <c r="AC978" s="123">
        <v>85000</v>
      </c>
      <c r="AD978" s="123">
        <f>687475+473190</f>
        <v>1160665</v>
      </c>
      <c r="AE978" s="123">
        <v>11779</v>
      </c>
      <c r="AF978" s="123">
        <v>0</v>
      </c>
      <c r="AG978" s="151">
        <f t="shared" si="182"/>
        <v>58178</v>
      </c>
      <c r="AH978" s="123">
        <v>159851</v>
      </c>
      <c r="AJ978" s="123">
        <v>42375</v>
      </c>
      <c r="AL978" s="123">
        <f>144048-AJ978</f>
        <v>101673</v>
      </c>
      <c r="AO978" s="123">
        <v>237000</v>
      </c>
    </row>
    <row r="979" spans="1:41" s="123" customFormat="1" ht="16.2" thickBot="1" x14ac:dyDescent="0.35">
      <c r="A979" s="21">
        <v>166.2</v>
      </c>
      <c r="B979" s="212" t="s">
        <v>66</v>
      </c>
      <c r="C979" s="31" t="str">
        <f>VLOOKUP((CONCATENATE(B979)),ID!$A$2:$D$305,3,0)</f>
        <v>BR003</v>
      </c>
      <c r="D979" s="21">
        <v>1</v>
      </c>
      <c r="E979" s="21" t="s">
        <v>3937</v>
      </c>
      <c r="F979" s="21" t="s">
        <v>3865</v>
      </c>
      <c r="G979" s="21" t="s">
        <v>3853</v>
      </c>
      <c r="H979" s="88">
        <v>4383</v>
      </c>
      <c r="I979" s="43">
        <v>4427</v>
      </c>
      <c r="J979" s="43">
        <v>4427</v>
      </c>
      <c r="K979" s="21">
        <v>0</v>
      </c>
      <c r="L979" s="21"/>
      <c r="M979" s="21"/>
      <c r="N979" s="21"/>
      <c r="O979" s="21" t="s">
        <v>3733</v>
      </c>
      <c r="P979" s="194" t="str">
        <f t="shared" si="183"/>
        <v>1</v>
      </c>
      <c r="Q979" s="21">
        <v>1</v>
      </c>
      <c r="R979" s="39" t="str">
        <f t="shared" si="181"/>
        <v>-</v>
      </c>
      <c r="S979" s="120">
        <f t="shared" si="178"/>
        <v>2457354</v>
      </c>
      <c r="T979" s="123">
        <v>3884098</v>
      </c>
      <c r="U979" s="123">
        <f>T979-13789-61339-66066</f>
        <v>3742904</v>
      </c>
      <c r="V979" s="123">
        <f t="shared" si="184"/>
        <v>141194</v>
      </c>
      <c r="W979" s="122" t="str">
        <f t="shared" si="185"/>
        <v>1</v>
      </c>
      <c r="X979" s="123">
        <f>Y979+12275+63054+68375+42375</f>
        <v>1426744</v>
      </c>
      <c r="Y979" s="123">
        <f>AB979</f>
        <v>1240665</v>
      </c>
      <c r="Z979" s="123">
        <f t="shared" si="187"/>
        <v>186079</v>
      </c>
      <c r="AA979" s="122" t="str">
        <f t="shared" si="188"/>
        <v>1</v>
      </c>
      <c r="AB979" s="120">
        <f t="shared" si="186"/>
        <v>1240665</v>
      </c>
      <c r="AC979" s="123">
        <v>80000</v>
      </c>
      <c r="AD979" s="123">
        <f>687475+473190</f>
        <v>1160665</v>
      </c>
      <c r="AE979" s="123">
        <v>13789</v>
      </c>
      <c r="AF979" s="123">
        <v>0</v>
      </c>
      <c r="AG979" s="151">
        <f t="shared" si="182"/>
        <v>62196</v>
      </c>
      <c r="AH979" s="123">
        <v>191379</v>
      </c>
      <c r="AJ979" s="123">
        <v>13750</v>
      </c>
      <c r="AL979" s="123">
        <f>142933-AJ979</f>
        <v>129183</v>
      </c>
      <c r="AO979" s="123">
        <f>7000+50000+180000</f>
        <v>237000</v>
      </c>
    </row>
    <row r="980" spans="1:41" s="123" customFormat="1" ht="16.2" thickBot="1" x14ac:dyDescent="0.35">
      <c r="A980" s="21"/>
      <c r="B980" s="212" t="s">
        <v>66</v>
      </c>
      <c r="C980" s="31" t="str">
        <f>VLOOKUP((CONCATENATE(B980)),ID!$A$2:$D$305,3,0)</f>
        <v>BR003</v>
      </c>
      <c r="D980" s="21">
        <v>1</v>
      </c>
      <c r="E980" s="21" t="s">
        <v>3937</v>
      </c>
      <c r="F980" s="21" t="s">
        <v>3865</v>
      </c>
      <c r="G980" s="21" t="s">
        <v>3853</v>
      </c>
      <c r="H980" s="88">
        <v>4749</v>
      </c>
      <c r="I980" s="43">
        <v>4798</v>
      </c>
      <c r="J980" s="43">
        <v>4798</v>
      </c>
      <c r="K980" s="21">
        <v>0</v>
      </c>
      <c r="L980" s="21"/>
      <c r="M980" s="21"/>
      <c r="N980" s="21"/>
      <c r="O980" s="21" t="s">
        <v>3733</v>
      </c>
      <c r="P980" s="194" t="str">
        <f t="shared" si="183"/>
        <v>1</v>
      </c>
      <c r="Q980" s="21">
        <v>1</v>
      </c>
      <c r="R980" s="39" t="str">
        <f t="shared" si="181"/>
        <v>-</v>
      </c>
      <c r="S980" s="120">
        <f t="shared" si="178"/>
        <v>2469711</v>
      </c>
      <c r="T980" s="123">
        <v>3858752</v>
      </c>
      <c r="U980" s="123">
        <f>T980-11580-63317-58769</f>
        <v>3725086</v>
      </c>
      <c r="V980" s="123">
        <f t="shared" si="184"/>
        <v>133666</v>
      </c>
      <c r="W980" s="122" t="str">
        <f t="shared" si="185"/>
        <v>1</v>
      </c>
      <c r="X980" s="123">
        <f>Y980+12275+71193+68533+42375</f>
        <v>1389041</v>
      </c>
      <c r="Y980" s="123">
        <f>AB980</f>
        <v>1194665</v>
      </c>
      <c r="Z980" s="123">
        <f t="shared" si="187"/>
        <v>194376</v>
      </c>
      <c r="AA980" s="122" t="str">
        <f t="shared" si="188"/>
        <v>1</v>
      </c>
      <c r="AB980" s="120">
        <f t="shared" si="186"/>
        <v>1194665</v>
      </c>
      <c r="AC980" s="123">
        <v>34000</v>
      </c>
      <c r="AD980" s="123">
        <f>687475+473190</f>
        <v>1160665</v>
      </c>
      <c r="AE980" s="123">
        <v>11580</v>
      </c>
      <c r="AF980" s="123">
        <v>0</v>
      </c>
      <c r="AG980" s="151">
        <f t="shared" si="182"/>
        <v>53161</v>
      </c>
      <c r="AH980" s="123">
        <v>183636</v>
      </c>
      <c r="AJ980" s="123">
        <v>13750</v>
      </c>
      <c r="AL980" s="123">
        <f>144225-AJ980</f>
        <v>130475</v>
      </c>
      <c r="AO980" s="123">
        <v>237000</v>
      </c>
    </row>
    <row r="981" spans="1:41" s="123" customFormat="1" ht="16.2" thickBot="1" x14ac:dyDescent="0.35">
      <c r="A981" s="21"/>
      <c r="B981" s="212" t="s">
        <v>66</v>
      </c>
      <c r="C981" s="31" t="str">
        <f>VLOOKUP((CONCATENATE(B981)),ID!$A$2:$D$305,3,0)</f>
        <v>BR003</v>
      </c>
      <c r="D981" s="21">
        <v>1</v>
      </c>
      <c r="E981" s="21" t="s">
        <v>3937</v>
      </c>
      <c r="F981" s="21" t="s">
        <v>3865</v>
      </c>
      <c r="G981" s="21" t="s">
        <v>3853</v>
      </c>
      <c r="H981" s="88">
        <v>5114</v>
      </c>
      <c r="I981" s="43">
        <v>5164</v>
      </c>
      <c r="J981" s="43">
        <v>5164</v>
      </c>
      <c r="K981" s="21">
        <v>0</v>
      </c>
      <c r="L981" s="21"/>
      <c r="M981" s="21"/>
      <c r="N981" s="21"/>
      <c r="O981" s="21" t="s">
        <v>3733</v>
      </c>
      <c r="P981" s="194" t="str">
        <f t="shared" si="183"/>
        <v>1</v>
      </c>
      <c r="Q981" s="21">
        <v>1</v>
      </c>
      <c r="R981" s="39" t="str">
        <f t="shared" si="181"/>
        <v>-</v>
      </c>
      <c r="S981" s="120">
        <f t="shared" ref="S981:S1044" si="189">T981-X981</f>
        <v>2488482</v>
      </c>
      <c r="T981" s="123">
        <v>3933481</v>
      </c>
      <c r="U981" s="123">
        <f>T981-15583-74390-57807</f>
        <v>3785701</v>
      </c>
      <c r="V981" s="123">
        <f t="shared" si="184"/>
        <v>147780</v>
      </c>
      <c r="W981" s="122" t="str">
        <f t="shared" si="185"/>
        <v>1</v>
      </c>
      <c r="X981" s="123">
        <f>Y981+12275+79639+74045+7000+42375</f>
        <v>1444999</v>
      </c>
      <c r="Y981" s="123">
        <f>AB981</f>
        <v>1229665</v>
      </c>
      <c r="Z981" s="123">
        <f t="shared" si="187"/>
        <v>215334</v>
      </c>
      <c r="AA981" s="122" t="str">
        <f t="shared" si="188"/>
        <v>1</v>
      </c>
      <c r="AB981" s="120">
        <f t="shared" si="186"/>
        <v>1229665</v>
      </c>
      <c r="AC981" s="123">
        <v>69000</v>
      </c>
      <c r="AD981" s="123">
        <f>687475+473190</f>
        <v>1160665</v>
      </c>
      <c r="AE981" s="123">
        <v>15583</v>
      </c>
      <c r="AF981" s="123">
        <v>0</v>
      </c>
      <c r="AG981" s="151">
        <f t="shared" si="182"/>
        <v>76870</v>
      </c>
      <c r="AH981" s="123">
        <f>204670</f>
        <v>204670</v>
      </c>
      <c r="AJ981" s="123">
        <v>18125</v>
      </c>
      <c r="AL981" s="123">
        <f>145925-AJ981</f>
        <v>127800</v>
      </c>
      <c r="AO981" s="123">
        <v>237000</v>
      </c>
    </row>
    <row r="982" spans="1:41" s="123" customFormat="1" ht="16.2" thickBot="1" x14ac:dyDescent="0.35">
      <c r="A982" s="21"/>
      <c r="B982" s="212" t="s">
        <v>4073</v>
      </c>
      <c r="C982" s="31" t="str">
        <f>VLOOKUP((CONCATENATE(B982)),ID!$A$2:$D$305,3,0)</f>
        <v>BR004</v>
      </c>
      <c r="D982" s="21">
        <v>1</v>
      </c>
      <c r="E982" s="21" t="s">
        <v>3937</v>
      </c>
      <c r="F982" s="21" t="s">
        <v>1117</v>
      </c>
      <c r="G982" s="21" t="s">
        <v>3744</v>
      </c>
      <c r="H982" s="88">
        <v>3926</v>
      </c>
      <c r="I982" s="43">
        <v>3995</v>
      </c>
      <c r="J982" s="43">
        <v>3978</v>
      </c>
      <c r="K982" s="21">
        <v>1</v>
      </c>
      <c r="L982" s="43">
        <v>4001</v>
      </c>
      <c r="M982" s="43">
        <v>3657</v>
      </c>
      <c r="N982" s="43">
        <v>4008</v>
      </c>
      <c r="O982" s="21" t="s">
        <v>3939</v>
      </c>
      <c r="P982" s="194">
        <v>1</v>
      </c>
      <c r="Q982" s="21">
        <v>1</v>
      </c>
      <c r="R982" s="39" t="str">
        <f t="shared" si="181"/>
        <v>-</v>
      </c>
      <c r="S982" s="120">
        <f t="shared" si="189"/>
        <v>1250311</v>
      </c>
      <c r="T982" s="123">
        <v>1251313</v>
      </c>
      <c r="U982" s="123">
        <f>T982-982</f>
        <v>1250331</v>
      </c>
      <c r="V982" s="123">
        <f t="shared" si="184"/>
        <v>982</v>
      </c>
      <c r="W982" s="122" t="str">
        <f t="shared" si="185"/>
        <v>1</v>
      </c>
      <c r="X982" s="123">
        <f>649+353</f>
        <v>1002</v>
      </c>
      <c r="Z982" s="123">
        <f t="shared" si="187"/>
        <v>1002</v>
      </c>
      <c r="AA982" s="122" t="str">
        <f t="shared" si="188"/>
        <v>1</v>
      </c>
      <c r="AB982" s="120">
        <f t="shared" si="186"/>
        <v>0</v>
      </c>
      <c r="AC982" s="123">
        <v>0</v>
      </c>
      <c r="AD982" s="123">
        <v>0</v>
      </c>
      <c r="AE982" s="123">
        <v>982</v>
      </c>
      <c r="AF982" s="123">
        <v>0</v>
      </c>
      <c r="AG982" s="151">
        <f t="shared" si="182"/>
        <v>2</v>
      </c>
      <c r="AH982" s="123">
        <f>2982-1474-406</f>
        <v>1102</v>
      </c>
      <c r="AI982" s="123">
        <v>1100</v>
      </c>
      <c r="AO982" s="123">
        <f>62500+62500</f>
        <v>125000</v>
      </c>
    </row>
    <row r="983" spans="1:41" s="123" customFormat="1" ht="16.2" thickBot="1" x14ac:dyDescent="0.35">
      <c r="A983" s="21">
        <v>167.1</v>
      </c>
      <c r="B983" s="212" t="s">
        <v>4073</v>
      </c>
      <c r="C983" s="31" t="str">
        <f>VLOOKUP((CONCATENATE(B983)),ID!$A$2:$D$305,3,0)</f>
        <v>BR004</v>
      </c>
      <c r="D983" s="21">
        <v>1</v>
      </c>
      <c r="E983" s="21" t="s">
        <v>3937</v>
      </c>
      <c r="F983" s="21" t="s">
        <v>1117</v>
      </c>
      <c r="G983" s="21" t="s">
        <v>3744</v>
      </c>
      <c r="H983" s="88">
        <v>4291</v>
      </c>
      <c r="I983" s="43">
        <v>4358</v>
      </c>
      <c r="J983" s="43">
        <v>4358</v>
      </c>
      <c r="K983" s="21">
        <v>1</v>
      </c>
      <c r="L983" s="43">
        <v>4365</v>
      </c>
      <c r="M983" s="43">
        <v>4386</v>
      </c>
      <c r="N983" s="43">
        <v>4372</v>
      </c>
      <c r="O983" s="21" t="s">
        <v>3939</v>
      </c>
      <c r="P983" s="194">
        <v>1</v>
      </c>
      <c r="Q983" s="21">
        <v>1</v>
      </c>
      <c r="R983" s="39" t="str">
        <f t="shared" si="181"/>
        <v>-</v>
      </c>
      <c r="S983" s="183">
        <f t="shared" si="189"/>
        <v>1256549</v>
      </c>
      <c r="T983" s="134">
        <v>1257572</v>
      </c>
      <c r="U983" s="134">
        <f>T983-1311</f>
        <v>1256261</v>
      </c>
      <c r="V983" s="134">
        <f t="shared" si="184"/>
        <v>1311</v>
      </c>
      <c r="W983" s="184" t="str">
        <f t="shared" si="185"/>
        <v>1</v>
      </c>
      <c r="X983" s="134">
        <f>670+353</f>
        <v>1023</v>
      </c>
      <c r="Y983" s="134"/>
      <c r="Z983" s="134">
        <f t="shared" si="187"/>
        <v>1023</v>
      </c>
      <c r="AA983" s="184" t="str">
        <f t="shared" si="188"/>
        <v>1</v>
      </c>
      <c r="AB983" s="183">
        <f t="shared" si="186"/>
        <v>0</v>
      </c>
      <c r="AC983" s="134">
        <v>0</v>
      </c>
      <c r="AD983" s="134">
        <v>0</v>
      </c>
      <c r="AE983" s="134">
        <v>1311</v>
      </c>
      <c r="AF983" s="134">
        <v>0</v>
      </c>
      <c r="AG983" s="152">
        <f t="shared" si="182"/>
        <v>6238</v>
      </c>
      <c r="AH983" s="134">
        <f>9262-1469-407</f>
        <v>7386</v>
      </c>
      <c r="AI983" s="134">
        <v>1148</v>
      </c>
      <c r="AJ983" s="134"/>
      <c r="AK983" s="134"/>
      <c r="AL983" s="134"/>
      <c r="AM983" s="134"/>
      <c r="AN983" s="134"/>
      <c r="AO983" s="134">
        <f>62500+62500</f>
        <v>125000</v>
      </c>
    </row>
    <row r="984" spans="1:41" s="123" customFormat="1" ht="16.2" thickBot="1" x14ac:dyDescent="0.35">
      <c r="A984" s="21">
        <v>167.2</v>
      </c>
      <c r="B984" s="212" t="s">
        <v>4073</v>
      </c>
      <c r="C984" s="31" t="str">
        <f>VLOOKUP((CONCATENATE(B984)),ID!$A$2:$D$305,3,0)</f>
        <v>BR004</v>
      </c>
      <c r="D984" s="21">
        <v>1</v>
      </c>
      <c r="E984" s="21" t="s">
        <v>3937</v>
      </c>
      <c r="F984" s="21" t="s">
        <v>1117</v>
      </c>
      <c r="G984" s="21" t="s">
        <v>3744</v>
      </c>
      <c r="H984" s="88">
        <v>4657</v>
      </c>
      <c r="I984" s="43">
        <v>4722</v>
      </c>
      <c r="J984" s="43">
        <v>4721</v>
      </c>
      <c r="K984" s="21">
        <v>1</v>
      </c>
      <c r="L984" s="43">
        <v>4729</v>
      </c>
      <c r="M984" s="43">
        <v>4750</v>
      </c>
      <c r="N984" s="43">
        <v>4736</v>
      </c>
      <c r="O984" s="21" t="s">
        <v>3939</v>
      </c>
      <c r="P984" s="194" t="str">
        <f t="shared" si="183"/>
        <v>1</v>
      </c>
      <c r="Q984" s="21">
        <v>1</v>
      </c>
      <c r="R984" s="39" t="str">
        <f t="shared" si="181"/>
        <v>-</v>
      </c>
      <c r="S984" s="183">
        <f t="shared" si="189"/>
        <v>1250005</v>
      </c>
      <c r="T984" s="134">
        <v>1251058</v>
      </c>
      <c r="U984" s="134">
        <f>T984-739</f>
        <v>1250319</v>
      </c>
      <c r="V984" s="134">
        <f t="shared" si="184"/>
        <v>739</v>
      </c>
      <c r="W984" s="184" t="str">
        <f t="shared" si="185"/>
        <v>1</v>
      </c>
      <c r="X984" s="134">
        <f>678+375</f>
        <v>1053</v>
      </c>
      <c r="Y984" s="134"/>
      <c r="Z984" s="134">
        <f t="shared" si="187"/>
        <v>1053</v>
      </c>
      <c r="AA984" s="184" t="str">
        <f t="shared" si="188"/>
        <v>1</v>
      </c>
      <c r="AB984" s="183">
        <f t="shared" si="186"/>
        <v>0</v>
      </c>
      <c r="AC984" s="134">
        <v>0</v>
      </c>
      <c r="AD984" s="134">
        <v>0</v>
      </c>
      <c r="AE984" s="134">
        <v>789</v>
      </c>
      <c r="AF984" s="134">
        <v>0</v>
      </c>
      <c r="AG984" s="152">
        <f t="shared" si="182"/>
        <v>2</v>
      </c>
      <c r="AH984" s="134">
        <f>2743-433-1493</f>
        <v>817</v>
      </c>
      <c r="AI984" s="134">
        <v>815</v>
      </c>
      <c r="AJ984" s="134">
        <v>6250</v>
      </c>
      <c r="AK984" s="134"/>
      <c r="AL984" s="134"/>
      <c r="AM984" s="134"/>
      <c r="AN984" s="134"/>
      <c r="AO984" s="134">
        <f>62500+62500</f>
        <v>125000</v>
      </c>
    </row>
    <row r="985" spans="1:41" s="123" customFormat="1" ht="16.2" thickBot="1" x14ac:dyDescent="0.35">
      <c r="A985" s="21"/>
      <c r="B985" s="212" t="s">
        <v>4073</v>
      </c>
      <c r="C985" s="31" t="str">
        <f>VLOOKUP((CONCATENATE(B985)),ID!$A$2:$D$305,3,0)</f>
        <v>BR004</v>
      </c>
      <c r="D985" s="21">
        <v>1</v>
      </c>
      <c r="E985" s="21" t="s">
        <v>3937</v>
      </c>
      <c r="F985" s="21" t="s">
        <v>1117</v>
      </c>
      <c r="G985" s="21" t="s">
        <v>3744</v>
      </c>
      <c r="H985" s="88">
        <v>5022</v>
      </c>
      <c r="I985" s="43">
        <v>5100</v>
      </c>
      <c r="J985" s="43">
        <v>5063</v>
      </c>
      <c r="K985" s="21">
        <v>1</v>
      </c>
      <c r="L985" s="43">
        <v>5107</v>
      </c>
      <c r="M985" s="43">
        <v>5128</v>
      </c>
      <c r="N985" s="43">
        <v>5114</v>
      </c>
      <c r="O985" s="21" t="s">
        <v>3939</v>
      </c>
      <c r="P985" s="194">
        <v>0</v>
      </c>
      <c r="Q985" s="21">
        <v>1</v>
      </c>
      <c r="R985" s="39" t="str">
        <f t="shared" si="181"/>
        <v>-</v>
      </c>
      <c r="S985" s="185">
        <f t="shared" si="189"/>
        <v>0</v>
      </c>
      <c r="T985" s="186"/>
      <c r="U985" s="186"/>
      <c r="V985" s="186">
        <f t="shared" si="184"/>
        <v>0</v>
      </c>
      <c r="W985" s="187" t="str">
        <f t="shared" si="185"/>
        <v>1</v>
      </c>
      <c r="X985" s="186"/>
      <c r="Y985" s="186"/>
      <c r="Z985" s="186">
        <f t="shared" si="187"/>
        <v>0</v>
      </c>
      <c r="AA985" s="187" t="str">
        <f t="shared" si="188"/>
        <v>1</v>
      </c>
      <c r="AB985" s="185">
        <f t="shared" si="186"/>
        <v>0</v>
      </c>
      <c r="AC985" s="186"/>
      <c r="AD985" s="186"/>
      <c r="AE985" s="186"/>
      <c r="AF985" s="134">
        <v>0</v>
      </c>
      <c r="AG985" s="152">
        <f t="shared" si="182"/>
        <v>2</v>
      </c>
      <c r="AH985" s="134">
        <f>2927-1485-406</f>
        <v>1036</v>
      </c>
      <c r="AI985" s="134">
        <v>1034</v>
      </c>
      <c r="AJ985" s="134"/>
      <c r="AK985" s="134"/>
      <c r="AL985" s="134"/>
      <c r="AM985" s="134"/>
      <c r="AN985" s="134"/>
      <c r="AO985" s="134">
        <f>62500+62500</f>
        <v>125000</v>
      </c>
    </row>
    <row r="986" spans="1:41" s="123" customFormat="1" ht="16.2" thickBot="1" x14ac:dyDescent="0.35">
      <c r="A986" s="21"/>
      <c r="B986" s="212" t="s">
        <v>4073</v>
      </c>
      <c r="C986" s="31" t="str">
        <f>VLOOKUP((CONCATENATE(B986)),ID!$A$2:$D$305,3,0)</f>
        <v>BR004</v>
      </c>
      <c r="D986" s="21">
        <v>1</v>
      </c>
      <c r="E986" s="21" t="s">
        <v>3937</v>
      </c>
      <c r="F986" s="21" t="s">
        <v>1117</v>
      </c>
      <c r="G986" s="21" t="s">
        <v>3744</v>
      </c>
      <c r="H986" s="88">
        <v>5387</v>
      </c>
      <c r="I986" s="43">
        <v>5466</v>
      </c>
      <c r="J986" s="43">
        <v>5448</v>
      </c>
      <c r="K986" s="21">
        <v>1</v>
      </c>
      <c r="L986" s="43">
        <v>5477</v>
      </c>
      <c r="M986" s="43">
        <v>5490</v>
      </c>
      <c r="N986" s="43">
        <v>5477</v>
      </c>
      <c r="O986" s="21" t="s">
        <v>3939</v>
      </c>
      <c r="P986" s="194">
        <v>0</v>
      </c>
      <c r="Q986" s="21">
        <v>1</v>
      </c>
      <c r="R986" s="39" t="str">
        <f t="shared" si="181"/>
        <v>-</v>
      </c>
      <c r="S986" s="183">
        <f t="shared" si="189"/>
        <v>1250001</v>
      </c>
      <c r="T986" s="134">
        <f>1251746</f>
        <v>1251746</v>
      </c>
      <c r="U986" s="134">
        <f>T986-1105-31-17</f>
        <v>1250593</v>
      </c>
      <c r="V986" s="134">
        <f t="shared" si="184"/>
        <v>1153</v>
      </c>
      <c r="W986" s="184" t="str">
        <f t="shared" si="185"/>
        <v>1</v>
      </c>
      <c r="X986" s="134">
        <f>1361+384</f>
        <v>1745</v>
      </c>
      <c r="Y986" s="134"/>
      <c r="Z986" s="134">
        <f t="shared" si="187"/>
        <v>1745</v>
      </c>
      <c r="AA986" s="184" t="str">
        <f t="shared" si="188"/>
        <v>1</v>
      </c>
      <c r="AB986" s="183">
        <f t="shared" si="186"/>
        <v>0</v>
      </c>
      <c r="AC986" s="134">
        <v>0</v>
      </c>
      <c r="AD986" s="134">
        <v>0</v>
      </c>
      <c r="AE986" s="134">
        <v>1105</v>
      </c>
      <c r="AF986" s="134">
        <v>0</v>
      </c>
      <c r="AG986" s="152">
        <f t="shared" si="182"/>
        <v>1</v>
      </c>
      <c r="AH986" s="134">
        <f>2454-1490-207</f>
        <v>757</v>
      </c>
      <c r="AI986" s="134">
        <v>756</v>
      </c>
      <c r="AJ986" s="134"/>
      <c r="AK986" s="134"/>
      <c r="AL986" s="134"/>
      <c r="AM986" s="134"/>
      <c r="AN986" s="134"/>
      <c r="AO986" s="134">
        <f>62500+62500</f>
        <v>125000</v>
      </c>
    </row>
    <row r="987" spans="1:41" s="123" customFormat="1" ht="16.2" thickBot="1" x14ac:dyDescent="0.35">
      <c r="A987" s="21"/>
      <c r="B987" s="212" t="s">
        <v>80</v>
      </c>
      <c r="C987" s="31" t="str">
        <f>VLOOKUP((CONCATENATE(B987)),ID!$A$2:$D$305,3,0)</f>
        <v>BR005</v>
      </c>
      <c r="D987" s="21">
        <v>1</v>
      </c>
      <c r="E987" s="21" t="s">
        <v>3937</v>
      </c>
      <c r="F987" s="21" t="s">
        <v>1117</v>
      </c>
      <c r="G987" s="21" t="s">
        <v>3853</v>
      </c>
      <c r="H987" s="88">
        <v>3653</v>
      </c>
      <c r="I987" s="43">
        <v>3684</v>
      </c>
      <c r="J987" s="43">
        <v>3675</v>
      </c>
      <c r="K987" s="21">
        <v>0</v>
      </c>
      <c r="L987" s="43"/>
      <c r="M987" s="43"/>
      <c r="N987" s="43">
        <v>3693</v>
      </c>
      <c r="O987" s="21" t="s">
        <v>3940</v>
      </c>
      <c r="P987" s="194" t="str">
        <f t="shared" si="183"/>
        <v>1</v>
      </c>
      <c r="Q987" s="21">
        <v>1</v>
      </c>
      <c r="R987" s="39" t="str">
        <f t="shared" si="181"/>
        <v>-</v>
      </c>
      <c r="S987" s="183">
        <f t="shared" si="189"/>
        <v>1619293</v>
      </c>
      <c r="T987" s="134">
        <v>2493526</v>
      </c>
      <c r="U987" s="134">
        <f>T987-28360</f>
        <v>2465166</v>
      </c>
      <c r="V987" s="134">
        <f t="shared" si="184"/>
        <v>28360</v>
      </c>
      <c r="W987" s="184" t="str">
        <f t="shared" si="185"/>
        <v>1</v>
      </c>
      <c r="X987" s="134">
        <f>Y987+4786+3975+41389+24083</f>
        <v>874233</v>
      </c>
      <c r="Y987" s="134">
        <f>AB987</f>
        <v>800000</v>
      </c>
      <c r="Z987" s="134">
        <f t="shared" si="187"/>
        <v>74233</v>
      </c>
      <c r="AA987" s="184" t="str">
        <f t="shared" si="188"/>
        <v>1</v>
      </c>
      <c r="AB987" s="183">
        <f t="shared" si="186"/>
        <v>800000</v>
      </c>
      <c r="AC987" s="134">
        <v>0</v>
      </c>
      <c r="AD987" s="134">
        <v>800000</v>
      </c>
      <c r="AE987" s="134">
        <v>28360</v>
      </c>
      <c r="AF987" s="134">
        <v>0</v>
      </c>
      <c r="AG987" s="152">
        <f t="shared" si="182"/>
        <v>33448</v>
      </c>
      <c r="AH987" s="134">
        <f>119454-21149-6825-2700-157-7088-AK987</f>
        <v>63760</v>
      </c>
      <c r="AI987" s="134"/>
      <c r="AJ987" s="134">
        <v>12500</v>
      </c>
      <c r="AK987" s="134">
        <v>17775</v>
      </c>
      <c r="AL987" s="134">
        <f>28805+1507</f>
        <v>30312</v>
      </c>
      <c r="AM987" s="134">
        <v>118446</v>
      </c>
      <c r="AN987" s="134"/>
      <c r="AO987" s="123">
        <f>78500+1500</f>
        <v>80000</v>
      </c>
    </row>
    <row r="988" spans="1:41" s="123" customFormat="1" ht="16.2" thickBot="1" x14ac:dyDescent="0.35">
      <c r="A988" s="21">
        <v>168.1</v>
      </c>
      <c r="B988" s="212" t="s">
        <v>80</v>
      </c>
      <c r="C988" s="31" t="str">
        <f>VLOOKUP((CONCATENATE(B988)),ID!$A$2:$D$305,3,0)</f>
        <v>BR005</v>
      </c>
      <c r="D988" s="21">
        <v>1</v>
      </c>
      <c r="E988" s="21" t="s">
        <v>3937</v>
      </c>
      <c r="F988" s="21" t="s">
        <v>1117</v>
      </c>
      <c r="G988" s="21" t="s">
        <v>3853</v>
      </c>
      <c r="H988" s="88">
        <v>4018</v>
      </c>
      <c r="I988" s="43">
        <v>4048</v>
      </c>
      <c r="J988" s="43">
        <v>4019</v>
      </c>
      <c r="K988" s="21">
        <v>0</v>
      </c>
      <c r="L988" s="21"/>
      <c r="M988" s="21"/>
      <c r="N988" s="43">
        <v>4057</v>
      </c>
      <c r="O988" s="21" t="s">
        <v>3940</v>
      </c>
      <c r="P988" s="194">
        <v>0</v>
      </c>
      <c r="Q988" s="21">
        <v>1</v>
      </c>
      <c r="R988" s="39" t="str">
        <f t="shared" si="181"/>
        <v>-</v>
      </c>
      <c r="S988" s="120">
        <f t="shared" si="189"/>
        <v>1597833</v>
      </c>
      <c r="T988" s="123">
        <v>2485794</v>
      </c>
      <c r="U988" s="123">
        <f>T988-46321</f>
        <v>2439473</v>
      </c>
      <c r="V988" s="123">
        <f t="shared" si="184"/>
        <v>46321</v>
      </c>
      <c r="W988" s="122" t="str">
        <f t="shared" si="185"/>
        <v>1</v>
      </c>
      <c r="X988" s="123">
        <f>4786+3108+38242+41825+800000</f>
        <v>887961</v>
      </c>
      <c r="Y988" s="134">
        <f>AB988</f>
        <v>800000</v>
      </c>
      <c r="Z988" s="123">
        <f t="shared" si="187"/>
        <v>87961</v>
      </c>
      <c r="AA988" s="122" t="str">
        <f t="shared" si="188"/>
        <v>1</v>
      </c>
      <c r="AB988" s="120">
        <f t="shared" si="186"/>
        <v>800000</v>
      </c>
      <c r="AC988" s="123">
        <v>0</v>
      </c>
      <c r="AD988" s="123">
        <v>800000</v>
      </c>
      <c r="AE988" s="123">
        <v>46321</v>
      </c>
      <c r="AF988" s="123">
        <v>0</v>
      </c>
      <c r="AG988" s="151">
        <f t="shared" si="182"/>
        <v>7270</v>
      </c>
      <c r="AH988" s="123">
        <f>88211-7517-157-2325-722-22214-AK988</f>
        <v>37213</v>
      </c>
      <c r="AJ988" s="123">
        <v>0</v>
      </c>
      <c r="AK988" s="123">
        <v>18063</v>
      </c>
      <c r="AL988" s="123">
        <f>28720+1223</f>
        <v>29943</v>
      </c>
      <c r="AM988" s="123">
        <v>110848</v>
      </c>
      <c r="AO988" s="123">
        <v>80000</v>
      </c>
    </row>
    <row r="989" spans="1:41" s="123" customFormat="1" ht="16.2" thickBot="1" x14ac:dyDescent="0.35">
      <c r="A989" s="21">
        <v>168.2</v>
      </c>
      <c r="B989" s="212" t="s">
        <v>80</v>
      </c>
      <c r="C989" s="31" t="str">
        <f>VLOOKUP((CONCATENATE(B989)),ID!$A$2:$D$305,3,0)</f>
        <v>BR005</v>
      </c>
      <c r="D989" s="21">
        <v>1</v>
      </c>
      <c r="E989" s="21" t="s">
        <v>3937</v>
      </c>
      <c r="F989" s="21" t="s">
        <v>1117</v>
      </c>
      <c r="G989" s="21" t="s">
        <v>3853</v>
      </c>
      <c r="H989" s="88">
        <v>4383</v>
      </c>
      <c r="I989" s="43">
        <v>4444</v>
      </c>
      <c r="J989" s="43">
        <v>4403</v>
      </c>
      <c r="K989" s="21">
        <v>0</v>
      </c>
      <c r="L989" s="21"/>
      <c r="M989" s="21"/>
      <c r="N989" s="43">
        <v>4463</v>
      </c>
      <c r="O989" s="21" t="s">
        <v>3940</v>
      </c>
      <c r="P989" s="194">
        <v>1</v>
      </c>
      <c r="Q989" s="21">
        <v>1</v>
      </c>
      <c r="R989" s="39" t="str">
        <f t="shared" si="181"/>
        <v>-</v>
      </c>
      <c r="S989" s="120">
        <f t="shared" si="189"/>
        <v>1611268</v>
      </c>
      <c r="T989" s="123">
        <v>2467802</v>
      </c>
      <c r="U989" s="123">
        <f>T989-28090</f>
        <v>2439712</v>
      </c>
      <c r="V989" s="123">
        <f t="shared" si="184"/>
        <v>28090</v>
      </c>
      <c r="W989" s="122" t="str">
        <f t="shared" si="185"/>
        <v>1</v>
      </c>
      <c r="X989" s="123">
        <f>800000+4786+3833+14810+33105</f>
        <v>856534</v>
      </c>
      <c r="Y989" s="123">
        <f>AB989</f>
        <v>800000</v>
      </c>
      <c r="Z989" s="123">
        <f t="shared" si="187"/>
        <v>56534</v>
      </c>
      <c r="AA989" s="122" t="str">
        <f t="shared" si="188"/>
        <v>1</v>
      </c>
      <c r="AB989" s="120">
        <f t="shared" si="186"/>
        <v>800000</v>
      </c>
      <c r="AC989" s="123">
        <v>0</v>
      </c>
      <c r="AD989" s="123">
        <v>800000</v>
      </c>
      <c r="AE989" s="123">
        <v>28090</v>
      </c>
      <c r="AF989" s="123">
        <v>0</v>
      </c>
      <c r="AG989" s="151">
        <f t="shared" si="182"/>
        <v>11764</v>
      </c>
      <c r="AH989" s="123">
        <f>102642-23359-8347-2200-210-157-7354-AK989</f>
        <v>42120</v>
      </c>
      <c r="AJ989" s="123">
        <v>0</v>
      </c>
      <c r="AK989" s="123">
        <v>18895</v>
      </c>
      <c r="AL989" s="123">
        <f>28720+1636</f>
        <v>30356</v>
      </c>
      <c r="AM989" s="123">
        <v>113364</v>
      </c>
      <c r="AO989" s="123">
        <f>78500+1500</f>
        <v>80000</v>
      </c>
    </row>
    <row r="990" spans="1:41" s="123" customFormat="1" ht="16.2" thickBot="1" x14ac:dyDescent="0.35">
      <c r="A990" s="21"/>
      <c r="B990" s="212" t="s">
        <v>80</v>
      </c>
      <c r="C990" s="31" t="str">
        <f>VLOOKUP((CONCATENATE(B990)),ID!$A$2:$D$305,3,0)</f>
        <v>BR005</v>
      </c>
      <c r="D990" s="21">
        <v>1</v>
      </c>
      <c r="E990" s="21" t="s">
        <v>3937</v>
      </c>
      <c r="F990" s="21" t="s">
        <v>1117</v>
      </c>
      <c r="G990" s="21" t="s">
        <v>3853</v>
      </c>
      <c r="H990" s="88">
        <v>4749</v>
      </c>
      <c r="I990" s="43">
        <v>4875</v>
      </c>
      <c r="J990" s="43">
        <v>4774</v>
      </c>
      <c r="K990" s="21">
        <v>0</v>
      </c>
      <c r="L990" s="21"/>
      <c r="M990" s="21"/>
      <c r="N990" s="43">
        <v>4889</v>
      </c>
      <c r="O990" s="21" t="s">
        <v>3940</v>
      </c>
      <c r="P990" s="194" t="str">
        <f t="shared" si="183"/>
        <v>1</v>
      </c>
      <c r="Q990" s="21">
        <v>1</v>
      </c>
      <c r="R990" s="39" t="str">
        <f t="shared" si="181"/>
        <v>-</v>
      </c>
      <c r="S990" s="120">
        <f t="shared" si="189"/>
        <v>1604041</v>
      </c>
      <c r="T990" s="123">
        <v>2457390</v>
      </c>
      <c r="U990" s="123">
        <f>T990-44462</f>
        <v>2412928</v>
      </c>
      <c r="V990" s="123">
        <f t="shared" si="184"/>
        <v>44462</v>
      </c>
      <c r="W990" s="122" t="str">
        <f t="shared" si="185"/>
        <v>1</v>
      </c>
      <c r="X990" s="123">
        <f>Y990+4786+3768+14438+30357</f>
        <v>853349</v>
      </c>
      <c r="Y990" s="123">
        <f>AB990</f>
        <v>800000</v>
      </c>
      <c r="Z990" s="123">
        <f t="shared" si="187"/>
        <v>53349</v>
      </c>
      <c r="AA990" s="122" t="str">
        <f t="shared" si="188"/>
        <v>1</v>
      </c>
      <c r="AB990" s="120">
        <f t="shared" si="186"/>
        <v>800000</v>
      </c>
      <c r="AC990" s="123">
        <v>0</v>
      </c>
      <c r="AD990" s="123">
        <v>800000</v>
      </c>
      <c r="AE990" s="123">
        <v>44462</v>
      </c>
      <c r="AF990" s="123">
        <v>0</v>
      </c>
      <c r="AG990" s="151">
        <f t="shared" si="182"/>
        <v>3809</v>
      </c>
      <c r="AH990" s="123">
        <f>131511-24743-10955-7834-19907-5494-2145-210-157-7642-AK990</f>
        <v>33287</v>
      </c>
      <c r="AJ990" s="123">
        <v>5000</v>
      </c>
      <c r="AK990" s="123">
        <v>19137</v>
      </c>
      <c r="AL990" s="123">
        <f>28720+758</f>
        <v>29478</v>
      </c>
      <c r="AM990" s="123">
        <v>101036</v>
      </c>
      <c r="AO990" s="123">
        <f>78500+1500</f>
        <v>80000</v>
      </c>
    </row>
    <row r="991" spans="1:41" s="123" customFormat="1" ht="16.2" thickBot="1" x14ac:dyDescent="0.35">
      <c r="A991" s="21"/>
      <c r="B991" s="212" t="s">
        <v>80</v>
      </c>
      <c r="C991" s="31" t="str">
        <f>VLOOKUP((CONCATENATE(B991)),ID!$A$2:$D$305,3,0)</f>
        <v>BR005</v>
      </c>
      <c r="D991" s="21">
        <v>1</v>
      </c>
      <c r="E991" s="21" t="s">
        <v>3937</v>
      </c>
      <c r="F991" s="21" t="s">
        <v>1117</v>
      </c>
      <c r="G991" s="21" t="s">
        <v>3853</v>
      </c>
      <c r="H991" s="88">
        <v>5114</v>
      </c>
      <c r="I991" s="43">
        <v>5189</v>
      </c>
      <c r="J991" s="43"/>
      <c r="K991" s="21">
        <v>0</v>
      </c>
      <c r="L991" s="21"/>
      <c r="M991" s="21"/>
      <c r="N991" s="43">
        <v>5200</v>
      </c>
      <c r="O991" s="21" t="s">
        <v>3940</v>
      </c>
      <c r="P991" s="194">
        <v>0</v>
      </c>
      <c r="Q991" s="21">
        <v>1</v>
      </c>
      <c r="R991" s="39" t="str">
        <f t="shared" ref="R991:R1054" si="190">IF(Q991=0,"?","-")</f>
        <v>-</v>
      </c>
      <c r="S991" s="120">
        <f t="shared" si="189"/>
        <v>1609788</v>
      </c>
      <c r="T991" s="123">
        <v>2463484</v>
      </c>
      <c r="U991" s="123">
        <f>T991-67000-29493</f>
        <v>2366991</v>
      </c>
      <c r="V991" s="123">
        <f t="shared" si="184"/>
        <v>96493</v>
      </c>
      <c r="W991" s="122" t="str">
        <f t="shared" si="185"/>
        <v>1</v>
      </c>
      <c r="X991" s="123">
        <f>Y991+4786+3574+14740+30596</f>
        <v>853696</v>
      </c>
      <c r="Y991" s="123">
        <f>AB991</f>
        <v>800000</v>
      </c>
      <c r="Z991" s="123">
        <f t="shared" si="187"/>
        <v>53696</v>
      </c>
      <c r="AA991" s="122" t="str">
        <f t="shared" si="188"/>
        <v>1</v>
      </c>
      <c r="AB991" s="120">
        <f t="shared" si="186"/>
        <v>800000</v>
      </c>
      <c r="AC991" s="123">
        <v>0</v>
      </c>
      <c r="AD991" s="123">
        <v>800000</v>
      </c>
      <c r="AE991" s="123">
        <v>29493</v>
      </c>
      <c r="AF991" s="123">
        <v>0</v>
      </c>
      <c r="AG991" s="151">
        <f t="shared" si="182"/>
        <v>16925</v>
      </c>
      <c r="AH991" s="123">
        <f>138474-AK991-23055-10607-5417-18750-4981-1775-210-157-7634-323</f>
        <v>46205</v>
      </c>
      <c r="AJ991" s="123">
        <v>0</v>
      </c>
      <c r="AK991" s="123">
        <v>19360</v>
      </c>
      <c r="AL991" s="123">
        <f>28720+560</f>
        <v>29280</v>
      </c>
      <c r="AM991" s="123">
        <v>106323</v>
      </c>
      <c r="AO991" s="123">
        <f>78500+1500</f>
        <v>80000</v>
      </c>
    </row>
    <row r="992" spans="1:41" s="123" customFormat="1" ht="16.2" thickBot="1" x14ac:dyDescent="0.35">
      <c r="A992" s="21"/>
      <c r="B992" s="212" t="s">
        <v>91</v>
      </c>
      <c r="C992" s="31" t="str">
        <f>VLOOKUP((CONCATENATE(B992)),ID!$A$2:$D$305,3,0)</f>
        <v>BR006</v>
      </c>
      <c r="D992" s="21">
        <v>1</v>
      </c>
      <c r="E992" s="21" t="s">
        <v>3937</v>
      </c>
      <c r="F992" s="21" t="s">
        <v>1117</v>
      </c>
      <c r="G992" s="21" t="s">
        <v>3853</v>
      </c>
      <c r="H992" s="88">
        <v>3653</v>
      </c>
      <c r="I992" s="43"/>
      <c r="J992" s="43"/>
      <c r="K992" s="21"/>
      <c r="L992" s="21"/>
      <c r="M992" s="21"/>
      <c r="N992" s="43"/>
      <c r="O992" s="21" t="s">
        <v>3785</v>
      </c>
      <c r="P992" s="194" t="str">
        <f t="shared" si="183"/>
        <v>?</v>
      </c>
      <c r="Q992" s="21">
        <v>1</v>
      </c>
      <c r="R992" s="39" t="str">
        <f t="shared" si="190"/>
        <v>-</v>
      </c>
      <c r="S992" s="179">
        <f t="shared" si="189"/>
        <v>0</v>
      </c>
      <c r="T992" s="199"/>
      <c r="U992" s="199"/>
      <c r="V992" s="199">
        <f t="shared" si="184"/>
        <v>0</v>
      </c>
      <c r="W992" s="220" t="str">
        <f t="shared" si="185"/>
        <v>1</v>
      </c>
      <c r="X992" s="199"/>
      <c r="Y992" s="199"/>
      <c r="Z992" s="199">
        <f t="shared" si="187"/>
        <v>0</v>
      </c>
      <c r="AA992" s="220" t="str">
        <f t="shared" si="188"/>
        <v>1</v>
      </c>
      <c r="AB992" s="179">
        <f t="shared" si="186"/>
        <v>0</v>
      </c>
      <c r="AC992" s="199"/>
      <c r="AD992" s="199"/>
      <c r="AE992" s="199"/>
      <c r="AF992" s="199"/>
      <c r="AG992" s="158">
        <f t="shared" si="182"/>
        <v>0</v>
      </c>
      <c r="AH992" s="199"/>
      <c r="AI992" s="199"/>
      <c r="AJ992" s="199"/>
      <c r="AK992" s="199"/>
      <c r="AL992" s="199"/>
      <c r="AM992" s="199"/>
      <c r="AN992" s="199"/>
      <c r="AO992" s="199"/>
    </row>
    <row r="993" spans="1:41" s="123" customFormat="1" ht="16.2" thickBot="1" x14ac:dyDescent="0.35">
      <c r="A993" s="21">
        <v>169.1</v>
      </c>
      <c r="B993" s="212" t="s">
        <v>91</v>
      </c>
      <c r="C993" s="31" t="str">
        <f>VLOOKUP((CONCATENATE(B993)),ID!$A$2:$D$305,3,0)</f>
        <v>BR006</v>
      </c>
      <c r="D993" s="21">
        <v>1</v>
      </c>
      <c r="E993" s="21" t="s">
        <v>3937</v>
      </c>
      <c r="F993" s="21" t="s">
        <v>1117</v>
      </c>
      <c r="G993" s="21" t="s">
        <v>3853</v>
      </c>
      <c r="H993" s="88">
        <v>4018</v>
      </c>
      <c r="I993" s="21" t="s">
        <v>3784</v>
      </c>
      <c r="J993" s="21" t="s">
        <v>3784</v>
      </c>
      <c r="K993" s="21">
        <v>0</v>
      </c>
      <c r="L993" s="21"/>
      <c r="M993" s="21"/>
      <c r="N993" s="43">
        <v>4076</v>
      </c>
      <c r="O993" s="21" t="s">
        <v>3785</v>
      </c>
      <c r="P993" s="194" t="str">
        <f t="shared" si="183"/>
        <v>?</v>
      </c>
      <c r="Q993" s="21">
        <v>1</v>
      </c>
      <c r="R993" s="39" t="str">
        <f t="shared" si="190"/>
        <v>-</v>
      </c>
      <c r="S993" s="179">
        <f t="shared" si="189"/>
        <v>0</v>
      </c>
      <c r="T993" s="199"/>
      <c r="U993" s="199"/>
      <c r="V993" s="199">
        <f t="shared" si="184"/>
        <v>0</v>
      </c>
      <c r="W993" s="220" t="str">
        <f t="shared" si="185"/>
        <v>1</v>
      </c>
      <c r="X993" s="199"/>
      <c r="Y993" s="199"/>
      <c r="Z993" s="199">
        <f t="shared" si="187"/>
        <v>0</v>
      </c>
      <c r="AA993" s="220" t="str">
        <f t="shared" si="188"/>
        <v>1</v>
      </c>
      <c r="AB993" s="179">
        <f t="shared" si="186"/>
        <v>0</v>
      </c>
      <c r="AC993" s="199"/>
      <c r="AD993" s="199"/>
      <c r="AE993" s="199"/>
      <c r="AF993" s="199"/>
      <c r="AG993" s="158">
        <f t="shared" si="182"/>
        <v>0</v>
      </c>
      <c r="AH993" s="199"/>
      <c r="AI993" s="199"/>
      <c r="AJ993" s="199"/>
      <c r="AK993" s="199"/>
      <c r="AL993" s="199"/>
      <c r="AM993" s="199"/>
      <c r="AN993" s="199"/>
      <c r="AO993" s="199"/>
    </row>
    <row r="994" spans="1:41" s="123" customFormat="1" ht="16.2" thickBot="1" x14ac:dyDescent="0.35">
      <c r="A994" s="21">
        <v>169.2</v>
      </c>
      <c r="B994" s="212" t="s">
        <v>91</v>
      </c>
      <c r="C994" s="31" t="str">
        <f>VLOOKUP((CONCATENATE(B994)),ID!$A$2:$D$305,3,0)</f>
        <v>BR006</v>
      </c>
      <c r="D994" s="21">
        <v>1</v>
      </c>
      <c r="E994" s="21" t="s">
        <v>3937</v>
      </c>
      <c r="F994" s="21" t="s">
        <v>1117</v>
      </c>
      <c r="G994" s="21" t="s">
        <v>3853</v>
      </c>
      <c r="H994" s="88">
        <v>4383</v>
      </c>
      <c r="I994" s="43">
        <v>4426</v>
      </c>
      <c r="J994" s="43">
        <v>4426</v>
      </c>
      <c r="K994" s="21">
        <v>0</v>
      </c>
      <c r="L994" s="21"/>
      <c r="M994" s="21"/>
      <c r="N994" s="43">
        <v>4440</v>
      </c>
      <c r="O994" s="21" t="s">
        <v>3785</v>
      </c>
      <c r="P994" s="194" t="str">
        <f t="shared" si="183"/>
        <v>1</v>
      </c>
      <c r="Q994" s="21">
        <v>1</v>
      </c>
      <c r="R994" s="39" t="str">
        <f t="shared" si="190"/>
        <v>-</v>
      </c>
      <c r="S994" s="120">
        <f t="shared" si="189"/>
        <v>1573679</v>
      </c>
      <c r="T994" s="123">
        <v>3206570</v>
      </c>
      <c r="U994" s="123">
        <f>T994-85052-7179</f>
        <v>3114339</v>
      </c>
      <c r="V994" s="123">
        <f t="shared" si="184"/>
        <v>92231</v>
      </c>
      <c r="W994" s="122" t="str">
        <f t="shared" si="185"/>
        <v>1</v>
      </c>
      <c r="X994" s="123">
        <f>Y994+14500+520403+30493</f>
        <v>1632891</v>
      </c>
      <c r="Y994" s="123">
        <f>AB994</f>
        <v>1067495</v>
      </c>
      <c r="Z994" s="123">
        <f t="shared" si="187"/>
        <v>565396</v>
      </c>
      <c r="AA994" s="122" t="str">
        <f t="shared" si="188"/>
        <v>1</v>
      </c>
      <c r="AB994" s="120">
        <f t="shared" si="186"/>
        <v>1067495</v>
      </c>
      <c r="AC994" s="123">
        <v>0</v>
      </c>
      <c r="AD994" s="123">
        <f>1067495</f>
        <v>1067495</v>
      </c>
      <c r="AE994" s="123">
        <v>7171</v>
      </c>
      <c r="AG994" s="151">
        <f t="shared" si="182"/>
        <v>60564</v>
      </c>
      <c r="AH994" s="123">
        <v>98564</v>
      </c>
      <c r="AJ994" s="123">
        <v>25500</v>
      </c>
      <c r="AL994" s="123">
        <v>38000</v>
      </c>
      <c r="AO994" s="123">
        <f>15000</f>
        <v>15000</v>
      </c>
    </row>
    <row r="995" spans="1:41" s="123" customFormat="1" ht="16.2" thickBot="1" x14ac:dyDescent="0.35">
      <c r="A995" s="21"/>
      <c r="B995" s="212" t="s">
        <v>91</v>
      </c>
      <c r="C995" s="31" t="str">
        <f>VLOOKUP((CONCATENATE(B995)),ID!$A$2:$D$305,3,0)</f>
        <v>BR006</v>
      </c>
      <c r="D995" s="21">
        <v>1</v>
      </c>
      <c r="E995" s="21" t="s">
        <v>3937</v>
      </c>
      <c r="F995" s="21" t="s">
        <v>1117</v>
      </c>
      <c r="G995" s="21" t="s">
        <v>3853</v>
      </c>
      <c r="H995" s="88">
        <v>4749</v>
      </c>
      <c r="I995" s="43">
        <v>4794</v>
      </c>
      <c r="J995" s="43">
        <v>4794</v>
      </c>
      <c r="K995" s="21">
        <v>0</v>
      </c>
      <c r="L995" s="21"/>
      <c r="M995" s="21"/>
      <c r="N995" s="43">
        <v>4804</v>
      </c>
      <c r="O995" s="21" t="s">
        <v>3785</v>
      </c>
      <c r="P995" s="194" t="str">
        <f t="shared" si="183"/>
        <v>1</v>
      </c>
      <c r="Q995" s="21">
        <v>1</v>
      </c>
      <c r="R995" s="39" t="str">
        <f t="shared" si="190"/>
        <v>-</v>
      </c>
      <c r="S995" s="120">
        <f t="shared" si="189"/>
        <v>1573044</v>
      </c>
      <c r="T995" s="123">
        <v>3185620</v>
      </c>
      <c r="U995" s="123">
        <f>T995-8096-89815</f>
        <v>3087709</v>
      </c>
      <c r="V995" s="123">
        <f t="shared" si="184"/>
        <v>97911</v>
      </c>
      <c r="W995" s="122" t="str">
        <f t="shared" si="185"/>
        <v>1</v>
      </c>
      <c r="X995" s="123">
        <f>AB995+14500+481263+39306</f>
        <v>1612576</v>
      </c>
      <c r="Y995" s="123">
        <f>AB995</f>
        <v>1077507</v>
      </c>
      <c r="Z995" s="123">
        <f t="shared" si="187"/>
        <v>535069</v>
      </c>
      <c r="AA995" s="122" t="str">
        <f t="shared" si="188"/>
        <v>1</v>
      </c>
      <c r="AB995" s="120">
        <f t="shared" si="186"/>
        <v>1077507</v>
      </c>
      <c r="AC995" s="123">
        <v>0</v>
      </c>
      <c r="AD995" s="123">
        <f>1000000+77507</f>
        <v>1077507</v>
      </c>
      <c r="AE995" s="123">
        <v>8096</v>
      </c>
      <c r="AG995" s="151">
        <f t="shared" si="182"/>
        <v>53251</v>
      </c>
      <c r="AH995" s="123">
        <v>91251</v>
      </c>
      <c r="AJ995" s="123">
        <v>25500</v>
      </c>
      <c r="AL995" s="123">
        <v>38000</v>
      </c>
      <c r="AO995" s="123">
        <f>15000</f>
        <v>15000</v>
      </c>
    </row>
    <row r="996" spans="1:41" s="123" customFormat="1" ht="16.2" thickBot="1" x14ac:dyDescent="0.35">
      <c r="A996" s="21"/>
      <c r="B996" s="212" t="s">
        <v>91</v>
      </c>
      <c r="C996" s="31" t="str">
        <f>VLOOKUP((CONCATENATE(B996)),ID!$A$2:$D$305,3,0)</f>
        <v>BR006</v>
      </c>
      <c r="D996" s="21">
        <v>1</v>
      </c>
      <c r="E996" s="21" t="s">
        <v>3937</v>
      </c>
      <c r="F996" s="21" t="s">
        <v>1117</v>
      </c>
      <c r="G996" s="21" t="s">
        <v>3853</v>
      </c>
      <c r="H996" s="88">
        <v>5114</v>
      </c>
      <c r="I996" s="43">
        <v>5157</v>
      </c>
      <c r="J996" s="43">
        <v>5157</v>
      </c>
      <c r="K996" s="21">
        <v>0</v>
      </c>
      <c r="L996" s="21"/>
      <c r="M996" s="21"/>
      <c r="N996" s="43">
        <v>5168</v>
      </c>
      <c r="O996" s="21" t="s">
        <v>3785</v>
      </c>
      <c r="P996" s="194" t="str">
        <f t="shared" si="183"/>
        <v>1</v>
      </c>
      <c r="Q996" s="21">
        <v>1</v>
      </c>
      <c r="R996" s="39" t="str">
        <f t="shared" si="190"/>
        <v>-</v>
      </c>
      <c r="S996" s="120">
        <f t="shared" si="189"/>
        <v>1572427</v>
      </c>
      <c r="T996" s="123">
        <v>3148567</v>
      </c>
      <c r="U996" s="123">
        <f>T996-4318-87447</f>
        <v>3056802</v>
      </c>
      <c r="V996" s="123">
        <f t="shared" si="184"/>
        <v>91765</v>
      </c>
      <c r="W996" s="122" t="str">
        <f t="shared" si="185"/>
        <v>1</v>
      </c>
      <c r="X996" s="123">
        <f>Y996+14500+444556+34591</f>
        <v>1576140</v>
      </c>
      <c r="Y996" s="123">
        <f>AB996</f>
        <v>1082493</v>
      </c>
      <c r="Z996" s="123">
        <f t="shared" si="187"/>
        <v>493647</v>
      </c>
      <c r="AA996" s="122" t="str">
        <f t="shared" si="188"/>
        <v>1</v>
      </c>
      <c r="AB996" s="120">
        <f t="shared" si="186"/>
        <v>1082493</v>
      </c>
      <c r="AC996" s="123">
        <v>0</v>
      </c>
      <c r="AD996" s="123">
        <f>1082493</f>
        <v>1082493</v>
      </c>
      <c r="AE996" s="123">
        <v>4318</v>
      </c>
      <c r="AG996" s="151">
        <f t="shared" si="182"/>
        <v>49990</v>
      </c>
      <c r="AH996" s="123">
        <v>87990</v>
      </c>
      <c r="AJ996" s="123">
        <v>25500</v>
      </c>
      <c r="AL996" s="123">
        <v>38000</v>
      </c>
      <c r="AO996" s="123">
        <f>15000</f>
        <v>15000</v>
      </c>
    </row>
    <row r="997" spans="1:41" s="123" customFormat="1" ht="16.2" thickBot="1" x14ac:dyDescent="0.35">
      <c r="A997" s="21"/>
      <c r="B997" s="212" t="s">
        <v>99</v>
      </c>
      <c r="C997" s="31" t="str">
        <f>VLOOKUP((CONCATENATE(B997)),ID!$A$2:$D$305,3,0)</f>
        <v>BR007</v>
      </c>
      <c r="D997" s="21">
        <v>1</v>
      </c>
      <c r="E997" s="21" t="s">
        <v>3937</v>
      </c>
      <c r="F997" s="21" t="s">
        <v>3865</v>
      </c>
      <c r="G997" s="21" t="s">
        <v>3853</v>
      </c>
      <c r="H997" s="88">
        <v>3788</v>
      </c>
      <c r="I997" s="43">
        <v>3827</v>
      </c>
      <c r="J997" s="43">
        <v>3821</v>
      </c>
      <c r="K997" s="21">
        <v>1</v>
      </c>
      <c r="L997" s="43">
        <v>3836</v>
      </c>
      <c r="M997" s="43">
        <v>3849</v>
      </c>
      <c r="N997" s="43">
        <v>3849</v>
      </c>
      <c r="O997" s="21" t="s">
        <v>3941</v>
      </c>
      <c r="P997" s="194" t="str">
        <f t="shared" si="183"/>
        <v>1</v>
      </c>
      <c r="Q997" s="21">
        <v>1</v>
      </c>
      <c r="R997" s="39" t="str">
        <f t="shared" si="190"/>
        <v>-</v>
      </c>
      <c r="S997" s="120">
        <f t="shared" si="189"/>
        <v>2009131</v>
      </c>
      <c r="T997" s="123">
        <v>3058246</v>
      </c>
      <c r="U997" s="123">
        <f>713065+285016+231119</f>
        <v>1229200</v>
      </c>
      <c r="V997" s="123">
        <f t="shared" si="184"/>
        <v>1829046</v>
      </c>
      <c r="W997" s="122" t="str">
        <f t="shared" si="185"/>
        <v>1</v>
      </c>
      <c r="X997" s="123">
        <f>Y997+95100+34015</f>
        <v>1049115</v>
      </c>
      <c r="Y997" s="123">
        <f>AB997</f>
        <v>920000</v>
      </c>
      <c r="Z997" s="123">
        <f t="shared" si="187"/>
        <v>129115</v>
      </c>
      <c r="AA997" s="122" t="str">
        <f t="shared" si="188"/>
        <v>1</v>
      </c>
      <c r="AB997" s="120">
        <f t="shared" si="186"/>
        <v>920000</v>
      </c>
      <c r="AC997" s="123">
        <v>0</v>
      </c>
      <c r="AD997" s="123">
        <f>450000+200000+150000+120000</f>
        <v>920000</v>
      </c>
      <c r="AE997" s="123">
        <v>66154</v>
      </c>
      <c r="AG997" s="151">
        <f t="shared" si="182"/>
        <v>174296</v>
      </c>
      <c r="AH997" s="123">
        <f>255296-14651-10344</f>
        <v>230301</v>
      </c>
      <c r="AI997" s="123">
        <v>11744</v>
      </c>
      <c r="AJ997" s="123">
        <v>55911</v>
      </c>
      <c r="AL997" s="123">
        <v>44261</v>
      </c>
      <c r="AO997" s="123">
        <f>128010+20000</f>
        <v>148010</v>
      </c>
    </row>
    <row r="998" spans="1:41" s="123" customFormat="1" ht="16.2" thickBot="1" x14ac:dyDescent="0.35">
      <c r="A998" s="21">
        <v>170.1</v>
      </c>
      <c r="B998" s="212" t="s">
        <v>99</v>
      </c>
      <c r="C998" s="31" t="str">
        <f>VLOOKUP((CONCATENATE(B998)),ID!$A$2:$D$305,3,0)</f>
        <v>BR007</v>
      </c>
      <c r="D998" s="21">
        <v>1</v>
      </c>
      <c r="E998" s="21" t="s">
        <v>3937</v>
      </c>
      <c r="F998" s="21" t="s">
        <v>3865</v>
      </c>
      <c r="G998" s="21" t="s">
        <v>3853</v>
      </c>
      <c r="H998" s="88">
        <v>4153</v>
      </c>
      <c r="I998" s="43">
        <v>4190</v>
      </c>
      <c r="J998" s="43">
        <v>4185</v>
      </c>
      <c r="K998" s="21">
        <v>1</v>
      </c>
      <c r="L998" s="43">
        <v>4200</v>
      </c>
      <c r="M998" s="43">
        <v>4213</v>
      </c>
      <c r="N998" s="43">
        <v>4213</v>
      </c>
      <c r="O998" s="21" t="s">
        <v>3941</v>
      </c>
      <c r="P998" s="194" t="str">
        <f t="shared" si="183"/>
        <v>1</v>
      </c>
      <c r="Q998" s="21">
        <v>1</v>
      </c>
      <c r="R998" s="39" t="str">
        <f t="shared" si="190"/>
        <v>-</v>
      </c>
      <c r="S998" s="120">
        <f t="shared" si="189"/>
        <v>2177691</v>
      </c>
      <c r="T998" s="123">
        <v>3228872</v>
      </c>
      <c r="U998" s="123">
        <f>712210+281063+340560</f>
        <v>1333833</v>
      </c>
      <c r="V998" s="123">
        <f t="shared" si="184"/>
        <v>1895039</v>
      </c>
      <c r="W998" s="122" t="str">
        <f t="shared" si="185"/>
        <v>1</v>
      </c>
      <c r="X998" s="123">
        <f>Y998+95100+36081</f>
        <v>1051181</v>
      </c>
      <c r="Y998" s="123">
        <f>AB998</f>
        <v>920000</v>
      </c>
      <c r="Z998" s="123">
        <f t="shared" si="187"/>
        <v>131181</v>
      </c>
      <c r="AA998" s="122" t="str">
        <f t="shared" si="188"/>
        <v>1</v>
      </c>
      <c r="AB998" s="120">
        <f t="shared" si="186"/>
        <v>920000</v>
      </c>
      <c r="AC998" s="123">
        <v>0</v>
      </c>
      <c r="AD998" s="123">
        <f>450000+200000+150000+120000</f>
        <v>920000</v>
      </c>
      <c r="AE998" s="123">
        <v>91417</v>
      </c>
      <c r="AG998" s="151">
        <f t="shared" si="182"/>
        <v>199574</v>
      </c>
      <c r="AH998" s="123">
        <f>283497-16520-10622</f>
        <v>256355</v>
      </c>
      <c r="AI998" s="123">
        <v>12520</v>
      </c>
      <c r="AJ998" s="123">
        <v>58755</v>
      </c>
      <c r="AL998" s="123">
        <v>44261</v>
      </c>
      <c r="AO998" s="123">
        <f>130000+28700</f>
        <v>158700</v>
      </c>
    </row>
    <row r="999" spans="1:41" s="123" customFormat="1" ht="16.2" thickBot="1" x14ac:dyDescent="0.35">
      <c r="A999" s="21">
        <v>170.2</v>
      </c>
      <c r="B999" s="212" t="s">
        <v>99</v>
      </c>
      <c r="C999" s="31" t="str">
        <f>VLOOKUP((CONCATENATE(B999)),ID!$A$2:$D$305,3,0)</f>
        <v>BR007</v>
      </c>
      <c r="D999" s="21">
        <v>1</v>
      </c>
      <c r="E999" s="21" t="s">
        <v>3937</v>
      </c>
      <c r="F999" s="21" t="s">
        <v>3865</v>
      </c>
      <c r="G999" s="21" t="s">
        <v>3853</v>
      </c>
      <c r="H999" s="88">
        <v>4519</v>
      </c>
      <c r="I999" s="43">
        <v>4560</v>
      </c>
      <c r="J999" s="43">
        <v>4556</v>
      </c>
      <c r="K999" s="21">
        <v>1</v>
      </c>
      <c r="L999" s="43">
        <v>4570</v>
      </c>
      <c r="M999" s="43">
        <v>4584</v>
      </c>
      <c r="N999" s="43">
        <v>4584</v>
      </c>
      <c r="O999" s="21" t="s">
        <v>3941</v>
      </c>
      <c r="P999" s="194" t="str">
        <f t="shared" si="183"/>
        <v>1</v>
      </c>
      <c r="Q999" s="21">
        <v>1</v>
      </c>
      <c r="R999" s="39" t="str">
        <f t="shared" si="190"/>
        <v>-</v>
      </c>
      <c r="S999" s="120">
        <f t="shared" si="189"/>
        <v>2272996</v>
      </c>
      <c r="T999" s="123">
        <v>3249779</v>
      </c>
      <c r="U999" s="123">
        <f>719165+281063+325498</f>
        <v>1325726</v>
      </c>
      <c r="V999" s="123">
        <f t="shared" si="184"/>
        <v>1924053</v>
      </c>
      <c r="W999" s="122" t="str">
        <f t="shared" si="185"/>
        <v>1</v>
      </c>
      <c r="X999" s="123">
        <f>Y999+156783</f>
        <v>976783</v>
      </c>
      <c r="Y999" s="123">
        <f>AD999</f>
        <v>820000</v>
      </c>
      <c r="Z999" s="123">
        <f t="shared" si="187"/>
        <v>156783</v>
      </c>
      <c r="AA999" s="122" t="str">
        <f t="shared" si="188"/>
        <v>1</v>
      </c>
      <c r="AB999" s="120">
        <f t="shared" si="186"/>
        <v>820000</v>
      </c>
      <c r="AC999" s="123">
        <v>0</v>
      </c>
      <c r="AD999" s="123">
        <f>450000+100000+150000+120000</f>
        <v>820000</v>
      </c>
      <c r="AE999" s="123">
        <v>77445</v>
      </c>
      <c r="AG999" s="151">
        <f t="shared" si="182"/>
        <v>230531</v>
      </c>
      <c r="AH999" s="123">
        <f>317382-17581-11997</f>
        <v>287804</v>
      </c>
      <c r="AI999" s="123">
        <v>13012</v>
      </c>
      <c r="AJ999" s="123">
        <v>58755</v>
      </c>
      <c r="AL999" s="123">
        <v>44261</v>
      </c>
      <c r="AO999" s="123">
        <f>130000+28700</f>
        <v>158700</v>
      </c>
    </row>
    <row r="1000" spans="1:41" s="123" customFormat="1" ht="16.2" thickBot="1" x14ac:dyDescent="0.35">
      <c r="A1000" s="21"/>
      <c r="B1000" s="212" t="s">
        <v>99</v>
      </c>
      <c r="C1000" s="31" t="str">
        <f>VLOOKUP((CONCATENATE(B1000)),ID!$A$2:$D$305,3,0)</f>
        <v>BR007</v>
      </c>
      <c r="D1000" s="21">
        <v>1</v>
      </c>
      <c r="E1000" s="21" t="s">
        <v>3937</v>
      </c>
      <c r="F1000" s="21" t="s">
        <v>3865</v>
      </c>
      <c r="G1000" s="21" t="s">
        <v>3853</v>
      </c>
      <c r="H1000" s="88">
        <v>4884</v>
      </c>
      <c r="I1000" s="43">
        <v>4925</v>
      </c>
      <c r="J1000" s="43">
        <v>4920</v>
      </c>
      <c r="K1000" s="21">
        <v>1</v>
      </c>
      <c r="L1000" s="43">
        <v>4934</v>
      </c>
      <c r="M1000" s="43">
        <v>4948</v>
      </c>
      <c r="N1000" s="43">
        <v>4948</v>
      </c>
      <c r="O1000" s="21" t="s">
        <v>3941</v>
      </c>
      <c r="P1000" s="194" t="str">
        <f t="shared" si="183"/>
        <v>1</v>
      </c>
      <c r="Q1000" s="21">
        <v>1</v>
      </c>
      <c r="R1000" s="39" t="str">
        <f t="shared" si="190"/>
        <v>-</v>
      </c>
      <c r="S1000" s="120">
        <f t="shared" si="189"/>
        <v>2321453</v>
      </c>
      <c r="T1000" s="123">
        <v>3389070</v>
      </c>
      <c r="U1000" s="123">
        <f>T1000-269946-4778-784270-764888</f>
        <v>1565188</v>
      </c>
      <c r="V1000" s="123">
        <f t="shared" si="184"/>
        <v>1823882</v>
      </c>
      <c r="W1000" s="122" t="str">
        <f t="shared" si="185"/>
        <v>1</v>
      </c>
      <c r="X1000" s="123">
        <f>Y1000+217617+30000</f>
        <v>1067617</v>
      </c>
      <c r="Y1000" s="123">
        <f t="shared" ref="Y1000:Y1006" si="191">AB1000</f>
        <v>820000</v>
      </c>
      <c r="Z1000" s="123">
        <f t="shared" si="187"/>
        <v>247617</v>
      </c>
      <c r="AA1000" s="122" t="str">
        <f t="shared" si="188"/>
        <v>1</v>
      </c>
      <c r="AB1000" s="120">
        <f t="shared" si="186"/>
        <v>820000</v>
      </c>
      <c r="AC1000" s="123">
        <v>0</v>
      </c>
      <c r="AD1000" s="123">
        <f>450000+100000+150000+120000</f>
        <v>820000</v>
      </c>
      <c r="AE1000" s="123">
        <v>74778</v>
      </c>
      <c r="AG1000" s="151">
        <f t="shared" si="182"/>
        <v>219459</v>
      </c>
      <c r="AH1000" s="123">
        <f>300428-19399-11765</f>
        <v>269264</v>
      </c>
      <c r="AI1000" s="123">
        <v>13363</v>
      </c>
      <c r="AJ1000" s="123">
        <v>58755</v>
      </c>
      <c r="AL1000" s="123">
        <v>36442</v>
      </c>
      <c r="AO1000" s="123">
        <f>130000+28700</f>
        <v>158700</v>
      </c>
    </row>
    <row r="1001" spans="1:41" s="123" customFormat="1" ht="16.2" thickBot="1" x14ac:dyDescent="0.35">
      <c r="A1001" s="21"/>
      <c r="B1001" s="212" t="s">
        <v>99</v>
      </c>
      <c r="C1001" s="31" t="str">
        <f>VLOOKUP((CONCATENATE(B1001)),ID!$A$2:$D$305,3,0)</f>
        <v>BR007</v>
      </c>
      <c r="D1001" s="21">
        <v>1</v>
      </c>
      <c r="E1001" s="21" t="s">
        <v>3937</v>
      </c>
      <c r="F1001" s="21" t="s">
        <v>3865</v>
      </c>
      <c r="G1001" s="21" t="s">
        <v>3853</v>
      </c>
      <c r="H1001" s="88">
        <v>5249</v>
      </c>
      <c r="I1001" s="43">
        <v>5288</v>
      </c>
      <c r="J1001" s="43">
        <v>5284</v>
      </c>
      <c r="K1001" s="21">
        <v>1</v>
      </c>
      <c r="L1001" s="43">
        <v>5299</v>
      </c>
      <c r="M1001" s="43">
        <v>5312</v>
      </c>
      <c r="N1001" s="43">
        <v>5312</v>
      </c>
      <c r="O1001" s="21" t="s">
        <v>3941</v>
      </c>
      <c r="P1001" s="194" t="str">
        <f t="shared" si="183"/>
        <v>1</v>
      </c>
      <c r="Q1001" s="21">
        <v>1</v>
      </c>
      <c r="R1001" s="39" t="str">
        <f t="shared" si="190"/>
        <v>-</v>
      </c>
      <c r="S1001" s="120">
        <f t="shared" si="189"/>
        <v>2380878</v>
      </c>
      <c r="T1001" s="123">
        <v>3520525</v>
      </c>
      <c r="U1001" s="123">
        <f>T1001-265912-93177-818632-732990</f>
        <v>1609814</v>
      </c>
      <c r="V1001" s="123">
        <f t="shared" si="184"/>
        <v>1910711</v>
      </c>
      <c r="W1001" s="122" t="str">
        <f t="shared" si="185"/>
        <v>1</v>
      </c>
      <c r="X1001" s="123">
        <f>Y1001+165383+154264</f>
        <v>1139647</v>
      </c>
      <c r="Y1001" s="123">
        <f t="shared" si="191"/>
        <v>820000</v>
      </c>
      <c r="Z1001" s="123">
        <f t="shared" si="187"/>
        <v>319647</v>
      </c>
      <c r="AA1001" s="122" t="str">
        <f t="shared" si="188"/>
        <v>1</v>
      </c>
      <c r="AB1001" s="120">
        <f t="shared" si="186"/>
        <v>820000</v>
      </c>
      <c r="AC1001" s="123">
        <v>0</v>
      </c>
      <c r="AD1001" s="123">
        <f>450000+100000+150000+120000</f>
        <v>820000</v>
      </c>
      <c r="AE1001" s="123">
        <v>93177</v>
      </c>
      <c r="AG1001" s="151">
        <f t="shared" si="182"/>
        <v>199364</v>
      </c>
      <c r="AH1001" s="123">
        <f>330216-19223-13883-AK1001</f>
        <v>250622</v>
      </c>
      <c r="AI1001" s="123">
        <v>14850</v>
      </c>
      <c r="AJ1001" s="123">
        <v>58755</v>
      </c>
      <c r="AK1001" s="123">
        <v>46488</v>
      </c>
      <c r="AL1001" s="123">
        <v>36408</v>
      </c>
    </row>
    <row r="1002" spans="1:41" s="123" customFormat="1" ht="16.2" thickBot="1" x14ac:dyDescent="0.35">
      <c r="A1002" s="21"/>
      <c r="B1002" s="212" t="s">
        <v>145</v>
      </c>
      <c r="C1002" s="31" t="str">
        <f>VLOOKUP((CONCATENATE(B1002)),ID!$A$2:$D$305,3,0)</f>
        <v>BR008</v>
      </c>
      <c r="D1002" s="21">
        <v>1</v>
      </c>
      <c r="E1002" s="21" t="s">
        <v>3937</v>
      </c>
      <c r="F1002" s="21" t="s">
        <v>1117</v>
      </c>
      <c r="G1002" s="21" t="s">
        <v>3853</v>
      </c>
      <c r="H1002" s="88">
        <v>3834</v>
      </c>
      <c r="I1002" s="43">
        <v>3868</v>
      </c>
      <c r="J1002" s="43">
        <v>3868</v>
      </c>
      <c r="K1002" s="21">
        <v>1</v>
      </c>
      <c r="L1002" s="43">
        <v>3883</v>
      </c>
      <c r="M1002" s="43">
        <v>3896</v>
      </c>
      <c r="N1002" s="43">
        <v>3878</v>
      </c>
      <c r="O1002" s="21" t="s">
        <v>3785</v>
      </c>
      <c r="P1002" s="194" t="str">
        <f t="shared" si="183"/>
        <v>1</v>
      </c>
      <c r="Q1002" s="21">
        <v>1</v>
      </c>
      <c r="R1002" s="39" t="str">
        <f t="shared" si="190"/>
        <v>-</v>
      </c>
      <c r="S1002" s="120">
        <f t="shared" si="189"/>
        <v>8416494</v>
      </c>
      <c r="T1002" s="123">
        <v>9245852</v>
      </c>
      <c r="U1002" s="123">
        <f>T1002-263234-1361645</f>
        <v>7620973</v>
      </c>
      <c r="V1002" s="123">
        <f t="shared" si="184"/>
        <v>1624879</v>
      </c>
      <c r="W1002" s="122" t="str">
        <f t="shared" si="185"/>
        <v>1</v>
      </c>
      <c r="X1002" s="123">
        <f>Y1002+379631+67343</f>
        <v>829358</v>
      </c>
      <c r="Y1002" s="123">
        <f t="shared" si="191"/>
        <v>382384</v>
      </c>
      <c r="Z1002" s="123">
        <f t="shared" si="187"/>
        <v>446974</v>
      </c>
      <c r="AA1002" s="122" t="str">
        <f t="shared" si="188"/>
        <v>1</v>
      </c>
      <c r="AB1002" s="120">
        <f t="shared" si="186"/>
        <v>382384</v>
      </c>
      <c r="AC1002" s="123">
        <v>0</v>
      </c>
      <c r="AD1002" s="123">
        <v>382384</v>
      </c>
      <c r="AE1002" s="123">
        <v>213234</v>
      </c>
      <c r="AG1002" s="151">
        <f t="shared" si="182"/>
        <v>1242570</v>
      </c>
      <c r="AH1002" s="123">
        <f>1322071</f>
        <v>1322071</v>
      </c>
      <c r="AI1002" s="123">
        <v>60214</v>
      </c>
      <c r="AJ1002" s="123">
        <v>120000</v>
      </c>
      <c r="AL1002" s="123">
        <v>19287</v>
      </c>
    </row>
    <row r="1003" spans="1:41" s="123" customFormat="1" ht="16.2" thickBot="1" x14ac:dyDescent="0.35">
      <c r="A1003" s="21">
        <v>171.1</v>
      </c>
      <c r="B1003" s="212" t="s">
        <v>145</v>
      </c>
      <c r="C1003" s="31" t="str">
        <f>VLOOKUP((CONCATENATE(B1003)),ID!$A$2:$D$305,3,0)</f>
        <v>BR008</v>
      </c>
      <c r="D1003" s="21">
        <v>1</v>
      </c>
      <c r="E1003" s="21" t="s">
        <v>3937</v>
      </c>
      <c r="F1003" s="21" t="s">
        <v>1117</v>
      </c>
      <c r="G1003" s="21" t="s">
        <v>3853</v>
      </c>
      <c r="H1003" s="88">
        <v>4199</v>
      </c>
      <c r="I1003" s="43">
        <v>4234</v>
      </c>
      <c r="J1003" s="43">
        <v>4234</v>
      </c>
      <c r="K1003" s="21">
        <v>1</v>
      </c>
      <c r="L1003" s="43">
        <v>4248</v>
      </c>
      <c r="M1003" s="43">
        <v>4261</v>
      </c>
      <c r="N1003" s="43">
        <v>4244</v>
      </c>
      <c r="O1003" s="21" t="s">
        <v>3785</v>
      </c>
      <c r="P1003" s="194" t="str">
        <f t="shared" si="183"/>
        <v>1</v>
      </c>
      <c r="Q1003" s="21">
        <v>1</v>
      </c>
      <c r="R1003" s="39" t="str">
        <f t="shared" si="190"/>
        <v>-</v>
      </c>
      <c r="S1003" s="120">
        <f t="shared" si="189"/>
        <v>8799253</v>
      </c>
      <c r="T1003" s="123">
        <v>9493737</v>
      </c>
      <c r="U1003" s="123">
        <f>T1003-543881-1301270</f>
        <v>7648586</v>
      </c>
      <c r="V1003" s="123">
        <f t="shared" si="184"/>
        <v>1845151</v>
      </c>
      <c r="W1003" s="122" t="str">
        <f t="shared" si="185"/>
        <v>1</v>
      </c>
      <c r="X1003" s="123">
        <f>250123+377587+66774</f>
        <v>694484</v>
      </c>
      <c r="Y1003" s="123">
        <f t="shared" si="191"/>
        <v>250123</v>
      </c>
      <c r="Z1003" s="123">
        <f t="shared" si="187"/>
        <v>444361</v>
      </c>
      <c r="AA1003" s="122" t="str">
        <f t="shared" si="188"/>
        <v>1</v>
      </c>
      <c r="AB1003" s="120">
        <f t="shared" si="186"/>
        <v>250123</v>
      </c>
      <c r="AC1003" s="123">
        <v>0</v>
      </c>
      <c r="AD1003" s="123">
        <v>250123</v>
      </c>
      <c r="AE1003" s="123">
        <v>543881</v>
      </c>
      <c r="AG1003" s="151">
        <f t="shared" si="182"/>
        <v>1312760</v>
      </c>
      <c r="AH1003" s="123">
        <f>1388787</f>
        <v>1388787</v>
      </c>
      <c r="AI1003" s="123">
        <v>63495</v>
      </c>
      <c r="AJ1003" s="123">
        <f>120000</f>
        <v>120000</v>
      </c>
      <c r="AL1003" s="123">
        <v>12532</v>
      </c>
    </row>
    <row r="1004" spans="1:41" s="123" customFormat="1" ht="16.2" thickBot="1" x14ac:dyDescent="0.35">
      <c r="A1004" s="21">
        <v>171.2</v>
      </c>
      <c r="B1004" s="212" t="s">
        <v>145</v>
      </c>
      <c r="C1004" s="31" t="str">
        <f>VLOOKUP((CONCATENATE(B1004)),ID!$A$2:$D$305,3,0)</f>
        <v>BR008</v>
      </c>
      <c r="D1004" s="21">
        <v>1</v>
      </c>
      <c r="E1004" s="21" t="s">
        <v>3937</v>
      </c>
      <c r="F1004" s="21" t="s">
        <v>1117</v>
      </c>
      <c r="G1004" s="21" t="s">
        <v>3853</v>
      </c>
      <c r="H1004" s="88">
        <v>4565</v>
      </c>
      <c r="I1004" s="43">
        <v>4599</v>
      </c>
      <c r="J1004" s="43">
        <v>4598</v>
      </c>
      <c r="K1004" s="21">
        <v>1</v>
      </c>
      <c r="L1004" s="43">
        <v>4615</v>
      </c>
      <c r="M1004" s="43">
        <v>4627</v>
      </c>
      <c r="N1004" s="43">
        <v>4611</v>
      </c>
      <c r="O1004" s="21" t="s">
        <v>3785</v>
      </c>
      <c r="P1004" s="194" t="str">
        <f t="shared" si="183"/>
        <v>1</v>
      </c>
      <c r="Q1004" s="21">
        <v>1</v>
      </c>
      <c r="R1004" s="39" t="str">
        <f t="shared" si="190"/>
        <v>-</v>
      </c>
      <c r="S1004" s="120">
        <f t="shared" si="189"/>
        <v>8946702</v>
      </c>
      <c r="T1004" s="123">
        <v>9593342</v>
      </c>
      <c r="U1004" s="123">
        <f>T1004-119156-1774336</f>
        <v>7699850</v>
      </c>
      <c r="V1004" s="123">
        <f t="shared" si="184"/>
        <v>1893492</v>
      </c>
      <c r="W1004" s="122" t="str">
        <f t="shared" si="185"/>
        <v>1</v>
      </c>
      <c r="X1004" s="123">
        <f>581139+65501</f>
        <v>646640</v>
      </c>
      <c r="Y1004" s="123">
        <f t="shared" si="191"/>
        <v>0</v>
      </c>
      <c r="Z1004" s="123">
        <f t="shared" si="187"/>
        <v>646640</v>
      </c>
      <c r="AA1004" s="122" t="str">
        <f t="shared" si="188"/>
        <v>1</v>
      </c>
      <c r="AB1004" s="120">
        <f t="shared" si="186"/>
        <v>0</v>
      </c>
      <c r="AC1004" s="123">
        <v>0</v>
      </c>
      <c r="AD1004" s="123">
        <v>0</v>
      </c>
      <c r="AE1004" s="123">
        <v>119156</v>
      </c>
      <c r="AG1004" s="151">
        <f t="shared" si="182"/>
        <v>1197450</v>
      </c>
      <c r="AH1004" s="123">
        <f>1267443-AK1004</f>
        <v>1267443</v>
      </c>
      <c r="AI1004" s="123">
        <v>65619</v>
      </c>
      <c r="AJ1004" s="123">
        <f>120000</f>
        <v>120000</v>
      </c>
      <c r="AL1004" s="123">
        <v>4374</v>
      </c>
    </row>
    <row r="1005" spans="1:41" s="123" customFormat="1" ht="16.2" thickBot="1" x14ac:dyDescent="0.35">
      <c r="A1005" s="21"/>
      <c r="B1005" s="212" t="s">
        <v>145</v>
      </c>
      <c r="C1005" s="31" t="str">
        <f>VLOOKUP((CONCATENATE(B1005)),ID!$A$2:$D$305,3,0)</f>
        <v>BR008</v>
      </c>
      <c r="D1005" s="21">
        <v>1</v>
      </c>
      <c r="E1005" s="21" t="s">
        <v>3937</v>
      </c>
      <c r="F1005" s="21" t="s">
        <v>1117</v>
      </c>
      <c r="G1005" s="21" t="s">
        <v>3853</v>
      </c>
      <c r="H1005" s="88">
        <v>4930</v>
      </c>
      <c r="I1005" s="43">
        <v>4963</v>
      </c>
      <c r="J1005" s="43">
        <v>4961</v>
      </c>
      <c r="K1005" s="21">
        <v>1</v>
      </c>
      <c r="L1005" s="43">
        <v>4979</v>
      </c>
      <c r="M1005" s="43">
        <v>4991</v>
      </c>
      <c r="N1005" s="43">
        <v>4975</v>
      </c>
      <c r="O1005" s="21" t="s">
        <v>3785</v>
      </c>
      <c r="P1005" s="194" t="str">
        <f t="shared" si="183"/>
        <v>1</v>
      </c>
      <c r="Q1005" s="21">
        <v>1</v>
      </c>
      <c r="R1005" s="39" t="str">
        <f t="shared" si="190"/>
        <v>-</v>
      </c>
      <c r="S1005" s="120">
        <f t="shared" si="189"/>
        <v>8973656</v>
      </c>
      <c r="T1005" s="123">
        <v>9780024</v>
      </c>
      <c r="U1005" s="123">
        <f>T1005-154437-1893014</f>
        <v>7732573</v>
      </c>
      <c r="V1005" s="123">
        <f t="shared" si="184"/>
        <v>2047451</v>
      </c>
      <c r="W1005" s="122" t="str">
        <f t="shared" si="185"/>
        <v>1</v>
      </c>
      <c r="X1005" s="123">
        <f>65816+740552</f>
        <v>806368</v>
      </c>
      <c r="Y1005" s="123">
        <f t="shared" si="191"/>
        <v>0</v>
      </c>
      <c r="Z1005" s="123">
        <f t="shared" si="187"/>
        <v>806368</v>
      </c>
      <c r="AA1005" s="122" t="str">
        <f t="shared" si="188"/>
        <v>1</v>
      </c>
      <c r="AB1005" s="120">
        <f t="shared" si="186"/>
        <v>0</v>
      </c>
      <c r="AC1005" s="123">
        <v>0</v>
      </c>
      <c r="AD1005" s="123">
        <v>0</v>
      </c>
      <c r="AE1005" s="123">
        <v>154437</v>
      </c>
      <c r="AG1005" s="151">
        <f t="shared" si="182"/>
        <v>1056954</v>
      </c>
      <c r="AH1005" s="123">
        <v>1125202</v>
      </c>
      <c r="AI1005" s="123">
        <v>68248</v>
      </c>
      <c r="AJ1005" s="123">
        <f>120000</f>
        <v>120000</v>
      </c>
    </row>
    <row r="1006" spans="1:41" s="123" customFormat="1" ht="16.2" thickBot="1" x14ac:dyDescent="0.35">
      <c r="A1006" s="21"/>
      <c r="B1006" s="212" t="s">
        <v>145</v>
      </c>
      <c r="C1006" s="31" t="str">
        <f>VLOOKUP((CONCATENATE(B1006)),ID!$A$2:$D$305,3,0)</f>
        <v>BR008</v>
      </c>
      <c r="D1006" s="21">
        <v>1</v>
      </c>
      <c r="E1006" s="21" t="s">
        <v>3937</v>
      </c>
      <c r="F1006" s="21" t="s">
        <v>1117</v>
      </c>
      <c r="G1006" s="21" t="s">
        <v>3853</v>
      </c>
      <c r="H1006" s="88">
        <v>5295</v>
      </c>
      <c r="I1006" s="43">
        <v>5343</v>
      </c>
      <c r="J1006" s="43">
        <v>5324</v>
      </c>
      <c r="K1006" s="21">
        <v>1</v>
      </c>
      <c r="L1006" s="43">
        <v>5344</v>
      </c>
      <c r="M1006" s="43">
        <v>5357</v>
      </c>
      <c r="N1006" s="43">
        <v>5352</v>
      </c>
      <c r="O1006" s="21" t="s">
        <v>3785</v>
      </c>
      <c r="P1006" s="194" t="str">
        <f t="shared" si="183"/>
        <v>1</v>
      </c>
      <c r="Q1006" s="21">
        <v>1</v>
      </c>
      <c r="R1006" s="39" t="str">
        <f t="shared" si="190"/>
        <v>-</v>
      </c>
      <c r="S1006" s="120">
        <f t="shared" si="189"/>
        <v>9204233</v>
      </c>
      <c r="T1006" s="123">
        <v>10027005</v>
      </c>
      <c r="U1006" s="123">
        <f>T1006-165723-2068646</f>
        <v>7792636</v>
      </c>
      <c r="V1006" s="123">
        <f t="shared" si="184"/>
        <v>2234369</v>
      </c>
      <c r="W1006" s="122" t="str">
        <f t="shared" si="185"/>
        <v>1</v>
      </c>
      <c r="X1006" s="123">
        <f>65536+757236</f>
        <v>822772</v>
      </c>
      <c r="Y1006" s="123">
        <f t="shared" si="191"/>
        <v>0</v>
      </c>
      <c r="Z1006" s="123">
        <f t="shared" si="187"/>
        <v>822772</v>
      </c>
      <c r="AA1006" s="122" t="str">
        <f t="shared" si="188"/>
        <v>1</v>
      </c>
      <c r="AB1006" s="120">
        <f t="shared" si="186"/>
        <v>0</v>
      </c>
      <c r="AC1006" s="123">
        <v>0</v>
      </c>
      <c r="AD1006" s="123">
        <v>0</v>
      </c>
      <c r="AE1006" s="123">
        <v>165723</v>
      </c>
      <c r="AG1006" s="151">
        <f t="shared" si="182"/>
        <v>1210577</v>
      </c>
      <c r="AH1006" s="123">
        <v>1280505</v>
      </c>
      <c r="AI1006" s="123">
        <v>69928</v>
      </c>
      <c r="AJ1006" s="123">
        <v>120000</v>
      </c>
    </row>
    <row r="1007" spans="1:41" s="123" customFormat="1" ht="16.2" thickBot="1" x14ac:dyDescent="0.35">
      <c r="A1007" s="21"/>
      <c r="B1007" s="212" t="s">
        <v>155</v>
      </c>
      <c r="C1007" s="31" t="str">
        <f>VLOOKUP((CONCATENATE(B1007)),ID!$A$2:$D$305,3,0)</f>
        <v>BR009</v>
      </c>
      <c r="D1007" s="21">
        <v>1</v>
      </c>
      <c r="E1007" s="21" t="s">
        <v>3937</v>
      </c>
      <c r="F1007" s="21" t="s">
        <v>1117</v>
      </c>
      <c r="G1007" s="21" t="s">
        <v>3853</v>
      </c>
      <c r="H1007" s="88">
        <v>3926</v>
      </c>
      <c r="I1007" s="43"/>
      <c r="J1007" s="43"/>
      <c r="K1007" s="21"/>
      <c r="L1007" s="43"/>
      <c r="M1007" s="43"/>
      <c r="N1007" s="43"/>
      <c r="O1007" s="21" t="s">
        <v>3974</v>
      </c>
      <c r="P1007" s="194" t="str">
        <f t="shared" si="183"/>
        <v>?</v>
      </c>
      <c r="Q1007" s="21">
        <v>1</v>
      </c>
      <c r="R1007" s="39" t="str">
        <f t="shared" si="190"/>
        <v>-</v>
      </c>
      <c r="S1007" s="120">
        <f t="shared" si="189"/>
        <v>0</v>
      </c>
      <c r="V1007" s="123">
        <f t="shared" si="184"/>
        <v>0</v>
      </c>
      <c r="W1007" s="122" t="str">
        <f t="shared" si="185"/>
        <v>1</v>
      </c>
      <c r="Z1007" s="123">
        <f t="shared" si="187"/>
        <v>0</v>
      </c>
      <c r="AA1007" s="122" t="str">
        <f t="shared" si="188"/>
        <v>1</v>
      </c>
      <c r="AB1007" s="120">
        <f t="shared" si="186"/>
        <v>0</v>
      </c>
      <c r="AG1007" s="151">
        <f t="shared" si="182"/>
        <v>0</v>
      </c>
    </row>
    <row r="1008" spans="1:41" s="123" customFormat="1" ht="16.2" thickBot="1" x14ac:dyDescent="0.35">
      <c r="A1008" s="21">
        <v>172.1</v>
      </c>
      <c r="B1008" s="212" t="s">
        <v>155</v>
      </c>
      <c r="C1008" s="31" t="str">
        <f>VLOOKUP((CONCATENATE(B1008)),ID!$A$2:$D$305,3,0)</f>
        <v>BR009</v>
      </c>
      <c r="D1008" s="21">
        <v>1</v>
      </c>
      <c r="E1008" s="21" t="s">
        <v>3937</v>
      </c>
      <c r="F1008" s="21" t="s">
        <v>1117</v>
      </c>
      <c r="G1008" s="21" t="s">
        <v>3853</v>
      </c>
      <c r="H1008" s="88">
        <v>4291</v>
      </c>
      <c r="I1008" s="21"/>
      <c r="J1008" s="21"/>
      <c r="K1008" s="21"/>
      <c r="L1008" s="21"/>
      <c r="M1008" s="21"/>
      <c r="N1008" s="21"/>
      <c r="O1008" s="21" t="s">
        <v>3974</v>
      </c>
      <c r="P1008" s="194" t="str">
        <f t="shared" si="183"/>
        <v>?</v>
      </c>
      <c r="Q1008" s="21">
        <v>1</v>
      </c>
      <c r="R1008" s="39" t="str">
        <f t="shared" si="190"/>
        <v>-</v>
      </c>
      <c r="S1008" s="120">
        <f t="shared" si="189"/>
        <v>0</v>
      </c>
      <c r="V1008" s="123">
        <f t="shared" si="184"/>
        <v>0</v>
      </c>
      <c r="W1008" s="122" t="str">
        <f t="shared" si="185"/>
        <v>1</v>
      </c>
      <c r="Z1008" s="123">
        <f t="shared" si="187"/>
        <v>0</v>
      </c>
      <c r="AA1008" s="122" t="str">
        <f t="shared" si="188"/>
        <v>1</v>
      </c>
      <c r="AB1008" s="120">
        <f t="shared" si="186"/>
        <v>0</v>
      </c>
      <c r="AG1008" s="151">
        <f t="shared" si="182"/>
        <v>0</v>
      </c>
    </row>
    <row r="1009" spans="1:41" s="123" customFormat="1" ht="16.2" thickBot="1" x14ac:dyDescent="0.35">
      <c r="A1009" s="21">
        <v>172.2</v>
      </c>
      <c r="B1009" s="212" t="s">
        <v>155</v>
      </c>
      <c r="C1009" s="31" t="str">
        <f>VLOOKUP((CONCATENATE(B1009)),ID!$A$2:$D$305,3,0)</f>
        <v>BR009</v>
      </c>
      <c r="D1009" s="21">
        <v>1</v>
      </c>
      <c r="E1009" s="21" t="s">
        <v>3937</v>
      </c>
      <c r="F1009" s="21" t="s">
        <v>1117</v>
      </c>
      <c r="G1009" s="21" t="s">
        <v>3853</v>
      </c>
      <c r="H1009" s="88">
        <v>4657</v>
      </c>
      <c r="I1009" s="21"/>
      <c r="J1009" s="21"/>
      <c r="K1009" s="21"/>
      <c r="L1009" s="21"/>
      <c r="M1009" s="21"/>
      <c r="N1009" s="21"/>
      <c r="O1009" s="21" t="s">
        <v>3974</v>
      </c>
      <c r="P1009" s="194" t="str">
        <f t="shared" si="183"/>
        <v>?</v>
      </c>
      <c r="Q1009" s="21">
        <v>1</v>
      </c>
      <c r="R1009" s="39" t="str">
        <f t="shared" si="190"/>
        <v>-</v>
      </c>
      <c r="S1009" s="120">
        <f t="shared" si="189"/>
        <v>0</v>
      </c>
      <c r="V1009" s="123">
        <f t="shared" si="184"/>
        <v>0</v>
      </c>
      <c r="W1009" s="122" t="str">
        <f t="shared" si="185"/>
        <v>1</v>
      </c>
      <c r="Z1009" s="123">
        <f t="shared" si="187"/>
        <v>0</v>
      </c>
      <c r="AA1009" s="122" t="str">
        <f t="shared" si="188"/>
        <v>1</v>
      </c>
      <c r="AB1009" s="120">
        <f t="shared" si="186"/>
        <v>0</v>
      </c>
      <c r="AG1009" s="151">
        <f t="shared" si="182"/>
        <v>0</v>
      </c>
    </row>
    <row r="1010" spans="1:41" s="123" customFormat="1" ht="16.2" thickBot="1" x14ac:dyDescent="0.35">
      <c r="A1010" s="21"/>
      <c r="B1010" s="212" t="s">
        <v>155</v>
      </c>
      <c r="C1010" s="31" t="str">
        <f>VLOOKUP((CONCATENATE(B1010)),ID!$A$2:$D$305,3,0)</f>
        <v>BR009</v>
      </c>
      <c r="D1010" s="21">
        <v>1</v>
      </c>
      <c r="E1010" s="21" t="s">
        <v>3937</v>
      </c>
      <c r="F1010" s="21" t="s">
        <v>1117</v>
      </c>
      <c r="G1010" s="21" t="s">
        <v>3853</v>
      </c>
      <c r="H1010" s="88">
        <v>5022</v>
      </c>
      <c r="I1010" s="43">
        <v>5093</v>
      </c>
      <c r="J1010" s="43">
        <v>5092</v>
      </c>
      <c r="K1010" s="21">
        <v>0</v>
      </c>
      <c r="L1010" s="21"/>
      <c r="M1010" s="21"/>
      <c r="N1010" s="43">
        <v>5101</v>
      </c>
      <c r="O1010" s="21" t="s">
        <v>3974</v>
      </c>
      <c r="P1010" s="194">
        <v>1</v>
      </c>
      <c r="Q1010" s="21">
        <v>1</v>
      </c>
      <c r="R1010" s="39" t="str">
        <f t="shared" si="190"/>
        <v>-</v>
      </c>
      <c r="S1010" s="120">
        <f t="shared" si="189"/>
        <v>283747</v>
      </c>
      <c r="T1010" s="123">
        <v>1966351</v>
      </c>
      <c r="U1010" s="123">
        <f>T1010-132307-4826-93671-4719-40000-220006</f>
        <v>1470822</v>
      </c>
      <c r="V1010" s="123">
        <f t="shared" si="184"/>
        <v>495529</v>
      </c>
      <c r="W1010" s="122" t="str">
        <f t="shared" si="185"/>
        <v>1</v>
      </c>
      <c r="X1010" s="123">
        <f>Y1010+91078</f>
        <v>1682604</v>
      </c>
      <c r="Y1010" s="123">
        <f>462824+713182+415520</f>
        <v>1591526</v>
      </c>
      <c r="Z1010" s="123">
        <f t="shared" si="187"/>
        <v>91078</v>
      </c>
      <c r="AA1010" s="122" t="str">
        <f t="shared" si="188"/>
        <v>1</v>
      </c>
      <c r="AB1010" s="120">
        <f t="shared" si="186"/>
        <v>1591526</v>
      </c>
      <c r="AC1010" s="123">
        <v>0</v>
      </c>
      <c r="AD1010" s="123">
        <f t="shared" ref="AD1010:AD1016" si="192">Y1010</f>
        <v>1591526</v>
      </c>
      <c r="AE1010" s="123">
        <v>132307</v>
      </c>
      <c r="AG1010" s="151">
        <f t="shared" ref="AG1010:AG1067" si="193">AH1010-AL1010-AI1010</f>
        <v>7001</v>
      </c>
      <c r="AH1010" s="123">
        <f>7001+AI1010+AL1010</f>
        <v>59210</v>
      </c>
      <c r="AI1010" s="123">
        <v>1368</v>
      </c>
      <c r="AK1010" s="123">
        <v>26865</v>
      </c>
      <c r="AL1010" s="123">
        <v>50841</v>
      </c>
      <c r="AO1010" s="123">
        <v>276744</v>
      </c>
    </row>
    <row r="1011" spans="1:41" s="123" customFormat="1" ht="16.2" thickBot="1" x14ac:dyDescent="0.35">
      <c r="A1011" s="21"/>
      <c r="B1011" s="212" t="s">
        <v>155</v>
      </c>
      <c r="C1011" s="31" t="str">
        <f>VLOOKUP((CONCATENATE(B1011)),ID!$A$2:$D$305,3,0)</f>
        <v>BR009</v>
      </c>
      <c r="D1011" s="21">
        <v>1</v>
      </c>
      <c r="E1011" s="21" t="s">
        <v>3937</v>
      </c>
      <c r="F1011" s="21" t="s">
        <v>1117</v>
      </c>
      <c r="G1011" s="21" t="s">
        <v>3853</v>
      </c>
      <c r="H1011" s="88">
        <v>5387</v>
      </c>
      <c r="I1011" s="43">
        <v>5458</v>
      </c>
      <c r="J1011" s="43">
        <v>5456</v>
      </c>
      <c r="K1011" s="21">
        <v>0</v>
      </c>
      <c r="L1011" s="21"/>
      <c r="M1011" s="21"/>
      <c r="N1011" s="43">
        <v>5466</v>
      </c>
      <c r="O1011" s="21" t="s">
        <v>3974</v>
      </c>
      <c r="P1011" s="194">
        <v>1</v>
      </c>
      <c r="Q1011" s="21">
        <v>1</v>
      </c>
      <c r="R1011" s="39" t="str">
        <f t="shared" si="190"/>
        <v>-</v>
      </c>
      <c r="S1011" s="120">
        <f t="shared" si="189"/>
        <v>298060</v>
      </c>
      <c r="T1011" s="123">
        <v>2059167</v>
      </c>
      <c r="U1011" s="123">
        <f>T1011-40000-5673-114552-4673-9993-248023</f>
        <v>1636253</v>
      </c>
      <c r="V1011" s="123">
        <f t="shared" si="184"/>
        <v>422914</v>
      </c>
      <c r="W1011" s="122" t="str">
        <f t="shared" si="185"/>
        <v>1</v>
      </c>
      <c r="X1011" s="123">
        <f>Y1011+125993+27813</f>
        <v>1761107</v>
      </c>
      <c r="Y1011" s="123">
        <f>478657+713124+415520</f>
        <v>1607301</v>
      </c>
      <c r="Z1011" s="123">
        <f t="shared" si="187"/>
        <v>153806</v>
      </c>
      <c r="AA1011" s="122" t="str">
        <f t="shared" si="188"/>
        <v>1</v>
      </c>
      <c r="AB1011" s="120">
        <f t="shared" si="186"/>
        <v>1607301</v>
      </c>
      <c r="AC1011" s="123">
        <v>0</v>
      </c>
      <c r="AD1011" s="123">
        <f t="shared" si="192"/>
        <v>1607301</v>
      </c>
      <c r="AE1011" s="123">
        <v>99973</v>
      </c>
      <c r="AG1011" s="151">
        <f t="shared" si="193"/>
        <v>54290</v>
      </c>
      <c r="AH1011" s="123">
        <f>54290+AI1011+AL1011</f>
        <v>114212</v>
      </c>
      <c r="AI1011" s="123">
        <v>1590</v>
      </c>
      <c r="AK1011" s="123">
        <v>28516</v>
      </c>
      <c r="AL1011" s="123">
        <v>58332</v>
      </c>
      <c r="AO1011" s="123">
        <v>276744</v>
      </c>
    </row>
    <row r="1012" spans="1:41" s="123" customFormat="1" ht="16.2" thickBot="1" x14ac:dyDescent="0.35">
      <c r="A1012" s="21"/>
      <c r="B1012" s="212" t="s">
        <v>205</v>
      </c>
      <c r="C1012" s="31" t="str">
        <f>VLOOKUP((CONCATENATE(B1012)),ID!$A$2:$D$305,3,0)</f>
        <v>BR010</v>
      </c>
      <c r="D1012" s="21">
        <v>1</v>
      </c>
      <c r="E1012" s="21" t="s">
        <v>3937</v>
      </c>
      <c r="F1012" s="21" t="s">
        <v>1117</v>
      </c>
      <c r="G1012" s="21" t="s">
        <v>3853</v>
      </c>
      <c r="H1012" s="88">
        <v>3920</v>
      </c>
      <c r="I1012" s="43">
        <v>3967</v>
      </c>
      <c r="J1012" s="43">
        <v>3967</v>
      </c>
      <c r="K1012" s="21">
        <v>0</v>
      </c>
      <c r="L1012" s="21"/>
      <c r="M1012" s="21"/>
      <c r="N1012" s="21"/>
      <c r="O1012" s="21" t="s">
        <v>3942</v>
      </c>
      <c r="P1012" s="194" t="str">
        <f t="shared" si="183"/>
        <v>1</v>
      </c>
      <c r="Q1012" s="21">
        <v>1</v>
      </c>
      <c r="R1012" s="39" t="str">
        <f t="shared" si="190"/>
        <v>-</v>
      </c>
      <c r="S1012" s="120">
        <f t="shared" si="189"/>
        <v>2414568</v>
      </c>
      <c r="T1012" s="123">
        <v>3933918</v>
      </c>
      <c r="U1012" s="123">
        <f>T1012-157909</f>
        <v>3776009</v>
      </c>
      <c r="V1012" s="123">
        <f t="shared" si="184"/>
        <v>157909</v>
      </c>
      <c r="W1012" s="122" t="str">
        <f t="shared" si="185"/>
        <v>1</v>
      </c>
      <c r="X1012" s="123">
        <f>269350+Y1012</f>
        <v>1519350</v>
      </c>
      <c r="Y1012" s="123">
        <v>1250000</v>
      </c>
      <c r="Z1012" s="123">
        <f t="shared" si="187"/>
        <v>269350</v>
      </c>
      <c r="AA1012" s="122" t="str">
        <f t="shared" si="188"/>
        <v>1</v>
      </c>
      <c r="AB1012" s="120">
        <f t="shared" si="186"/>
        <v>1250000</v>
      </c>
      <c r="AC1012" s="123">
        <v>0</v>
      </c>
      <c r="AD1012" s="123">
        <f t="shared" si="192"/>
        <v>1250000</v>
      </c>
      <c r="AE1012" s="123">
        <v>157909</v>
      </c>
      <c r="AG1012" s="151">
        <f t="shared" si="193"/>
        <v>137618</v>
      </c>
      <c r="AH1012" s="123">
        <f>224762-37144</f>
        <v>187618</v>
      </c>
      <c r="AJ1012" s="123">
        <f>53125+37500</f>
        <v>90625</v>
      </c>
      <c r="AL1012" s="123">
        <v>50000</v>
      </c>
      <c r="AO1012" s="123">
        <f>7500+125000</f>
        <v>132500</v>
      </c>
    </row>
    <row r="1013" spans="1:41" s="123" customFormat="1" ht="16.2" thickBot="1" x14ac:dyDescent="0.35">
      <c r="A1013" s="21">
        <v>173.1</v>
      </c>
      <c r="B1013" s="212" t="s">
        <v>205</v>
      </c>
      <c r="C1013" s="31" t="str">
        <f>VLOOKUP((CONCATENATE(B1013)),ID!$A$2:$D$305,3,0)</f>
        <v>BR010</v>
      </c>
      <c r="D1013" s="21">
        <v>1</v>
      </c>
      <c r="E1013" s="21" t="s">
        <v>3937</v>
      </c>
      <c r="F1013" s="21" t="s">
        <v>1117</v>
      </c>
      <c r="G1013" s="21" t="s">
        <v>3853</v>
      </c>
      <c r="H1013" s="88">
        <v>4291</v>
      </c>
      <c r="I1013" s="43">
        <v>4331</v>
      </c>
      <c r="J1013" s="43">
        <v>4331</v>
      </c>
      <c r="K1013" s="21">
        <v>0</v>
      </c>
      <c r="L1013" s="21"/>
      <c r="M1013" s="21"/>
      <c r="N1013" s="21"/>
      <c r="O1013" s="21" t="s">
        <v>3942</v>
      </c>
      <c r="P1013" s="194" t="str">
        <f t="shared" si="183"/>
        <v>1</v>
      </c>
      <c r="Q1013" s="21">
        <v>1</v>
      </c>
      <c r="R1013" s="39" t="str">
        <f t="shared" si="190"/>
        <v>-</v>
      </c>
      <c r="S1013" s="120">
        <f t="shared" si="189"/>
        <v>2433252</v>
      </c>
      <c r="T1013" s="123">
        <v>3933905</v>
      </c>
      <c r="U1013" s="123">
        <f>T1013-137684</f>
        <v>3796221</v>
      </c>
      <c r="V1013" s="123">
        <f t="shared" si="184"/>
        <v>137684</v>
      </c>
      <c r="W1013" s="122" t="str">
        <f t="shared" si="185"/>
        <v>1</v>
      </c>
      <c r="X1013" s="123">
        <f>Y1013+250653</f>
        <v>1500653</v>
      </c>
      <c r="Y1013" s="123">
        <v>1250000</v>
      </c>
      <c r="Z1013" s="123">
        <f t="shared" si="187"/>
        <v>250653</v>
      </c>
      <c r="AA1013" s="122" t="str">
        <f t="shared" si="188"/>
        <v>1</v>
      </c>
      <c r="AB1013" s="120">
        <f t="shared" si="186"/>
        <v>1250000</v>
      </c>
      <c r="AC1013" s="123">
        <v>0</v>
      </c>
      <c r="AD1013" s="123">
        <f t="shared" si="192"/>
        <v>1250000</v>
      </c>
      <c r="AE1013" s="123">
        <v>137684</v>
      </c>
      <c r="AG1013" s="151">
        <f t="shared" si="193"/>
        <v>158235</v>
      </c>
      <c r="AH1013" s="123">
        <f>239872-31637</f>
        <v>208235</v>
      </c>
      <c r="AJ1013" s="123">
        <f>53125+37500</f>
        <v>90625</v>
      </c>
      <c r="AL1013" s="123">
        <v>50000</v>
      </c>
      <c r="AO1013" s="123">
        <f>7500+125000</f>
        <v>132500</v>
      </c>
    </row>
    <row r="1014" spans="1:41" s="123" customFormat="1" ht="16.2" thickBot="1" x14ac:dyDescent="0.35">
      <c r="A1014" s="21">
        <v>173.2</v>
      </c>
      <c r="B1014" s="212" t="s">
        <v>205</v>
      </c>
      <c r="C1014" s="31" t="str">
        <f>VLOOKUP((CONCATENATE(B1014)),ID!$A$2:$D$305,3,0)</f>
        <v>BR010</v>
      </c>
      <c r="D1014" s="21">
        <v>1</v>
      </c>
      <c r="E1014" s="21" t="s">
        <v>3937</v>
      </c>
      <c r="F1014" s="21" t="s">
        <v>1117</v>
      </c>
      <c r="G1014" s="21" t="s">
        <v>3853</v>
      </c>
      <c r="H1014" s="88">
        <v>4657</v>
      </c>
      <c r="I1014" s="43">
        <v>4695</v>
      </c>
      <c r="J1014" s="43">
        <v>4695</v>
      </c>
      <c r="K1014" s="21">
        <v>0</v>
      </c>
      <c r="L1014" s="21"/>
      <c r="M1014" s="21"/>
      <c r="N1014" s="21"/>
      <c r="O1014" s="21" t="s">
        <v>3942</v>
      </c>
      <c r="P1014" s="194" t="str">
        <f t="shared" si="183"/>
        <v>1</v>
      </c>
      <c r="Q1014" s="21">
        <v>1</v>
      </c>
      <c r="R1014" s="39" t="str">
        <f t="shared" si="190"/>
        <v>-</v>
      </c>
      <c r="S1014" s="120">
        <f t="shared" si="189"/>
        <v>2456401</v>
      </c>
      <c r="T1014" s="123">
        <v>3989583</v>
      </c>
      <c r="U1014" s="123">
        <f>T1014-128670</f>
        <v>3860913</v>
      </c>
      <c r="V1014" s="123">
        <f t="shared" si="184"/>
        <v>128670</v>
      </c>
      <c r="W1014" s="122" t="str">
        <f t="shared" si="185"/>
        <v>1</v>
      </c>
      <c r="X1014" s="123">
        <f>Y1014+283182</f>
        <v>1533182</v>
      </c>
      <c r="Y1014" s="123">
        <v>1250000</v>
      </c>
      <c r="Z1014" s="123">
        <f t="shared" si="187"/>
        <v>283182</v>
      </c>
      <c r="AA1014" s="122" t="str">
        <f t="shared" si="188"/>
        <v>1</v>
      </c>
      <c r="AB1014" s="120">
        <f t="shared" si="186"/>
        <v>1250000</v>
      </c>
      <c r="AC1014" s="123">
        <v>0</v>
      </c>
      <c r="AD1014" s="123">
        <f t="shared" si="192"/>
        <v>1250000</v>
      </c>
      <c r="AE1014" s="123">
        <v>128670</v>
      </c>
      <c r="AG1014" s="151">
        <f t="shared" si="193"/>
        <v>144026</v>
      </c>
      <c r="AH1014" s="123">
        <f>194005+21</f>
        <v>194026</v>
      </c>
      <c r="AJ1014" s="123">
        <f>53125+37500</f>
        <v>90625</v>
      </c>
      <c r="AL1014" s="123">
        <v>50000</v>
      </c>
      <c r="AO1014" s="123">
        <f>7500+125000</f>
        <v>132500</v>
      </c>
    </row>
    <row r="1015" spans="1:41" s="123" customFormat="1" ht="16.2" thickBot="1" x14ac:dyDescent="0.35">
      <c r="A1015" s="21"/>
      <c r="B1015" s="212" t="s">
        <v>205</v>
      </c>
      <c r="C1015" s="31" t="str">
        <f>VLOOKUP((CONCATENATE(B1015)),ID!$A$2:$D$305,3,0)</f>
        <v>BR010</v>
      </c>
      <c r="D1015" s="21">
        <v>1</v>
      </c>
      <c r="E1015" s="21" t="s">
        <v>3937</v>
      </c>
      <c r="F1015" s="21" t="s">
        <v>1117</v>
      </c>
      <c r="G1015" s="21" t="s">
        <v>3853</v>
      </c>
      <c r="H1015" s="88">
        <v>5022</v>
      </c>
      <c r="I1015" s="43">
        <v>5066</v>
      </c>
      <c r="J1015" s="43">
        <v>5066</v>
      </c>
      <c r="K1015" s="21">
        <v>0</v>
      </c>
      <c r="L1015" s="21"/>
      <c r="M1015" s="21"/>
      <c r="N1015" s="21"/>
      <c r="O1015" s="21" t="s">
        <v>3942</v>
      </c>
      <c r="P1015" s="194" t="str">
        <f t="shared" si="183"/>
        <v>1</v>
      </c>
      <c r="Q1015" s="21">
        <v>1</v>
      </c>
      <c r="R1015" s="39" t="str">
        <f t="shared" si="190"/>
        <v>-</v>
      </c>
      <c r="S1015" s="120">
        <f t="shared" si="189"/>
        <v>2454485</v>
      </c>
      <c r="T1015" s="123">
        <v>3964324</v>
      </c>
      <c r="U1015" s="123">
        <f>T1015-149728</f>
        <v>3814596</v>
      </c>
      <c r="V1015" s="123">
        <f t="shared" si="184"/>
        <v>149728</v>
      </c>
      <c r="W1015" s="122" t="str">
        <f t="shared" si="185"/>
        <v>1</v>
      </c>
      <c r="X1015" s="123">
        <f>Y1015+259839</f>
        <v>1509839</v>
      </c>
      <c r="Y1015" s="123">
        <v>1250000</v>
      </c>
      <c r="Z1015" s="123">
        <f t="shared" si="187"/>
        <v>259839</v>
      </c>
      <c r="AA1015" s="122" t="str">
        <f t="shared" si="188"/>
        <v>1</v>
      </c>
      <c r="AB1015" s="120">
        <f t="shared" si="186"/>
        <v>1250000</v>
      </c>
      <c r="AC1015" s="123">
        <v>0</v>
      </c>
      <c r="AD1015" s="123">
        <f t="shared" si="192"/>
        <v>1250000</v>
      </c>
      <c r="AE1015" s="123">
        <v>149728</v>
      </c>
      <c r="AG1015" s="151">
        <f t="shared" si="193"/>
        <v>149546</v>
      </c>
      <c r="AH1015" s="123">
        <f>232194-32648</f>
        <v>199546</v>
      </c>
      <c r="AJ1015" s="123">
        <f>53125+37500</f>
        <v>90625</v>
      </c>
      <c r="AL1015" s="123">
        <v>50000</v>
      </c>
      <c r="AO1015" s="123">
        <f>7500+125000</f>
        <v>132500</v>
      </c>
    </row>
    <row r="1016" spans="1:41" s="123" customFormat="1" ht="16.2" thickBot="1" x14ac:dyDescent="0.35">
      <c r="A1016" s="21"/>
      <c r="B1016" s="212" t="s">
        <v>205</v>
      </c>
      <c r="C1016" s="31" t="str">
        <f>VLOOKUP((CONCATENATE(B1016)),ID!$A$2:$D$305,3,0)</f>
        <v>BR010</v>
      </c>
      <c r="D1016" s="21">
        <v>1</v>
      </c>
      <c r="E1016" s="21" t="s">
        <v>3937</v>
      </c>
      <c r="F1016" s="21" t="s">
        <v>1117</v>
      </c>
      <c r="G1016" s="21" t="s">
        <v>3853</v>
      </c>
      <c r="H1016" s="88">
        <v>5387</v>
      </c>
      <c r="I1016" s="43">
        <v>5437</v>
      </c>
      <c r="J1016" s="43">
        <v>5437</v>
      </c>
      <c r="K1016" s="21">
        <v>0</v>
      </c>
      <c r="L1016" s="21"/>
      <c r="M1016" s="21"/>
      <c r="N1016" s="21"/>
      <c r="O1016" s="21" t="s">
        <v>3942</v>
      </c>
      <c r="P1016" s="194" t="str">
        <f t="shared" si="183"/>
        <v>1</v>
      </c>
      <c r="Q1016" s="21">
        <v>1</v>
      </c>
      <c r="R1016" s="39" t="str">
        <f t="shared" si="190"/>
        <v>-</v>
      </c>
      <c r="S1016" s="120">
        <f t="shared" si="189"/>
        <v>2513930</v>
      </c>
      <c r="T1016" s="123">
        <v>4036736</v>
      </c>
      <c r="U1016" s="123">
        <f>T1016-145210</f>
        <v>3891526</v>
      </c>
      <c r="V1016" s="123">
        <f t="shared" si="184"/>
        <v>145210</v>
      </c>
      <c r="W1016" s="122" t="str">
        <f t="shared" si="185"/>
        <v>1</v>
      </c>
      <c r="X1016" s="123">
        <f>Y1016+272806</f>
        <v>1522806</v>
      </c>
      <c r="Y1016" s="123">
        <v>1250000</v>
      </c>
      <c r="Z1016" s="123">
        <f t="shared" si="187"/>
        <v>272806</v>
      </c>
      <c r="AA1016" s="122" t="str">
        <f t="shared" si="188"/>
        <v>1</v>
      </c>
      <c r="AB1016" s="120">
        <f t="shared" si="186"/>
        <v>1250000</v>
      </c>
      <c r="AC1016" s="123">
        <v>0</v>
      </c>
      <c r="AD1016" s="123">
        <f t="shared" si="192"/>
        <v>1250000</v>
      </c>
      <c r="AE1016" s="123">
        <v>145210</v>
      </c>
      <c r="AG1016" s="151">
        <f t="shared" si="193"/>
        <v>165057</v>
      </c>
      <c r="AH1016" s="123">
        <f>249126-34069</f>
        <v>215057</v>
      </c>
      <c r="AJ1016" s="123">
        <f>53125+37500</f>
        <v>90625</v>
      </c>
      <c r="AL1016" s="123">
        <v>50000</v>
      </c>
      <c r="AO1016" s="123">
        <f>7500+125000</f>
        <v>132500</v>
      </c>
    </row>
    <row r="1017" spans="1:41" s="123" customFormat="1" ht="16.2" thickBot="1" x14ac:dyDescent="0.35">
      <c r="A1017" s="21"/>
      <c r="B1017" s="212" t="s">
        <v>218</v>
      </c>
      <c r="C1017" s="31" t="str">
        <f>VLOOKUP((CONCATENATE(B1017)),ID!$A$2:$D$305,3,0)</f>
        <v>BR011</v>
      </c>
      <c r="D1017" s="21">
        <v>1</v>
      </c>
      <c r="E1017" s="21" t="s">
        <v>3937</v>
      </c>
      <c r="F1017" s="21" t="s">
        <v>1117</v>
      </c>
      <c r="G1017" s="21" t="s">
        <v>3853</v>
      </c>
      <c r="H1017" s="88">
        <v>3653</v>
      </c>
      <c r="I1017" s="43">
        <v>3825</v>
      </c>
      <c r="J1017" s="43">
        <v>3825</v>
      </c>
      <c r="K1017" s="21">
        <v>0</v>
      </c>
      <c r="L1017" s="21"/>
      <c r="M1017" s="21"/>
      <c r="N1017" s="43">
        <v>3834</v>
      </c>
      <c r="O1017" s="27" t="s">
        <v>3800</v>
      </c>
      <c r="P1017" s="194">
        <v>0</v>
      </c>
      <c r="Q1017" s="21">
        <v>1</v>
      </c>
      <c r="R1017" s="39" t="str">
        <f t="shared" si="190"/>
        <v>-</v>
      </c>
      <c r="S1017" s="120">
        <f t="shared" si="189"/>
        <v>1011856</v>
      </c>
      <c r="T1017" s="123">
        <v>2115442</v>
      </c>
      <c r="U1017" s="123">
        <f>T1017-805866-62669-43175-56003</f>
        <v>1147729</v>
      </c>
      <c r="V1017" s="123">
        <f t="shared" si="184"/>
        <v>967713</v>
      </c>
      <c r="W1017" s="122" t="str">
        <f t="shared" si="185"/>
        <v>1</v>
      </c>
      <c r="X1017" s="123">
        <f>Y1017+67007+14569+22010</f>
        <v>1103586</v>
      </c>
      <c r="Y1017" s="123">
        <f>AB1017</f>
        <v>1000000</v>
      </c>
      <c r="Z1017" s="123">
        <f t="shared" si="187"/>
        <v>103586</v>
      </c>
      <c r="AA1017" s="122" t="str">
        <f t="shared" si="188"/>
        <v>1</v>
      </c>
      <c r="AB1017" s="120">
        <f t="shared" si="186"/>
        <v>1000000</v>
      </c>
      <c r="AC1017" s="123">
        <v>0</v>
      </c>
      <c r="AD1017" s="123">
        <v>1000000</v>
      </c>
      <c r="AE1017" s="123">
        <v>62669</v>
      </c>
      <c r="AG1017" s="151">
        <f t="shared" si="193"/>
        <v>14781</v>
      </c>
      <c r="AH1017" s="123">
        <f>77984-AK1017-1875-380</f>
        <v>62781</v>
      </c>
      <c r="AK1017" s="123">
        <v>12948</v>
      </c>
      <c r="AL1017" s="123">
        <v>48000</v>
      </c>
      <c r="AO1017" s="123">
        <v>55000</v>
      </c>
    </row>
    <row r="1018" spans="1:41" s="123" customFormat="1" ht="16.2" thickBot="1" x14ac:dyDescent="0.35">
      <c r="A1018" s="21">
        <v>174.1</v>
      </c>
      <c r="B1018" s="212" t="s">
        <v>218</v>
      </c>
      <c r="C1018" s="31" t="str">
        <f>VLOOKUP((CONCATENATE(B1018)),ID!$A$2:$D$305,3,0)</f>
        <v>BR011</v>
      </c>
      <c r="D1018" s="21">
        <v>1</v>
      </c>
      <c r="E1018" s="21" t="s">
        <v>3937</v>
      </c>
      <c r="F1018" s="21" t="s">
        <v>1117</v>
      </c>
      <c r="G1018" s="21" t="s">
        <v>3853</v>
      </c>
      <c r="H1018" s="88">
        <v>4018</v>
      </c>
      <c r="I1018" s="21" t="s">
        <v>3784</v>
      </c>
      <c r="J1018" s="21" t="s">
        <v>3784</v>
      </c>
      <c r="K1018" s="21"/>
      <c r="L1018" s="21"/>
      <c r="M1018" s="21"/>
      <c r="N1018" s="21" t="s">
        <v>3784</v>
      </c>
      <c r="O1018" s="27" t="s">
        <v>3800</v>
      </c>
      <c r="P1018" s="194" t="str">
        <f t="shared" si="183"/>
        <v>?</v>
      </c>
      <c r="Q1018" s="21">
        <v>1</v>
      </c>
      <c r="R1018" s="39" t="str">
        <f t="shared" si="190"/>
        <v>-</v>
      </c>
      <c r="S1018" s="175">
        <f t="shared" si="189"/>
        <v>0</v>
      </c>
      <c r="T1018" s="136"/>
      <c r="U1018" s="136"/>
      <c r="V1018" s="136">
        <f t="shared" si="184"/>
        <v>0</v>
      </c>
      <c r="W1018" s="176" t="str">
        <f t="shared" si="185"/>
        <v>1</v>
      </c>
      <c r="X1018" s="136"/>
      <c r="Y1018" s="136"/>
      <c r="Z1018" s="136">
        <f t="shared" si="187"/>
        <v>0</v>
      </c>
      <c r="AA1018" s="176" t="str">
        <f t="shared" si="188"/>
        <v>1</v>
      </c>
      <c r="AB1018" s="175">
        <f t="shared" si="186"/>
        <v>0</v>
      </c>
      <c r="AC1018" s="136"/>
      <c r="AD1018" s="136"/>
      <c r="AE1018" s="136"/>
      <c r="AF1018" s="136"/>
      <c r="AG1018" s="159">
        <f t="shared" si="193"/>
        <v>0</v>
      </c>
      <c r="AH1018" s="136"/>
      <c r="AI1018" s="136"/>
      <c r="AJ1018" s="136"/>
      <c r="AK1018" s="136"/>
      <c r="AL1018" s="136"/>
      <c r="AM1018" s="136"/>
      <c r="AN1018" s="136"/>
      <c r="AO1018" s="136"/>
    </row>
    <row r="1019" spans="1:41" s="123" customFormat="1" ht="16.2" thickBot="1" x14ac:dyDescent="0.35">
      <c r="A1019" s="21">
        <v>174.2</v>
      </c>
      <c r="B1019" s="212" t="s">
        <v>218</v>
      </c>
      <c r="C1019" s="31" t="str">
        <f>VLOOKUP((CONCATENATE(B1019)),ID!$A$2:$D$305,3,0)</f>
        <v>BR011</v>
      </c>
      <c r="D1019" s="21">
        <v>1</v>
      </c>
      <c r="E1019" s="21" t="s">
        <v>3937</v>
      </c>
      <c r="F1019" s="21" t="s">
        <v>1117</v>
      </c>
      <c r="G1019" s="21" t="s">
        <v>3853</v>
      </c>
      <c r="H1019" s="88">
        <v>4383</v>
      </c>
      <c r="I1019" s="43">
        <v>4496</v>
      </c>
      <c r="J1019" s="43">
        <v>4493</v>
      </c>
      <c r="K1019" s="21">
        <v>0</v>
      </c>
      <c r="L1019" s="21"/>
      <c r="M1019" s="21"/>
      <c r="N1019" s="43">
        <v>4506</v>
      </c>
      <c r="O1019" s="27" t="s">
        <v>3800</v>
      </c>
      <c r="P1019" s="194">
        <v>0</v>
      </c>
      <c r="Q1019" s="21">
        <v>1</v>
      </c>
      <c r="R1019" s="39" t="str">
        <f t="shared" si="190"/>
        <v>-</v>
      </c>
      <c r="S1019" s="120">
        <f t="shared" si="189"/>
        <v>1000001</v>
      </c>
      <c r="T1019" s="123">
        <v>2086218</v>
      </c>
      <c r="U1019" s="123">
        <v>1131433</v>
      </c>
      <c r="V1019" s="123">
        <f t="shared" si="184"/>
        <v>954785</v>
      </c>
      <c r="W1019" s="122" t="str">
        <f t="shared" si="185"/>
        <v>1</v>
      </c>
      <c r="X1019" s="123">
        <f>1000000+22000+16926+47291</f>
        <v>1086217</v>
      </c>
      <c r="Y1019" s="123">
        <f>AB1019</f>
        <v>1000000</v>
      </c>
      <c r="Z1019" s="123">
        <f t="shared" si="187"/>
        <v>86217</v>
      </c>
      <c r="AA1019" s="122" t="str">
        <f t="shared" si="188"/>
        <v>1</v>
      </c>
      <c r="AB1019" s="120">
        <f t="shared" si="186"/>
        <v>1000000</v>
      </c>
      <c r="AC1019" s="123">
        <v>0</v>
      </c>
      <c r="AD1019" s="123">
        <v>1000000</v>
      </c>
      <c r="AE1019" s="123">
        <v>57593</v>
      </c>
      <c r="AG1019" s="153"/>
      <c r="AH1019" s="138"/>
      <c r="AI1019" s="138"/>
      <c r="AJ1019" s="138"/>
      <c r="AK1019" s="138"/>
      <c r="AL1019" s="138"/>
      <c r="AM1019" s="138"/>
      <c r="AN1019" s="138"/>
      <c r="AO1019" s="138">
        <v>55000</v>
      </c>
    </row>
    <row r="1020" spans="1:41" s="123" customFormat="1" ht="16.2" thickBot="1" x14ac:dyDescent="0.35">
      <c r="A1020" s="21"/>
      <c r="B1020" s="212" t="s">
        <v>218</v>
      </c>
      <c r="C1020" s="31" t="str">
        <f>VLOOKUP((CONCATENATE(B1020)),ID!$A$2:$D$305,3,0)</f>
        <v>BR011</v>
      </c>
      <c r="D1020" s="21">
        <v>1</v>
      </c>
      <c r="E1020" s="21" t="s">
        <v>3937</v>
      </c>
      <c r="F1020" s="21" t="s">
        <v>1117</v>
      </c>
      <c r="G1020" s="21" t="s">
        <v>3853</v>
      </c>
      <c r="H1020" s="88">
        <v>4749</v>
      </c>
      <c r="I1020" s="43">
        <v>4828</v>
      </c>
      <c r="J1020" s="43">
        <v>4828</v>
      </c>
      <c r="K1020" s="21">
        <v>0</v>
      </c>
      <c r="L1020" s="21"/>
      <c r="M1020" s="21"/>
      <c r="N1020" s="43">
        <v>4842</v>
      </c>
      <c r="O1020" s="27" t="s">
        <v>3800</v>
      </c>
      <c r="P1020" s="194">
        <v>0</v>
      </c>
      <c r="Q1020" s="21">
        <v>1</v>
      </c>
      <c r="R1020" s="39" t="str">
        <f t="shared" si="190"/>
        <v>-</v>
      </c>
      <c r="S1020" s="120">
        <f t="shared" si="189"/>
        <v>1004526</v>
      </c>
      <c r="T1020" s="123">
        <v>2092767</v>
      </c>
      <c r="U1020" s="123">
        <v>1141170</v>
      </c>
      <c r="V1020" s="123">
        <f t="shared" si="184"/>
        <v>951597</v>
      </c>
      <c r="W1020" s="122" t="str">
        <f t="shared" si="185"/>
        <v>1</v>
      </c>
      <c r="X1020" s="123">
        <f>Y1020+50169+16072+22000</f>
        <v>1088241</v>
      </c>
      <c r="Y1020" s="123">
        <f>AB1020</f>
        <v>1000000</v>
      </c>
      <c r="Z1020" s="123">
        <f t="shared" si="187"/>
        <v>88241</v>
      </c>
      <c r="AA1020" s="122" t="str">
        <f t="shared" si="188"/>
        <v>1</v>
      </c>
      <c r="AB1020" s="120">
        <f t="shared" si="186"/>
        <v>1000000</v>
      </c>
      <c r="AC1020" s="123">
        <v>0</v>
      </c>
      <c r="AD1020" s="123">
        <v>1000000</v>
      </c>
      <c r="AE1020" s="123">
        <v>60334</v>
      </c>
      <c r="AG1020" s="151">
        <f t="shared" si="193"/>
        <v>-6089</v>
      </c>
      <c r="AH1020" s="123">
        <f>153763-AK1020-420-1875-13565-82427</f>
        <v>41911</v>
      </c>
      <c r="AK1020" s="123">
        <v>13565</v>
      </c>
      <c r="AL1020" s="123">
        <v>48000</v>
      </c>
      <c r="AO1020" s="123">
        <v>55000</v>
      </c>
    </row>
    <row r="1021" spans="1:41" s="123" customFormat="1" ht="16.2" thickBot="1" x14ac:dyDescent="0.35">
      <c r="A1021" s="21"/>
      <c r="B1021" s="212" t="s">
        <v>218</v>
      </c>
      <c r="C1021" s="31" t="str">
        <f>VLOOKUP((CONCATENATE(B1021)),ID!$A$2:$D$305,3,0)</f>
        <v>BR011</v>
      </c>
      <c r="D1021" s="21">
        <v>1</v>
      </c>
      <c r="E1021" s="21" t="s">
        <v>3937</v>
      </c>
      <c r="F1021" s="21" t="s">
        <v>1117</v>
      </c>
      <c r="G1021" s="21" t="s">
        <v>3853</v>
      </c>
      <c r="H1021" s="88">
        <v>5114</v>
      </c>
      <c r="I1021" s="43"/>
      <c r="J1021" s="43"/>
      <c r="K1021" s="21"/>
      <c r="L1021" s="21"/>
      <c r="M1021" s="21"/>
      <c r="N1021" s="43"/>
      <c r="O1021" s="27" t="s">
        <v>3800</v>
      </c>
      <c r="P1021" s="194" t="str">
        <f t="shared" si="183"/>
        <v>?</v>
      </c>
      <c r="Q1021" s="21">
        <v>1</v>
      </c>
      <c r="R1021" s="39" t="str">
        <f t="shared" si="190"/>
        <v>-</v>
      </c>
      <c r="S1021" s="175">
        <f t="shared" si="189"/>
        <v>0</v>
      </c>
      <c r="T1021" s="136"/>
      <c r="U1021" s="136"/>
      <c r="V1021" s="136">
        <f t="shared" si="184"/>
        <v>0</v>
      </c>
      <c r="W1021" s="176" t="str">
        <f t="shared" si="185"/>
        <v>1</v>
      </c>
      <c r="X1021" s="136"/>
      <c r="Y1021" s="136"/>
      <c r="Z1021" s="136">
        <f t="shared" si="187"/>
        <v>0</v>
      </c>
      <c r="AA1021" s="176" t="str">
        <f t="shared" si="188"/>
        <v>1</v>
      </c>
      <c r="AB1021" s="175">
        <f t="shared" si="186"/>
        <v>0</v>
      </c>
      <c r="AC1021" s="136"/>
      <c r="AD1021" s="136"/>
      <c r="AE1021" s="136"/>
      <c r="AF1021" s="136"/>
      <c r="AG1021" s="159">
        <f t="shared" si="193"/>
        <v>0</v>
      </c>
      <c r="AH1021" s="136"/>
      <c r="AI1021" s="136"/>
      <c r="AJ1021" s="136"/>
      <c r="AK1021" s="136"/>
      <c r="AL1021" s="136"/>
      <c r="AM1021" s="136"/>
      <c r="AN1021" s="136"/>
      <c r="AO1021" s="136"/>
    </row>
    <row r="1022" spans="1:41" s="123" customFormat="1" ht="16.2" thickBot="1" x14ac:dyDescent="0.35">
      <c r="A1022" s="21"/>
      <c r="B1022" s="212" t="s">
        <v>260</v>
      </c>
      <c r="C1022" s="31" t="str">
        <f>VLOOKUP((CONCATENATE(B1022)),ID!$A$2:$D$305,3,0)</f>
        <v>BR012</v>
      </c>
      <c r="D1022" s="21">
        <v>1</v>
      </c>
      <c r="E1022" s="21" t="s">
        <v>3937</v>
      </c>
      <c r="F1022" s="21" t="s">
        <v>3861</v>
      </c>
      <c r="G1022" s="21" t="s">
        <v>3853</v>
      </c>
      <c r="H1022" s="88">
        <v>3653</v>
      </c>
      <c r="I1022" s="43">
        <v>3722</v>
      </c>
      <c r="J1022" s="43">
        <v>3709</v>
      </c>
      <c r="K1022" s="21">
        <v>0</v>
      </c>
      <c r="L1022" s="21"/>
      <c r="M1022" s="21"/>
      <c r="N1022" s="43">
        <v>3730</v>
      </c>
      <c r="O1022" s="21" t="s">
        <v>3872</v>
      </c>
      <c r="P1022" s="194" t="str">
        <f t="shared" si="183"/>
        <v>1</v>
      </c>
      <c r="Q1022" s="21">
        <v>1</v>
      </c>
      <c r="R1022" s="39" t="str">
        <f t="shared" si="190"/>
        <v>-</v>
      </c>
      <c r="S1022" s="120">
        <f t="shared" si="189"/>
        <v>2168970</v>
      </c>
      <c r="T1022" s="123">
        <v>3821465</v>
      </c>
      <c r="U1022" s="123">
        <f>T1022-156474-80936-248009</f>
        <v>3336046</v>
      </c>
      <c r="V1022" s="123">
        <f t="shared" si="184"/>
        <v>485419</v>
      </c>
      <c r="W1022" s="122" t="str">
        <f t="shared" si="185"/>
        <v>1</v>
      </c>
      <c r="X1022" s="123">
        <f>127495+525000+Y1022</f>
        <v>1652495</v>
      </c>
      <c r="Y1022" s="123">
        <f>AB1022</f>
        <v>1000000</v>
      </c>
      <c r="Z1022" s="123">
        <f t="shared" si="187"/>
        <v>652495</v>
      </c>
      <c r="AA1022" s="122" t="str">
        <f t="shared" si="188"/>
        <v>1</v>
      </c>
      <c r="AB1022" s="120">
        <f t="shared" si="186"/>
        <v>1000000</v>
      </c>
      <c r="AC1022" s="123">
        <v>0</v>
      </c>
      <c r="AD1022" s="123">
        <v>1000000</v>
      </c>
      <c r="AE1022" s="123">
        <v>156474</v>
      </c>
      <c r="AG1022" s="151">
        <f t="shared" si="193"/>
        <v>233969</v>
      </c>
      <c r="AH1022" s="123">
        <f>267502-13533</f>
        <v>253969</v>
      </c>
      <c r="AJ1022" s="123">
        <v>65000</v>
      </c>
      <c r="AL1022" s="123">
        <v>20000</v>
      </c>
      <c r="AO1022" s="123">
        <v>200000</v>
      </c>
    </row>
    <row r="1023" spans="1:41" s="123" customFormat="1" ht="16.2" thickBot="1" x14ac:dyDescent="0.35">
      <c r="A1023" s="21">
        <v>175.1</v>
      </c>
      <c r="B1023" s="212" t="s">
        <v>260</v>
      </c>
      <c r="C1023" s="31" t="str">
        <f>VLOOKUP((CONCATENATE(B1023)),ID!$A$2:$D$305,3,0)</f>
        <v>BR012</v>
      </c>
      <c r="D1023" s="21">
        <v>1</v>
      </c>
      <c r="E1023" s="21" t="s">
        <v>3937</v>
      </c>
      <c r="F1023" s="21" t="s">
        <v>3861</v>
      </c>
      <c r="G1023" s="21" t="s">
        <v>3853</v>
      </c>
      <c r="H1023" s="88">
        <v>4018</v>
      </c>
      <c r="I1023" s="43">
        <v>4089</v>
      </c>
      <c r="J1023" s="43">
        <v>4074</v>
      </c>
      <c r="K1023" s="21">
        <v>0</v>
      </c>
      <c r="L1023" s="21"/>
      <c r="M1023" s="21"/>
      <c r="N1023" s="43">
        <v>4101</v>
      </c>
      <c r="O1023" s="21" t="s">
        <v>3872</v>
      </c>
      <c r="P1023" s="194" t="str">
        <f t="shared" si="183"/>
        <v>1</v>
      </c>
      <c r="Q1023" s="21">
        <v>1</v>
      </c>
      <c r="R1023" s="39" t="str">
        <f t="shared" si="190"/>
        <v>-</v>
      </c>
      <c r="S1023" s="120">
        <f t="shared" si="189"/>
        <v>2131916</v>
      </c>
      <c r="T1023" s="123">
        <v>3807820</v>
      </c>
      <c r="U1023" s="123">
        <f>123050+55073+3149054</f>
        <v>3327177</v>
      </c>
      <c r="V1023" s="123">
        <f t="shared" si="184"/>
        <v>480643</v>
      </c>
      <c r="W1023" s="122" t="str">
        <f t="shared" si="185"/>
        <v>1</v>
      </c>
      <c r="X1023" s="123">
        <f>1000000+125904+550000</f>
        <v>1675904</v>
      </c>
      <c r="Y1023" s="123">
        <f>AB1023</f>
        <v>1000000</v>
      </c>
      <c r="Z1023" s="123">
        <f t="shared" si="187"/>
        <v>675904</v>
      </c>
      <c r="AA1023" s="122" t="str">
        <f t="shared" si="188"/>
        <v>1</v>
      </c>
      <c r="AB1023" s="120">
        <f t="shared" si="186"/>
        <v>1000000</v>
      </c>
      <c r="AC1023" s="123">
        <v>0</v>
      </c>
      <c r="AD1023" s="123">
        <v>1000000</v>
      </c>
      <c r="AE1023" s="123">
        <v>149223</v>
      </c>
      <c r="AG1023" s="151">
        <f t="shared" si="193"/>
        <v>172946</v>
      </c>
      <c r="AH1023" s="123">
        <f>216915-23969</f>
        <v>192946</v>
      </c>
      <c r="AJ1023" s="123">
        <v>65000</v>
      </c>
      <c r="AL1023" s="123">
        <v>20000</v>
      </c>
      <c r="AO1023" s="123">
        <v>200000</v>
      </c>
    </row>
    <row r="1024" spans="1:41" s="123" customFormat="1" ht="16.2" thickBot="1" x14ac:dyDescent="0.35">
      <c r="A1024" s="21">
        <v>175.2</v>
      </c>
      <c r="B1024" s="212" t="s">
        <v>260</v>
      </c>
      <c r="C1024" s="31" t="str">
        <f>VLOOKUP((CONCATENATE(B1024)),ID!$A$2:$D$305,3,0)</f>
        <v>BR012</v>
      </c>
      <c r="D1024" s="21">
        <v>1</v>
      </c>
      <c r="E1024" s="21" t="s">
        <v>3937</v>
      </c>
      <c r="F1024" s="21" t="s">
        <v>3861</v>
      </c>
      <c r="G1024" s="21" t="s">
        <v>3853</v>
      </c>
      <c r="H1024" s="88">
        <v>4383</v>
      </c>
      <c r="I1024" s="43">
        <v>4461</v>
      </c>
      <c r="J1024" s="43">
        <v>4444</v>
      </c>
      <c r="K1024" s="21">
        <v>0</v>
      </c>
      <c r="L1024" s="21"/>
      <c r="M1024" s="21"/>
      <c r="N1024" s="43">
        <v>4472</v>
      </c>
      <c r="O1024" s="21" t="s">
        <v>3872</v>
      </c>
      <c r="P1024" s="194" t="str">
        <f t="shared" si="183"/>
        <v>1</v>
      </c>
      <c r="Q1024" s="21">
        <v>1</v>
      </c>
      <c r="R1024" s="39" t="str">
        <f t="shared" si="190"/>
        <v>-</v>
      </c>
      <c r="S1024" s="120">
        <f t="shared" si="189"/>
        <v>2180244</v>
      </c>
      <c r="T1024" s="123">
        <v>3878062</v>
      </c>
      <c r="U1024" s="123">
        <f>123725+62796+3146853</f>
        <v>3333374</v>
      </c>
      <c r="V1024" s="123">
        <f t="shared" si="184"/>
        <v>544688</v>
      </c>
      <c r="W1024" s="122" t="str">
        <f t="shared" si="185"/>
        <v>1</v>
      </c>
      <c r="X1024" s="123">
        <f>Y1024+132818+565000</f>
        <v>1697818</v>
      </c>
      <c r="Y1024" s="123">
        <f>AB1024</f>
        <v>1000000</v>
      </c>
      <c r="Z1024" s="123">
        <f t="shared" si="187"/>
        <v>697818</v>
      </c>
      <c r="AA1024" s="122" t="str">
        <f t="shared" si="188"/>
        <v>1</v>
      </c>
      <c r="AB1024" s="120">
        <f t="shared" si="186"/>
        <v>1000000</v>
      </c>
      <c r="AC1024" s="123">
        <v>0</v>
      </c>
      <c r="AD1024" s="123">
        <v>1000000</v>
      </c>
      <c r="AE1024" s="123">
        <v>167084</v>
      </c>
      <c r="AG1024" s="151">
        <f t="shared" si="193"/>
        <v>223329</v>
      </c>
      <c r="AH1024" s="123">
        <f>277300-21915-12056</f>
        <v>243329</v>
      </c>
      <c r="AJ1024" s="123">
        <v>65000</v>
      </c>
      <c r="AL1024" s="123">
        <v>20000</v>
      </c>
      <c r="AO1024" s="123">
        <v>200000</v>
      </c>
    </row>
    <row r="1025" spans="1:41" s="123" customFormat="1" ht="16.2" thickBot="1" x14ac:dyDescent="0.35">
      <c r="A1025" s="21"/>
      <c r="B1025" s="212" t="s">
        <v>260</v>
      </c>
      <c r="C1025" s="31" t="str">
        <f>VLOOKUP((CONCATENATE(B1025)),ID!$A$2:$D$305,3,0)</f>
        <v>BR012</v>
      </c>
      <c r="D1025" s="21">
        <v>1</v>
      </c>
      <c r="E1025" s="21" t="s">
        <v>3937</v>
      </c>
      <c r="F1025" s="21" t="s">
        <v>3861</v>
      </c>
      <c r="G1025" s="21" t="s">
        <v>3853</v>
      </c>
      <c r="H1025" s="88">
        <v>4749</v>
      </c>
      <c r="I1025" s="43">
        <v>4837</v>
      </c>
      <c r="J1025" s="43">
        <v>4801</v>
      </c>
      <c r="K1025" s="21">
        <v>0</v>
      </c>
      <c r="L1025" s="21"/>
      <c r="M1025" s="21"/>
      <c r="N1025" s="43">
        <v>4854</v>
      </c>
      <c r="O1025" s="21" t="s">
        <v>3872</v>
      </c>
      <c r="P1025" s="194" t="str">
        <f t="shared" si="183"/>
        <v>1</v>
      </c>
      <c r="Q1025" s="21">
        <v>1</v>
      </c>
      <c r="R1025" s="39" t="str">
        <f t="shared" si="190"/>
        <v>-</v>
      </c>
      <c r="S1025" s="120">
        <f t="shared" si="189"/>
        <v>2196220</v>
      </c>
      <c r="T1025" s="123">
        <v>3907561</v>
      </c>
      <c r="U1025" s="123">
        <f>T1025-107549-102897-265551</f>
        <v>3431564</v>
      </c>
      <c r="V1025" s="123">
        <f t="shared" si="184"/>
        <v>475997</v>
      </c>
      <c r="W1025" s="122" t="str">
        <f t="shared" si="185"/>
        <v>1</v>
      </c>
      <c r="X1025" s="123">
        <f>Y1025+131341+580000</f>
        <v>1711341</v>
      </c>
      <c r="Y1025" s="123">
        <f>AB1025</f>
        <v>1000000</v>
      </c>
      <c r="Z1025" s="123">
        <f t="shared" si="187"/>
        <v>711341</v>
      </c>
      <c r="AA1025" s="122" t="str">
        <f t="shared" si="188"/>
        <v>1</v>
      </c>
      <c r="AB1025" s="120">
        <f t="shared" si="186"/>
        <v>1000000</v>
      </c>
      <c r="AC1025" s="123">
        <v>0</v>
      </c>
      <c r="AD1025" s="123">
        <v>1000000</v>
      </c>
      <c r="AE1025" s="123">
        <v>107549</v>
      </c>
      <c r="AG1025" s="151">
        <f t="shared" si="193"/>
        <v>215975</v>
      </c>
      <c r="AH1025" s="123">
        <f>273202-25244-11983</f>
        <v>235975</v>
      </c>
      <c r="AJ1025" s="123">
        <v>65000</v>
      </c>
      <c r="AL1025" s="123">
        <v>20000</v>
      </c>
      <c r="AO1025" s="123">
        <v>200000</v>
      </c>
    </row>
    <row r="1026" spans="1:41" s="123" customFormat="1" ht="16.2" thickBot="1" x14ac:dyDescent="0.35">
      <c r="A1026" s="21"/>
      <c r="B1026" s="212" t="s">
        <v>260</v>
      </c>
      <c r="C1026" s="31" t="str">
        <f>VLOOKUP((CONCATENATE(B1026)),ID!$A$2:$D$305,3,0)</f>
        <v>BR012</v>
      </c>
      <c r="D1026" s="21">
        <v>1</v>
      </c>
      <c r="E1026" s="21" t="s">
        <v>3937</v>
      </c>
      <c r="F1026" s="21" t="s">
        <v>3861</v>
      </c>
      <c r="G1026" s="21" t="s">
        <v>3853</v>
      </c>
      <c r="H1026" s="88">
        <v>5114</v>
      </c>
      <c r="I1026" s="43">
        <v>5133</v>
      </c>
      <c r="J1026" s="43">
        <v>5178</v>
      </c>
      <c r="K1026" s="21">
        <v>0</v>
      </c>
      <c r="L1026" s="21"/>
      <c r="M1026" s="21"/>
      <c r="N1026" s="43">
        <v>5142</v>
      </c>
      <c r="O1026" s="21" t="s">
        <v>3872</v>
      </c>
      <c r="P1026" s="194" t="str">
        <f t="shared" ref="P1026:P1089" si="194">IF(AJ1026=0,"?","1")</f>
        <v>1</v>
      </c>
      <c r="Q1026" s="21">
        <v>1</v>
      </c>
      <c r="R1026" s="39" t="str">
        <f t="shared" si="190"/>
        <v>-</v>
      </c>
      <c r="S1026" s="120">
        <f t="shared" si="189"/>
        <v>2188769</v>
      </c>
      <c r="T1026" s="123">
        <v>3982277</v>
      </c>
      <c r="U1026" s="123">
        <f>3249071+73390+128335</f>
        <v>3450796</v>
      </c>
      <c r="V1026" s="123">
        <f t="shared" ref="V1026:V1083" si="195">T1026-U1026</f>
        <v>531481</v>
      </c>
      <c r="W1026" s="122" t="str">
        <f t="shared" ref="W1026:W1083" si="196">IF(V1026+U1026=T1026,"1","0")</f>
        <v>1</v>
      </c>
      <c r="X1026" s="123">
        <f>Y1026+158508+595000</f>
        <v>1793508</v>
      </c>
      <c r="Y1026" s="123">
        <f>AB1026</f>
        <v>1040000</v>
      </c>
      <c r="Z1026" s="123">
        <f t="shared" si="187"/>
        <v>753508</v>
      </c>
      <c r="AA1026" s="122" t="str">
        <f t="shared" si="188"/>
        <v>1</v>
      </c>
      <c r="AB1026" s="120">
        <f t="shared" ref="AB1026:AB1083" si="197">SUM(AC1026+AD1026)</f>
        <v>1040000</v>
      </c>
      <c r="AC1026" s="123">
        <v>0</v>
      </c>
      <c r="AD1026" s="123">
        <f>1000000+40000</f>
        <v>1040000</v>
      </c>
      <c r="AE1026" s="123">
        <v>176399</v>
      </c>
      <c r="AG1026" s="151">
        <f t="shared" si="193"/>
        <v>232549</v>
      </c>
      <c r="AH1026" s="123">
        <f>273768-21219</f>
        <v>252549</v>
      </c>
      <c r="AJ1026" s="123">
        <v>85000</v>
      </c>
      <c r="AL1026" s="123">
        <v>20000</v>
      </c>
      <c r="AO1026" s="123">
        <v>200000</v>
      </c>
    </row>
    <row r="1027" spans="1:41" s="123" customFormat="1" ht="16.2" thickBot="1" x14ac:dyDescent="0.35">
      <c r="A1027" s="21"/>
      <c r="B1027" s="212" t="s">
        <v>288</v>
      </c>
      <c r="C1027" s="31" t="str">
        <f>VLOOKUP((CONCATENATE(B1027)),ID!$A$2:$D$305,3,0)</f>
        <v>BR013</v>
      </c>
      <c r="D1027" s="21">
        <v>1</v>
      </c>
      <c r="E1027" s="21" t="s">
        <v>3937</v>
      </c>
      <c r="F1027" s="21" t="s">
        <v>1117</v>
      </c>
      <c r="G1027" s="21" t="s">
        <v>3943</v>
      </c>
      <c r="H1027" s="88">
        <v>3743</v>
      </c>
      <c r="I1027" s="43">
        <v>3831</v>
      </c>
      <c r="J1027" s="43">
        <v>3828</v>
      </c>
      <c r="K1027" s="21">
        <v>1</v>
      </c>
      <c r="L1027" s="43">
        <v>3819</v>
      </c>
      <c r="M1027" s="43">
        <v>3834</v>
      </c>
      <c r="N1027" s="43">
        <v>3840</v>
      </c>
      <c r="O1027" s="21" t="s">
        <v>3733</v>
      </c>
      <c r="P1027" s="194" t="str">
        <f t="shared" si="194"/>
        <v>1</v>
      </c>
      <c r="Q1027" s="21">
        <v>1</v>
      </c>
      <c r="R1027" s="39" t="str">
        <f t="shared" si="190"/>
        <v>-</v>
      </c>
      <c r="S1027" s="120">
        <f t="shared" si="189"/>
        <v>2763380</v>
      </c>
      <c r="T1027" s="123">
        <v>2810891</v>
      </c>
      <c r="U1027" s="123">
        <f>T1027-V1027</f>
        <v>2459105</v>
      </c>
      <c r="V1027" s="123">
        <f>87000+32769+93837+12841+125339</f>
        <v>351786</v>
      </c>
      <c r="W1027" s="122" t="str">
        <f t="shared" si="196"/>
        <v>1</v>
      </c>
      <c r="X1027" s="123">
        <f>561+46950</f>
        <v>47511</v>
      </c>
      <c r="Z1027" s="123">
        <f t="shared" si="187"/>
        <v>47511</v>
      </c>
      <c r="AA1027" s="122" t="str">
        <f t="shared" si="188"/>
        <v>1</v>
      </c>
      <c r="AB1027" s="120">
        <f t="shared" si="197"/>
        <v>0</v>
      </c>
      <c r="AC1027" s="123">
        <v>0</v>
      </c>
      <c r="AD1027" s="123">
        <v>0</v>
      </c>
      <c r="AE1027" s="123">
        <v>32769</v>
      </c>
      <c r="AG1027" s="151">
        <f t="shared" si="193"/>
        <v>183005</v>
      </c>
      <c r="AH1027" s="123">
        <f>188661</f>
        <v>188661</v>
      </c>
      <c r="AI1027" s="123">
        <v>5656</v>
      </c>
      <c r="AJ1027" s="123">
        <v>73263</v>
      </c>
      <c r="AO1027" s="123">
        <v>1965279</v>
      </c>
    </row>
    <row r="1028" spans="1:41" s="123" customFormat="1" ht="16.2" thickBot="1" x14ac:dyDescent="0.35">
      <c r="A1028" s="21">
        <v>176.1</v>
      </c>
      <c r="B1028" s="212" t="s">
        <v>288</v>
      </c>
      <c r="C1028" s="31" t="str">
        <f>VLOOKUP((CONCATENATE(B1028)),ID!$A$2:$D$305,3,0)</f>
        <v>BR013</v>
      </c>
      <c r="D1028" s="21">
        <v>1</v>
      </c>
      <c r="E1028" s="21" t="s">
        <v>3937</v>
      </c>
      <c r="F1028" s="21" t="s">
        <v>1117</v>
      </c>
      <c r="G1028" s="21" t="s">
        <v>3943</v>
      </c>
      <c r="H1028" s="88">
        <v>4108</v>
      </c>
      <c r="I1028" s="43">
        <v>4195</v>
      </c>
      <c r="J1028" s="43">
        <v>4188</v>
      </c>
      <c r="K1028" s="21">
        <v>1</v>
      </c>
      <c r="L1028" s="43">
        <v>4184</v>
      </c>
      <c r="M1028" s="43">
        <v>4199</v>
      </c>
      <c r="N1028" s="43">
        <v>4204</v>
      </c>
      <c r="O1028" s="21" t="s">
        <v>3733</v>
      </c>
      <c r="P1028" s="194" t="str">
        <f t="shared" si="194"/>
        <v>1</v>
      </c>
      <c r="Q1028" s="21">
        <v>1</v>
      </c>
      <c r="R1028" s="39" t="str">
        <f t="shared" si="190"/>
        <v>-</v>
      </c>
      <c r="S1028" s="120">
        <f t="shared" si="189"/>
        <v>2799683</v>
      </c>
      <c r="T1028" s="123">
        <v>2861539</v>
      </c>
      <c r="U1028" s="123">
        <f>T1028-80434-7000-110139-16715-137480</f>
        <v>2509771</v>
      </c>
      <c r="V1028" s="123">
        <f t="shared" si="195"/>
        <v>351768</v>
      </c>
      <c r="W1028" s="122" t="str">
        <f t="shared" si="196"/>
        <v>1</v>
      </c>
      <c r="X1028" s="123">
        <f>60964+892</f>
        <v>61856</v>
      </c>
      <c r="Z1028" s="123">
        <f t="shared" si="187"/>
        <v>61856</v>
      </c>
      <c r="AA1028" s="122" t="str">
        <f t="shared" si="188"/>
        <v>1</v>
      </c>
      <c r="AB1028" s="120">
        <f t="shared" si="197"/>
        <v>0</v>
      </c>
      <c r="AC1028" s="123">
        <v>0</v>
      </c>
      <c r="AD1028" s="123">
        <v>0</v>
      </c>
      <c r="AE1028" s="123">
        <v>80434</v>
      </c>
      <c r="AG1028" s="151">
        <f t="shared" si="193"/>
        <v>231095</v>
      </c>
      <c r="AH1028" s="123">
        <f>240628-8665</f>
        <v>231963</v>
      </c>
      <c r="AI1028" s="123">
        <v>868</v>
      </c>
      <c r="AJ1028" s="123">
        <v>97395</v>
      </c>
      <c r="AO1028" s="123">
        <v>1965279</v>
      </c>
    </row>
    <row r="1029" spans="1:41" s="123" customFormat="1" ht="16.2" thickBot="1" x14ac:dyDescent="0.35">
      <c r="A1029" s="21">
        <v>176.2</v>
      </c>
      <c r="B1029" s="212" t="s">
        <v>288</v>
      </c>
      <c r="C1029" s="31" t="str">
        <f>VLOOKUP((CONCATENATE(B1029)),ID!$A$2:$D$305,3,0)</f>
        <v>BR013</v>
      </c>
      <c r="D1029" s="21">
        <v>1</v>
      </c>
      <c r="E1029" s="21" t="s">
        <v>3937</v>
      </c>
      <c r="F1029" s="21" t="s">
        <v>1117</v>
      </c>
      <c r="G1029" s="21" t="s">
        <v>3943</v>
      </c>
      <c r="H1029" s="88">
        <v>4474</v>
      </c>
      <c r="I1029" s="43">
        <v>4559</v>
      </c>
      <c r="J1029" s="43">
        <v>4556</v>
      </c>
      <c r="K1029" s="21">
        <v>1</v>
      </c>
      <c r="L1029" s="43">
        <v>4550</v>
      </c>
      <c r="M1029" s="43">
        <v>4565</v>
      </c>
      <c r="N1029" s="43">
        <v>4568</v>
      </c>
      <c r="O1029" s="21" t="s">
        <v>3733</v>
      </c>
      <c r="P1029" s="194" t="str">
        <f t="shared" si="194"/>
        <v>1</v>
      </c>
      <c r="Q1029" s="21">
        <v>1</v>
      </c>
      <c r="R1029" s="39" t="str">
        <f t="shared" si="190"/>
        <v>-</v>
      </c>
      <c r="S1029" s="120">
        <f t="shared" si="189"/>
        <v>2824202</v>
      </c>
      <c r="T1029" s="123">
        <v>2889463</v>
      </c>
      <c r="U1029" s="123">
        <f>T1029-31780-258209-120026-24058-178627</f>
        <v>2276763</v>
      </c>
      <c r="V1029" s="123">
        <f t="shared" si="195"/>
        <v>612700</v>
      </c>
      <c r="W1029" s="122" t="str">
        <f t="shared" si="196"/>
        <v>1</v>
      </c>
      <c r="X1029" s="123">
        <f>64522+739</f>
        <v>65261</v>
      </c>
      <c r="Z1029" s="123">
        <f t="shared" si="187"/>
        <v>65261</v>
      </c>
      <c r="AA1029" s="122" t="str">
        <f t="shared" si="188"/>
        <v>1</v>
      </c>
      <c r="AB1029" s="120">
        <f t="shared" si="197"/>
        <v>0</v>
      </c>
      <c r="AC1029" s="123">
        <v>0</v>
      </c>
      <c r="AD1029" s="123">
        <v>0</v>
      </c>
      <c r="AE1029" s="123">
        <v>31780</v>
      </c>
      <c r="AG1029" s="151">
        <f t="shared" si="193"/>
        <v>243444</v>
      </c>
      <c r="AH1029" s="123">
        <f>253161-8866-851</f>
        <v>243444</v>
      </c>
      <c r="AJ1029" s="123">
        <v>97395</v>
      </c>
      <c r="AO1029" s="123">
        <v>1965279</v>
      </c>
    </row>
    <row r="1030" spans="1:41" s="123" customFormat="1" ht="16.2" thickBot="1" x14ac:dyDescent="0.35">
      <c r="A1030" s="21"/>
      <c r="B1030" s="212" t="s">
        <v>288</v>
      </c>
      <c r="C1030" s="31" t="str">
        <f>VLOOKUP((CONCATENATE(B1030)),ID!$A$2:$D$305,3,0)</f>
        <v>BR013</v>
      </c>
      <c r="D1030" s="21">
        <v>1</v>
      </c>
      <c r="E1030" s="21" t="s">
        <v>3937</v>
      </c>
      <c r="F1030" s="21" t="s">
        <v>1117</v>
      </c>
      <c r="G1030" s="21" t="s">
        <v>3943</v>
      </c>
      <c r="H1030" s="88">
        <v>4839</v>
      </c>
      <c r="I1030" s="43">
        <v>4923</v>
      </c>
      <c r="J1030" s="43">
        <v>4920</v>
      </c>
      <c r="K1030" s="21">
        <v>1</v>
      </c>
      <c r="L1030" s="43">
        <v>4915</v>
      </c>
      <c r="M1030" s="43">
        <v>4930</v>
      </c>
      <c r="N1030" s="43">
        <v>4932</v>
      </c>
      <c r="O1030" s="21" t="s">
        <v>3733</v>
      </c>
      <c r="P1030" s="194" t="str">
        <f t="shared" si="194"/>
        <v>1</v>
      </c>
      <c r="Q1030" s="21">
        <v>1</v>
      </c>
      <c r="R1030" s="39" t="str">
        <f t="shared" si="190"/>
        <v>-</v>
      </c>
      <c r="S1030" s="120">
        <f t="shared" si="189"/>
        <v>2834394</v>
      </c>
      <c r="T1030" s="123">
        <v>2889411</v>
      </c>
      <c r="U1030" s="123">
        <f>T1030-58783-112116-14781-190753</f>
        <v>2512978</v>
      </c>
      <c r="V1030" s="123">
        <f t="shared" si="195"/>
        <v>376433</v>
      </c>
      <c r="W1030" s="122" t="str">
        <f t="shared" si="196"/>
        <v>1</v>
      </c>
      <c r="X1030" s="123">
        <f>54182+835</f>
        <v>55017</v>
      </c>
      <c r="Z1030" s="123">
        <f t="shared" si="187"/>
        <v>55017</v>
      </c>
      <c r="AA1030" s="122" t="str">
        <f t="shared" si="188"/>
        <v>1</v>
      </c>
      <c r="AB1030" s="120">
        <f t="shared" si="197"/>
        <v>0</v>
      </c>
      <c r="AC1030" s="123">
        <v>0</v>
      </c>
      <c r="AD1030" s="123">
        <v>0</v>
      </c>
      <c r="AE1030" s="123">
        <v>58783</v>
      </c>
      <c r="AG1030" s="151">
        <f t="shared" si="193"/>
        <v>240341</v>
      </c>
      <c r="AH1030" s="123">
        <f>248630-7289</f>
        <v>241341</v>
      </c>
      <c r="AI1030" s="123">
        <v>1000</v>
      </c>
      <c r="AJ1030" s="123">
        <v>97395</v>
      </c>
      <c r="AK1030" s="123">
        <v>7289</v>
      </c>
      <c r="AO1030" s="123">
        <v>1965279</v>
      </c>
    </row>
    <row r="1031" spans="1:41" s="123" customFormat="1" ht="16.2" thickBot="1" x14ac:dyDescent="0.35">
      <c r="A1031" s="21"/>
      <c r="B1031" s="212" t="s">
        <v>288</v>
      </c>
      <c r="C1031" s="31" t="str">
        <f>VLOOKUP((CONCATENATE(B1031)),ID!$A$2:$D$305,3,0)</f>
        <v>BR013</v>
      </c>
      <c r="D1031" s="21">
        <v>1</v>
      </c>
      <c r="E1031" s="21" t="s">
        <v>3937</v>
      </c>
      <c r="F1031" s="21" t="s">
        <v>1117</v>
      </c>
      <c r="G1031" s="21" t="s">
        <v>3943</v>
      </c>
      <c r="H1031" s="88">
        <v>5204</v>
      </c>
      <c r="I1031" s="43">
        <v>5285</v>
      </c>
      <c r="J1031" s="43">
        <v>5284</v>
      </c>
      <c r="K1031" s="21">
        <v>1</v>
      </c>
      <c r="L1031" s="43">
        <v>5280</v>
      </c>
      <c r="M1031" s="43">
        <v>5295</v>
      </c>
      <c r="N1031" s="43">
        <v>5297</v>
      </c>
      <c r="O1031" s="21" t="s">
        <v>3733</v>
      </c>
      <c r="P1031" s="194" t="str">
        <f t="shared" si="194"/>
        <v>1</v>
      </c>
      <c r="Q1031" s="21">
        <v>1</v>
      </c>
      <c r="R1031" s="39" t="str">
        <f t="shared" si="190"/>
        <v>-</v>
      </c>
      <c r="S1031" s="120">
        <f t="shared" si="189"/>
        <v>2836272</v>
      </c>
      <c r="T1031" s="123">
        <v>2885626</v>
      </c>
      <c r="U1031" s="123">
        <f>T1031-47331-123342-18293-208305</f>
        <v>2488355</v>
      </c>
      <c r="V1031" s="123">
        <f t="shared" si="195"/>
        <v>397271</v>
      </c>
      <c r="W1031" s="122" t="str">
        <f t="shared" si="196"/>
        <v>1</v>
      </c>
      <c r="X1031" s="123">
        <f>845+48509</f>
        <v>49354</v>
      </c>
      <c r="Z1031" s="123">
        <f t="shared" si="187"/>
        <v>49354</v>
      </c>
      <c r="AA1031" s="122" t="str">
        <f t="shared" si="188"/>
        <v>1</v>
      </c>
      <c r="AB1031" s="120">
        <f t="shared" si="197"/>
        <v>0</v>
      </c>
      <c r="AC1031" s="123">
        <v>0</v>
      </c>
      <c r="AD1031" s="123">
        <v>0</v>
      </c>
      <c r="AE1031" s="123">
        <v>47301</v>
      </c>
      <c r="AG1031" s="151">
        <f t="shared" si="193"/>
        <v>239302</v>
      </c>
      <c r="AH1031" s="123">
        <f>245879-847-AK1031</f>
        <v>240302</v>
      </c>
      <c r="AI1031" s="123">
        <v>1000</v>
      </c>
      <c r="AJ1031" s="123">
        <v>97395</v>
      </c>
      <c r="AK1031" s="123">
        <v>4730</v>
      </c>
      <c r="AO1031" s="123">
        <v>1965279</v>
      </c>
    </row>
    <row r="1032" spans="1:41" s="123" customFormat="1" ht="16.2" thickBot="1" x14ac:dyDescent="0.35">
      <c r="A1032" s="21"/>
      <c r="B1032" s="212" t="s">
        <v>295</v>
      </c>
      <c r="C1032" s="31" t="str">
        <f>VLOOKUP((CONCATENATE(B1032)),ID!$A$2:$D$305,3,0)</f>
        <v>BR014</v>
      </c>
      <c r="D1032" s="21">
        <v>1</v>
      </c>
      <c r="E1032" s="21" t="s">
        <v>3937</v>
      </c>
      <c r="F1032" s="21" t="s">
        <v>1117</v>
      </c>
      <c r="G1032" s="21" t="s">
        <v>3744</v>
      </c>
      <c r="H1032" s="88">
        <v>3926</v>
      </c>
      <c r="I1032" s="43">
        <v>3987</v>
      </c>
      <c r="J1032" s="43">
        <v>3987</v>
      </c>
      <c r="K1032" s="21">
        <v>1</v>
      </c>
      <c r="L1032" s="43">
        <v>3992</v>
      </c>
      <c r="M1032" s="43">
        <v>4013</v>
      </c>
      <c r="N1032" s="43">
        <v>3999</v>
      </c>
      <c r="O1032" s="21" t="s">
        <v>3733</v>
      </c>
      <c r="P1032" s="194" t="str">
        <f t="shared" si="194"/>
        <v>1</v>
      </c>
      <c r="Q1032" s="21">
        <v>1</v>
      </c>
      <c r="R1032" s="39" t="str">
        <f t="shared" si="190"/>
        <v>-</v>
      </c>
      <c r="S1032" s="120">
        <f t="shared" si="189"/>
        <v>1871073</v>
      </c>
      <c r="T1032" s="123">
        <v>1878787</v>
      </c>
      <c r="U1032" s="123">
        <f>T1032-66879+2484</f>
        <v>1814392</v>
      </c>
      <c r="V1032" s="123">
        <f t="shared" si="195"/>
        <v>64395</v>
      </c>
      <c r="W1032" s="122" t="str">
        <f t="shared" si="196"/>
        <v>1</v>
      </c>
      <c r="X1032" s="123">
        <f>7190+524</f>
        <v>7714</v>
      </c>
      <c r="Z1032" s="123">
        <f t="shared" ref="Z1032:Z1086" si="198">X1032-Y1032</f>
        <v>7714</v>
      </c>
      <c r="AA1032" s="122" t="str">
        <f t="shared" ref="AA1032:AA1086" si="199">IF(Z1032+Y1032=X1032,"1","0")</f>
        <v>1</v>
      </c>
      <c r="AB1032" s="120">
        <f t="shared" si="197"/>
        <v>0</v>
      </c>
      <c r="AC1032" s="123">
        <v>0</v>
      </c>
      <c r="AD1032" s="123">
        <v>0</v>
      </c>
      <c r="AE1032" s="123">
        <v>2484</v>
      </c>
      <c r="AG1032" s="151">
        <f t="shared" si="193"/>
        <v>99909</v>
      </c>
      <c r="AH1032" s="123">
        <v>99909</v>
      </c>
      <c r="AJ1032" s="123">
        <v>63000</v>
      </c>
      <c r="AO1032" s="123">
        <v>180000</v>
      </c>
    </row>
    <row r="1033" spans="1:41" s="123" customFormat="1" ht="16.2" thickBot="1" x14ac:dyDescent="0.35">
      <c r="A1033" s="21">
        <v>177.1</v>
      </c>
      <c r="B1033" s="212" t="s">
        <v>295</v>
      </c>
      <c r="C1033" s="31" t="str">
        <f>VLOOKUP((CONCATENATE(B1033)),ID!$A$2:$D$305,3,0)</f>
        <v>BR014</v>
      </c>
      <c r="D1033" s="21">
        <v>1</v>
      </c>
      <c r="E1033" s="21" t="s">
        <v>3937</v>
      </c>
      <c r="F1033" s="21" t="s">
        <v>1117</v>
      </c>
      <c r="G1033" s="21" t="s">
        <v>3744</v>
      </c>
      <c r="H1033" s="88">
        <v>4291</v>
      </c>
      <c r="I1033" s="43">
        <v>4350</v>
      </c>
      <c r="J1033" s="43">
        <v>4349</v>
      </c>
      <c r="K1033" s="21">
        <v>1</v>
      </c>
      <c r="L1033" s="43">
        <v>4356</v>
      </c>
      <c r="M1033" s="43">
        <v>4375</v>
      </c>
      <c r="N1033" s="43">
        <v>4363</v>
      </c>
      <c r="O1033" s="21" t="s">
        <v>3733</v>
      </c>
      <c r="P1033" s="194" t="str">
        <f t="shared" si="194"/>
        <v>1</v>
      </c>
      <c r="Q1033" s="21">
        <v>1</v>
      </c>
      <c r="R1033" s="39" t="str">
        <f t="shared" si="190"/>
        <v>-</v>
      </c>
      <c r="S1033" s="120">
        <f t="shared" si="189"/>
        <v>1866797</v>
      </c>
      <c r="T1033" s="123">
        <v>1874941</v>
      </c>
      <c r="U1033" s="123">
        <f>T1033-1915-63602</f>
        <v>1809424</v>
      </c>
      <c r="V1033" s="123">
        <f t="shared" si="195"/>
        <v>65517</v>
      </c>
      <c r="W1033" s="122" t="str">
        <f t="shared" si="196"/>
        <v>1</v>
      </c>
      <c r="X1033" s="123">
        <f>7472+672</f>
        <v>8144</v>
      </c>
      <c r="Z1033" s="123">
        <f t="shared" si="198"/>
        <v>8144</v>
      </c>
      <c r="AA1033" s="122" t="str">
        <f t="shared" si="199"/>
        <v>1</v>
      </c>
      <c r="AB1033" s="120">
        <f t="shared" si="197"/>
        <v>0</v>
      </c>
      <c r="AC1033" s="123">
        <v>0</v>
      </c>
      <c r="AD1033" s="123">
        <v>0</v>
      </c>
      <c r="AE1033" s="123">
        <v>1915</v>
      </c>
      <c r="AG1033" s="151">
        <f t="shared" si="193"/>
        <v>94725</v>
      </c>
      <c r="AH1033" s="123">
        <f>97370-2445-200</f>
        <v>94725</v>
      </c>
      <c r="AJ1033" s="123">
        <v>63000</v>
      </c>
      <c r="AO1033" s="123">
        <v>180000</v>
      </c>
    </row>
    <row r="1034" spans="1:41" s="123" customFormat="1" ht="16.2" thickBot="1" x14ac:dyDescent="0.35">
      <c r="A1034" s="21">
        <v>177.2</v>
      </c>
      <c r="B1034" s="212" t="s">
        <v>295</v>
      </c>
      <c r="C1034" s="31" t="str">
        <f>VLOOKUP((CONCATENATE(B1034)),ID!$A$2:$D$305,3,0)</f>
        <v>BR014</v>
      </c>
      <c r="D1034" s="21">
        <v>1</v>
      </c>
      <c r="E1034" s="21" t="s">
        <v>3937</v>
      </c>
      <c r="F1034" s="21" t="s">
        <v>1117</v>
      </c>
      <c r="G1034" s="21" t="s">
        <v>3744</v>
      </c>
      <c r="H1034" s="88">
        <v>4657</v>
      </c>
      <c r="I1034" s="43">
        <v>4716</v>
      </c>
      <c r="J1034" s="43">
        <v>4716</v>
      </c>
      <c r="K1034" s="21">
        <v>1</v>
      </c>
      <c r="L1034" s="43">
        <v>4720</v>
      </c>
      <c r="M1034" s="43">
        <v>4741</v>
      </c>
      <c r="N1034" s="43">
        <v>4727</v>
      </c>
      <c r="O1034" s="21" t="s">
        <v>3733</v>
      </c>
      <c r="P1034" s="194" t="str">
        <f t="shared" si="194"/>
        <v>1</v>
      </c>
      <c r="Q1034" s="21">
        <v>1</v>
      </c>
      <c r="R1034" s="39" t="str">
        <f t="shared" si="190"/>
        <v>-</v>
      </c>
      <c r="S1034" s="120">
        <f t="shared" si="189"/>
        <v>1859547</v>
      </c>
      <c r="T1034" s="123">
        <v>1865932</v>
      </c>
      <c r="U1034" s="123">
        <f>T1034-2098-54410</f>
        <v>1809424</v>
      </c>
      <c r="V1034" s="123">
        <f t="shared" si="195"/>
        <v>56508</v>
      </c>
      <c r="W1034" s="122" t="str">
        <f t="shared" si="196"/>
        <v>1</v>
      </c>
      <c r="X1034" s="123">
        <f>5823+562</f>
        <v>6385</v>
      </c>
      <c r="Z1034" s="123">
        <f t="shared" si="198"/>
        <v>6385</v>
      </c>
      <c r="AA1034" s="122" t="str">
        <f t="shared" si="199"/>
        <v>1</v>
      </c>
      <c r="AB1034" s="120">
        <f t="shared" si="197"/>
        <v>0</v>
      </c>
      <c r="AC1034" s="123">
        <v>0</v>
      </c>
      <c r="AD1034" s="123">
        <v>0</v>
      </c>
      <c r="AE1034" s="123">
        <v>2098</v>
      </c>
      <c r="AG1034" s="151">
        <f t="shared" si="193"/>
        <v>51249</v>
      </c>
      <c r="AH1034" s="123">
        <f>53995-2546-200</f>
        <v>51249</v>
      </c>
      <c r="AJ1034" s="123">
        <v>58500</v>
      </c>
      <c r="AO1034" s="123">
        <v>180000</v>
      </c>
    </row>
    <row r="1035" spans="1:41" s="123" customFormat="1" ht="16.2" thickBot="1" x14ac:dyDescent="0.35">
      <c r="A1035" s="21"/>
      <c r="B1035" s="212" t="s">
        <v>295</v>
      </c>
      <c r="C1035" s="31" t="str">
        <f>VLOOKUP((CONCATENATE(B1035)),ID!$A$2:$D$305,3,0)</f>
        <v>BR014</v>
      </c>
      <c r="D1035" s="21">
        <v>1</v>
      </c>
      <c r="E1035" s="21" t="s">
        <v>3937</v>
      </c>
      <c r="F1035" s="21" t="s">
        <v>1117</v>
      </c>
      <c r="G1035" s="21" t="s">
        <v>3744</v>
      </c>
      <c r="H1035" s="88">
        <v>5022</v>
      </c>
      <c r="I1035" s="43">
        <v>5088</v>
      </c>
      <c r="J1035" s="43">
        <v>5088</v>
      </c>
      <c r="K1035" s="21">
        <v>1</v>
      </c>
      <c r="L1035" s="43">
        <v>5092</v>
      </c>
      <c r="M1035" s="43">
        <v>5113</v>
      </c>
      <c r="N1035" s="43">
        <v>5099</v>
      </c>
      <c r="O1035" s="21" t="s">
        <v>3733</v>
      </c>
      <c r="P1035" s="194" t="str">
        <f t="shared" si="194"/>
        <v>1</v>
      </c>
      <c r="Q1035" s="21">
        <v>1</v>
      </c>
      <c r="R1035" s="39" t="str">
        <f t="shared" si="190"/>
        <v>-</v>
      </c>
      <c r="S1035" s="120">
        <f t="shared" si="189"/>
        <v>1852215</v>
      </c>
      <c r="T1035" s="123">
        <v>1855970</v>
      </c>
      <c r="U1035" s="123">
        <f>1800000+9835</f>
        <v>1809835</v>
      </c>
      <c r="V1035" s="123">
        <f t="shared" si="195"/>
        <v>46135</v>
      </c>
      <c r="W1035" s="122" t="str">
        <f t="shared" si="196"/>
        <v>1</v>
      </c>
      <c r="X1035" s="123">
        <f>2996+759</f>
        <v>3755</v>
      </c>
      <c r="Z1035" s="123">
        <f t="shared" si="198"/>
        <v>3755</v>
      </c>
      <c r="AA1035" s="122" t="str">
        <f t="shared" si="199"/>
        <v>1</v>
      </c>
      <c r="AB1035" s="120">
        <f t="shared" si="197"/>
        <v>0</v>
      </c>
      <c r="AC1035" s="123">
        <v>0</v>
      </c>
      <c r="AD1035" s="123">
        <v>0</v>
      </c>
      <c r="AE1035" s="123">
        <v>1315</v>
      </c>
      <c r="AG1035" s="151">
        <f t="shared" si="193"/>
        <v>91669</v>
      </c>
      <c r="AH1035" s="123">
        <f>94755-2550-200</f>
        <v>92005</v>
      </c>
      <c r="AI1035" s="123">
        <v>336</v>
      </c>
      <c r="AJ1035" s="123">
        <v>94040</v>
      </c>
    </row>
    <row r="1036" spans="1:41" s="123" customFormat="1" ht="16.2" thickBot="1" x14ac:dyDescent="0.35">
      <c r="A1036" s="21"/>
      <c r="B1036" s="212" t="s">
        <v>324</v>
      </c>
      <c r="C1036" s="31" t="str">
        <f>VLOOKUP((CONCATENATE(B1036)),ID!$A$2:$D$305,3,0)</f>
        <v>BR015</v>
      </c>
      <c r="D1036" s="21">
        <v>1</v>
      </c>
      <c r="E1036" s="21" t="s">
        <v>3937</v>
      </c>
      <c r="F1036" s="21" t="s">
        <v>1117</v>
      </c>
      <c r="G1036" s="21" t="s">
        <v>3853</v>
      </c>
      <c r="H1036" s="88">
        <v>3834</v>
      </c>
      <c r="I1036" s="43">
        <v>3854</v>
      </c>
      <c r="J1036" s="43">
        <v>3854</v>
      </c>
      <c r="K1036" s="21">
        <v>0</v>
      </c>
      <c r="L1036" s="43"/>
      <c r="M1036" s="43"/>
      <c r="N1036" s="43">
        <v>3863</v>
      </c>
      <c r="O1036" s="21" t="s">
        <v>3944</v>
      </c>
      <c r="P1036" s="194" t="str">
        <f t="shared" si="194"/>
        <v>1</v>
      </c>
      <c r="Q1036" s="21">
        <v>1</v>
      </c>
      <c r="R1036" s="39" t="str">
        <f t="shared" si="190"/>
        <v>-</v>
      </c>
      <c r="S1036" s="120">
        <f t="shared" si="189"/>
        <v>6456147</v>
      </c>
      <c r="T1036" s="123">
        <v>12551742</v>
      </c>
      <c r="U1036" s="123">
        <f>T1036-3037-319625-281928</f>
        <v>11947152</v>
      </c>
      <c r="V1036" s="123">
        <f t="shared" si="195"/>
        <v>604590</v>
      </c>
      <c r="W1036" s="122" t="str">
        <f t="shared" si="196"/>
        <v>1</v>
      </c>
      <c r="X1036" s="123">
        <f>Y1036+72948+77442+115205</f>
        <v>6095595</v>
      </c>
      <c r="Y1036" s="123">
        <v>5830000</v>
      </c>
      <c r="Z1036" s="123">
        <f t="shared" si="198"/>
        <v>265595</v>
      </c>
      <c r="AA1036" s="122" t="str">
        <f t="shared" si="199"/>
        <v>1</v>
      </c>
      <c r="AB1036" s="120">
        <f t="shared" si="197"/>
        <v>5830000</v>
      </c>
      <c r="AC1036" s="123">
        <v>0</v>
      </c>
      <c r="AD1036" s="123">
        <f>Y1036</f>
        <v>5830000</v>
      </c>
      <c r="AE1036" s="123">
        <v>319625</v>
      </c>
      <c r="AG1036" s="151">
        <f t="shared" si="193"/>
        <v>189063</v>
      </c>
      <c r="AH1036" s="123">
        <f>394553+5087</f>
        <v>399640</v>
      </c>
      <c r="AJ1036" s="123">
        <v>117000</v>
      </c>
      <c r="AL1036" s="123">
        <f>5087+205490</f>
        <v>210577</v>
      </c>
      <c r="AO1036" s="123">
        <f>2340000+3185410+796353</f>
        <v>6321763</v>
      </c>
    </row>
    <row r="1037" spans="1:41" s="123" customFormat="1" ht="16.2" thickBot="1" x14ac:dyDescent="0.35">
      <c r="A1037" s="21">
        <v>178.1</v>
      </c>
      <c r="B1037" s="212" t="s">
        <v>324</v>
      </c>
      <c r="C1037" s="31" t="str">
        <f>VLOOKUP((CONCATENATE(B1037)),ID!$A$2:$D$305,3,0)</f>
        <v>BR015</v>
      </c>
      <c r="D1037" s="21">
        <v>1</v>
      </c>
      <c r="E1037" s="21" t="s">
        <v>3937</v>
      </c>
      <c r="F1037" s="21" t="s">
        <v>1117</v>
      </c>
      <c r="G1037" s="21" t="s">
        <v>3853</v>
      </c>
      <c r="H1037" s="88">
        <v>4199</v>
      </c>
      <c r="I1037" s="43">
        <v>4220</v>
      </c>
      <c r="J1037" s="43">
        <v>4219</v>
      </c>
      <c r="K1037" s="21">
        <v>0</v>
      </c>
      <c r="L1037" s="21"/>
      <c r="M1037" s="21"/>
      <c r="N1037" s="43">
        <v>4230</v>
      </c>
      <c r="O1037" s="21" t="s">
        <v>3944</v>
      </c>
      <c r="P1037" s="194" t="str">
        <f t="shared" si="194"/>
        <v>1</v>
      </c>
      <c r="Q1037" s="21">
        <v>1</v>
      </c>
      <c r="R1037" s="39" t="str">
        <f t="shared" si="190"/>
        <v>-</v>
      </c>
      <c r="S1037" s="120">
        <f t="shared" si="189"/>
        <v>6406344</v>
      </c>
      <c r="T1037" s="123">
        <f>12436323</f>
        <v>12436323</v>
      </c>
      <c r="U1037" s="123">
        <f>T1037-20725-308937-189427</f>
        <v>11917234</v>
      </c>
      <c r="V1037" s="123">
        <f t="shared" si="195"/>
        <v>519089</v>
      </c>
      <c r="W1037" s="122" t="str">
        <f t="shared" si="196"/>
        <v>1</v>
      </c>
      <c r="X1037" s="123">
        <f>5780000+72559+73044+104376</f>
        <v>6029979</v>
      </c>
      <c r="Y1037" s="123">
        <v>5780000</v>
      </c>
      <c r="Z1037" s="123">
        <f t="shared" si="198"/>
        <v>249979</v>
      </c>
      <c r="AA1037" s="122" t="str">
        <f t="shared" si="199"/>
        <v>1</v>
      </c>
      <c r="AB1037" s="120">
        <f t="shared" si="197"/>
        <v>5780000</v>
      </c>
      <c r="AC1037" s="123">
        <v>0</v>
      </c>
      <c r="AD1037" s="123">
        <f>Y1037</f>
        <v>5780000</v>
      </c>
      <c r="AE1037" s="123">
        <v>189427</v>
      </c>
      <c r="AG1037" s="151">
        <f t="shared" si="193"/>
        <v>118971</v>
      </c>
      <c r="AH1037" s="123">
        <f>321855+2837</f>
        <v>324692</v>
      </c>
      <c r="AJ1037" s="123">
        <v>117000</v>
      </c>
      <c r="AL1037" s="123">
        <f>202884+2837</f>
        <v>205721</v>
      </c>
      <c r="AO1037" s="123">
        <f>2340000+3185410+796353</f>
        <v>6321763</v>
      </c>
    </row>
    <row r="1038" spans="1:41" s="123" customFormat="1" ht="16.2" thickBot="1" x14ac:dyDescent="0.35">
      <c r="A1038" s="21">
        <v>178.2</v>
      </c>
      <c r="B1038" s="212" t="s">
        <v>324</v>
      </c>
      <c r="C1038" s="31" t="str">
        <f>VLOOKUP((CONCATENATE(B1038)),ID!$A$2:$D$305,3,0)</f>
        <v>BR015</v>
      </c>
      <c r="D1038" s="21">
        <v>1</v>
      </c>
      <c r="E1038" s="21" t="s">
        <v>3937</v>
      </c>
      <c r="F1038" s="21" t="s">
        <v>1117</v>
      </c>
      <c r="G1038" s="21" t="s">
        <v>3853</v>
      </c>
      <c r="H1038" s="88">
        <v>4565</v>
      </c>
      <c r="I1038" s="43">
        <v>4589</v>
      </c>
      <c r="J1038" s="43">
        <v>4588</v>
      </c>
      <c r="K1038" s="21">
        <v>0</v>
      </c>
      <c r="L1038" s="21"/>
      <c r="M1038" s="21"/>
      <c r="N1038" s="43">
        <v>4598</v>
      </c>
      <c r="O1038" s="21" t="s">
        <v>3944</v>
      </c>
      <c r="P1038" s="194" t="str">
        <f t="shared" si="194"/>
        <v>1</v>
      </c>
      <c r="Q1038" s="21">
        <v>1</v>
      </c>
      <c r="R1038" s="39" t="str">
        <f t="shared" si="190"/>
        <v>-</v>
      </c>
      <c r="S1038" s="120">
        <f t="shared" si="189"/>
        <v>6415919</v>
      </c>
      <c r="T1038" s="123">
        <v>12316413</v>
      </c>
      <c r="U1038" s="123">
        <f>T1038-24348-317506-280633</f>
        <v>11693926</v>
      </c>
      <c r="V1038" s="123">
        <f t="shared" si="195"/>
        <v>622487</v>
      </c>
      <c r="W1038" s="122" t="str">
        <f t="shared" si="196"/>
        <v>1</v>
      </c>
      <c r="X1038" s="123">
        <f>5630000+71390+74562+124542</f>
        <v>5900494</v>
      </c>
      <c r="Y1038" s="123">
        <v>5630000</v>
      </c>
      <c r="Z1038" s="123">
        <f t="shared" si="198"/>
        <v>270494</v>
      </c>
      <c r="AA1038" s="122" t="str">
        <f t="shared" si="199"/>
        <v>1</v>
      </c>
      <c r="AB1038" s="120">
        <f t="shared" si="197"/>
        <v>5630000</v>
      </c>
      <c r="AC1038" s="123">
        <v>0</v>
      </c>
      <c r="AD1038" s="123">
        <f>Y1038</f>
        <v>5630000</v>
      </c>
      <c r="AE1038" s="123">
        <v>280633</v>
      </c>
      <c r="AG1038" s="151">
        <f t="shared" si="193"/>
        <v>120951</v>
      </c>
      <c r="AH1038" s="123">
        <f>320801+2719</f>
        <v>323520</v>
      </c>
      <c r="AJ1038" s="123">
        <v>117000</v>
      </c>
      <c r="AL1038" s="123">
        <f>199850+2719</f>
        <v>202569</v>
      </c>
      <c r="AO1038" s="123">
        <f>2340000+3185410+796353</f>
        <v>6321763</v>
      </c>
    </row>
    <row r="1039" spans="1:41" s="123" customFormat="1" ht="16.2" thickBot="1" x14ac:dyDescent="0.35">
      <c r="A1039" s="21"/>
      <c r="B1039" s="212" t="s">
        <v>324</v>
      </c>
      <c r="C1039" s="31" t="str">
        <f>VLOOKUP((CONCATENATE(B1039)),ID!$A$2:$D$305,3,0)</f>
        <v>BR015</v>
      </c>
      <c r="D1039" s="21">
        <v>1</v>
      </c>
      <c r="E1039" s="21" t="s">
        <v>3937</v>
      </c>
      <c r="F1039" s="21" t="s">
        <v>1117</v>
      </c>
      <c r="G1039" s="21" t="s">
        <v>3853</v>
      </c>
      <c r="H1039" s="88">
        <v>4930</v>
      </c>
      <c r="I1039" s="43">
        <v>4958</v>
      </c>
      <c r="J1039" s="43">
        <v>4955</v>
      </c>
      <c r="K1039" s="21">
        <v>0</v>
      </c>
      <c r="L1039" s="21"/>
      <c r="M1039" s="21"/>
      <c r="N1039" s="43">
        <v>4966</v>
      </c>
      <c r="O1039" s="21" t="s">
        <v>3944</v>
      </c>
      <c r="P1039" s="194" t="str">
        <f t="shared" si="194"/>
        <v>1</v>
      </c>
      <c r="Q1039" s="21">
        <v>1</v>
      </c>
      <c r="R1039" s="39" t="str">
        <f t="shared" si="190"/>
        <v>-</v>
      </c>
      <c r="S1039" s="120">
        <f t="shared" si="189"/>
        <v>6506999</v>
      </c>
      <c r="T1039" s="123">
        <v>12220939</v>
      </c>
      <c r="U1039" s="123">
        <f>T1039-25339-374356-285677</f>
        <v>11535567</v>
      </c>
      <c r="V1039" s="123">
        <f t="shared" si="195"/>
        <v>685372</v>
      </c>
      <c r="W1039" s="122" t="str">
        <f t="shared" si="196"/>
        <v>1</v>
      </c>
      <c r="X1039" s="123">
        <f>Y1039+69989+77165+116786</f>
        <v>5713940</v>
      </c>
      <c r="Y1039" s="123">
        <f>AD1039</f>
        <v>5450000</v>
      </c>
      <c r="Z1039" s="123">
        <f t="shared" si="198"/>
        <v>263940</v>
      </c>
      <c r="AA1039" s="122" t="str">
        <f t="shared" si="199"/>
        <v>1</v>
      </c>
      <c r="AB1039" s="120">
        <f t="shared" si="197"/>
        <v>5450000</v>
      </c>
      <c r="AC1039" s="123">
        <v>0</v>
      </c>
      <c r="AD1039" s="123">
        <v>5450000</v>
      </c>
      <c r="AE1039" s="123">
        <v>285677</v>
      </c>
      <c r="AG1039" s="151">
        <f t="shared" si="193"/>
        <v>168372</v>
      </c>
      <c r="AH1039" s="123">
        <f>360836+2738</f>
        <v>363574</v>
      </c>
      <c r="AJ1039" s="123">
        <v>117000</v>
      </c>
      <c r="AL1039" s="123">
        <f>192464+2738</f>
        <v>195202</v>
      </c>
      <c r="AO1039" s="123">
        <f>2340000+3185410+796353</f>
        <v>6321763</v>
      </c>
    </row>
    <row r="1040" spans="1:41" s="123" customFormat="1" ht="16.2" thickBot="1" x14ac:dyDescent="0.35">
      <c r="A1040" s="21"/>
      <c r="B1040" s="212" t="s">
        <v>324</v>
      </c>
      <c r="C1040" s="31" t="str">
        <f>VLOOKUP((CONCATENATE(B1040)),ID!$A$2:$D$305,3,0)</f>
        <v>BR015</v>
      </c>
      <c r="D1040" s="21">
        <v>1</v>
      </c>
      <c r="E1040" s="21" t="s">
        <v>3937</v>
      </c>
      <c r="F1040" s="21" t="s">
        <v>1117</v>
      </c>
      <c r="G1040" s="21" t="s">
        <v>3853</v>
      </c>
      <c r="H1040" s="88">
        <v>5295</v>
      </c>
      <c r="I1040" s="43">
        <v>5322</v>
      </c>
      <c r="J1040" s="43">
        <v>5318</v>
      </c>
      <c r="K1040" s="21">
        <v>0</v>
      </c>
      <c r="L1040" s="21"/>
      <c r="M1040" s="21"/>
      <c r="N1040" s="43">
        <v>5331</v>
      </c>
      <c r="O1040" s="21" t="s">
        <v>3944</v>
      </c>
      <c r="P1040" s="194" t="str">
        <f t="shared" si="194"/>
        <v>1</v>
      </c>
      <c r="Q1040" s="21">
        <v>1</v>
      </c>
      <c r="R1040" s="39" t="str">
        <f t="shared" si="190"/>
        <v>-</v>
      </c>
      <c r="S1040" s="120">
        <f t="shared" si="189"/>
        <v>6511517</v>
      </c>
      <c r="T1040" s="123">
        <v>12115748</v>
      </c>
      <c r="U1040" s="123">
        <f>T1040-27313-354693-257401</f>
        <v>11476341</v>
      </c>
      <c r="V1040" s="123">
        <f t="shared" si="195"/>
        <v>639407</v>
      </c>
      <c r="W1040" s="122" t="str">
        <f t="shared" si="196"/>
        <v>1</v>
      </c>
      <c r="X1040" s="123">
        <f>Y1040+68047+80645+155539</f>
        <v>5604231</v>
      </c>
      <c r="Y1040" s="123">
        <f>AD1040</f>
        <v>5300000</v>
      </c>
      <c r="Z1040" s="123">
        <f t="shared" si="198"/>
        <v>304231</v>
      </c>
      <c r="AA1040" s="122" t="str">
        <f t="shared" si="199"/>
        <v>1</v>
      </c>
      <c r="AB1040" s="120">
        <f t="shared" si="197"/>
        <v>5300000</v>
      </c>
      <c r="AC1040" s="123">
        <v>0</v>
      </c>
      <c r="AD1040" s="123">
        <v>5300000</v>
      </c>
      <c r="AE1040" s="123">
        <v>257411</v>
      </c>
      <c r="AG1040" s="151">
        <f t="shared" si="193"/>
        <v>223593</v>
      </c>
      <c r="AH1040" s="123">
        <f>408863+2938</f>
        <v>411801</v>
      </c>
      <c r="AJ1040" s="123">
        <v>115500</v>
      </c>
      <c r="AL1040" s="123">
        <f>185270+2938</f>
        <v>188208</v>
      </c>
      <c r="AO1040" s="123">
        <f>2340000+3185410+796353</f>
        <v>6321763</v>
      </c>
    </row>
    <row r="1041" spans="1:41" s="123" customFormat="1" ht="16.2" thickBot="1" x14ac:dyDescent="0.35">
      <c r="A1041" s="21"/>
      <c r="B1041" s="212" t="s">
        <v>329</v>
      </c>
      <c r="C1041" s="31" t="str">
        <f>VLOOKUP((CONCATENATE(B1041)),ID!$A$2:$D$305,3,0)</f>
        <v>BR016</v>
      </c>
      <c r="D1041" s="21">
        <v>1</v>
      </c>
      <c r="E1041" s="21" t="s">
        <v>3937</v>
      </c>
      <c r="F1041" s="21" t="s">
        <v>1117</v>
      </c>
      <c r="G1041" s="21" t="s">
        <v>3853</v>
      </c>
      <c r="H1041" s="88">
        <v>3840</v>
      </c>
      <c r="I1041" s="43">
        <v>3862</v>
      </c>
      <c r="J1041" s="43">
        <v>3854</v>
      </c>
      <c r="K1041" s="21">
        <v>0</v>
      </c>
      <c r="L1041" s="21"/>
      <c r="M1041" s="21"/>
      <c r="N1041" s="43">
        <v>3862</v>
      </c>
      <c r="O1041" s="21" t="s">
        <v>3944</v>
      </c>
      <c r="P1041" s="194" t="str">
        <f t="shared" si="194"/>
        <v>1</v>
      </c>
      <c r="Q1041" s="21">
        <v>1</v>
      </c>
      <c r="R1041" s="39" t="str">
        <f t="shared" si="190"/>
        <v>-</v>
      </c>
      <c r="S1041" s="120">
        <f t="shared" si="189"/>
        <v>2342161</v>
      </c>
      <c r="T1041" s="123">
        <v>4711234</v>
      </c>
      <c r="U1041" s="123">
        <f>1577647+1213947+877170+24300+568000+72000</f>
        <v>4333064</v>
      </c>
      <c r="V1041" s="123">
        <f t="shared" si="195"/>
        <v>378170</v>
      </c>
      <c r="W1041" s="122" t="str">
        <f t="shared" si="196"/>
        <v>1</v>
      </c>
      <c r="X1041" s="123">
        <f>Y1041+50000+34484+9723+241354+32012</f>
        <v>2369073</v>
      </c>
      <c r="Y1041" s="123">
        <f>2000000+1500</f>
        <v>2001500</v>
      </c>
      <c r="Z1041" s="123">
        <f t="shared" si="198"/>
        <v>367573</v>
      </c>
      <c r="AA1041" s="122" t="str">
        <f t="shared" si="199"/>
        <v>1</v>
      </c>
      <c r="AB1041" s="120">
        <f t="shared" si="197"/>
        <v>2000000</v>
      </c>
      <c r="AC1041" s="123">
        <v>0</v>
      </c>
      <c r="AD1041" s="123">
        <v>2000000</v>
      </c>
      <c r="AE1041" s="232"/>
      <c r="AG1041" s="151">
        <f t="shared" si="193"/>
        <v>60658</v>
      </c>
      <c r="AH1041" s="123">
        <v>135658</v>
      </c>
      <c r="AJ1041" s="123">
        <f>124107-AL1041+12014</f>
        <v>61121</v>
      </c>
      <c r="AL1041" s="123">
        <v>75000</v>
      </c>
      <c r="AO1041" s="123">
        <f>10244+6250+3396</f>
        <v>19890</v>
      </c>
    </row>
    <row r="1042" spans="1:41" s="123" customFormat="1" ht="16.2" thickBot="1" x14ac:dyDescent="0.35">
      <c r="A1042" s="21">
        <v>179.1</v>
      </c>
      <c r="B1042" s="212" t="s">
        <v>329</v>
      </c>
      <c r="C1042" s="31" t="str">
        <f>VLOOKUP((CONCATENATE(B1042)),ID!$A$2:$D$305,3,0)</f>
        <v>BR016</v>
      </c>
      <c r="D1042" s="21">
        <v>1</v>
      </c>
      <c r="E1042" s="21" t="s">
        <v>3937</v>
      </c>
      <c r="F1042" s="21" t="s">
        <v>1117</v>
      </c>
      <c r="G1042" s="21" t="s">
        <v>3853</v>
      </c>
      <c r="H1042" s="88">
        <v>4205</v>
      </c>
      <c r="I1042" s="43">
        <v>4220</v>
      </c>
      <c r="J1042" s="43">
        <v>4220</v>
      </c>
      <c r="K1042" s="21">
        <v>0</v>
      </c>
      <c r="L1042" s="21"/>
      <c r="M1042" s="21"/>
      <c r="N1042" s="43">
        <v>4231</v>
      </c>
      <c r="O1042" s="21" t="s">
        <v>3944</v>
      </c>
      <c r="P1042" s="194" t="str">
        <f t="shared" si="194"/>
        <v>1</v>
      </c>
      <c r="Q1042" s="21">
        <v>1</v>
      </c>
      <c r="R1042" s="39" t="str">
        <f t="shared" si="190"/>
        <v>-</v>
      </c>
      <c r="S1042" s="120">
        <f t="shared" si="189"/>
        <v>2284667</v>
      </c>
      <c r="T1042" s="123">
        <v>4586514</v>
      </c>
      <c r="U1042" s="123">
        <f>1445823+1210672+927005+23000+565000+67500</f>
        <v>4239000</v>
      </c>
      <c r="V1042" s="123">
        <f t="shared" si="195"/>
        <v>347514</v>
      </c>
      <c r="W1042" s="122" t="str">
        <f t="shared" si="196"/>
        <v>1</v>
      </c>
      <c r="X1042" s="123">
        <f>Y1042+31640+223709+8633+35865</f>
        <v>2301847</v>
      </c>
      <c r="Y1042" s="123">
        <f>2000+2000000</f>
        <v>2002000</v>
      </c>
      <c r="Z1042" s="123">
        <f t="shared" si="198"/>
        <v>299847</v>
      </c>
      <c r="AA1042" s="122" t="str">
        <f t="shared" si="199"/>
        <v>1</v>
      </c>
      <c r="AB1042" s="120">
        <f t="shared" si="197"/>
        <v>1940000</v>
      </c>
      <c r="AC1042" s="123">
        <v>0</v>
      </c>
      <c r="AD1042" s="123">
        <v>1940000</v>
      </c>
      <c r="AE1042" s="232"/>
      <c r="AG1042" s="151">
        <f t="shared" si="193"/>
        <v>62456</v>
      </c>
      <c r="AH1042" s="123">
        <v>137061</v>
      </c>
      <c r="AJ1042" s="123">
        <f>123712-AL1042</f>
        <v>49107</v>
      </c>
      <c r="AL1042" s="123">
        <v>74605</v>
      </c>
      <c r="AO1042" s="123">
        <f>10244+6250+3396</f>
        <v>19890</v>
      </c>
    </row>
    <row r="1043" spans="1:41" s="123" customFormat="1" ht="16.2" thickBot="1" x14ac:dyDescent="0.35">
      <c r="A1043" s="21">
        <v>179.2</v>
      </c>
      <c r="B1043" s="212" t="s">
        <v>329</v>
      </c>
      <c r="C1043" s="31" t="str">
        <f>VLOOKUP((CONCATENATE(B1043)),ID!$A$2:$D$305,3,0)</f>
        <v>BR016</v>
      </c>
      <c r="D1043" s="21">
        <v>1</v>
      </c>
      <c r="E1043" s="21" t="s">
        <v>3937</v>
      </c>
      <c r="F1043" s="21" t="s">
        <v>1117</v>
      </c>
      <c r="G1043" s="21" t="s">
        <v>3853</v>
      </c>
      <c r="H1043" s="88">
        <v>4571</v>
      </c>
      <c r="I1043" s="43">
        <v>4588</v>
      </c>
      <c r="J1043" s="43">
        <v>4588</v>
      </c>
      <c r="K1043" s="21">
        <v>0</v>
      </c>
      <c r="L1043" s="21"/>
      <c r="M1043" s="21"/>
      <c r="N1043" s="21"/>
      <c r="O1043" s="21" t="s">
        <v>3944</v>
      </c>
      <c r="P1043" s="194" t="str">
        <f t="shared" si="194"/>
        <v>1</v>
      </c>
      <c r="Q1043" s="21">
        <v>1</v>
      </c>
      <c r="R1043" s="39" t="str">
        <f t="shared" si="190"/>
        <v>-</v>
      </c>
      <c r="S1043" s="120">
        <f t="shared" si="189"/>
        <v>2341492</v>
      </c>
      <c r="T1043" s="123">
        <v>4588179</v>
      </c>
      <c r="U1043" s="123">
        <f>1087773+1697975+374895+23000+595550+82280+45268</f>
        <v>3906741</v>
      </c>
      <c r="V1043" s="123">
        <f t="shared" si="195"/>
        <v>681438</v>
      </c>
      <c r="W1043" s="122" t="str">
        <f t="shared" si="196"/>
        <v>1</v>
      </c>
      <c r="X1043" s="123">
        <f>Y1043+31238+197960+37179+38310</f>
        <v>2246687</v>
      </c>
      <c r="Y1043" s="123">
        <f>2000+1940000</f>
        <v>1942000</v>
      </c>
      <c r="Z1043" s="123">
        <f t="shared" si="198"/>
        <v>304687</v>
      </c>
      <c r="AA1043" s="122" t="str">
        <f t="shared" si="199"/>
        <v>1</v>
      </c>
      <c r="AB1043" s="120">
        <f t="shared" si="197"/>
        <v>1940000</v>
      </c>
      <c r="AC1043" s="123">
        <v>0</v>
      </c>
      <c r="AD1043" s="123">
        <v>1940000</v>
      </c>
      <c r="AE1043" s="232"/>
      <c r="AG1043" s="151">
        <f t="shared" si="193"/>
        <v>50770</v>
      </c>
      <c r="AH1043" s="123">
        <v>123620</v>
      </c>
      <c r="AJ1043" s="123">
        <f>121957-AL1043</f>
        <v>49107</v>
      </c>
      <c r="AL1043" s="123">
        <v>72850</v>
      </c>
      <c r="AO1043" s="123">
        <f>10244+6250+3396</f>
        <v>19890</v>
      </c>
    </row>
    <row r="1044" spans="1:41" s="123" customFormat="1" ht="16.2" thickBot="1" x14ac:dyDescent="0.35">
      <c r="A1044" s="21"/>
      <c r="B1044" s="212" t="s">
        <v>329</v>
      </c>
      <c r="C1044" s="31" t="str">
        <f>VLOOKUP((CONCATENATE(B1044)),ID!$A$2:$D$305,3,0)</f>
        <v>BR016</v>
      </c>
      <c r="D1044" s="21">
        <v>1</v>
      </c>
      <c r="E1044" s="21" t="s">
        <v>3937</v>
      </c>
      <c r="F1044" s="21" t="s">
        <v>1117</v>
      </c>
      <c r="G1044" s="21" t="s">
        <v>3853</v>
      </c>
      <c r="H1044" s="88">
        <v>4936</v>
      </c>
      <c r="I1044" s="43">
        <v>4952</v>
      </c>
      <c r="J1044" s="43">
        <v>4952</v>
      </c>
      <c r="K1044" s="21">
        <v>0</v>
      </c>
      <c r="L1044" s="21"/>
      <c r="M1044" s="21"/>
      <c r="N1044" s="43">
        <v>4960</v>
      </c>
      <c r="O1044" s="21" t="s">
        <v>3944</v>
      </c>
      <c r="P1044" s="194" t="str">
        <f t="shared" si="194"/>
        <v>1</v>
      </c>
      <c r="Q1044" s="21">
        <v>1</v>
      </c>
      <c r="R1044" s="39" t="str">
        <f t="shared" si="190"/>
        <v>-</v>
      </c>
      <c r="S1044" s="120">
        <f t="shared" si="189"/>
        <v>2220493</v>
      </c>
      <c r="T1044" s="123">
        <v>4272372</v>
      </c>
      <c r="U1044" s="123">
        <f>821601+1640901+387375+23000+604900+90686+46264</f>
        <v>3614727</v>
      </c>
      <c r="V1044" s="123">
        <f t="shared" si="195"/>
        <v>657645</v>
      </c>
      <c r="W1044" s="122" t="str">
        <f t="shared" si="196"/>
        <v>1</v>
      </c>
      <c r="X1044" s="123">
        <f>Y1044+31238+20749+23782+34110</f>
        <v>2051879</v>
      </c>
      <c r="Y1044" s="123">
        <f>2000+1940000</f>
        <v>1942000</v>
      </c>
      <c r="Z1044" s="123">
        <f t="shared" si="198"/>
        <v>109879</v>
      </c>
      <c r="AA1044" s="122" t="str">
        <f t="shared" si="199"/>
        <v>1</v>
      </c>
      <c r="AB1044" s="120">
        <f t="shared" si="197"/>
        <v>1940000</v>
      </c>
      <c r="AC1044" s="123">
        <v>0</v>
      </c>
      <c r="AD1044" s="123">
        <v>1940000</v>
      </c>
      <c r="AE1044" s="232"/>
      <c r="AG1044" s="151">
        <f t="shared" si="193"/>
        <v>52942</v>
      </c>
      <c r="AH1044" s="123">
        <v>125792</v>
      </c>
      <c r="AJ1044" s="123">
        <f>121957-AL1044</f>
        <v>49107</v>
      </c>
      <c r="AL1044" s="123">
        <v>72850</v>
      </c>
      <c r="AO1044" s="123">
        <f>10244+6250+3396</f>
        <v>19890</v>
      </c>
    </row>
    <row r="1045" spans="1:41" s="123" customFormat="1" ht="16.2" thickBot="1" x14ac:dyDescent="0.35">
      <c r="A1045" s="21"/>
      <c r="B1045" s="212" t="s">
        <v>329</v>
      </c>
      <c r="C1045" s="31" t="str">
        <f>VLOOKUP((CONCATENATE(B1045)),ID!$A$2:$D$305,3,0)</f>
        <v>BR016</v>
      </c>
      <c r="D1045" s="21">
        <v>1</v>
      </c>
      <c r="E1045" s="21" t="s">
        <v>3937</v>
      </c>
      <c r="F1045" s="21" t="s">
        <v>1117</v>
      </c>
      <c r="G1045" s="21" t="s">
        <v>3853</v>
      </c>
      <c r="H1045" s="88">
        <v>5301</v>
      </c>
      <c r="I1045" s="43">
        <v>5316</v>
      </c>
      <c r="J1045" s="43">
        <v>5316</v>
      </c>
      <c r="K1045" s="21">
        <v>0</v>
      </c>
      <c r="L1045" s="21"/>
      <c r="M1045" s="21"/>
      <c r="N1045" s="43">
        <v>5324</v>
      </c>
      <c r="O1045" s="21" t="s">
        <v>3944</v>
      </c>
      <c r="P1045" s="194" t="str">
        <f t="shared" si="194"/>
        <v>1</v>
      </c>
      <c r="Q1045" s="21">
        <v>1</v>
      </c>
      <c r="R1045" s="39" t="str">
        <f t="shared" si="190"/>
        <v>-</v>
      </c>
      <c r="S1045" s="120">
        <f t="shared" ref="S1045:S1092" si="200">T1045-X1045</f>
        <v>2040257</v>
      </c>
      <c r="T1045" s="123">
        <v>4226492</v>
      </c>
      <c r="U1045" s="123">
        <f>765452+1639841+390330+23000+605000+94435+45813</f>
        <v>3563871</v>
      </c>
      <c r="V1045" s="123">
        <f t="shared" si="195"/>
        <v>662621</v>
      </c>
      <c r="W1045" s="122" t="str">
        <f t="shared" si="196"/>
        <v>1</v>
      </c>
      <c r="X1045" s="123">
        <f>Y1045+31136+151746+25525+35828</f>
        <v>2186235</v>
      </c>
      <c r="Y1045" s="123">
        <f>2000+1940000</f>
        <v>1942000</v>
      </c>
      <c r="Z1045" s="123">
        <f t="shared" si="198"/>
        <v>244235</v>
      </c>
      <c r="AA1045" s="122" t="str">
        <f t="shared" si="199"/>
        <v>1</v>
      </c>
      <c r="AB1045" s="120">
        <f t="shared" si="197"/>
        <v>1940000</v>
      </c>
      <c r="AC1045" s="123">
        <v>0</v>
      </c>
      <c r="AD1045" s="123">
        <v>1940000</v>
      </c>
      <c r="AE1045" s="232"/>
      <c r="AG1045" s="151">
        <f t="shared" si="193"/>
        <v>53710</v>
      </c>
      <c r="AH1045" s="123">
        <v>126560</v>
      </c>
      <c r="AJ1045" s="123">
        <f>121957-AL1045</f>
        <v>49107</v>
      </c>
      <c r="AL1045" s="123">
        <v>72850</v>
      </c>
      <c r="AO1045" s="123">
        <f>10244+6250+3396</f>
        <v>19890</v>
      </c>
    </row>
    <row r="1046" spans="1:41" s="123" customFormat="1" ht="16.2" thickBot="1" x14ac:dyDescent="0.35">
      <c r="A1046" s="21"/>
      <c r="B1046" s="212" t="s">
        <v>336</v>
      </c>
      <c r="C1046" s="31" t="str">
        <f>VLOOKUP((CONCATENATE(B1046)),ID!$A$2:$D$305,3,0)</f>
        <v>BR017</v>
      </c>
      <c r="D1046" s="21">
        <v>1</v>
      </c>
      <c r="E1046" s="21" t="s">
        <v>3937</v>
      </c>
      <c r="F1046" s="21" t="s">
        <v>1117</v>
      </c>
      <c r="G1046" s="21" t="s">
        <v>3853</v>
      </c>
      <c r="H1046" s="88">
        <v>3926</v>
      </c>
      <c r="I1046" s="43">
        <v>4017</v>
      </c>
      <c r="J1046" s="43">
        <v>3968</v>
      </c>
      <c r="K1046" s="21">
        <v>0</v>
      </c>
      <c r="L1046" s="21"/>
      <c r="M1046" s="21"/>
      <c r="N1046" s="21"/>
      <c r="O1046" s="27" t="s">
        <v>3800</v>
      </c>
      <c r="P1046" s="194">
        <v>1</v>
      </c>
      <c r="Q1046" s="21">
        <v>1</v>
      </c>
      <c r="R1046" s="39" t="str">
        <f t="shared" si="190"/>
        <v>-</v>
      </c>
      <c r="S1046" s="120">
        <f t="shared" si="200"/>
        <v>1746533</v>
      </c>
      <c r="T1046" s="123">
        <v>2723415</v>
      </c>
      <c r="U1046" s="123">
        <f>783589+1611572</f>
        <v>2395161</v>
      </c>
      <c r="V1046" s="123">
        <f t="shared" si="195"/>
        <v>328254</v>
      </c>
      <c r="W1046" s="122" t="str">
        <f t="shared" si="196"/>
        <v>1</v>
      </c>
      <c r="X1046" s="123">
        <f>Y1046+195121</f>
        <v>976882</v>
      </c>
      <c r="Y1046" s="123">
        <f>516000+265761</f>
        <v>781761</v>
      </c>
      <c r="Z1046" s="123">
        <f t="shared" si="198"/>
        <v>195121</v>
      </c>
      <c r="AA1046" s="122" t="str">
        <f t="shared" si="199"/>
        <v>1</v>
      </c>
      <c r="AB1046" s="120">
        <f t="shared" si="197"/>
        <v>781761</v>
      </c>
      <c r="AC1046" s="123">
        <v>0</v>
      </c>
      <c r="AD1046" s="123">
        <f>Y1046</f>
        <v>781761</v>
      </c>
      <c r="AG1046" s="151">
        <f t="shared" si="193"/>
        <v>136386</v>
      </c>
      <c r="AH1046" s="123">
        <v>136386</v>
      </c>
      <c r="AO1046" s="123">
        <f>26800+26600+50000</f>
        <v>103400</v>
      </c>
    </row>
    <row r="1047" spans="1:41" s="123" customFormat="1" ht="16.2" thickBot="1" x14ac:dyDescent="0.35">
      <c r="A1047" s="21">
        <v>181.1</v>
      </c>
      <c r="B1047" s="212" t="s">
        <v>336</v>
      </c>
      <c r="C1047" s="31" t="str">
        <f>VLOOKUP((CONCATENATE(B1047)),ID!$A$2:$D$305,3,0)</f>
        <v>BR017</v>
      </c>
      <c r="D1047" s="21">
        <v>1</v>
      </c>
      <c r="E1047" s="21" t="s">
        <v>3937</v>
      </c>
      <c r="F1047" s="21" t="s">
        <v>1117</v>
      </c>
      <c r="G1047" s="21" t="s">
        <v>3853</v>
      </c>
      <c r="H1047" s="88">
        <v>4291</v>
      </c>
      <c r="I1047" s="43">
        <v>4335</v>
      </c>
      <c r="J1047" s="43">
        <v>4335</v>
      </c>
      <c r="K1047" s="21">
        <v>0</v>
      </c>
      <c r="L1047" s="21"/>
      <c r="M1047" s="21"/>
      <c r="N1047" s="21"/>
      <c r="O1047" s="27" t="s">
        <v>3800</v>
      </c>
      <c r="P1047" s="194">
        <v>1</v>
      </c>
      <c r="Q1047" s="21">
        <v>1</v>
      </c>
      <c r="R1047" s="39" t="str">
        <f t="shared" si="190"/>
        <v>-</v>
      </c>
      <c r="S1047" s="120">
        <f t="shared" si="200"/>
        <v>1773802</v>
      </c>
      <c r="T1047" s="123">
        <v>2804842</v>
      </c>
      <c r="U1047" s="123">
        <f>T1047-V1047</f>
        <v>2668715</v>
      </c>
      <c r="V1047" s="123">
        <v>136127</v>
      </c>
      <c r="W1047" s="122" t="str">
        <f t="shared" si="196"/>
        <v>1</v>
      </c>
      <c r="X1047" s="123">
        <f>516000+272923+242117</f>
        <v>1031040</v>
      </c>
      <c r="Y1047" s="123">
        <f>516000+272923</f>
        <v>788923</v>
      </c>
      <c r="Z1047" s="123">
        <f t="shared" si="198"/>
        <v>242117</v>
      </c>
      <c r="AA1047" s="122" t="str">
        <f t="shared" si="199"/>
        <v>1</v>
      </c>
      <c r="AB1047" s="120">
        <f t="shared" si="197"/>
        <v>788923</v>
      </c>
      <c r="AC1047" s="123">
        <v>0</v>
      </c>
      <c r="AD1047" s="123">
        <f>Y1047</f>
        <v>788923</v>
      </c>
      <c r="AG1047" s="151">
        <f t="shared" si="193"/>
        <v>141779</v>
      </c>
      <c r="AH1047" s="123">
        <v>141779</v>
      </c>
      <c r="AO1047" s="123">
        <f>26800+26600+50000</f>
        <v>103400</v>
      </c>
    </row>
    <row r="1048" spans="1:41" s="123" customFormat="1" ht="16.2" thickBot="1" x14ac:dyDescent="0.35">
      <c r="A1048" s="21">
        <v>181.2</v>
      </c>
      <c r="B1048" s="212" t="s">
        <v>336</v>
      </c>
      <c r="C1048" s="31" t="str">
        <f>VLOOKUP((CONCATENATE(B1048)),ID!$A$2:$D$305,3,0)</f>
        <v>BR017</v>
      </c>
      <c r="D1048" s="21">
        <v>1</v>
      </c>
      <c r="E1048" s="21" t="s">
        <v>3937</v>
      </c>
      <c r="F1048" s="21" t="s">
        <v>1117</v>
      </c>
      <c r="G1048" s="21" t="s">
        <v>3853</v>
      </c>
      <c r="H1048" s="88">
        <v>4657</v>
      </c>
      <c r="I1048" s="43">
        <v>4724</v>
      </c>
      <c r="J1048" s="43">
        <v>4696</v>
      </c>
      <c r="K1048" s="21">
        <v>0</v>
      </c>
      <c r="L1048" s="21"/>
      <c r="M1048" s="21"/>
      <c r="N1048" s="21"/>
      <c r="O1048" s="27" t="s">
        <v>3800</v>
      </c>
      <c r="P1048" s="194">
        <v>1</v>
      </c>
      <c r="Q1048" s="21">
        <v>1</v>
      </c>
      <c r="R1048" s="39" t="str">
        <f t="shared" si="190"/>
        <v>-</v>
      </c>
      <c r="S1048" s="120">
        <f t="shared" si="200"/>
        <v>1318383</v>
      </c>
      <c r="T1048" s="123">
        <v>2579170</v>
      </c>
      <c r="U1048" s="123">
        <f>T1048-V1048</f>
        <v>2432015</v>
      </c>
      <c r="V1048" s="123">
        <v>147155</v>
      </c>
      <c r="W1048" s="122" t="str">
        <f t="shared" si="196"/>
        <v>1</v>
      </c>
      <c r="X1048" s="123">
        <f>516000+201405+293382+250000</f>
        <v>1260787</v>
      </c>
      <c r="Y1048" s="123">
        <f>AB1048</f>
        <v>717405</v>
      </c>
      <c r="Z1048" s="123">
        <f t="shared" si="198"/>
        <v>543382</v>
      </c>
      <c r="AA1048" s="122" t="str">
        <f t="shared" si="199"/>
        <v>1</v>
      </c>
      <c r="AB1048" s="120">
        <f t="shared" si="197"/>
        <v>717405</v>
      </c>
      <c r="AC1048" s="123">
        <v>0</v>
      </c>
      <c r="AD1048" s="123">
        <f>201405+516000</f>
        <v>717405</v>
      </c>
      <c r="AG1048" s="151">
        <f t="shared" si="193"/>
        <v>138926</v>
      </c>
      <c r="AH1048" s="123">
        <v>138926</v>
      </c>
      <c r="AO1048" s="123">
        <f>26800+26600+50000</f>
        <v>103400</v>
      </c>
    </row>
    <row r="1049" spans="1:41" s="123" customFormat="1" ht="16.2" thickBot="1" x14ac:dyDescent="0.35">
      <c r="A1049" s="21"/>
      <c r="B1049" s="212" t="s">
        <v>336</v>
      </c>
      <c r="C1049" s="31" t="str">
        <f>VLOOKUP((CONCATENATE(B1049)),ID!$A$2:$D$305,3,0)</f>
        <v>BR017</v>
      </c>
      <c r="D1049" s="21">
        <v>1</v>
      </c>
      <c r="E1049" s="21" t="s">
        <v>3937</v>
      </c>
      <c r="F1049" s="21" t="s">
        <v>1117</v>
      </c>
      <c r="G1049" s="21" t="s">
        <v>3853</v>
      </c>
      <c r="H1049" s="88">
        <v>5022</v>
      </c>
      <c r="I1049" s="43">
        <v>5095</v>
      </c>
      <c r="J1049" s="43">
        <v>5057</v>
      </c>
      <c r="K1049" s="21">
        <v>0</v>
      </c>
      <c r="L1049" s="21"/>
      <c r="M1049" s="21"/>
      <c r="N1049" s="21"/>
      <c r="O1049" s="27" t="s">
        <v>3800</v>
      </c>
      <c r="P1049" s="194">
        <v>1</v>
      </c>
      <c r="Q1049" s="21">
        <v>1</v>
      </c>
      <c r="R1049" s="39" t="str">
        <f t="shared" si="190"/>
        <v>-</v>
      </c>
      <c r="S1049" s="120">
        <f t="shared" si="200"/>
        <v>1593825</v>
      </c>
      <c r="T1049" s="123">
        <v>2618633</v>
      </c>
      <c r="U1049" s="123">
        <f>T1049-V1049</f>
        <v>2448651</v>
      </c>
      <c r="V1049" s="123">
        <v>169982</v>
      </c>
      <c r="W1049" s="122" t="str">
        <f t="shared" si="196"/>
        <v>1</v>
      </c>
      <c r="X1049" s="123">
        <f>Y1049+319942</f>
        <v>1024808</v>
      </c>
      <c r="Y1049" s="123">
        <f>AB1049</f>
        <v>704866</v>
      </c>
      <c r="Z1049" s="123">
        <f t="shared" si="198"/>
        <v>319942</v>
      </c>
      <c r="AA1049" s="122" t="str">
        <f t="shared" si="199"/>
        <v>1</v>
      </c>
      <c r="AB1049" s="120">
        <f t="shared" si="197"/>
        <v>704866</v>
      </c>
      <c r="AC1049" s="123">
        <v>0</v>
      </c>
      <c r="AD1049" s="123">
        <f>188866+516000</f>
        <v>704866</v>
      </c>
      <c r="AG1049" s="151">
        <f t="shared" si="193"/>
        <v>142347</v>
      </c>
      <c r="AH1049" s="123">
        <v>142347</v>
      </c>
      <c r="AO1049" s="123">
        <f>26800+26600+50000</f>
        <v>103400</v>
      </c>
    </row>
    <row r="1050" spans="1:41" s="123" customFormat="1" ht="16.2" thickBot="1" x14ac:dyDescent="0.35">
      <c r="A1050" s="21"/>
      <c r="B1050" s="212" t="s">
        <v>336</v>
      </c>
      <c r="C1050" s="31" t="str">
        <f>VLOOKUP((CONCATENATE(B1050)),ID!$A$2:$D$305,3,0)</f>
        <v>BR017</v>
      </c>
      <c r="D1050" s="21">
        <v>1</v>
      </c>
      <c r="E1050" s="21" t="s">
        <v>3937</v>
      </c>
      <c r="F1050" s="21" t="s">
        <v>1117</v>
      </c>
      <c r="G1050" s="21" t="s">
        <v>3853</v>
      </c>
      <c r="H1050" s="88">
        <v>5387</v>
      </c>
      <c r="I1050" s="43">
        <v>5436</v>
      </c>
      <c r="J1050" s="43">
        <v>5424</v>
      </c>
      <c r="K1050" s="21">
        <v>0</v>
      </c>
      <c r="L1050" s="21"/>
      <c r="M1050" s="21"/>
      <c r="N1050" s="21"/>
      <c r="O1050" s="27" t="s">
        <v>3800</v>
      </c>
      <c r="P1050" s="194">
        <v>1</v>
      </c>
      <c r="Q1050" s="21">
        <v>1</v>
      </c>
      <c r="R1050" s="39" t="str">
        <f t="shared" si="190"/>
        <v>-</v>
      </c>
      <c r="S1050" s="120">
        <f t="shared" si="200"/>
        <v>1626288</v>
      </c>
      <c r="T1050" s="123">
        <v>2580428</v>
      </c>
      <c r="U1050" s="123">
        <f>T1050-V1050</f>
        <v>2364478</v>
      </c>
      <c r="V1050" s="123">
        <v>215950</v>
      </c>
      <c r="W1050" s="122" t="str">
        <f t="shared" si="196"/>
        <v>1</v>
      </c>
      <c r="X1050" s="123">
        <f>Y1050+256428</f>
        <v>954140</v>
      </c>
      <c r="Y1050" s="123">
        <f>AB1050</f>
        <v>697712</v>
      </c>
      <c r="Z1050" s="123">
        <f t="shared" si="198"/>
        <v>256428</v>
      </c>
      <c r="AA1050" s="122" t="str">
        <f t="shared" si="199"/>
        <v>1</v>
      </c>
      <c r="AB1050" s="120">
        <f t="shared" si="197"/>
        <v>697712</v>
      </c>
      <c r="AC1050" s="123">
        <v>0</v>
      </c>
      <c r="AD1050" s="123">
        <f>516000+181712</f>
        <v>697712</v>
      </c>
      <c r="AG1050" s="151">
        <f t="shared" si="193"/>
        <v>152439</v>
      </c>
      <c r="AH1050" s="123">
        <v>152439</v>
      </c>
      <c r="AO1050" s="123">
        <f>26800+26600+50000</f>
        <v>103400</v>
      </c>
    </row>
    <row r="1051" spans="1:41" s="123" customFormat="1" ht="16.2" thickBot="1" x14ac:dyDescent="0.35">
      <c r="A1051" s="21">
        <v>182.1</v>
      </c>
      <c r="B1051" s="212" t="s">
        <v>132</v>
      </c>
      <c r="C1051" s="31" t="str">
        <f>VLOOKUP((CONCATENATE(B1051)),ID!$A$2:$D$305,3,0)</f>
        <v>CN001</v>
      </c>
      <c r="D1051" s="21">
        <v>0</v>
      </c>
      <c r="E1051" s="21" t="s">
        <v>3945</v>
      </c>
      <c r="F1051" s="21" t="s">
        <v>1117</v>
      </c>
      <c r="G1051" s="21" t="s">
        <v>3853</v>
      </c>
      <c r="H1051" s="94">
        <v>4018</v>
      </c>
      <c r="I1051" s="43">
        <v>4167</v>
      </c>
      <c r="J1051" s="43">
        <v>4157</v>
      </c>
      <c r="K1051" s="21">
        <v>1</v>
      </c>
      <c r="L1051" s="43">
        <v>4170</v>
      </c>
      <c r="M1051" s="43">
        <v>4184</v>
      </c>
      <c r="N1051" s="43">
        <v>4183</v>
      </c>
      <c r="O1051" s="21" t="s">
        <v>3733</v>
      </c>
      <c r="P1051" s="194" t="str">
        <f t="shared" si="194"/>
        <v>1</v>
      </c>
      <c r="Q1051" s="21">
        <v>1</v>
      </c>
      <c r="R1051" s="39" t="str">
        <f t="shared" si="190"/>
        <v>-</v>
      </c>
      <c r="S1051" s="120">
        <f t="shared" si="200"/>
        <v>59199</v>
      </c>
      <c r="T1051" s="123">
        <v>83359</v>
      </c>
      <c r="U1051" s="123">
        <f>18279+1173</f>
        <v>19452</v>
      </c>
      <c r="V1051" s="123">
        <f t="shared" si="195"/>
        <v>63907</v>
      </c>
      <c r="W1051" s="122" t="str">
        <f t="shared" si="196"/>
        <v>1</v>
      </c>
      <c r="X1051" s="134">
        <f>9389+3327+11397+47</f>
        <v>24160</v>
      </c>
      <c r="Y1051" s="132"/>
      <c r="Z1051" s="123">
        <f t="shared" si="198"/>
        <v>24160</v>
      </c>
      <c r="AA1051" s="122" t="str">
        <f t="shared" si="199"/>
        <v>1</v>
      </c>
      <c r="AB1051" s="120">
        <f t="shared" si="197"/>
        <v>0</v>
      </c>
      <c r="AC1051" s="134">
        <v>0</v>
      </c>
      <c r="AD1051" s="134">
        <v>0</v>
      </c>
      <c r="AE1051" s="134">
        <v>28329</v>
      </c>
      <c r="AG1051" s="151">
        <f t="shared" si="193"/>
        <v>20293</v>
      </c>
      <c r="AH1051" s="123">
        <f>71260-22484-25483</f>
        <v>23293</v>
      </c>
      <c r="AJ1051" s="123">
        <v>2811</v>
      </c>
      <c r="AK1051" s="123">
        <v>304</v>
      </c>
      <c r="AL1051" s="123">
        <v>3000</v>
      </c>
    </row>
    <row r="1052" spans="1:41" s="123" customFormat="1" ht="16.2" thickBot="1" x14ac:dyDescent="0.35">
      <c r="A1052" s="21">
        <v>182.2</v>
      </c>
      <c r="B1052" s="212" t="s">
        <v>132</v>
      </c>
      <c r="C1052" s="31" t="str">
        <f>VLOOKUP((CONCATENATE(B1052)),ID!$A$2:$D$305,3,0)</f>
        <v>CN001</v>
      </c>
      <c r="D1052" s="21">
        <v>0</v>
      </c>
      <c r="E1052" s="21" t="s">
        <v>3945</v>
      </c>
      <c r="F1052" s="21" t="s">
        <v>1117</v>
      </c>
      <c r="G1052" s="21" t="s">
        <v>3853</v>
      </c>
      <c r="H1052" s="94">
        <v>4199</v>
      </c>
      <c r="I1052" s="43">
        <v>4349</v>
      </c>
      <c r="J1052" s="43">
        <v>4332</v>
      </c>
      <c r="K1052" s="21">
        <v>1</v>
      </c>
      <c r="L1052" s="43">
        <v>4353</v>
      </c>
      <c r="M1052" s="43">
        <v>4367</v>
      </c>
      <c r="N1052" s="43">
        <v>4365</v>
      </c>
      <c r="O1052" s="21" t="s">
        <v>3733</v>
      </c>
      <c r="P1052" s="194" t="str">
        <f t="shared" si="194"/>
        <v>1</v>
      </c>
      <c r="Q1052" s="21">
        <v>1</v>
      </c>
      <c r="R1052" s="39" t="str">
        <f t="shared" si="190"/>
        <v>-</v>
      </c>
      <c r="S1052" s="120">
        <f t="shared" si="200"/>
        <v>61062</v>
      </c>
      <c r="T1052" s="123">
        <v>83085</v>
      </c>
      <c r="U1052" s="123">
        <f>868+19270</f>
        <v>20138</v>
      </c>
      <c r="V1052" s="123">
        <f t="shared" si="195"/>
        <v>62947</v>
      </c>
      <c r="W1052" s="122" t="str">
        <f t="shared" si="196"/>
        <v>1</v>
      </c>
      <c r="X1052" s="123">
        <f>3433+7619+10943+28</f>
        <v>22023</v>
      </c>
      <c r="Z1052" s="123">
        <f t="shared" si="198"/>
        <v>22023</v>
      </c>
      <c r="AA1052" s="122" t="str">
        <f t="shared" si="199"/>
        <v>1</v>
      </c>
      <c r="AB1052" s="120">
        <f t="shared" si="197"/>
        <v>0</v>
      </c>
      <c r="AC1052" s="123">
        <v>0</v>
      </c>
      <c r="AD1052" s="123">
        <v>0</v>
      </c>
      <c r="AE1052" s="134">
        <v>25583</v>
      </c>
      <c r="AG1052" s="151">
        <f t="shared" si="193"/>
        <v>20645</v>
      </c>
      <c r="AH1052" s="123">
        <f>48363-24718</f>
        <v>23645</v>
      </c>
      <c r="AJ1052" s="123">
        <v>2811</v>
      </c>
      <c r="AK1052" s="123">
        <v>304</v>
      </c>
      <c r="AL1052" s="123">
        <v>3000</v>
      </c>
    </row>
    <row r="1053" spans="1:41" s="123" customFormat="1" ht="16.2" thickBot="1" x14ac:dyDescent="0.35">
      <c r="A1053" s="21">
        <v>182.3</v>
      </c>
      <c r="B1053" s="212" t="s">
        <v>132</v>
      </c>
      <c r="C1053" s="31" t="str">
        <f>VLOOKUP((CONCATENATE(B1053)),ID!$A$2:$D$305,3,0)</f>
        <v>CN001</v>
      </c>
      <c r="D1053" s="21">
        <v>0</v>
      </c>
      <c r="E1053" s="21" t="s">
        <v>3945</v>
      </c>
      <c r="F1053" s="21" t="s">
        <v>1117</v>
      </c>
      <c r="G1053" s="21" t="s">
        <v>3853</v>
      </c>
      <c r="H1053" s="94">
        <v>4383</v>
      </c>
      <c r="I1053" s="43">
        <v>4531</v>
      </c>
      <c r="J1053" s="43">
        <v>4514</v>
      </c>
      <c r="K1053" s="21">
        <v>1</v>
      </c>
      <c r="L1053" s="43">
        <v>4536</v>
      </c>
      <c r="M1053" s="43">
        <v>4550</v>
      </c>
      <c r="N1053" s="43">
        <v>4547</v>
      </c>
      <c r="O1053" s="21" t="s">
        <v>3733</v>
      </c>
      <c r="P1053" s="194" t="str">
        <f t="shared" si="194"/>
        <v>1</v>
      </c>
      <c r="Q1053" s="21">
        <v>1</v>
      </c>
      <c r="R1053" s="39" t="str">
        <f t="shared" si="190"/>
        <v>-</v>
      </c>
      <c r="S1053" s="120">
        <f t="shared" si="200"/>
        <v>62812</v>
      </c>
      <c r="T1053" s="123">
        <v>85465</v>
      </c>
      <c r="U1053" s="123">
        <f>563+19279</f>
        <v>19842</v>
      </c>
      <c r="V1053" s="123">
        <f t="shared" si="195"/>
        <v>65623</v>
      </c>
      <c r="W1053" s="122" t="str">
        <f t="shared" si="196"/>
        <v>1</v>
      </c>
      <c r="X1053" s="123">
        <f>3460+8504+10669+20</f>
        <v>22653</v>
      </c>
      <c r="Z1053" s="123">
        <f t="shared" si="198"/>
        <v>22653</v>
      </c>
      <c r="AA1053" s="122" t="str">
        <f t="shared" si="199"/>
        <v>1</v>
      </c>
      <c r="AB1053" s="120">
        <f t="shared" si="197"/>
        <v>0</v>
      </c>
      <c r="AC1053" s="123">
        <v>0</v>
      </c>
      <c r="AD1053" s="123">
        <v>0</v>
      </c>
      <c r="AE1053" s="134">
        <v>29871</v>
      </c>
      <c r="AG1053" s="151">
        <f t="shared" si="193"/>
        <v>20474</v>
      </c>
      <c r="AH1053" s="123">
        <f>49866-26392</f>
        <v>23474</v>
      </c>
      <c r="AJ1053" s="123">
        <v>2811</v>
      </c>
      <c r="AK1053" s="123">
        <v>304</v>
      </c>
      <c r="AL1053" s="123">
        <v>3000</v>
      </c>
    </row>
    <row r="1054" spans="1:41" s="123" customFormat="1" ht="16.2" thickBot="1" x14ac:dyDescent="0.35">
      <c r="A1054" s="21">
        <v>182.4</v>
      </c>
      <c r="B1054" s="212" t="s">
        <v>132</v>
      </c>
      <c r="C1054" s="31" t="str">
        <f>VLOOKUP((CONCATENATE(B1054)),ID!$A$2:$D$305,3,0)</f>
        <v>CN001</v>
      </c>
      <c r="D1054" s="21">
        <v>0</v>
      </c>
      <c r="E1054" s="21" t="s">
        <v>3945</v>
      </c>
      <c r="F1054" s="21" t="s">
        <v>1117</v>
      </c>
      <c r="G1054" s="21" t="s">
        <v>3853</v>
      </c>
      <c r="H1054" s="94">
        <v>4565</v>
      </c>
      <c r="I1054" s="43">
        <v>4713</v>
      </c>
      <c r="J1054" s="43">
        <v>4713</v>
      </c>
      <c r="K1054" s="21">
        <v>1</v>
      </c>
      <c r="L1054" s="43">
        <v>4719</v>
      </c>
      <c r="M1054" s="43">
        <v>4733</v>
      </c>
      <c r="N1054" s="43">
        <v>4729</v>
      </c>
      <c r="O1054" s="21" t="s">
        <v>3733</v>
      </c>
      <c r="P1054" s="194" t="str">
        <f t="shared" si="194"/>
        <v>1</v>
      </c>
      <c r="Q1054" s="21">
        <v>1</v>
      </c>
      <c r="R1054" s="39" t="str">
        <f t="shared" si="190"/>
        <v>-</v>
      </c>
      <c r="S1054" s="120">
        <f t="shared" si="200"/>
        <v>57432</v>
      </c>
      <c r="T1054" s="123">
        <v>78939</v>
      </c>
      <c r="U1054" s="123">
        <f>19279+563-304</f>
        <v>19538</v>
      </c>
      <c r="V1054" s="123">
        <f t="shared" si="195"/>
        <v>59401</v>
      </c>
      <c r="W1054" s="122" t="str">
        <f t="shared" si="196"/>
        <v>1</v>
      </c>
      <c r="X1054" s="123">
        <f>8262+3535+9400+207+103</f>
        <v>21507</v>
      </c>
      <c r="Z1054" s="123">
        <f t="shared" si="198"/>
        <v>21507</v>
      </c>
      <c r="AA1054" s="122" t="str">
        <f t="shared" si="199"/>
        <v>1</v>
      </c>
      <c r="AB1054" s="120">
        <f t="shared" si="197"/>
        <v>0</v>
      </c>
      <c r="AC1054" s="123">
        <v>0</v>
      </c>
      <c r="AD1054" s="123">
        <v>0</v>
      </c>
      <c r="AE1054" s="134">
        <v>27011</v>
      </c>
      <c r="AG1054" s="151">
        <f t="shared" si="193"/>
        <v>13995</v>
      </c>
      <c r="AH1054" s="123">
        <f>45425-28430</f>
        <v>16995</v>
      </c>
      <c r="AJ1054" s="123">
        <v>2811</v>
      </c>
      <c r="AK1054" s="123">
        <v>304</v>
      </c>
      <c r="AL1054" s="123">
        <v>3000</v>
      </c>
    </row>
    <row r="1055" spans="1:41" s="123" customFormat="1" ht="16.2" thickBot="1" x14ac:dyDescent="0.35">
      <c r="A1055" s="21"/>
      <c r="B1055" s="212" t="s">
        <v>132</v>
      </c>
      <c r="C1055" s="31" t="str">
        <f>VLOOKUP((CONCATENATE(B1055)),ID!$A$2:$D$305,3,0)</f>
        <v>CN001</v>
      </c>
      <c r="D1055" s="21">
        <v>0</v>
      </c>
      <c r="E1055" s="21" t="s">
        <v>3945</v>
      </c>
      <c r="F1055" s="21" t="s">
        <v>1117</v>
      </c>
      <c r="G1055" s="21" t="s">
        <v>3853</v>
      </c>
      <c r="H1055" s="94">
        <v>4749</v>
      </c>
      <c r="I1055" s="43">
        <v>4895</v>
      </c>
      <c r="J1055" s="43">
        <v>4895</v>
      </c>
      <c r="K1055" s="21">
        <v>1</v>
      </c>
      <c r="L1055" s="43">
        <v>4901</v>
      </c>
      <c r="M1055" s="43">
        <v>4915</v>
      </c>
      <c r="N1055" s="43">
        <v>4911</v>
      </c>
      <c r="O1055" s="21" t="s">
        <v>3733</v>
      </c>
      <c r="P1055" s="194" t="str">
        <f t="shared" si="194"/>
        <v>1</v>
      </c>
      <c r="Q1055" s="21">
        <v>1</v>
      </c>
      <c r="R1055" s="39" t="str">
        <f t="shared" ref="R1055:R1118" si="201">IF(Q1055=0,"?","-")</f>
        <v>-</v>
      </c>
      <c r="S1055" s="120">
        <f t="shared" si="200"/>
        <v>57848</v>
      </c>
      <c r="T1055" s="123">
        <v>81378</v>
      </c>
      <c r="U1055" s="123">
        <f>259+19279</f>
        <v>19538</v>
      </c>
      <c r="V1055" s="123">
        <f t="shared" si="195"/>
        <v>61840</v>
      </c>
      <c r="W1055" s="122" t="str">
        <f t="shared" si="196"/>
        <v>1</v>
      </c>
      <c r="X1055" s="123">
        <f>T1055-36737-21111</f>
        <v>23530</v>
      </c>
      <c r="Z1055" s="123">
        <f t="shared" si="198"/>
        <v>23530</v>
      </c>
      <c r="AA1055" s="122" t="str">
        <f t="shared" si="199"/>
        <v>1</v>
      </c>
      <c r="AB1055" s="120">
        <f t="shared" si="197"/>
        <v>0</v>
      </c>
      <c r="AC1055" s="123">
        <v>0</v>
      </c>
      <c r="AD1055" s="123">
        <v>0</v>
      </c>
      <c r="AE1055" s="134">
        <v>25271</v>
      </c>
      <c r="AG1055" s="151">
        <f t="shared" si="193"/>
        <v>20763</v>
      </c>
      <c r="AH1055" s="123">
        <f>51128-27365</f>
        <v>23763</v>
      </c>
      <c r="AJ1055" s="123">
        <v>2811</v>
      </c>
      <c r="AL1055" s="123">
        <v>3000</v>
      </c>
    </row>
    <row r="1056" spans="1:41" s="123" customFormat="1" ht="16.2" thickBot="1" x14ac:dyDescent="0.35">
      <c r="A1056" s="21"/>
      <c r="B1056" s="212" t="s">
        <v>132</v>
      </c>
      <c r="C1056" s="31" t="str">
        <f>VLOOKUP((CONCATENATE(B1056)),ID!$A$2:$D$305,3,0)</f>
        <v>CN001</v>
      </c>
      <c r="D1056" s="21">
        <v>0</v>
      </c>
      <c r="E1056" s="21" t="s">
        <v>3945</v>
      </c>
      <c r="F1056" s="21" t="s">
        <v>1117</v>
      </c>
      <c r="G1056" s="21" t="s">
        <v>3853</v>
      </c>
      <c r="H1056" s="94">
        <v>4930</v>
      </c>
      <c r="I1056" s="43">
        <v>5074</v>
      </c>
      <c r="J1056" s="43">
        <v>5072</v>
      </c>
      <c r="K1056" s="21">
        <v>1</v>
      </c>
      <c r="L1056" s="43">
        <v>5449</v>
      </c>
      <c r="M1056" s="43">
        <v>5098</v>
      </c>
      <c r="N1056" s="43">
        <v>5093</v>
      </c>
      <c r="O1056" s="21" t="s">
        <v>3733</v>
      </c>
      <c r="P1056" s="194" t="str">
        <f t="shared" si="194"/>
        <v>1</v>
      </c>
      <c r="Q1056" s="21">
        <v>1</v>
      </c>
      <c r="R1056" s="39" t="str">
        <f t="shared" si="201"/>
        <v>-</v>
      </c>
      <c r="S1056" s="120">
        <f t="shared" si="200"/>
        <v>46486</v>
      </c>
      <c r="T1056" s="123">
        <v>80482</v>
      </c>
      <c r="U1056" s="123">
        <f>164+19279</f>
        <v>19443</v>
      </c>
      <c r="V1056" s="123">
        <f t="shared" si="195"/>
        <v>61039</v>
      </c>
      <c r="W1056" s="122" t="str">
        <f t="shared" si="196"/>
        <v>1</v>
      </c>
      <c r="X1056" s="123">
        <f>T1056-38876-7610</f>
        <v>33996</v>
      </c>
      <c r="Z1056" s="123">
        <f t="shared" si="198"/>
        <v>33996</v>
      </c>
      <c r="AA1056" s="122" t="str">
        <f t="shared" si="199"/>
        <v>1</v>
      </c>
      <c r="AB1056" s="120">
        <f t="shared" si="197"/>
        <v>0</v>
      </c>
      <c r="AC1056" s="123">
        <v>0</v>
      </c>
      <c r="AD1056" s="123">
        <v>0</v>
      </c>
      <c r="AE1056" s="134">
        <v>25518</v>
      </c>
      <c r="AG1056" s="151">
        <f t="shared" si="193"/>
        <v>21900</v>
      </c>
      <c r="AH1056" s="123">
        <f>49667-24767</f>
        <v>24900</v>
      </c>
      <c r="AJ1056" s="123">
        <v>2811</v>
      </c>
      <c r="AL1056" s="123">
        <v>3000</v>
      </c>
    </row>
    <row r="1057" spans="1:39" s="123" customFormat="1" ht="16.2" thickBot="1" x14ac:dyDescent="0.35">
      <c r="A1057" s="21"/>
      <c r="B1057" s="212" t="s">
        <v>132</v>
      </c>
      <c r="C1057" s="31" t="str">
        <f>VLOOKUP((CONCATENATE(B1057)),ID!$A$2:$D$305,3,0)</f>
        <v>CN001</v>
      </c>
      <c r="D1057" s="21">
        <v>0</v>
      </c>
      <c r="E1057" s="21" t="s">
        <v>3945</v>
      </c>
      <c r="F1057" s="21" t="s">
        <v>1117</v>
      </c>
      <c r="G1057" s="21" t="s">
        <v>3853</v>
      </c>
      <c r="H1057" s="94">
        <v>5114</v>
      </c>
      <c r="I1057" s="43">
        <v>5259</v>
      </c>
      <c r="J1057" s="43">
        <v>5260</v>
      </c>
      <c r="K1057" s="21">
        <v>1</v>
      </c>
      <c r="L1057" s="43">
        <v>5266</v>
      </c>
      <c r="M1057" s="43">
        <v>5280</v>
      </c>
      <c r="N1057" s="43">
        <v>5275</v>
      </c>
      <c r="O1057" s="21" t="s">
        <v>3733</v>
      </c>
      <c r="P1057" s="194" t="str">
        <f t="shared" si="194"/>
        <v>1</v>
      </c>
      <c r="Q1057" s="21">
        <v>1</v>
      </c>
      <c r="R1057" s="39" t="str">
        <f t="shared" si="201"/>
        <v>-</v>
      </c>
      <c r="S1057" s="120">
        <f t="shared" si="200"/>
        <v>46379</v>
      </c>
      <c r="T1057" s="123">
        <v>68016</v>
      </c>
      <c r="U1057" s="123">
        <f>84+17279</f>
        <v>17363</v>
      </c>
      <c r="V1057" s="123">
        <f t="shared" si="195"/>
        <v>50653</v>
      </c>
      <c r="W1057" s="122" t="str">
        <f t="shared" si="196"/>
        <v>1</v>
      </c>
      <c r="X1057" s="123">
        <f>T1057-5759-40620</f>
        <v>21637</v>
      </c>
      <c r="Z1057" s="123">
        <f t="shared" si="198"/>
        <v>21637</v>
      </c>
      <c r="AA1057" s="122" t="str">
        <f t="shared" si="199"/>
        <v>1</v>
      </c>
      <c r="AB1057" s="120">
        <f t="shared" si="197"/>
        <v>0</v>
      </c>
      <c r="AC1057" s="123">
        <v>0</v>
      </c>
      <c r="AD1057" s="123">
        <v>0</v>
      </c>
      <c r="AE1057" s="134">
        <v>12533</v>
      </c>
      <c r="AG1057" s="151">
        <f t="shared" si="193"/>
        <v>23504</v>
      </c>
      <c r="AH1057" s="123">
        <f>52011-25507</f>
        <v>26504</v>
      </c>
      <c r="AJ1057" s="123">
        <v>2811</v>
      </c>
      <c r="AL1057" s="123">
        <v>3000</v>
      </c>
    </row>
    <row r="1058" spans="1:39" s="123" customFormat="1" ht="16.2" thickBot="1" x14ac:dyDescent="0.35">
      <c r="A1058" s="21"/>
      <c r="B1058" s="212" t="s">
        <v>132</v>
      </c>
      <c r="C1058" s="31" t="str">
        <f>VLOOKUP((CONCATENATE(B1058)),ID!$A$2:$D$305,3,0)</f>
        <v>CN001</v>
      </c>
      <c r="D1058" s="21">
        <v>0</v>
      </c>
      <c r="E1058" s="21" t="s">
        <v>3945</v>
      </c>
      <c r="F1058" s="21" t="s">
        <v>1117</v>
      </c>
      <c r="G1058" s="21" t="s">
        <v>3853</v>
      </c>
      <c r="H1058" s="94">
        <v>5295</v>
      </c>
      <c r="I1058" s="43">
        <v>5441</v>
      </c>
      <c r="J1058" s="43">
        <v>5442</v>
      </c>
      <c r="K1058" s="21">
        <v>1</v>
      </c>
      <c r="L1058" s="43">
        <v>5449</v>
      </c>
      <c r="M1058" s="43">
        <v>5463</v>
      </c>
      <c r="N1058" s="43">
        <v>5457</v>
      </c>
      <c r="O1058" s="21" t="s">
        <v>3733</v>
      </c>
      <c r="P1058" s="194" t="str">
        <f t="shared" si="194"/>
        <v>1</v>
      </c>
      <c r="Q1058" s="21">
        <v>1</v>
      </c>
      <c r="R1058" s="39" t="str">
        <f t="shared" si="201"/>
        <v>-</v>
      </c>
      <c r="S1058" s="120">
        <f t="shared" si="200"/>
        <v>36578</v>
      </c>
      <c r="T1058" s="123">
        <v>57753</v>
      </c>
      <c r="U1058" s="123">
        <f>4+7279</f>
        <v>7283</v>
      </c>
      <c r="V1058" s="123">
        <f t="shared" si="195"/>
        <v>50470</v>
      </c>
      <c r="W1058" s="122" t="str">
        <f t="shared" si="196"/>
        <v>1</v>
      </c>
      <c r="X1058" s="123">
        <f>T1058-31432-5146</f>
        <v>21175</v>
      </c>
      <c r="Z1058" s="123">
        <f t="shared" si="198"/>
        <v>21175</v>
      </c>
      <c r="AA1058" s="122" t="str">
        <f t="shared" si="199"/>
        <v>1</v>
      </c>
      <c r="AB1058" s="120">
        <f t="shared" si="197"/>
        <v>0</v>
      </c>
      <c r="AC1058" s="123">
        <v>0</v>
      </c>
      <c r="AD1058" s="123">
        <v>0</v>
      </c>
      <c r="AE1058" s="134">
        <v>12713</v>
      </c>
      <c r="AG1058" s="151">
        <f t="shared" si="193"/>
        <v>23398</v>
      </c>
      <c r="AH1058" s="123">
        <f>50566-24168</f>
        <v>26398</v>
      </c>
      <c r="AJ1058" s="123">
        <v>2811</v>
      </c>
      <c r="AL1058" s="123">
        <v>3000</v>
      </c>
    </row>
    <row r="1059" spans="1:39" s="123" customFormat="1" ht="16.2" thickBot="1" x14ac:dyDescent="0.35">
      <c r="A1059" s="21"/>
      <c r="B1059" s="212" t="s">
        <v>169</v>
      </c>
      <c r="C1059" s="31" t="str">
        <f>VLOOKUP((CONCATENATE(B1059)),ID!$A$2:$D$305,3,0)</f>
        <v>CN002</v>
      </c>
      <c r="D1059" s="21">
        <v>0</v>
      </c>
      <c r="E1059" s="21" t="s">
        <v>3945</v>
      </c>
      <c r="F1059" s="21" t="s">
        <v>3908</v>
      </c>
      <c r="G1059" s="21" t="s">
        <v>3853</v>
      </c>
      <c r="H1059" s="94">
        <v>3653</v>
      </c>
      <c r="I1059" s="43">
        <v>3720</v>
      </c>
      <c r="J1059" s="43">
        <v>3710</v>
      </c>
      <c r="K1059" s="21">
        <v>1</v>
      </c>
      <c r="L1059" s="43">
        <v>3717</v>
      </c>
      <c r="M1059" s="43">
        <v>3730</v>
      </c>
      <c r="N1059" s="43">
        <v>3730</v>
      </c>
      <c r="O1059" s="21" t="s">
        <v>4117</v>
      </c>
      <c r="P1059" s="194">
        <v>1</v>
      </c>
      <c r="Q1059" s="21">
        <v>1</v>
      </c>
      <c r="R1059" s="39" t="str">
        <f t="shared" si="201"/>
        <v>-</v>
      </c>
      <c r="S1059" s="120">
        <f t="shared" si="200"/>
        <v>62450</v>
      </c>
      <c r="T1059" s="123">
        <v>99897</v>
      </c>
      <c r="U1059" s="123">
        <v>3697</v>
      </c>
      <c r="V1059" s="123">
        <f t="shared" si="195"/>
        <v>96200</v>
      </c>
      <c r="W1059" s="122" t="str">
        <f t="shared" si="196"/>
        <v>1</v>
      </c>
      <c r="X1059" s="123">
        <f>30220+233+6994</f>
        <v>37447</v>
      </c>
      <c r="Z1059" s="123">
        <f t="shared" si="198"/>
        <v>37447</v>
      </c>
      <c r="AA1059" s="122" t="str">
        <f t="shared" si="199"/>
        <v>1</v>
      </c>
      <c r="AB1059" s="120">
        <f t="shared" si="197"/>
        <v>0</v>
      </c>
      <c r="AC1059" s="123">
        <v>0</v>
      </c>
      <c r="AD1059" s="123">
        <v>0</v>
      </c>
      <c r="AE1059" s="134">
        <f>1403+7821</f>
        <v>9224</v>
      </c>
      <c r="AG1059" s="151">
        <f t="shared" si="193"/>
        <v>13161</v>
      </c>
      <c r="AH1059" s="123">
        <f>24196+61-131-3537</f>
        <v>20589</v>
      </c>
      <c r="AL1059" s="123">
        <f>797+6631</f>
        <v>7428</v>
      </c>
      <c r="AM1059" s="123">
        <v>86749</v>
      </c>
    </row>
    <row r="1060" spans="1:39" s="123" customFormat="1" ht="16.2" thickBot="1" x14ac:dyDescent="0.35">
      <c r="A1060" s="21"/>
      <c r="B1060" s="212" t="s">
        <v>169</v>
      </c>
      <c r="C1060" s="31" t="str">
        <f>VLOOKUP((CONCATENATE(B1060)),ID!$A$2:$D$305,3,0)</f>
        <v>CN002</v>
      </c>
      <c r="D1060" s="21">
        <v>0</v>
      </c>
      <c r="E1060" s="21" t="s">
        <v>3945</v>
      </c>
      <c r="F1060" s="21" t="s">
        <v>3908</v>
      </c>
      <c r="G1060" s="21" t="s">
        <v>3853</v>
      </c>
      <c r="H1060" s="94">
        <v>3834</v>
      </c>
      <c r="I1060" s="43">
        <v>3902</v>
      </c>
      <c r="J1060" s="43">
        <v>3891</v>
      </c>
      <c r="K1060" s="21">
        <v>1</v>
      </c>
      <c r="L1060" s="43">
        <v>3899</v>
      </c>
      <c r="M1060" s="43">
        <v>3912</v>
      </c>
      <c r="N1060" s="43">
        <v>3912</v>
      </c>
      <c r="O1060" s="21" t="s">
        <v>4117</v>
      </c>
      <c r="P1060" s="194">
        <v>1</v>
      </c>
      <c r="Q1060" s="21">
        <v>1</v>
      </c>
      <c r="R1060" s="39" t="str">
        <f t="shared" si="201"/>
        <v>-</v>
      </c>
      <c r="S1060" s="120">
        <f t="shared" si="200"/>
        <v>57425</v>
      </c>
      <c r="T1060" s="123">
        <v>96956</v>
      </c>
      <c r="U1060" s="123">
        <v>9113</v>
      </c>
      <c r="V1060" s="123">
        <f t="shared" si="195"/>
        <v>87843</v>
      </c>
      <c r="W1060" s="122" t="str">
        <f t="shared" si="196"/>
        <v>1</v>
      </c>
      <c r="X1060" s="123">
        <f>6975+277+32279</f>
        <v>39531</v>
      </c>
      <c r="Z1060" s="123">
        <f t="shared" si="198"/>
        <v>39531</v>
      </c>
      <c r="AA1060" s="122" t="str">
        <f t="shared" si="199"/>
        <v>1</v>
      </c>
      <c r="AB1060" s="120">
        <f t="shared" si="197"/>
        <v>0</v>
      </c>
      <c r="AC1060" s="123">
        <v>0</v>
      </c>
      <c r="AD1060" s="123">
        <v>0</v>
      </c>
      <c r="AE1060" s="134">
        <f>1412+7220</f>
        <v>8632</v>
      </c>
      <c r="AG1060" s="151">
        <f t="shared" si="193"/>
        <v>11498</v>
      </c>
      <c r="AH1060" s="123">
        <f>22507+68-133-3537</f>
        <v>18905</v>
      </c>
      <c r="AL1060" s="123">
        <f>6630+777</f>
        <v>7407</v>
      </c>
      <c r="AM1060" s="123">
        <v>85800</v>
      </c>
    </row>
    <row r="1061" spans="1:39" s="123" customFormat="1" ht="16.2" thickBot="1" x14ac:dyDescent="0.35">
      <c r="A1061" s="21">
        <v>183.1</v>
      </c>
      <c r="B1061" s="212" t="s">
        <v>169</v>
      </c>
      <c r="C1061" s="31" t="str">
        <f>VLOOKUP((CONCATENATE(B1061)),ID!$A$2:$D$305,3,0)</f>
        <v>CN002</v>
      </c>
      <c r="D1061" s="21">
        <v>0</v>
      </c>
      <c r="E1061" s="21" t="s">
        <v>3945</v>
      </c>
      <c r="F1061" s="21" t="s">
        <v>3908</v>
      </c>
      <c r="G1061" s="21" t="s">
        <v>3853</v>
      </c>
      <c r="H1061" s="94">
        <v>4018</v>
      </c>
      <c r="I1061" s="43">
        <v>4084</v>
      </c>
      <c r="J1061" s="43">
        <v>4074</v>
      </c>
      <c r="K1061" s="21">
        <v>1</v>
      </c>
      <c r="L1061" s="43">
        <v>4081</v>
      </c>
      <c r="M1061" s="43">
        <v>4091</v>
      </c>
      <c r="N1061" s="43">
        <v>4094</v>
      </c>
      <c r="O1061" s="21" t="s">
        <v>4117</v>
      </c>
      <c r="P1061" s="194">
        <v>1</v>
      </c>
      <c r="Q1061" s="21">
        <v>1</v>
      </c>
      <c r="R1061" s="39" t="str">
        <f t="shared" si="201"/>
        <v>-</v>
      </c>
      <c r="S1061" s="120">
        <f t="shared" si="200"/>
        <v>62904</v>
      </c>
      <c r="T1061" s="123">
        <v>101036</v>
      </c>
      <c r="U1061" s="123">
        <v>2690</v>
      </c>
      <c r="V1061" s="123">
        <f t="shared" si="195"/>
        <v>98346</v>
      </c>
      <c r="W1061" s="122" t="str">
        <f t="shared" si="196"/>
        <v>1</v>
      </c>
      <c r="X1061" s="123">
        <f>6975+257+30900</f>
        <v>38132</v>
      </c>
      <c r="Z1061" s="123">
        <f t="shared" si="198"/>
        <v>38132</v>
      </c>
      <c r="AA1061" s="122" t="str">
        <f t="shared" si="199"/>
        <v>1</v>
      </c>
      <c r="AB1061" s="120">
        <f t="shared" si="197"/>
        <v>0</v>
      </c>
      <c r="AC1061" s="123">
        <v>0</v>
      </c>
      <c r="AD1061" s="123">
        <v>0</v>
      </c>
      <c r="AE1061" s="134">
        <f>7320+1186</f>
        <v>8506</v>
      </c>
      <c r="AG1061" s="151">
        <f t="shared" si="193"/>
        <v>13273</v>
      </c>
      <c r="AH1061" s="123">
        <f>24257+91-131-3537</f>
        <v>20680</v>
      </c>
      <c r="AL1061" s="123">
        <f>777+6630</f>
        <v>7407</v>
      </c>
      <c r="AM1061" s="123">
        <v>86693</v>
      </c>
    </row>
    <row r="1062" spans="1:39" s="123" customFormat="1" ht="16.2" thickBot="1" x14ac:dyDescent="0.35">
      <c r="A1062" s="21">
        <v>183.2</v>
      </c>
      <c r="B1062" s="212" t="s">
        <v>169</v>
      </c>
      <c r="C1062" s="31" t="str">
        <f>VLOOKUP((CONCATENATE(B1062)),ID!$A$2:$D$305,3,0)</f>
        <v>CN002</v>
      </c>
      <c r="D1062" s="21">
        <v>0</v>
      </c>
      <c r="E1062" s="21" t="s">
        <v>3945</v>
      </c>
      <c r="F1062" s="21" t="s">
        <v>3908</v>
      </c>
      <c r="G1062" s="21" t="s">
        <v>3853</v>
      </c>
      <c r="H1062" s="94">
        <v>4199</v>
      </c>
      <c r="I1062" s="43">
        <v>4266</v>
      </c>
      <c r="J1062" s="43">
        <v>4255</v>
      </c>
      <c r="K1062" s="21">
        <v>1</v>
      </c>
      <c r="L1062" s="43">
        <v>4263</v>
      </c>
      <c r="M1062" s="43">
        <v>4276</v>
      </c>
      <c r="N1062" s="43">
        <v>4276</v>
      </c>
      <c r="O1062" s="21" t="s">
        <v>4117</v>
      </c>
      <c r="P1062" s="194">
        <v>1</v>
      </c>
      <c r="Q1062" s="21">
        <v>1</v>
      </c>
      <c r="R1062" s="39" t="str">
        <f t="shared" si="201"/>
        <v>-</v>
      </c>
      <c r="S1062" s="120">
        <f t="shared" si="200"/>
        <v>58579</v>
      </c>
      <c r="T1062" s="123">
        <v>97052</v>
      </c>
      <c r="U1062" s="123">
        <f>2067+260</f>
        <v>2327</v>
      </c>
      <c r="V1062" s="123">
        <f t="shared" si="195"/>
        <v>94725</v>
      </c>
      <c r="W1062" s="122" t="str">
        <f t="shared" si="196"/>
        <v>1</v>
      </c>
      <c r="X1062" s="123">
        <f>31171+327+6975</f>
        <v>38473</v>
      </c>
      <c r="Z1062" s="123">
        <f t="shared" si="198"/>
        <v>38473</v>
      </c>
      <c r="AA1062" s="122" t="str">
        <f t="shared" si="199"/>
        <v>1</v>
      </c>
      <c r="AB1062" s="120">
        <f t="shared" si="197"/>
        <v>0</v>
      </c>
      <c r="AC1062" s="123">
        <v>0</v>
      </c>
      <c r="AD1062" s="123">
        <v>0</v>
      </c>
      <c r="AE1062" s="123">
        <f>5736+1553</f>
        <v>7289</v>
      </c>
      <c r="AG1062" s="151">
        <f t="shared" si="193"/>
        <v>14572</v>
      </c>
      <c r="AH1062" s="123">
        <f>25568+93-145-3537</f>
        <v>21979</v>
      </c>
      <c r="AL1062" s="123">
        <f>6630+777</f>
        <v>7407</v>
      </c>
      <c r="AM1062" s="123">
        <v>88979</v>
      </c>
    </row>
    <row r="1063" spans="1:39" s="123" customFormat="1" ht="16.2" thickBot="1" x14ac:dyDescent="0.35">
      <c r="A1063" s="21">
        <v>183.3</v>
      </c>
      <c r="B1063" s="212" t="s">
        <v>169</v>
      </c>
      <c r="C1063" s="31" t="str">
        <f>VLOOKUP((CONCATENATE(B1063)),ID!$A$2:$D$305,3,0)</f>
        <v>CN002</v>
      </c>
      <c r="D1063" s="21">
        <v>0</v>
      </c>
      <c r="E1063" s="21" t="s">
        <v>3945</v>
      </c>
      <c r="F1063" s="21" t="s">
        <v>3908</v>
      </c>
      <c r="G1063" s="21" t="s">
        <v>3853</v>
      </c>
      <c r="H1063" s="94">
        <v>4383</v>
      </c>
      <c r="I1063" s="43">
        <v>4448</v>
      </c>
      <c r="J1063" s="43">
        <v>4438</v>
      </c>
      <c r="K1063" s="21">
        <v>1</v>
      </c>
      <c r="L1063" s="43">
        <v>4445</v>
      </c>
      <c r="M1063" s="43">
        <v>4458</v>
      </c>
      <c r="N1063" s="43">
        <v>4458</v>
      </c>
      <c r="O1063" s="21" t="s">
        <v>4117</v>
      </c>
      <c r="P1063" s="194">
        <v>1</v>
      </c>
      <c r="Q1063" s="21">
        <v>1</v>
      </c>
      <c r="R1063" s="39" t="str">
        <f t="shared" si="201"/>
        <v>-</v>
      </c>
      <c r="S1063" s="120">
        <f t="shared" si="200"/>
        <v>47827</v>
      </c>
      <c r="T1063" s="123">
        <v>82608</v>
      </c>
      <c r="U1063" s="123">
        <f>1717+247</f>
        <v>1964</v>
      </c>
      <c r="V1063" s="123">
        <f t="shared" si="195"/>
        <v>80644</v>
      </c>
      <c r="W1063" s="122" t="str">
        <f t="shared" si="196"/>
        <v>1</v>
      </c>
      <c r="X1063" s="123">
        <f>5490+22136+227+6928</f>
        <v>34781</v>
      </c>
      <c r="Z1063" s="123">
        <f t="shared" si="198"/>
        <v>34781</v>
      </c>
      <c r="AA1063" s="122" t="str">
        <f t="shared" si="199"/>
        <v>1</v>
      </c>
      <c r="AB1063" s="120">
        <f t="shared" si="197"/>
        <v>0</v>
      </c>
      <c r="AC1063" s="123">
        <v>0</v>
      </c>
      <c r="AD1063" s="123">
        <v>0</v>
      </c>
      <c r="AE1063" s="123">
        <f>1063+2780</f>
        <v>3843</v>
      </c>
      <c r="AG1063" s="151">
        <f t="shared" si="193"/>
        <v>-4692</v>
      </c>
      <c r="AH1063" s="123">
        <f>46+6320-114-3537</f>
        <v>2715</v>
      </c>
      <c r="AL1063" s="123">
        <f>777+6630</f>
        <v>7407</v>
      </c>
      <c r="AM1063" s="123">
        <v>60154</v>
      </c>
    </row>
    <row r="1064" spans="1:39" s="123" customFormat="1" ht="16.2" thickBot="1" x14ac:dyDescent="0.35">
      <c r="A1064" s="21">
        <v>183.4</v>
      </c>
      <c r="B1064" s="212" t="s">
        <v>169</v>
      </c>
      <c r="C1064" s="31" t="str">
        <f>VLOOKUP((CONCATENATE(B1064)),ID!$A$2:$D$305,3,0)</f>
        <v>CN002</v>
      </c>
      <c r="D1064" s="21">
        <v>0</v>
      </c>
      <c r="E1064" s="21" t="s">
        <v>3945</v>
      </c>
      <c r="F1064" s="21" t="s">
        <v>3861</v>
      </c>
      <c r="G1064" s="21" t="s">
        <v>3853</v>
      </c>
      <c r="H1064" s="94">
        <v>4565</v>
      </c>
      <c r="I1064" s="43">
        <v>4637</v>
      </c>
      <c r="J1064" s="43">
        <v>4617</v>
      </c>
      <c r="K1064" s="21">
        <v>1</v>
      </c>
      <c r="L1064" s="43">
        <v>4634</v>
      </c>
      <c r="M1064" s="43">
        <v>4647</v>
      </c>
      <c r="N1064" s="43">
        <v>4647</v>
      </c>
      <c r="O1064" s="21" t="s">
        <v>4117</v>
      </c>
      <c r="P1064" s="194">
        <v>1</v>
      </c>
      <c r="Q1064" s="21">
        <v>1</v>
      </c>
      <c r="R1064" s="39" t="str">
        <f t="shared" si="201"/>
        <v>-</v>
      </c>
      <c r="S1064" s="120">
        <f t="shared" si="200"/>
        <v>46546</v>
      </c>
      <c r="T1064" s="123">
        <v>88742</v>
      </c>
      <c r="U1064" s="123">
        <f>1767+234</f>
        <v>2001</v>
      </c>
      <c r="V1064" s="123">
        <f t="shared" si="195"/>
        <v>86741</v>
      </c>
      <c r="W1064" s="122" t="str">
        <f t="shared" si="196"/>
        <v>1</v>
      </c>
      <c r="X1064" s="123">
        <f>6892+28181+205+6918</f>
        <v>42196</v>
      </c>
      <c r="Z1064" s="123">
        <f t="shared" si="198"/>
        <v>42196</v>
      </c>
      <c r="AA1064" s="122" t="str">
        <f t="shared" si="199"/>
        <v>1</v>
      </c>
      <c r="AB1064" s="120">
        <f t="shared" si="197"/>
        <v>0</v>
      </c>
      <c r="AC1064" s="123">
        <v>0</v>
      </c>
      <c r="AD1064" s="123">
        <v>0</v>
      </c>
      <c r="AE1064" s="123">
        <f>1183</f>
        <v>1183</v>
      </c>
      <c r="AG1064" s="151">
        <f t="shared" si="193"/>
        <v>3588</v>
      </c>
      <c r="AH1064" s="123">
        <f>16436-1709-3537-192</f>
        <v>10998</v>
      </c>
      <c r="AL1064" s="123">
        <f>6630+780</f>
        <v>7410</v>
      </c>
      <c r="AM1064" s="123">
        <v>71167</v>
      </c>
    </row>
    <row r="1065" spans="1:39" s="123" customFormat="1" ht="16.2" thickBot="1" x14ac:dyDescent="0.35">
      <c r="A1065" s="21"/>
      <c r="B1065" s="212" t="s">
        <v>169</v>
      </c>
      <c r="C1065" s="31" t="str">
        <f>VLOOKUP((CONCATENATE(B1065)),ID!$A$2:$D$305,3,0)</f>
        <v>CN002</v>
      </c>
      <c r="D1065" s="21">
        <v>0</v>
      </c>
      <c r="E1065" s="21" t="s">
        <v>3945</v>
      </c>
      <c r="F1065" s="21" t="s">
        <v>3908</v>
      </c>
      <c r="G1065" s="21" t="s">
        <v>3853</v>
      </c>
      <c r="H1065" s="94">
        <v>4749</v>
      </c>
      <c r="I1065" s="43">
        <v>4812</v>
      </c>
      <c r="J1065" s="43">
        <v>4808</v>
      </c>
      <c r="K1065" s="21">
        <v>1</v>
      </c>
      <c r="L1065" s="43">
        <v>4809</v>
      </c>
      <c r="M1065" s="43">
        <v>4822</v>
      </c>
      <c r="N1065" s="43">
        <v>5187</v>
      </c>
      <c r="O1065" s="21" t="s">
        <v>4117</v>
      </c>
      <c r="P1065" s="194">
        <v>1</v>
      </c>
      <c r="Q1065" s="21">
        <v>1</v>
      </c>
      <c r="R1065" s="39" t="str">
        <f t="shared" si="201"/>
        <v>-</v>
      </c>
      <c r="S1065" s="120">
        <f t="shared" si="200"/>
        <v>54346</v>
      </c>
      <c r="T1065" s="123">
        <v>90731</v>
      </c>
      <c r="U1065" s="123">
        <f>1617+221</f>
        <v>1838</v>
      </c>
      <c r="V1065" s="123">
        <f t="shared" si="195"/>
        <v>88893</v>
      </c>
      <c r="W1065" s="122" t="str">
        <f t="shared" si="196"/>
        <v>1</v>
      </c>
      <c r="X1065" s="123">
        <f>528+28733+206+6918</f>
        <v>36385</v>
      </c>
      <c r="Z1065" s="123">
        <f t="shared" si="198"/>
        <v>36385</v>
      </c>
      <c r="AA1065" s="122" t="str">
        <f t="shared" si="199"/>
        <v>1</v>
      </c>
      <c r="AB1065" s="120">
        <f t="shared" si="197"/>
        <v>0</v>
      </c>
      <c r="AC1065" s="123">
        <v>0</v>
      </c>
      <c r="AD1065" s="123">
        <v>0</v>
      </c>
      <c r="AE1065" s="123">
        <v>1259</v>
      </c>
      <c r="AG1065" s="151">
        <f t="shared" si="193"/>
        <v>13618</v>
      </c>
      <c r="AH1065" s="123">
        <f>24566-3537</f>
        <v>21029</v>
      </c>
      <c r="AL1065" s="123">
        <f>781+6630</f>
        <v>7411</v>
      </c>
      <c r="AM1065" s="123">
        <v>91094</v>
      </c>
    </row>
    <row r="1066" spans="1:39" s="123" customFormat="1" ht="16.2" thickBot="1" x14ac:dyDescent="0.35">
      <c r="A1066" s="21"/>
      <c r="B1066" s="212" t="s">
        <v>169</v>
      </c>
      <c r="C1066" s="31" t="str">
        <f>VLOOKUP((CONCATENATE(B1066)),ID!$A$2:$D$305,3,0)</f>
        <v>CN002</v>
      </c>
      <c r="D1066" s="21">
        <v>0</v>
      </c>
      <c r="E1066" s="21" t="s">
        <v>3945</v>
      </c>
      <c r="F1066" s="21" t="s">
        <v>3861</v>
      </c>
      <c r="G1066" s="21" t="s">
        <v>3853</v>
      </c>
      <c r="H1066" s="94">
        <v>4930</v>
      </c>
      <c r="I1066" s="43">
        <v>5001</v>
      </c>
      <c r="J1066" s="43">
        <v>4986</v>
      </c>
      <c r="K1066" s="21">
        <v>1</v>
      </c>
      <c r="L1066" s="43">
        <v>4998</v>
      </c>
      <c r="M1066" s="43">
        <v>5011</v>
      </c>
      <c r="N1066" s="43">
        <v>5011</v>
      </c>
      <c r="O1066" s="21" t="s">
        <v>4117</v>
      </c>
      <c r="P1066" s="194">
        <v>1</v>
      </c>
      <c r="Q1066" s="21">
        <v>1</v>
      </c>
      <c r="R1066" s="39" t="str">
        <f t="shared" si="201"/>
        <v>-</v>
      </c>
      <c r="S1066" s="120">
        <f t="shared" si="200"/>
        <v>59308</v>
      </c>
      <c r="T1066" s="123">
        <v>97338</v>
      </c>
      <c r="U1066" s="123">
        <f>1467+208</f>
        <v>1675</v>
      </c>
      <c r="V1066" s="123">
        <f t="shared" si="195"/>
        <v>95663</v>
      </c>
      <c r="W1066" s="122" t="str">
        <f t="shared" si="196"/>
        <v>1</v>
      </c>
      <c r="X1066" s="123">
        <f>6918+206+30906</f>
        <v>38030</v>
      </c>
      <c r="Z1066" s="123">
        <f t="shared" si="198"/>
        <v>38030</v>
      </c>
      <c r="AA1066" s="122" t="str">
        <f t="shared" si="199"/>
        <v>1</v>
      </c>
      <c r="AB1066" s="120">
        <f t="shared" si="197"/>
        <v>0</v>
      </c>
      <c r="AC1066" s="123">
        <v>0</v>
      </c>
      <c r="AD1066" s="123">
        <v>0</v>
      </c>
      <c r="AE1066" s="123">
        <f>3741+1110</f>
        <v>4851</v>
      </c>
      <c r="AG1066" s="151">
        <f t="shared" si="193"/>
        <v>11189</v>
      </c>
      <c r="AH1066" s="123">
        <f>22211+77-152-3537</f>
        <v>18599</v>
      </c>
      <c r="AL1066" s="123">
        <f>6630+780</f>
        <v>7410</v>
      </c>
      <c r="AM1066" s="123">
        <v>88040</v>
      </c>
    </row>
    <row r="1067" spans="1:39" s="123" customFormat="1" ht="16.2" thickBot="1" x14ac:dyDescent="0.35">
      <c r="A1067" s="21"/>
      <c r="B1067" s="212" t="s">
        <v>169</v>
      </c>
      <c r="C1067" s="31" t="str">
        <f>VLOOKUP((CONCATENATE(B1067)),ID!$A$2:$D$305,3,0)</f>
        <v>CN002</v>
      </c>
      <c r="D1067" s="21">
        <v>0</v>
      </c>
      <c r="E1067" s="21" t="s">
        <v>3945</v>
      </c>
      <c r="F1067" s="21" t="s">
        <v>3908</v>
      </c>
      <c r="G1067" s="21" t="s">
        <v>3853</v>
      </c>
      <c r="H1067" s="94">
        <v>5114</v>
      </c>
      <c r="I1067" s="43">
        <v>5183</v>
      </c>
      <c r="J1067" s="43">
        <v>5175</v>
      </c>
      <c r="K1067" s="21">
        <v>1</v>
      </c>
      <c r="L1067" s="43">
        <v>5180</v>
      </c>
      <c r="M1067" s="43">
        <v>5193</v>
      </c>
      <c r="N1067" s="43">
        <v>5193</v>
      </c>
      <c r="O1067" s="21" t="s">
        <v>4118</v>
      </c>
      <c r="P1067" s="194">
        <v>1</v>
      </c>
      <c r="Q1067" s="21">
        <v>1</v>
      </c>
      <c r="R1067" s="39" t="str">
        <f t="shared" si="201"/>
        <v>-</v>
      </c>
      <c r="S1067" s="120">
        <f t="shared" si="200"/>
        <v>50602</v>
      </c>
      <c r="T1067" s="123">
        <v>84363</v>
      </c>
      <c r="U1067" s="123">
        <f>1317+195</f>
        <v>1512</v>
      </c>
      <c r="V1067" s="123">
        <f t="shared" si="195"/>
        <v>82851</v>
      </c>
      <c r="W1067" s="122" t="str">
        <f t="shared" si="196"/>
        <v>1</v>
      </c>
      <c r="X1067" s="123">
        <f>1982+24767+207+6805</f>
        <v>33761</v>
      </c>
      <c r="Z1067" s="123">
        <f t="shared" si="198"/>
        <v>33761</v>
      </c>
      <c r="AA1067" s="122" t="str">
        <f t="shared" si="199"/>
        <v>1</v>
      </c>
      <c r="AB1067" s="120">
        <f t="shared" si="197"/>
        <v>0</v>
      </c>
      <c r="AC1067" s="123">
        <v>0</v>
      </c>
      <c r="AD1067" s="123">
        <v>0</v>
      </c>
      <c r="AE1067" s="123">
        <v>1058</v>
      </c>
      <c r="AG1067" s="151">
        <f t="shared" si="193"/>
        <v>-2262</v>
      </c>
      <c r="AH1067" s="123">
        <f>119+8643-120-3537</f>
        <v>5105</v>
      </c>
      <c r="AL1067" s="123">
        <f>6630+737</f>
        <v>7367</v>
      </c>
      <c r="AM1067" s="123">
        <v>67250</v>
      </c>
    </row>
    <row r="1068" spans="1:39" s="123" customFormat="1" ht="16.2" thickBot="1" x14ac:dyDescent="0.35">
      <c r="A1068" s="21"/>
      <c r="B1068" s="212" t="s">
        <v>169</v>
      </c>
      <c r="C1068" s="31" t="str">
        <f>VLOOKUP((CONCATENATE(B1068)),ID!$A$2:$D$305,3,0)</f>
        <v>CN002</v>
      </c>
      <c r="D1068" s="21">
        <v>0</v>
      </c>
      <c r="E1068" s="21" t="s">
        <v>3945</v>
      </c>
      <c r="F1068" s="21" t="s">
        <v>3861</v>
      </c>
      <c r="G1068" s="21" t="s">
        <v>3853</v>
      </c>
      <c r="H1068" s="94">
        <v>5295</v>
      </c>
      <c r="I1068" s="43">
        <v>5365</v>
      </c>
      <c r="J1068" s="43">
        <v>5346</v>
      </c>
      <c r="K1068" s="21">
        <v>1</v>
      </c>
      <c r="L1068" s="43">
        <v>5362</v>
      </c>
      <c r="M1068" s="43">
        <v>5375</v>
      </c>
      <c r="N1068" s="43">
        <v>5375</v>
      </c>
      <c r="O1068" s="21" t="s">
        <v>4118</v>
      </c>
      <c r="P1068" s="194">
        <v>1</v>
      </c>
      <c r="Q1068" s="21">
        <v>1</v>
      </c>
      <c r="R1068" s="39" t="str">
        <f t="shared" si="201"/>
        <v>-</v>
      </c>
      <c r="S1068" s="120">
        <f t="shared" si="200"/>
        <v>51171</v>
      </c>
      <c r="T1068" s="123">
        <v>87390</v>
      </c>
      <c r="U1068" s="123">
        <f>1167+241</f>
        <v>1408</v>
      </c>
      <c r="V1068" s="123">
        <f t="shared" si="195"/>
        <v>85982</v>
      </c>
      <c r="W1068" s="122" t="str">
        <f t="shared" si="196"/>
        <v>1</v>
      </c>
      <c r="X1068" s="123">
        <f>29189+214+6816</f>
        <v>36219</v>
      </c>
      <c r="Z1068" s="123">
        <f t="shared" si="198"/>
        <v>36219</v>
      </c>
      <c r="AA1068" s="122" t="str">
        <f t="shared" si="199"/>
        <v>1</v>
      </c>
      <c r="AB1068" s="120">
        <f t="shared" si="197"/>
        <v>0</v>
      </c>
      <c r="AC1068" s="123">
        <v>0</v>
      </c>
      <c r="AD1068" s="123">
        <v>0</v>
      </c>
      <c r="AE1068" s="123">
        <f>1319+1142</f>
        <v>2461</v>
      </c>
      <c r="AG1068" s="151">
        <f t="shared" ref="AG1068:AG1121" si="202">AH1068-AL1068-AI1068</f>
        <v>8992</v>
      </c>
      <c r="AH1068" s="123">
        <f>20010-201-3537</f>
        <v>16272</v>
      </c>
      <c r="AL1068" s="123">
        <f>6639+641</f>
        <v>7280</v>
      </c>
      <c r="AM1068" s="123">
        <v>83385</v>
      </c>
    </row>
    <row r="1069" spans="1:39" s="123" customFormat="1" ht="16.2" thickBot="1" x14ac:dyDescent="0.35">
      <c r="A1069" s="21"/>
      <c r="B1069" s="212" t="s">
        <v>203</v>
      </c>
      <c r="C1069" s="31" t="str">
        <f>VLOOKUP((CONCATENATE(B1069)),ID!$A$2:$D$305,3,0)</f>
        <v>CN003</v>
      </c>
      <c r="D1069" s="21">
        <v>0</v>
      </c>
      <c r="E1069" s="21" t="s">
        <v>3945</v>
      </c>
      <c r="F1069" s="21" t="s">
        <v>3812</v>
      </c>
      <c r="G1069" s="21" t="s">
        <v>3853</v>
      </c>
      <c r="H1069" s="94">
        <v>3653</v>
      </c>
      <c r="I1069" s="43">
        <v>3936</v>
      </c>
      <c r="J1069" s="43">
        <v>3936</v>
      </c>
      <c r="K1069" s="21">
        <v>0</v>
      </c>
      <c r="L1069" s="43"/>
      <c r="M1069" s="43"/>
      <c r="N1069" s="43">
        <v>3701</v>
      </c>
      <c r="O1069" s="21" t="s">
        <v>3946</v>
      </c>
      <c r="P1069" s="194">
        <v>1</v>
      </c>
      <c r="Q1069" s="21">
        <v>1</v>
      </c>
      <c r="R1069" s="39" t="str">
        <f t="shared" si="201"/>
        <v>-</v>
      </c>
      <c r="S1069" s="120">
        <f t="shared" si="200"/>
        <v>271933</v>
      </c>
      <c r="T1069" s="123">
        <v>478308</v>
      </c>
      <c r="U1069" s="123">
        <f>61815+73080+6990</f>
        <v>141885</v>
      </c>
      <c r="V1069" s="123">
        <f t="shared" si="195"/>
        <v>336423</v>
      </c>
      <c r="W1069" s="122" t="str">
        <f t="shared" si="196"/>
        <v>1</v>
      </c>
      <c r="X1069" s="123">
        <f>103923+102452</f>
        <v>206375</v>
      </c>
      <c r="Z1069" s="123">
        <f t="shared" si="198"/>
        <v>206375</v>
      </c>
      <c r="AA1069" s="122" t="str">
        <f t="shared" si="199"/>
        <v>1</v>
      </c>
      <c r="AB1069" s="120">
        <f t="shared" si="197"/>
        <v>0</v>
      </c>
      <c r="AC1069" s="123">
        <v>0</v>
      </c>
      <c r="AD1069" s="123">
        <v>0</v>
      </c>
      <c r="AE1069" s="123">
        <f>147277+5574</f>
        <v>152851</v>
      </c>
      <c r="AG1069" s="151">
        <f t="shared" si="202"/>
        <v>16951</v>
      </c>
      <c r="AH1069" s="123">
        <f>168825-3130-12500</f>
        <v>153195</v>
      </c>
      <c r="AL1069" s="123">
        <f>175796-23922-12500-3130</f>
        <v>136244</v>
      </c>
    </row>
    <row r="1070" spans="1:39" s="123" customFormat="1" ht="16.2" thickBot="1" x14ac:dyDescent="0.35">
      <c r="A1070" s="21"/>
      <c r="B1070" s="212" t="s">
        <v>203</v>
      </c>
      <c r="C1070" s="31" t="str">
        <f>VLOOKUP((CONCATENATE(B1070)),ID!$A$2:$D$305,3,0)</f>
        <v>CN003</v>
      </c>
      <c r="D1070" s="21">
        <v>0</v>
      </c>
      <c r="E1070" s="21" t="s">
        <v>3945</v>
      </c>
      <c r="F1070" s="21" t="s">
        <v>3812</v>
      </c>
      <c r="G1070" s="21" t="s">
        <v>3853</v>
      </c>
      <c r="H1070" s="94">
        <v>3834</v>
      </c>
      <c r="I1070" s="43">
        <v>3862</v>
      </c>
      <c r="J1070" s="43">
        <v>3862</v>
      </c>
      <c r="K1070" s="21">
        <v>0</v>
      </c>
      <c r="L1070" s="43"/>
      <c r="M1070" s="43"/>
      <c r="N1070" s="43">
        <v>3869</v>
      </c>
      <c r="O1070" s="21" t="s">
        <v>3946</v>
      </c>
      <c r="P1070" s="194">
        <v>1</v>
      </c>
      <c r="Q1070" s="21">
        <v>1</v>
      </c>
      <c r="R1070" s="39" t="str">
        <f t="shared" si="201"/>
        <v>-</v>
      </c>
      <c r="S1070" s="120">
        <f t="shared" si="200"/>
        <v>272691</v>
      </c>
      <c r="T1070" s="123">
        <v>444774</v>
      </c>
      <c r="U1070" s="123">
        <f>73080+11815+50000</f>
        <v>134895</v>
      </c>
      <c r="V1070" s="123">
        <f t="shared" si="195"/>
        <v>309879</v>
      </c>
      <c r="W1070" s="122" t="str">
        <f t="shared" si="196"/>
        <v>1</v>
      </c>
      <c r="X1070" s="123">
        <f>80000+92083</f>
        <v>172083</v>
      </c>
      <c r="Z1070" s="123">
        <f t="shared" si="198"/>
        <v>172083</v>
      </c>
      <c r="AA1070" s="122" t="str">
        <f t="shared" si="199"/>
        <v>1</v>
      </c>
      <c r="AB1070" s="120">
        <f t="shared" si="197"/>
        <v>0</v>
      </c>
      <c r="AC1070" s="123">
        <v>0</v>
      </c>
      <c r="AD1070" s="123">
        <v>0</v>
      </c>
      <c r="AE1070" s="123">
        <f>102644+5110</f>
        <v>107754</v>
      </c>
      <c r="AG1070" s="151">
        <f t="shared" si="202"/>
        <v>6990</v>
      </c>
      <c r="AH1070" s="123">
        <f>158862-12500-3130</f>
        <v>143232</v>
      </c>
      <c r="AL1070" s="123">
        <f>158862-12500-3130-6990</f>
        <v>136242</v>
      </c>
    </row>
    <row r="1071" spans="1:39" s="123" customFormat="1" ht="16.2" thickBot="1" x14ac:dyDescent="0.35">
      <c r="A1071" s="21">
        <v>184.1</v>
      </c>
      <c r="B1071" s="212" t="s">
        <v>203</v>
      </c>
      <c r="C1071" s="31" t="str">
        <f>VLOOKUP((CONCATENATE(B1071)),ID!$A$2:$D$305,3,0)</f>
        <v>CN003</v>
      </c>
      <c r="D1071" s="21">
        <v>0</v>
      </c>
      <c r="E1071" s="21" t="s">
        <v>3945</v>
      </c>
      <c r="F1071" s="21" t="s">
        <v>3812</v>
      </c>
      <c r="G1071" s="21" t="s">
        <v>3853</v>
      </c>
      <c r="H1071" s="94">
        <v>4018</v>
      </c>
      <c r="I1071" s="43">
        <v>4058</v>
      </c>
      <c r="J1071" s="43">
        <v>4058</v>
      </c>
      <c r="K1071" s="21">
        <v>0</v>
      </c>
      <c r="L1071" s="21"/>
      <c r="M1071" s="21"/>
      <c r="N1071" s="43">
        <v>4065</v>
      </c>
      <c r="O1071" s="21" t="s">
        <v>3946</v>
      </c>
      <c r="P1071" s="194">
        <v>1</v>
      </c>
      <c r="Q1071" s="21">
        <v>1</v>
      </c>
      <c r="R1071" s="39" t="str">
        <f t="shared" si="201"/>
        <v>-</v>
      </c>
      <c r="S1071" s="120">
        <f t="shared" si="200"/>
        <v>273447</v>
      </c>
      <c r="T1071" s="123">
        <v>480204</v>
      </c>
      <c r="U1071" s="123">
        <f>50000+11815+73080</f>
        <v>134895</v>
      </c>
      <c r="V1071" s="123">
        <f t="shared" si="195"/>
        <v>345309</v>
      </c>
      <c r="W1071" s="122" t="str">
        <f t="shared" si="196"/>
        <v>1</v>
      </c>
      <c r="X1071" s="123">
        <f>101830+104927</f>
        <v>206757</v>
      </c>
      <c r="Z1071" s="123">
        <f t="shared" si="198"/>
        <v>206757</v>
      </c>
      <c r="AA1071" s="122" t="str">
        <f t="shared" si="199"/>
        <v>1</v>
      </c>
      <c r="AB1071" s="120">
        <f t="shared" si="197"/>
        <v>0</v>
      </c>
      <c r="AC1071" s="123">
        <v>0</v>
      </c>
      <c r="AD1071" s="123">
        <v>0</v>
      </c>
      <c r="AE1071" s="123">
        <f>138759+4105</f>
        <v>142864</v>
      </c>
      <c r="AG1071" s="151">
        <f t="shared" si="202"/>
        <v>21829</v>
      </c>
      <c r="AH1071" s="123">
        <f>175809-3130-12500</f>
        <v>160179</v>
      </c>
      <c r="AL1071" s="123">
        <f>175809-21829-12500-3130</f>
        <v>138350</v>
      </c>
    </row>
    <row r="1072" spans="1:39" s="123" customFormat="1" ht="16.2" thickBot="1" x14ac:dyDescent="0.35">
      <c r="A1072" s="21">
        <v>184.2</v>
      </c>
      <c r="B1072" s="212" t="s">
        <v>203</v>
      </c>
      <c r="C1072" s="31" t="str">
        <f>VLOOKUP((CONCATENATE(B1072)),ID!$A$2:$D$305,3,0)</f>
        <v>CN003</v>
      </c>
      <c r="D1072" s="21">
        <v>0</v>
      </c>
      <c r="E1072" s="21" t="s">
        <v>3945</v>
      </c>
      <c r="F1072" s="21" t="s">
        <v>3812</v>
      </c>
      <c r="G1072" s="21" t="s">
        <v>3853</v>
      </c>
      <c r="H1072" s="94">
        <v>4199</v>
      </c>
      <c r="I1072" s="43">
        <v>4226</v>
      </c>
      <c r="J1072" s="43">
        <v>4226</v>
      </c>
      <c r="K1072" s="21">
        <v>0</v>
      </c>
      <c r="L1072" s="21"/>
      <c r="M1072" s="21"/>
      <c r="N1072" s="43">
        <v>4233</v>
      </c>
      <c r="O1072" s="21" t="s">
        <v>3946</v>
      </c>
      <c r="P1072" s="194">
        <v>1</v>
      </c>
      <c r="Q1072" s="21">
        <v>1</v>
      </c>
      <c r="R1072" s="39" t="str">
        <f t="shared" si="201"/>
        <v>-</v>
      </c>
      <c r="S1072" s="120">
        <f t="shared" si="200"/>
        <v>261742</v>
      </c>
      <c r="T1072" s="123">
        <v>466161</v>
      </c>
      <c r="U1072" s="123">
        <f>73080+11815</f>
        <v>84895</v>
      </c>
      <c r="V1072" s="123">
        <f t="shared" si="195"/>
        <v>381266</v>
      </c>
      <c r="W1072" s="122" t="str">
        <f t="shared" si="196"/>
        <v>1</v>
      </c>
      <c r="X1072" s="123">
        <f>80000+124419</f>
        <v>204419</v>
      </c>
      <c r="Z1072" s="123">
        <f t="shared" si="198"/>
        <v>204419</v>
      </c>
      <c r="AA1072" s="122" t="str">
        <f t="shared" si="199"/>
        <v>1</v>
      </c>
      <c r="AB1072" s="120">
        <f t="shared" si="197"/>
        <v>0</v>
      </c>
      <c r="AC1072" s="123">
        <v>0</v>
      </c>
      <c r="AD1072" s="123">
        <v>0</v>
      </c>
      <c r="AE1072" s="123">
        <f>194098+4536</f>
        <v>198634</v>
      </c>
      <c r="AG1072" s="151">
        <f t="shared" si="202"/>
        <v>-6382</v>
      </c>
      <c r="AH1072" s="123">
        <f>145490-3130-12500</f>
        <v>129860</v>
      </c>
      <c r="AL1072" s="123">
        <f>151872-3130-12500</f>
        <v>136242</v>
      </c>
    </row>
    <row r="1073" spans="1:39" s="123" customFormat="1" ht="16.2" thickBot="1" x14ac:dyDescent="0.35">
      <c r="A1073" s="21">
        <v>184.3</v>
      </c>
      <c r="B1073" s="212" t="s">
        <v>203</v>
      </c>
      <c r="C1073" s="31" t="str">
        <f>VLOOKUP((CONCATENATE(B1073)),ID!$A$2:$D$305,3,0)</f>
        <v>CN003</v>
      </c>
      <c r="D1073" s="21">
        <v>0</v>
      </c>
      <c r="E1073" s="21" t="s">
        <v>3945</v>
      </c>
      <c r="F1073" s="21" t="s">
        <v>3812</v>
      </c>
      <c r="G1073" s="21" t="s">
        <v>3853</v>
      </c>
      <c r="H1073" s="94">
        <v>4383</v>
      </c>
      <c r="I1073" s="43">
        <v>4428</v>
      </c>
      <c r="J1073" s="43">
        <v>4428</v>
      </c>
      <c r="K1073" s="21">
        <v>0</v>
      </c>
      <c r="L1073" s="21"/>
      <c r="M1073" s="21"/>
      <c r="N1073" s="43">
        <v>4436</v>
      </c>
      <c r="O1073" s="21" t="s">
        <v>3946</v>
      </c>
      <c r="P1073" s="194">
        <v>1</v>
      </c>
      <c r="Q1073" s="21">
        <v>1</v>
      </c>
      <c r="R1073" s="39" t="str">
        <f t="shared" si="201"/>
        <v>-</v>
      </c>
      <c r="S1073" s="120">
        <f t="shared" si="200"/>
        <v>232218</v>
      </c>
      <c r="T1073" s="123">
        <v>460533</v>
      </c>
      <c r="U1073" s="123">
        <f>11815+73080</f>
        <v>84895</v>
      </c>
      <c r="V1073" s="123">
        <f t="shared" si="195"/>
        <v>375638</v>
      </c>
      <c r="W1073" s="122" t="str">
        <f t="shared" si="196"/>
        <v>1</v>
      </c>
      <c r="X1073" s="123">
        <f>88489+139826</f>
        <v>228315</v>
      </c>
      <c r="Z1073" s="123">
        <f t="shared" si="198"/>
        <v>228315</v>
      </c>
      <c r="AA1073" s="122" t="str">
        <f t="shared" si="199"/>
        <v>1</v>
      </c>
      <c r="AB1073" s="120">
        <f t="shared" si="197"/>
        <v>0</v>
      </c>
      <c r="AC1073" s="123">
        <v>0</v>
      </c>
      <c r="AD1073" s="123">
        <v>0</v>
      </c>
      <c r="AE1073" s="123">
        <f>146364+8095</f>
        <v>154459</v>
      </c>
      <c r="AG1073" s="151">
        <f t="shared" si="202"/>
        <v>7330</v>
      </c>
      <c r="AH1073" s="123">
        <f>159204-3130-12500</f>
        <v>143574</v>
      </c>
      <c r="AL1073" s="123">
        <f>159204-949-12500-3130-6381</f>
        <v>136244</v>
      </c>
    </row>
    <row r="1074" spans="1:39" s="123" customFormat="1" ht="16.2" thickBot="1" x14ac:dyDescent="0.35">
      <c r="A1074" s="21">
        <v>184.4</v>
      </c>
      <c r="B1074" s="212" t="s">
        <v>203</v>
      </c>
      <c r="C1074" s="31" t="str">
        <f>VLOOKUP((CONCATENATE(B1074)),ID!$A$2:$D$305,3,0)</f>
        <v>CN003</v>
      </c>
      <c r="D1074" s="21">
        <v>0</v>
      </c>
      <c r="E1074" s="21" t="s">
        <v>3945</v>
      </c>
      <c r="F1074" s="21" t="s">
        <v>3812</v>
      </c>
      <c r="G1074" s="21" t="s">
        <v>3853</v>
      </c>
      <c r="H1074" s="94">
        <v>4565</v>
      </c>
      <c r="I1074" s="43">
        <v>4597</v>
      </c>
      <c r="J1074" s="43">
        <v>4597</v>
      </c>
      <c r="K1074" s="21">
        <v>0</v>
      </c>
      <c r="L1074" s="21"/>
      <c r="M1074" s="21"/>
      <c r="N1074" s="43">
        <v>4604</v>
      </c>
      <c r="O1074" s="21" t="s">
        <v>3946</v>
      </c>
      <c r="P1074" s="194">
        <v>1</v>
      </c>
      <c r="Q1074" s="21">
        <v>1</v>
      </c>
      <c r="R1074" s="39" t="str">
        <f t="shared" si="201"/>
        <v>-</v>
      </c>
      <c r="S1074" s="120">
        <f t="shared" si="200"/>
        <v>220192</v>
      </c>
      <c r="T1074" s="123">
        <v>453700</v>
      </c>
      <c r="U1074" s="123">
        <f>11815+73080+17896</f>
        <v>102791</v>
      </c>
      <c r="V1074" s="123">
        <f t="shared" si="195"/>
        <v>350909</v>
      </c>
      <c r="W1074" s="122" t="str">
        <f t="shared" si="196"/>
        <v>1</v>
      </c>
      <c r="X1074" s="123">
        <f>80000+153508</f>
        <v>233508</v>
      </c>
      <c r="Z1074" s="123">
        <f t="shared" si="198"/>
        <v>233508</v>
      </c>
      <c r="AA1074" s="122" t="str">
        <f t="shared" si="199"/>
        <v>1</v>
      </c>
      <c r="AB1074" s="120">
        <f t="shared" si="197"/>
        <v>0</v>
      </c>
      <c r="AC1074" s="123">
        <v>0</v>
      </c>
      <c r="AD1074" s="123">
        <v>0</v>
      </c>
      <c r="AE1074" s="123">
        <f>138014+4583</f>
        <v>142597</v>
      </c>
      <c r="AG1074" s="151">
        <f t="shared" si="202"/>
        <v>-18846</v>
      </c>
      <c r="AH1074" s="123">
        <f>131679+1347-3130-12500</f>
        <v>117396</v>
      </c>
      <c r="AL1074" s="123">
        <f>151872-12500-3130</f>
        <v>136242</v>
      </c>
    </row>
    <row r="1075" spans="1:39" s="123" customFormat="1" ht="16.2" thickBot="1" x14ac:dyDescent="0.35">
      <c r="A1075" s="21"/>
      <c r="B1075" s="212" t="s">
        <v>203</v>
      </c>
      <c r="C1075" s="31" t="str">
        <f>VLOOKUP((CONCATENATE(B1075)),ID!$A$2:$D$305,3,0)</f>
        <v>CN003</v>
      </c>
      <c r="D1075" s="21">
        <v>0</v>
      </c>
      <c r="E1075" s="21" t="s">
        <v>3945</v>
      </c>
      <c r="F1075" s="21" t="s">
        <v>3812</v>
      </c>
      <c r="G1075" s="21" t="s">
        <v>3853</v>
      </c>
      <c r="H1075" s="94">
        <v>4749</v>
      </c>
      <c r="I1075" s="43">
        <v>4793</v>
      </c>
      <c r="J1075" s="43">
        <v>4793</v>
      </c>
      <c r="K1075" s="21">
        <v>0</v>
      </c>
      <c r="L1075" s="21"/>
      <c r="M1075" s="21"/>
      <c r="N1075" s="43">
        <v>4800</v>
      </c>
      <c r="O1075" s="21" t="s">
        <v>3946</v>
      </c>
      <c r="P1075" s="194">
        <v>1</v>
      </c>
      <c r="Q1075" s="21">
        <v>1</v>
      </c>
      <c r="R1075" s="39" t="str">
        <f t="shared" si="201"/>
        <v>-</v>
      </c>
      <c r="S1075" s="120">
        <f t="shared" si="200"/>
        <v>215585</v>
      </c>
      <c r="T1075" s="123">
        <v>483900</v>
      </c>
      <c r="U1075" s="123">
        <f>73080+9165</f>
        <v>82245</v>
      </c>
      <c r="V1075" s="123">
        <f t="shared" si="195"/>
        <v>401655</v>
      </c>
      <c r="W1075" s="122" t="str">
        <f t="shared" si="196"/>
        <v>1</v>
      </c>
      <c r="X1075" s="123">
        <f>98847+169468</f>
        <v>268315</v>
      </c>
      <c r="Z1075" s="123">
        <f t="shared" si="198"/>
        <v>268315</v>
      </c>
      <c r="AA1075" s="122" t="str">
        <f t="shared" si="199"/>
        <v>1</v>
      </c>
      <c r="AB1075" s="120">
        <f t="shared" si="197"/>
        <v>0</v>
      </c>
      <c r="AC1075" s="123">
        <v>0</v>
      </c>
      <c r="AD1075" s="123">
        <v>0</v>
      </c>
      <c r="AE1075" s="123">
        <f>8679+158413</f>
        <v>167092</v>
      </c>
      <c r="AG1075" s="151">
        <f t="shared" si="202"/>
        <v>29320</v>
      </c>
      <c r="AH1075" s="123">
        <f>183843-3130-12500-AK1075</f>
        <v>165564</v>
      </c>
      <c r="AK1075" s="123">
        <v>2649</v>
      </c>
      <c r="AL1075" s="123">
        <f>183843-11424-2649-12500-3130-17896</f>
        <v>136244</v>
      </c>
    </row>
    <row r="1076" spans="1:39" s="123" customFormat="1" ht="16.2" thickBot="1" x14ac:dyDescent="0.35">
      <c r="A1076" s="21"/>
      <c r="B1076" s="212" t="s">
        <v>203</v>
      </c>
      <c r="C1076" s="31" t="str">
        <f>VLOOKUP((CONCATENATE(B1076)),ID!$A$2:$D$305,3,0)</f>
        <v>CN003</v>
      </c>
      <c r="D1076" s="21">
        <v>1</v>
      </c>
      <c r="E1076" s="21" t="s">
        <v>3945</v>
      </c>
      <c r="F1076" s="21" t="s">
        <v>3812</v>
      </c>
      <c r="G1076" s="21" t="s">
        <v>3853</v>
      </c>
      <c r="H1076" s="94">
        <v>5114</v>
      </c>
      <c r="I1076" s="43">
        <v>5164</v>
      </c>
      <c r="J1076" s="43">
        <v>5164</v>
      </c>
      <c r="K1076" s="21">
        <v>0</v>
      </c>
      <c r="L1076" s="21"/>
      <c r="M1076" s="21"/>
      <c r="N1076" s="43">
        <v>5171</v>
      </c>
      <c r="O1076" s="21" t="s">
        <v>3946</v>
      </c>
      <c r="P1076" s="194" t="str">
        <f t="shared" si="194"/>
        <v>1</v>
      </c>
      <c r="Q1076" s="21">
        <v>1</v>
      </c>
      <c r="R1076" s="39" t="str">
        <f t="shared" si="201"/>
        <v>-</v>
      </c>
      <c r="S1076" s="120">
        <f t="shared" si="200"/>
        <v>253224</v>
      </c>
      <c r="T1076" s="123">
        <v>466964</v>
      </c>
      <c r="U1076" s="123">
        <f>73080+9165</f>
        <v>82245</v>
      </c>
      <c r="V1076" s="123">
        <f t="shared" si="195"/>
        <v>384719</v>
      </c>
      <c r="W1076" s="122" t="str">
        <f t="shared" si="196"/>
        <v>1</v>
      </c>
      <c r="X1076" s="123">
        <f>T1076-203917-3141-46166</f>
        <v>213740</v>
      </c>
      <c r="Z1076" s="123">
        <f t="shared" si="198"/>
        <v>213740</v>
      </c>
      <c r="AA1076" s="122" t="str">
        <f t="shared" si="199"/>
        <v>1</v>
      </c>
      <c r="AB1076" s="120">
        <f t="shared" si="197"/>
        <v>0</v>
      </c>
      <c r="AC1076" s="123">
        <v>0</v>
      </c>
      <c r="AD1076" s="123">
        <v>0</v>
      </c>
      <c r="AE1076" s="123">
        <v>129606</v>
      </c>
      <c r="AG1076" s="151">
        <f t="shared" si="202"/>
        <v>203917</v>
      </c>
      <c r="AH1076" s="123">
        <f>AM1076-16829221+AL1076</f>
        <v>2435880</v>
      </c>
      <c r="AJ1076" s="123">
        <v>23877</v>
      </c>
      <c r="AL1076" s="123">
        <f>1170733+1061230</f>
        <v>2231963</v>
      </c>
      <c r="AM1076" s="123">
        <v>17033138</v>
      </c>
    </row>
    <row r="1077" spans="1:39" s="123" customFormat="1" ht="16.2" thickBot="1" x14ac:dyDescent="0.35">
      <c r="A1077" s="21"/>
      <c r="B1077" s="212" t="s">
        <v>269</v>
      </c>
      <c r="C1077" s="31" t="str">
        <f>VLOOKUP((CONCATENATE(B1077)),ID!$A$2:$D$305,3,0)</f>
        <v>CN004</v>
      </c>
      <c r="D1077" s="21">
        <v>0</v>
      </c>
      <c r="E1077" s="21" t="s">
        <v>3945</v>
      </c>
      <c r="F1077" s="21" t="s">
        <v>1117</v>
      </c>
      <c r="G1077" s="21" t="s">
        <v>3853</v>
      </c>
      <c r="H1077" s="94">
        <v>3653</v>
      </c>
      <c r="I1077" s="43">
        <v>3687</v>
      </c>
      <c r="J1077" s="43">
        <v>3692</v>
      </c>
      <c r="K1077" s="21">
        <v>1</v>
      </c>
      <c r="L1077" s="43">
        <f>M1077-13</f>
        <v>3696</v>
      </c>
      <c r="M1077" s="43">
        <v>3709</v>
      </c>
      <c r="N1077" s="43">
        <v>3709</v>
      </c>
      <c r="O1077" s="21" t="s">
        <v>3947</v>
      </c>
      <c r="P1077" s="194">
        <v>1</v>
      </c>
      <c r="Q1077" s="21">
        <v>1</v>
      </c>
      <c r="R1077" s="39" t="str">
        <f t="shared" si="201"/>
        <v>-</v>
      </c>
      <c r="S1077" s="120">
        <f t="shared" si="200"/>
        <v>23704</v>
      </c>
      <c r="T1077" s="123">
        <v>38404</v>
      </c>
      <c r="V1077" s="123">
        <f t="shared" si="195"/>
        <v>38404</v>
      </c>
      <c r="W1077" s="122" t="str">
        <f t="shared" si="196"/>
        <v>1</v>
      </c>
      <c r="X1077" s="123">
        <f>10300+4400</f>
        <v>14700</v>
      </c>
      <c r="Z1077" s="123">
        <f t="shared" si="198"/>
        <v>14700</v>
      </c>
      <c r="AA1077" s="122" t="str">
        <f t="shared" si="199"/>
        <v>1</v>
      </c>
      <c r="AB1077" s="120">
        <f t="shared" si="197"/>
        <v>0</v>
      </c>
      <c r="AC1077" s="123">
        <v>0</v>
      </c>
      <c r="AD1077" s="123">
        <v>0</v>
      </c>
      <c r="AE1077" s="123">
        <v>18918</v>
      </c>
      <c r="AG1077" s="151">
        <f t="shared" si="202"/>
        <v>15281</v>
      </c>
      <c r="AH1077" s="123">
        <f>26132+108</f>
        <v>26240</v>
      </c>
      <c r="AL1077" s="123">
        <v>10959</v>
      </c>
    </row>
    <row r="1078" spans="1:39" s="123" customFormat="1" ht="16.2" thickBot="1" x14ac:dyDescent="0.35">
      <c r="A1078" s="21"/>
      <c r="B1078" s="212" t="s">
        <v>269</v>
      </c>
      <c r="C1078" s="31" t="str">
        <f>VLOOKUP((CONCATENATE(B1078)),ID!$A$2:$D$305,3,0)</f>
        <v>CN004</v>
      </c>
      <c r="D1078" s="21">
        <v>0</v>
      </c>
      <c r="E1078" s="21" t="s">
        <v>3945</v>
      </c>
      <c r="F1078" s="21" t="s">
        <v>1117</v>
      </c>
      <c r="G1078" s="21" t="s">
        <v>3853</v>
      </c>
      <c r="H1078" s="94">
        <v>3834</v>
      </c>
      <c r="I1078" s="43">
        <v>3848</v>
      </c>
      <c r="J1078" s="43">
        <v>3856</v>
      </c>
      <c r="K1078" s="21">
        <v>1</v>
      </c>
      <c r="L1078" s="43">
        <v>3857</v>
      </c>
      <c r="M1078" s="43">
        <v>3870</v>
      </c>
      <c r="N1078" s="43">
        <v>3870</v>
      </c>
      <c r="O1078" s="21" t="s">
        <v>3947</v>
      </c>
      <c r="P1078" s="194">
        <v>1</v>
      </c>
      <c r="Q1078" s="21">
        <v>1</v>
      </c>
      <c r="R1078" s="39" t="str">
        <f t="shared" si="201"/>
        <v>-</v>
      </c>
      <c r="S1078" s="120">
        <f t="shared" si="200"/>
        <v>21100</v>
      </c>
      <c r="T1078" s="123">
        <v>40852</v>
      </c>
      <c r="V1078" s="123">
        <f t="shared" si="195"/>
        <v>40852</v>
      </c>
      <c r="W1078" s="122" t="str">
        <f t="shared" si="196"/>
        <v>1</v>
      </c>
      <c r="X1078" s="123">
        <f>5606+3826+10320</f>
        <v>19752</v>
      </c>
      <c r="Z1078" s="123">
        <f t="shared" si="198"/>
        <v>19752</v>
      </c>
      <c r="AA1078" s="122" t="str">
        <f t="shared" si="199"/>
        <v>1</v>
      </c>
      <c r="AB1078" s="120">
        <f t="shared" si="197"/>
        <v>0</v>
      </c>
      <c r="AC1078" s="123">
        <v>0</v>
      </c>
      <c r="AD1078" s="123">
        <v>0</v>
      </c>
      <c r="AE1078" s="123">
        <v>19521</v>
      </c>
      <c r="AG1078" s="151">
        <f t="shared" si="202"/>
        <v>11161</v>
      </c>
      <c r="AH1078" s="123">
        <f>22017+103</f>
        <v>22120</v>
      </c>
      <c r="AL1078" s="123">
        <v>10959</v>
      </c>
    </row>
    <row r="1079" spans="1:39" s="123" customFormat="1" ht="16.2" thickBot="1" x14ac:dyDescent="0.35">
      <c r="A1079" s="21">
        <v>185.1</v>
      </c>
      <c r="B1079" s="212" t="s">
        <v>269</v>
      </c>
      <c r="C1079" s="31" t="str">
        <f>VLOOKUP((CONCATENATE(B1079)),ID!$A$2:$D$305,3,0)</f>
        <v>CN004</v>
      </c>
      <c r="D1079" s="21">
        <v>0</v>
      </c>
      <c r="E1079" s="21" t="s">
        <v>3945</v>
      </c>
      <c r="F1079" s="21" t="s">
        <v>1117</v>
      </c>
      <c r="G1079" s="21" t="s">
        <v>3853</v>
      </c>
      <c r="H1079" s="94">
        <v>4018</v>
      </c>
      <c r="I1079" s="43">
        <v>4055</v>
      </c>
      <c r="J1079" s="43">
        <v>4057</v>
      </c>
      <c r="K1079" s="21">
        <v>1</v>
      </c>
      <c r="L1079" s="43">
        <v>4064</v>
      </c>
      <c r="M1079" s="43">
        <v>4077</v>
      </c>
      <c r="N1079" s="43">
        <v>4077</v>
      </c>
      <c r="O1079" s="21" t="s">
        <v>3947</v>
      </c>
      <c r="P1079" s="194">
        <v>1</v>
      </c>
      <c r="Q1079" s="21">
        <v>1</v>
      </c>
      <c r="R1079" s="39" t="str">
        <f t="shared" si="201"/>
        <v>-</v>
      </c>
      <c r="S1079" s="120">
        <f t="shared" si="200"/>
        <v>22938</v>
      </c>
      <c r="T1079" s="123">
        <v>41718</v>
      </c>
      <c r="V1079" s="123">
        <f t="shared" si="195"/>
        <v>41718</v>
      </c>
      <c r="W1079" s="122" t="str">
        <f t="shared" si="196"/>
        <v>1</v>
      </c>
      <c r="X1079" s="123">
        <f>4901+3559+10320</f>
        <v>18780</v>
      </c>
      <c r="Z1079" s="123">
        <f t="shared" si="198"/>
        <v>18780</v>
      </c>
      <c r="AA1079" s="122" t="str">
        <f t="shared" si="199"/>
        <v>1</v>
      </c>
      <c r="AB1079" s="120">
        <f t="shared" si="197"/>
        <v>0</v>
      </c>
      <c r="AC1079" s="123">
        <v>0</v>
      </c>
      <c r="AD1079" s="123">
        <v>0</v>
      </c>
      <c r="AE1079" s="123">
        <v>22856</v>
      </c>
      <c r="AG1079" s="151">
        <f t="shared" si="202"/>
        <v>13881</v>
      </c>
      <c r="AH1079" s="123">
        <f>25390-550</f>
        <v>24840</v>
      </c>
      <c r="AL1079" s="123">
        <v>10959</v>
      </c>
    </row>
    <row r="1080" spans="1:39" s="123" customFormat="1" ht="16.2" thickBot="1" x14ac:dyDescent="0.35">
      <c r="A1080" s="21">
        <v>185.2</v>
      </c>
      <c r="B1080" s="212" t="s">
        <v>269</v>
      </c>
      <c r="C1080" s="31" t="str">
        <f>VLOOKUP((CONCATENATE(B1080)),ID!$A$2:$D$305,3,0)</f>
        <v>CN004</v>
      </c>
      <c r="D1080" s="21">
        <v>0</v>
      </c>
      <c r="E1080" s="21" t="s">
        <v>3945</v>
      </c>
      <c r="F1080" s="21" t="s">
        <v>1117</v>
      </c>
      <c r="G1080" s="21" t="s">
        <v>3853</v>
      </c>
      <c r="H1080" s="94">
        <v>4199</v>
      </c>
      <c r="I1080" s="43">
        <v>4210</v>
      </c>
      <c r="J1080" s="43">
        <v>4220</v>
      </c>
      <c r="K1080" s="21">
        <v>1</v>
      </c>
      <c r="L1080" s="43">
        <v>4218</v>
      </c>
      <c r="M1080" s="43">
        <v>4231</v>
      </c>
      <c r="N1080" s="43">
        <v>4231</v>
      </c>
      <c r="O1080" s="21" t="s">
        <v>3947</v>
      </c>
      <c r="P1080" s="194">
        <v>1</v>
      </c>
      <c r="Q1080" s="21">
        <v>1</v>
      </c>
      <c r="R1080" s="39" t="str">
        <f t="shared" si="201"/>
        <v>-</v>
      </c>
      <c r="S1080" s="120">
        <f t="shared" si="200"/>
        <v>21726</v>
      </c>
      <c r="T1080" s="123">
        <v>40006</v>
      </c>
      <c r="V1080" s="123">
        <f t="shared" si="195"/>
        <v>40006</v>
      </c>
      <c r="W1080" s="122" t="str">
        <f t="shared" si="196"/>
        <v>1</v>
      </c>
      <c r="X1080" s="123">
        <f>6+10320+3559+4395</f>
        <v>18280</v>
      </c>
      <c r="Z1080" s="123">
        <f t="shared" si="198"/>
        <v>18280</v>
      </c>
      <c r="AA1080" s="122" t="str">
        <f t="shared" si="199"/>
        <v>1</v>
      </c>
      <c r="AB1080" s="120">
        <f t="shared" si="197"/>
        <v>0</v>
      </c>
      <c r="AC1080" s="123">
        <v>0</v>
      </c>
      <c r="AD1080" s="123">
        <v>0</v>
      </c>
      <c r="AE1080" s="123">
        <v>18789</v>
      </c>
      <c r="AG1080" s="151">
        <f t="shared" si="202"/>
        <v>12017</v>
      </c>
      <c r="AH1080" s="123">
        <f>23665-689</f>
        <v>22976</v>
      </c>
      <c r="AL1080" s="123">
        <v>10959</v>
      </c>
    </row>
    <row r="1081" spans="1:39" s="123" customFormat="1" ht="16.2" thickBot="1" x14ac:dyDescent="0.35">
      <c r="A1081" s="21">
        <v>185.3</v>
      </c>
      <c r="B1081" s="212" t="s">
        <v>269</v>
      </c>
      <c r="C1081" s="31" t="str">
        <f>VLOOKUP((CONCATENATE(B1081)),ID!$A$2:$D$305,3,0)</f>
        <v>CN004</v>
      </c>
      <c r="D1081" s="21">
        <v>0</v>
      </c>
      <c r="E1081" s="21" t="s">
        <v>3945</v>
      </c>
      <c r="F1081" s="21" t="s">
        <v>1117</v>
      </c>
      <c r="G1081" s="21" t="s">
        <v>3853</v>
      </c>
      <c r="H1081" s="94">
        <v>4383</v>
      </c>
      <c r="I1081" s="43">
        <v>4419</v>
      </c>
      <c r="J1081" s="43">
        <v>4423</v>
      </c>
      <c r="K1081" s="21">
        <v>1</v>
      </c>
      <c r="L1081" s="43">
        <v>4428</v>
      </c>
      <c r="M1081" s="43">
        <v>4441</v>
      </c>
      <c r="N1081" s="43">
        <v>4441</v>
      </c>
      <c r="O1081" s="21" t="s">
        <v>3947</v>
      </c>
      <c r="P1081" s="194">
        <v>1</v>
      </c>
      <c r="Q1081" s="21">
        <v>1</v>
      </c>
      <c r="R1081" s="39" t="str">
        <f t="shared" si="201"/>
        <v>-</v>
      </c>
      <c r="S1081" s="120">
        <f t="shared" si="200"/>
        <v>23516</v>
      </c>
      <c r="T1081" s="123">
        <v>43511</v>
      </c>
      <c r="V1081" s="123">
        <f t="shared" si="195"/>
        <v>43511</v>
      </c>
      <c r="W1081" s="122" t="str">
        <f t="shared" si="196"/>
        <v>1</v>
      </c>
      <c r="X1081" s="123">
        <f>5919+3559+10320+197</f>
        <v>19995</v>
      </c>
      <c r="Z1081" s="123">
        <f t="shared" si="198"/>
        <v>19995</v>
      </c>
      <c r="AA1081" s="122" t="str">
        <f t="shared" si="199"/>
        <v>1</v>
      </c>
      <c r="AB1081" s="120">
        <f t="shared" si="197"/>
        <v>0</v>
      </c>
      <c r="AC1081" s="123">
        <v>0</v>
      </c>
      <c r="AD1081" s="123">
        <v>0</v>
      </c>
      <c r="AE1081" s="123">
        <f>22337</f>
        <v>22337</v>
      </c>
      <c r="AG1081" s="151">
        <f t="shared" si="202"/>
        <v>14008</v>
      </c>
      <c r="AH1081" s="123">
        <f>25542-575</f>
        <v>24967</v>
      </c>
      <c r="AL1081" s="123">
        <v>10959</v>
      </c>
    </row>
    <row r="1082" spans="1:39" s="123" customFormat="1" ht="16.2" thickBot="1" x14ac:dyDescent="0.35">
      <c r="A1082" s="21">
        <v>185.4</v>
      </c>
      <c r="B1082" s="212" t="s">
        <v>269</v>
      </c>
      <c r="C1082" s="31" t="str">
        <f>VLOOKUP((CONCATENATE(B1082)),ID!$A$2:$D$305,3,0)</f>
        <v>CN004</v>
      </c>
      <c r="D1082" s="21">
        <v>0</v>
      </c>
      <c r="E1082" s="21" t="s">
        <v>3945</v>
      </c>
      <c r="F1082" s="21" t="s">
        <v>1117</v>
      </c>
      <c r="G1082" s="21" t="s">
        <v>3853</v>
      </c>
      <c r="H1082" s="94">
        <v>4565</v>
      </c>
      <c r="I1082" s="43">
        <v>4576</v>
      </c>
      <c r="J1082" s="43">
        <v>4582</v>
      </c>
      <c r="K1082" s="21">
        <v>1</v>
      </c>
      <c r="L1082" s="43">
        <v>4584</v>
      </c>
      <c r="M1082" s="43">
        <v>4597</v>
      </c>
      <c r="N1082" s="43">
        <v>4597</v>
      </c>
      <c r="O1082" s="21" t="s">
        <v>3947</v>
      </c>
      <c r="P1082" s="194">
        <v>1</v>
      </c>
      <c r="Q1082" s="21">
        <v>1</v>
      </c>
      <c r="R1082" s="39" t="str">
        <f t="shared" si="201"/>
        <v>-</v>
      </c>
      <c r="S1082" s="120">
        <f t="shared" si="200"/>
        <v>16792</v>
      </c>
      <c r="T1082" s="123">
        <v>34098</v>
      </c>
      <c r="V1082" s="123">
        <f t="shared" si="195"/>
        <v>34098</v>
      </c>
      <c r="W1082" s="122" t="str">
        <f t="shared" si="196"/>
        <v>1</v>
      </c>
      <c r="X1082" s="123">
        <f>3427+3559+10320</f>
        <v>17306</v>
      </c>
      <c r="Z1082" s="123">
        <f t="shared" si="198"/>
        <v>17306</v>
      </c>
      <c r="AA1082" s="122" t="str">
        <f t="shared" si="199"/>
        <v>1</v>
      </c>
      <c r="AB1082" s="120">
        <f t="shared" si="197"/>
        <v>0</v>
      </c>
      <c r="AC1082" s="123">
        <v>0</v>
      </c>
      <c r="AD1082" s="123">
        <v>0</v>
      </c>
      <c r="AE1082" s="123">
        <v>16856</v>
      </c>
      <c r="AG1082" s="151">
        <f t="shared" si="202"/>
        <v>7153</v>
      </c>
      <c r="AH1082" s="123">
        <f>18719-607</f>
        <v>18112</v>
      </c>
      <c r="AL1082" s="123">
        <v>10959</v>
      </c>
    </row>
    <row r="1083" spans="1:39" s="123" customFormat="1" ht="16.2" thickBot="1" x14ac:dyDescent="0.35">
      <c r="A1083" s="21"/>
      <c r="B1083" s="212" t="s">
        <v>269</v>
      </c>
      <c r="C1083" s="31" t="str">
        <f>VLOOKUP((CONCATENATE(B1083)),ID!$A$2:$D$305,3,0)</f>
        <v>CN004</v>
      </c>
      <c r="D1083" s="21">
        <v>0</v>
      </c>
      <c r="E1083" s="21" t="s">
        <v>3945</v>
      </c>
      <c r="F1083" s="21" t="s">
        <v>1117</v>
      </c>
      <c r="G1083" s="21" t="s">
        <v>3853</v>
      </c>
      <c r="H1083" s="94">
        <v>4749</v>
      </c>
      <c r="I1083" s="43">
        <v>4781</v>
      </c>
      <c r="J1083" s="43">
        <v>4790</v>
      </c>
      <c r="K1083" s="21">
        <v>1</v>
      </c>
      <c r="L1083" s="43">
        <v>4792</v>
      </c>
      <c r="M1083" s="43">
        <v>4805</v>
      </c>
      <c r="N1083" s="43">
        <v>4805</v>
      </c>
      <c r="O1083" s="21" t="s">
        <v>3947</v>
      </c>
      <c r="P1083" s="194">
        <v>1</v>
      </c>
      <c r="Q1083" s="21">
        <v>1</v>
      </c>
      <c r="R1083" s="39" t="str">
        <f t="shared" si="201"/>
        <v>-</v>
      </c>
      <c r="S1083" s="120">
        <f t="shared" si="200"/>
        <v>21565</v>
      </c>
      <c r="T1083" s="123">
        <v>40633</v>
      </c>
      <c r="V1083" s="123">
        <f t="shared" si="195"/>
        <v>40633</v>
      </c>
      <c r="W1083" s="122" t="str">
        <f t="shared" si="196"/>
        <v>1</v>
      </c>
      <c r="X1083" s="123">
        <f>10320+3559+5189</f>
        <v>19068</v>
      </c>
      <c r="Z1083" s="123">
        <f t="shared" si="198"/>
        <v>19068</v>
      </c>
      <c r="AA1083" s="122" t="str">
        <f t="shared" si="199"/>
        <v>1</v>
      </c>
      <c r="AB1083" s="120">
        <f t="shared" si="197"/>
        <v>0</v>
      </c>
      <c r="AC1083" s="123">
        <v>0</v>
      </c>
      <c r="AD1083" s="123">
        <v>0</v>
      </c>
      <c r="AE1083" s="123">
        <v>21127</v>
      </c>
      <c r="AG1083" s="151">
        <f t="shared" si="202"/>
        <v>12100</v>
      </c>
      <c r="AH1083" s="123">
        <f>23793-734</f>
        <v>23059</v>
      </c>
      <c r="AL1083" s="123">
        <v>10959</v>
      </c>
    </row>
    <row r="1084" spans="1:39" s="123" customFormat="1" ht="16.2" thickBot="1" x14ac:dyDescent="0.35">
      <c r="A1084" s="21"/>
      <c r="B1084" s="212" t="s">
        <v>269</v>
      </c>
      <c r="C1084" s="31" t="str">
        <f>VLOOKUP((CONCATENATE(B1084)),ID!$A$2:$D$305,3,0)</f>
        <v>CN004</v>
      </c>
      <c r="D1084" s="21">
        <v>0</v>
      </c>
      <c r="E1084" s="21" t="s">
        <v>3945</v>
      </c>
      <c r="F1084" s="21" t="s">
        <v>1117</v>
      </c>
      <c r="G1084" s="21" t="s">
        <v>3853</v>
      </c>
      <c r="H1084" s="94">
        <v>4930</v>
      </c>
      <c r="I1084" s="43">
        <v>4941</v>
      </c>
      <c r="J1084" s="43">
        <v>4947</v>
      </c>
      <c r="K1084" s="21">
        <v>1</v>
      </c>
      <c r="L1084" s="43">
        <v>4949</v>
      </c>
      <c r="M1084" s="43">
        <v>4962</v>
      </c>
      <c r="N1084" s="43">
        <v>4962</v>
      </c>
      <c r="O1084" s="21" t="s">
        <v>3947</v>
      </c>
      <c r="P1084" s="194">
        <v>1</v>
      </c>
      <c r="Q1084" s="21">
        <v>1</v>
      </c>
      <c r="R1084" s="39" t="str">
        <f t="shared" si="201"/>
        <v>-</v>
      </c>
      <c r="S1084" s="120">
        <f t="shared" si="200"/>
        <v>19675</v>
      </c>
      <c r="T1084" s="123">
        <v>39127</v>
      </c>
      <c r="V1084" s="123">
        <f t="shared" ref="V1084:V1137" si="203">T1084-U1084</f>
        <v>39127</v>
      </c>
      <c r="W1084" s="122" t="str">
        <f t="shared" ref="W1084:W1137" si="204">IF(V1084+U1084=T1084,"1","0")</f>
        <v>1</v>
      </c>
      <c r="X1084" s="123">
        <f>5573+3559+10320</f>
        <v>19452</v>
      </c>
      <c r="Z1084" s="123">
        <f t="shared" si="198"/>
        <v>19452</v>
      </c>
      <c r="AA1084" s="122" t="str">
        <f t="shared" si="199"/>
        <v>1</v>
      </c>
      <c r="AB1084" s="120">
        <f t="shared" ref="AB1084:AB1137" si="205">SUM(AC1084+AD1084)</f>
        <v>0</v>
      </c>
      <c r="AC1084" s="123">
        <v>0</v>
      </c>
      <c r="AD1084" s="123">
        <v>0</v>
      </c>
      <c r="AE1084" s="123">
        <v>19076</v>
      </c>
      <c r="AG1084" s="151">
        <f t="shared" si="202"/>
        <v>10937</v>
      </c>
      <c r="AH1084" s="123">
        <f>22641-745</f>
        <v>21896</v>
      </c>
      <c r="AL1084" s="123">
        <v>10959</v>
      </c>
    </row>
    <row r="1085" spans="1:39" s="123" customFormat="1" ht="16.2" thickBot="1" x14ac:dyDescent="0.35">
      <c r="A1085" s="21"/>
      <c r="B1085" s="212" t="s">
        <v>269</v>
      </c>
      <c r="C1085" s="31" t="str">
        <f>VLOOKUP((CONCATENATE(B1085)),ID!$A$2:$D$305,3,0)</f>
        <v>CN004</v>
      </c>
      <c r="D1085" s="21">
        <v>0</v>
      </c>
      <c r="E1085" s="21" t="s">
        <v>3945</v>
      </c>
      <c r="F1085" s="21" t="s">
        <v>1117</v>
      </c>
      <c r="G1085" s="21" t="s">
        <v>3853</v>
      </c>
      <c r="H1085" s="94">
        <v>5114</v>
      </c>
      <c r="I1085" s="43">
        <v>5147</v>
      </c>
      <c r="J1085" s="43">
        <v>5154</v>
      </c>
      <c r="K1085" s="21">
        <v>1</v>
      </c>
      <c r="L1085" s="43">
        <v>5156</v>
      </c>
      <c r="M1085" s="43">
        <v>5169</v>
      </c>
      <c r="N1085" s="43">
        <v>5169</v>
      </c>
      <c r="O1085" s="21" t="s">
        <v>4119</v>
      </c>
      <c r="P1085" s="194">
        <v>1</v>
      </c>
      <c r="Q1085" s="21">
        <v>1</v>
      </c>
      <c r="R1085" s="39" t="str">
        <f t="shared" si="201"/>
        <v>-</v>
      </c>
      <c r="S1085" s="120">
        <f t="shared" si="200"/>
        <v>19967</v>
      </c>
      <c r="T1085" s="123">
        <v>37858</v>
      </c>
      <c r="V1085" s="123">
        <f t="shared" si="203"/>
        <v>37858</v>
      </c>
      <c r="W1085" s="122" t="str">
        <f t="shared" si="204"/>
        <v>1</v>
      </c>
      <c r="X1085" s="123">
        <f>4012+3559+10320</f>
        <v>17891</v>
      </c>
      <c r="Z1085" s="123">
        <f t="shared" si="198"/>
        <v>17891</v>
      </c>
      <c r="AA1085" s="122" t="str">
        <f t="shared" si="199"/>
        <v>1</v>
      </c>
      <c r="AB1085" s="120">
        <f t="shared" si="205"/>
        <v>0</v>
      </c>
      <c r="AC1085" s="123">
        <v>0</v>
      </c>
      <c r="AD1085" s="123">
        <v>0</v>
      </c>
      <c r="AE1085" s="123">
        <v>22803</v>
      </c>
      <c r="AG1085" s="151">
        <f t="shared" si="202"/>
        <v>9872</v>
      </c>
      <c r="AH1085" s="123">
        <f>20597+234</f>
        <v>20831</v>
      </c>
      <c r="AL1085" s="123">
        <v>10959</v>
      </c>
    </row>
    <row r="1086" spans="1:39" s="123" customFormat="1" ht="16.2" thickBot="1" x14ac:dyDescent="0.35">
      <c r="A1086" s="21"/>
      <c r="B1086" s="212" t="s">
        <v>269</v>
      </c>
      <c r="C1086" s="31" t="str">
        <f>VLOOKUP((CONCATENATE(B1086)),ID!$A$2:$D$305,3,0)</f>
        <v>CN004</v>
      </c>
      <c r="D1086" s="21">
        <v>0</v>
      </c>
      <c r="E1086" s="21" t="s">
        <v>3945</v>
      </c>
      <c r="F1086" s="21" t="s">
        <v>1117</v>
      </c>
      <c r="G1086" s="21" t="s">
        <v>3853</v>
      </c>
      <c r="H1086" s="94">
        <v>5295</v>
      </c>
      <c r="I1086" s="43">
        <v>5310</v>
      </c>
      <c r="J1086" s="43">
        <v>5318</v>
      </c>
      <c r="K1086" s="21">
        <v>1</v>
      </c>
      <c r="L1086" s="43">
        <v>5320</v>
      </c>
      <c r="M1086" s="43">
        <v>5333</v>
      </c>
      <c r="N1086" s="43">
        <v>5333</v>
      </c>
      <c r="O1086" s="21" t="s">
        <v>4119</v>
      </c>
      <c r="P1086" s="194">
        <v>1</v>
      </c>
      <c r="Q1086" s="21">
        <v>1</v>
      </c>
      <c r="R1086" s="39" t="str">
        <f t="shared" si="201"/>
        <v>-</v>
      </c>
      <c r="S1086" s="120">
        <f t="shared" si="200"/>
        <v>21037</v>
      </c>
      <c r="T1086" s="123">
        <v>38782</v>
      </c>
      <c r="V1086" s="123">
        <f t="shared" si="203"/>
        <v>38782</v>
      </c>
      <c r="W1086" s="122" t="str">
        <f t="shared" si="204"/>
        <v>1</v>
      </c>
      <c r="X1086" s="123">
        <f>3872+3559+10274+40</f>
        <v>17745</v>
      </c>
      <c r="Z1086" s="123">
        <f t="shared" si="198"/>
        <v>17745</v>
      </c>
      <c r="AA1086" s="122" t="str">
        <f t="shared" si="199"/>
        <v>1</v>
      </c>
      <c r="AB1086" s="120">
        <f t="shared" si="205"/>
        <v>0</v>
      </c>
      <c r="AC1086" s="123">
        <v>0</v>
      </c>
      <c r="AD1086" s="123">
        <v>0</v>
      </c>
      <c r="AE1086" s="123">
        <v>22130</v>
      </c>
      <c r="AG1086" s="151">
        <f t="shared" si="202"/>
        <v>7856</v>
      </c>
      <c r="AH1086" s="123">
        <f>18668+147</f>
        <v>18815</v>
      </c>
      <c r="AL1086" s="123">
        <v>10959</v>
      </c>
    </row>
    <row r="1087" spans="1:39" s="123" customFormat="1" ht="16.2" thickBot="1" x14ac:dyDescent="0.35">
      <c r="A1087" s="21"/>
      <c r="B1087" s="212" t="s">
        <v>74</v>
      </c>
      <c r="C1087" s="31" t="str">
        <f>VLOOKUP((CONCATENATE(B1087)),ID!$A$2:$D$305,3,0)</f>
        <v>EL001</v>
      </c>
      <c r="D1087" s="21">
        <v>1</v>
      </c>
      <c r="E1087" s="21" t="s">
        <v>3948</v>
      </c>
      <c r="F1087" s="21" t="s">
        <v>1117</v>
      </c>
      <c r="G1087" s="21" t="s">
        <v>3853</v>
      </c>
      <c r="H1087" s="88">
        <v>3653</v>
      </c>
      <c r="I1087" s="43">
        <v>3728</v>
      </c>
      <c r="J1087" s="43">
        <v>3702</v>
      </c>
      <c r="K1087" s="21">
        <v>0</v>
      </c>
      <c r="L1087" s="21"/>
      <c r="M1087" s="21"/>
      <c r="N1087" s="43">
        <v>3749</v>
      </c>
      <c r="O1087" s="21" t="s">
        <v>3949</v>
      </c>
      <c r="P1087" s="194" t="str">
        <f t="shared" si="194"/>
        <v>1</v>
      </c>
      <c r="Q1087" s="21">
        <v>1</v>
      </c>
      <c r="R1087" s="39" t="str">
        <f t="shared" si="201"/>
        <v>-</v>
      </c>
      <c r="S1087" s="120">
        <f t="shared" si="200"/>
        <v>1385288</v>
      </c>
      <c r="T1087" s="123">
        <v>1481074</v>
      </c>
      <c r="U1087" s="123">
        <f>1327927</f>
        <v>1327927</v>
      </c>
      <c r="V1087" s="123">
        <f t="shared" si="203"/>
        <v>153147</v>
      </c>
      <c r="W1087" s="122" t="str">
        <f t="shared" si="204"/>
        <v>1</v>
      </c>
      <c r="X1087" s="123">
        <f>T1087-1372000-13288</f>
        <v>95786</v>
      </c>
      <c r="Z1087" s="123">
        <f t="shared" ref="Z1087:Z1143" si="206">X1087-Y1087</f>
        <v>95786</v>
      </c>
      <c r="AA1087" s="122" t="str">
        <f t="shared" ref="AA1087:AA1143" si="207">IF(Z1087+Y1087=X1087,"1","0")</f>
        <v>1</v>
      </c>
      <c r="AB1087" s="120">
        <f t="shared" si="205"/>
        <v>0</v>
      </c>
      <c r="AC1087" s="123">
        <v>0</v>
      </c>
      <c r="AD1087" s="123">
        <v>0</v>
      </c>
      <c r="AE1087" s="123">
        <v>5348</v>
      </c>
      <c r="AG1087" s="151">
        <f t="shared" si="202"/>
        <v>26178</v>
      </c>
      <c r="AH1087" s="123">
        <v>56558</v>
      </c>
      <c r="AJ1087" s="123">
        <v>18000</v>
      </c>
      <c r="AL1087" s="123">
        <f>61668-31288</f>
        <v>30380</v>
      </c>
    </row>
    <row r="1088" spans="1:39" s="123" customFormat="1" ht="16.2" thickBot="1" x14ac:dyDescent="0.35">
      <c r="A1088" s="21">
        <v>187.1</v>
      </c>
      <c r="B1088" s="212" t="s">
        <v>74</v>
      </c>
      <c r="C1088" s="31" t="str">
        <f>VLOOKUP((CONCATENATE(B1088)),ID!$A$2:$D$305,3,0)</f>
        <v>EL001</v>
      </c>
      <c r="D1088" s="21">
        <v>1</v>
      </c>
      <c r="E1088" s="21" t="s">
        <v>3948</v>
      </c>
      <c r="F1088" s="21" t="s">
        <v>1117</v>
      </c>
      <c r="G1088" s="21" t="s">
        <v>3853</v>
      </c>
      <c r="H1088" s="88">
        <v>4018</v>
      </c>
      <c r="I1088" s="43">
        <v>4070</v>
      </c>
      <c r="J1088" s="43">
        <v>4065</v>
      </c>
      <c r="K1088" s="21">
        <v>1</v>
      </c>
      <c r="L1088" s="43">
        <v>4074</v>
      </c>
      <c r="M1088" s="43">
        <v>4087</v>
      </c>
      <c r="N1088" s="43">
        <v>4079</v>
      </c>
      <c r="O1088" s="21" t="s">
        <v>3949</v>
      </c>
      <c r="P1088" s="194" t="str">
        <f t="shared" si="194"/>
        <v>1</v>
      </c>
      <c r="Q1088" s="21">
        <v>1</v>
      </c>
      <c r="R1088" s="39" t="str">
        <f t="shared" si="201"/>
        <v>-</v>
      </c>
      <c r="S1088" s="120">
        <f t="shared" si="200"/>
        <v>1403858</v>
      </c>
      <c r="T1088" s="123">
        <v>1485409</v>
      </c>
      <c r="U1088" s="123">
        <f>1337525</f>
        <v>1337525</v>
      </c>
      <c r="V1088" s="123">
        <f t="shared" si="203"/>
        <v>147884</v>
      </c>
      <c r="W1088" s="122" t="str">
        <f t="shared" si="204"/>
        <v>1</v>
      </c>
      <c r="X1088" s="123">
        <f>8475+12366+31755+28955</f>
        <v>81551</v>
      </c>
      <c r="Z1088" s="123">
        <f t="shared" si="206"/>
        <v>81551</v>
      </c>
      <c r="AA1088" s="122" t="str">
        <f t="shared" si="207"/>
        <v>1</v>
      </c>
      <c r="AB1088" s="120">
        <f t="shared" si="205"/>
        <v>0</v>
      </c>
      <c r="AC1088" s="123">
        <v>0</v>
      </c>
      <c r="AD1088" s="123">
        <v>0</v>
      </c>
      <c r="AE1088" s="123">
        <v>4949</v>
      </c>
      <c r="AG1088" s="151">
        <f t="shared" si="202"/>
        <v>28288</v>
      </c>
      <c r="AH1088" s="123">
        <v>58734</v>
      </c>
      <c r="AJ1088" s="123">
        <v>18000</v>
      </c>
      <c r="AL1088" s="123">
        <f>27570+2876</f>
        <v>30446</v>
      </c>
    </row>
    <row r="1089" spans="1:40" s="123" customFormat="1" ht="16.2" thickBot="1" x14ac:dyDescent="0.35">
      <c r="A1089" s="21">
        <v>187.2</v>
      </c>
      <c r="B1089" s="212" t="s">
        <v>74</v>
      </c>
      <c r="C1089" s="31" t="str">
        <f>VLOOKUP((CONCATENATE(B1089)),ID!$A$2:$D$305,3,0)</f>
        <v>EL001</v>
      </c>
      <c r="D1089" s="21">
        <v>1</v>
      </c>
      <c r="E1089" s="21" t="s">
        <v>3948</v>
      </c>
      <c r="F1089" s="21" t="s">
        <v>1117</v>
      </c>
      <c r="G1089" s="21" t="s">
        <v>3853</v>
      </c>
      <c r="H1089" s="88">
        <v>4383</v>
      </c>
      <c r="I1089" s="43">
        <v>4445</v>
      </c>
      <c r="J1089" s="43">
        <v>4442</v>
      </c>
      <c r="K1089" s="21">
        <v>1</v>
      </c>
      <c r="L1089" s="43">
        <v>4445</v>
      </c>
      <c r="M1089" s="43">
        <v>4455</v>
      </c>
      <c r="N1089" s="43">
        <v>4455</v>
      </c>
      <c r="O1089" s="21" t="s">
        <v>3949</v>
      </c>
      <c r="P1089" s="194" t="str">
        <f t="shared" si="194"/>
        <v>1</v>
      </c>
      <c r="Q1089" s="21">
        <v>1</v>
      </c>
      <c r="R1089" s="39" t="str">
        <f t="shared" si="201"/>
        <v>-</v>
      </c>
      <c r="S1089" s="120">
        <f t="shared" si="200"/>
        <v>1427601</v>
      </c>
      <c r="T1089" s="123">
        <v>1502493</v>
      </c>
      <c r="U1089" s="123">
        <v>1356164</v>
      </c>
      <c r="V1089" s="123">
        <f t="shared" si="203"/>
        <v>146329</v>
      </c>
      <c r="W1089" s="122" t="str">
        <f t="shared" si="204"/>
        <v>1</v>
      </c>
      <c r="X1089" s="123">
        <f>26594+27350+12473+8475</f>
        <v>74892</v>
      </c>
      <c r="Z1089" s="123">
        <f t="shared" si="206"/>
        <v>74892</v>
      </c>
      <c r="AA1089" s="122" t="str">
        <f t="shared" si="207"/>
        <v>1</v>
      </c>
      <c r="AB1089" s="120">
        <f t="shared" si="205"/>
        <v>0</v>
      </c>
      <c r="AC1089" s="123">
        <v>0</v>
      </c>
      <c r="AD1089" s="123">
        <v>0</v>
      </c>
      <c r="AE1089" s="123">
        <v>6369</v>
      </c>
      <c r="AG1089" s="151">
        <f t="shared" si="202"/>
        <v>30582</v>
      </c>
      <c r="AH1089" s="123">
        <v>60715</v>
      </c>
      <c r="AJ1089" s="123">
        <v>18000</v>
      </c>
      <c r="AL1089" s="123">
        <f>28707+1426</f>
        <v>30133</v>
      </c>
    </row>
    <row r="1090" spans="1:40" s="123" customFormat="1" ht="16.2" thickBot="1" x14ac:dyDescent="0.35">
      <c r="A1090" s="21"/>
      <c r="B1090" s="212" t="s">
        <v>74</v>
      </c>
      <c r="C1090" s="31" t="str">
        <f>VLOOKUP((CONCATENATE(B1090)),ID!$A$2:$D$305,3,0)</f>
        <v>EL001</v>
      </c>
      <c r="D1090" s="21">
        <v>1</v>
      </c>
      <c r="E1090" s="21" t="s">
        <v>3948</v>
      </c>
      <c r="F1090" s="21" t="s">
        <v>1117</v>
      </c>
      <c r="G1090" s="21" t="s">
        <v>3853</v>
      </c>
      <c r="H1090" s="88">
        <v>4749</v>
      </c>
      <c r="I1090" s="43">
        <v>4800</v>
      </c>
      <c r="J1090" s="43">
        <v>4800</v>
      </c>
      <c r="K1090" s="21">
        <v>1</v>
      </c>
      <c r="L1090" s="43">
        <v>4802</v>
      </c>
      <c r="M1090" s="43">
        <v>4812</v>
      </c>
      <c r="N1090" s="43">
        <v>4812</v>
      </c>
      <c r="O1090" s="21" t="s">
        <v>3949</v>
      </c>
      <c r="P1090" s="194" t="str">
        <f t="shared" ref="P1090:P1153" si="208">IF(AJ1090=0,"?","1")</f>
        <v>1</v>
      </c>
      <c r="Q1090" s="21">
        <v>1</v>
      </c>
      <c r="R1090" s="39" t="str">
        <f t="shared" si="201"/>
        <v>-</v>
      </c>
      <c r="S1090" s="120">
        <f t="shared" si="200"/>
        <v>1442264</v>
      </c>
      <c r="T1090" s="123">
        <v>1531329</v>
      </c>
      <c r="U1090" s="123">
        <v>1377611</v>
      </c>
      <c r="V1090" s="123">
        <f t="shared" si="203"/>
        <v>153718</v>
      </c>
      <c r="W1090" s="122" t="str">
        <f t="shared" si="204"/>
        <v>1</v>
      </c>
      <c r="X1090" s="123">
        <f>3475+12473+43301+29816</f>
        <v>89065</v>
      </c>
      <c r="Z1090" s="123">
        <f t="shared" si="206"/>
        <v>89065</v>
      </c>
      <c r="AA1090" s="122" t="str">
        <f t="shared" si="207"/>
        <v>1</v>
      </c>
      <c r="AB1090" s="120">
        <f t="shared" si="205"/>
        <v>0</v>
      </c>
      <c r="AC1090" s="123">
        <v>0</v>
      </c>
      <c r="AD1090" s="123">
        <v>0</v>
      </c>
      <c r="AE1090" s="123">
        <v>6716</v>
      </c>
      <c r="AG1090" s="151">
        <f t="shared" si="202"/>
        <v>32663</v>
      </c>
      <c r="AH1090" s="123">
        <v>63554</v>
      </c>
      <c r="AJ1090" s="123">
        <v>18000</v>
      </c>
      <c r="AL1090" s="123">
        <f>28874+2017</f>
        <v>30891</v>
      </c>
    </row>
    <row r="1091" spans="1:40" s="123" customFormat="1" ht="16.2" thickBot="1" x14ac:dyDescent="0.35">
      <c r="A1091" s="21"/>
      <c r="B1091" s="212" t="s">
        <v>74</v>
      </c>
      <c r="C1091" s="31" t="str">
        <f>VLOOKUP((CONCATENATE(B1091)),ID!$A$2:$D$305,3,0)</f>
        <v>EL001</v>
      </c>
      <c r="D1091" s="21">
        <v>1</v>
      </c>
      <c r="E1091" s="21" t="s">
        <v>3948</v>
      </c>
      <c r="F1091" s="21" t="s">
        <v>1117</v>
      </c>
      <c r="G1091" s="21" t="s">
        <v>3853</v>
      </c>
      <c r="H1091" s="88">
        <v>5114</v>
      </c>
      <c r="I1091" s="43">
        <v>5155</v>
      </c>
      <c r="J1091" s="43">
        <v>5157</v>
      </c>
      <c r="K1091" s="21">
        <v>1</v>
      </c>
      <c r="L1091" s="43">
        <v>5159</v>
      </c>
      <c r="M1091" s="43">
        <v>5173</v>
      </c>
      <c r="N1091" s="43">
        <v>5171</v>
      </c>
      <c r="O1091" s="21" t="s">
        <v>3949</v>
      </c>
      <c r="P1091" s="194" t="str">
        <f t="shared" si="208"/>
        <v>1</v>
      </c>
      <c r="Q1091" s="21">
        <v>1</v>
      </c>
      <c r="R1091" s="39" t="str">
        <f t="shared" si="201"/>
        <v>-</v>
      </c>
      <c r="S1091" s="120">
        <f t="shared" si="200"/>
        <v>1462589</v>
      </c>
      <c r="T1091" s="123">
        <f>1539244</f>
        <v>1539244</v>
      </c>
      <c r="U1091" s="123">
        <v>1384003</v>
      </c>
      <c r="V1091" s="123">
        <f t="shared" si="203"/>
        <v>155241</v>
      </c>
      <c r="W1091" s="122" t="str">
        <f t="shared" si="204"/>
        <v>1</v>
      </c>
      <c r="X1091" s="123">
        <f>T1091-1391442-18000-53147</f>
        <v>76655</v>
      </c>
      <c r="Z1091" s="123">
        <f t="shared" si="206"/>
        <v>76655</v>
      </c>
      <c r="AA1091" s="122" t="str">
        <f t="shared" si="207"/>
        <v>1</v>
      </c>
      <c r="AB1091" s="120">
        <f t="shared" si="205"/>
        <v>0</v>
      </c>
      <c r="AC1091" s="123">
        <v>0</v>
      </c>
      <c r="AD1091" s="123">
        <v>0</v>
      </c>
      <c r="AE1091" s="123">
        <v>5560</v>
      </c>
      <c r="AG1091" s="151">
        <f t="shared" si="202"/>
        <v>38327</v>
      </c>
      <c r="AH1091" s="123">
        <v>69179</v>
      </c>
      <c r="AJ1091" s="123">
        <v>18000</v>
      </c>
      <c r="AL1091" s="123">
        <f>28864+1988</f>
        <v>30852</v>
      </c>
    </row>
    <row r="1092" spans="1:40" s="123" customFormat="1" ht="16.2" thickBot="1" x14ac:dyDescent="0.35">
      <c r="A1092" s="21"/>
      <c r="B1092" s="212" t="s">
        <v>81</v>
      </c>
      <c r="C1092" s="31" t="str">
        <f>VLOOKUP((CONCATENATE(B1092)),ID!$A$2:$D$305,3,0)</f>
        <v>EL002</v>
      </c>
      <c r="D1092" s="21">
        <v>1</v>
      </c>
      <c r="E1092" s="21" t="s">
        <v>3948</v>
      </c>
      <c r="F1092" s="21" t="s">
        <v>1117</v>
      </c>
      <c r="G1092" s="21" t="s">
        <v>3853</v>
      </c>
      <c r="H1092" s="88">
        <v>3653</v>
      </c>
      <c r="I1092" s="43">
        <v>3713</v>
      </c>
      <c r="J1092" s="43">
        <v>3713</v>
      </c>
      <c r="K1092" s="21">
        <v>1</v>
      </c>
      <c r="L1092" s="43">
        <v>3714</v>
      </c>
      <c r="M1092" s="43">
        <v>3728</v>
      </c>
      <c r="N1092" s="43">
        <v>3728</v>
      </c>
      <c r="O1092" s="21" t="s">
        <v>3950</v>
      </c>
      <c r="P1092" s="194" t="str">
        <f t="shared" si="208"/>
        <v>1</v>
      </c>
      <c r="Q1092" s="21">
        <v>1</v>
      </c>
      <c r="R1092" s="39" t="str">
        <f t="shared" si="201"/>
        <v>-</v>
      </c>
      <c r="S1092" s="120">
        <f t="shared" si="200"/>
        <v>2238097</v>
      </c>
      <c r="T1092" s="123">
        <v>2334267</v>
      </c>
      <c r="U1092" s="123">
        <f>2141357+35942+64795</f>
        <v>2242094</v>
      </c>
      <c r="V1092" s="123">
        <f t="shared" si="203"/>
        <v>92173</v>
      </c>
      <c r="W1092" s="122" t="str">
        <f t="shared" si="204"/>
        <v>1</v>
      </c>
      <c r="X1092" s="123">
        <f>T1092-1805950-259216-58636-37412-10000-66883</f>
        <v>96170</v>
      </c>
      <c r="Z1092" s="123">
        <f t="shared" si="206"/>
        <v>96170</v>
      </c>
      <c r="AA1092" s="122" t="str">
        <f t="shared" si="207"/>
        <v>1</v>
      </c>
      <c r="AB1092" s="120">
        <f t="shared" si="205"/>
        <v>0</v>
      </c>
      <c r="AC1092" s="123">
        <v>0</v>
      </c>
      <c r="AD1092" s="123">
        <v>0</v>
      </c>
      <c r="AE1092" s="123">
        <v>2428</v>
      </c>
      <c r="AG1092" s="151">
        <f t="shared" si="202"/>
        <v>124004</v>
      </c>
      <c r="AH1092" s="123">
        <f>188060-27404</f>
        <v>160656</v>
      </c>
      <c r="AJ1092" s="123">
        <v>38042</v>
      </c>
      <c r="AL1092" s="123">
        <f>1373+3664+31615</f>
        <v>36652</v>
      </c>
      <c r="AM1092" s="123">
        <v>286302</v>
      </c>
      <c r="AN1092" s="123">
        <v>251285</v>
      </c>
    </row>
    <row r="1093" spans="1:40" s="123" customFormat="1" ht="16.2" thickBot="1" x14ac:dyDescent="0.35">
      <c r="A1093" s="21">
        <v>188.1</v>
      </c>
      <c r="B1093" s="212" t="s">
        <v>81</v>
      </c>
      <c r="C1093" s="31" t="str">
        <f>VLOOKUP((CONCATENATE(B1093)),ID!$A$2:$D$305,3,0)</f>
        <v>EL002</v>
      </c>
      <c r="D1093" s="21">
        <v>1</v>
      </c>
      <c r="E1093" s="21" t="s">
        <v>3948</v>
      </c>
      <c r="F1093" s="21" t="s">
        <v>1117</v>
      </c>
      <c r="G1093" s="21" t="s">
        <v>3853</v>
      </c>
      <c r="H1093" s="88">
        <v>4018</v>
      </c>
      <c r="I1093" s="43">
        <v>4078</v>
      </c>
      <c r="J1093" s="43">
        <v>4078</v>
      </c>
      <c r="K1093" s="21">
        <v>1</v>
      </c>
      <c r="L1093" s="43">
        <v>4078</v>
      </c>
      <c r="M1093" s="43">
        <v>4092</v>
      </c>
      <c r="N1093" s="43">
        <v>4092</v>
      </c>
      <c r="O1093" s="21" t="s">
        <v>3950</v>
      </c>
      <c r="P1093" s="194" t="str">
        <f t="shared" si="208"/>
        <v>1</v>
      </c>
      <c r="Q1093" s="21">
        <v>1</v>
      </c>
      <c r="R1093" s="39" t="str">
        <f t="shared" si="201"/>
        <v>-</v>
      </c>
      <c r="S1093" s="120">
        <f t="shared" ref="S1093:S1156" si="209">T1093-X1093</f>
        <v>2212346</v>
      </c>
      <c r="T1093" s="123">
        <v>2347093</v>
      </c>
      <c r="U1093" s="123">
        <f>2147425+33713+72154</f>
        <v>2253292</v>
      </c>
      <c r="V1093" s="123">
        <f t="shared" si="203"/>
        <v>93801</v>
      </c>
      <c r="W1093" s="122" t="str">
        <f t="shared" si="204"/>
        <v>1</v>
      </c>
      <c r="X1093" s="123">
        <f>27197+12804+73000+15772+57+3732+30+2155</f>
        <v>134747</v>
      </c>
      <c r="Z1093" s="123">
        <f t="shared" si="206"/>
        <v>134747</v>
      </c>
      <c r="AA1093" s="122" t="str">
        <f t="shared" si="207"/>
        <v>1</v>
      </c>
      <c r="AB1093" s="120">
        <f t="shared" si="205"/>
        <v>0</v>
      </c>
      <c r="AC1093" s="123">
        <v>0</v>
      </c>
      <c r="AD1093" s="123">
        <v>0</v>
      </c>
      <c r="AE1093" s="123">
        <v>3502</v>
      </c>
      <c r="AG1093" s="151">
        <f t="shared" si="202"/>
        <v>120773</v>
      </c>
      <c r="AH1093" s="134">
        <f>182423-25668</f>
        <v>156755</v>
      </c>
      <c r="AJ1093" s="123">
        <v>35243</v>
      </c>
      <c r="AL1093" s="123">
        <f>31545+3030+1407</f>
        <v>35982</v>
      </c>
      <c r="AM1093" s="123">
        <f>280115</f>
        <v>280115</v>
      </c>
      <c r="AN1093" s="123">
        <v>244916</v>
      </c>
    </row>
    <row r="1094" spans="1:40" s="123" customFormat="1" ht="16.2" thickBot="1" x14ac:dyDescent="0.35">
      <c r="A1094" s="21">
        <v>188.2</v>
      </c>
      <c r="B1094" s="212" t="s">
        <v>81</v>
      </c>
      <c r="C1094" s="31" t="str">
        <f>VLOOKUP((CONCATENATE(B1094)),ID!$A$2:$D$305,3,0)</f>
        <v>EL002</v>
      </c>
      <c r="D1094" s="21">
        <v>1</v>
      </c>
      <c r="E1094" s="21" t="s">
        <v>3948</v>
      </c>
      <c r="F1094" s="21" t="s">
        <v>1117</v>
      </c>
      <c r="G1094" s="21" t="s">
        <v>3853</v>
      </c>
      <c r="H1094" s="88">
        <v>4383</v>
      </c>
      <c r="I1094" s="43">
        <v>4444</v>
      </c>
      <c r="J1094" s="43">
        <v>4444</v>
      </c>
      <c r="K1094" s="21">
        <v>1</v>
      </c>
      <c r="L1094" s="43">
        <v>4442</v>
      </c>
      <c r="M1094" s="43">
        <v>4456</v>
      </c>
      <c r="N1094" s="43">
        <v>4456</v>
      </c>
      <c r="O1094" s="21" t="s">
        <v>3950</v>
      </c>
      <c r="P1094" s="194" t="str">
        <f t="shared" si="208"/>
        <v>1</v>
      </c>
      <c r="Q1094" s="21">
        <v>1</v>
      </c>
      <c r="R1094" s="39" t="str">
        <f t="shared" si="201"/>
        <v>-</v>
      </c>
      <c r="S1094" s="120">
        <f t="shared" si="209"/>
        <v>2225464</v>
      </c>
      <c r="T1094" s="123">
        <v>2369691</v>
      </c>
      <c r="U1094" s="123">
        <f>2145965+34975+91307</f>
        <v>2272247</v>
      </c>
      <c r="V1094" s="123">
        <f t="shared" si="203"/>
        <v>97444</v>
      </c>
      <c r="W1094" s="122" t="str">
        <f t="shared" si="204"/>
        <v>1</v>
      </c>
      <c r="X1094" s="123">
        <f>23927+13254+85000+15772+20+4070+29+2155</f>
        <v>144227</v>
      </c>
      <c r="Z1094" s="123">
        <f t="shared" si="206"/>
        <v>144227</v>
      </c>
      <c r="AA1094" s="122" t="str">
        <f t="shared" si="207"/>
        <v>1</v>
      </c>
      <c r="AB1094" s="120">
        <f t="shared" si="205"/>
        <v>0</v>
      </c>
      <c r="AC1094" s="123">
        <v>0</v>
      </c>
      <c r="AD1094" s="123">
        <v>0</v>
      </c>
      <c r="AE1094" s="123">
        <v>4237</v>
      </c>
      <c r="AG1094" s="151">
        <f t="shared" si="202"/>
        <v>125848</v>
      </c>
      <c r="AH1094" s="123">
        <f>159386+2219+260</f>
        <v>161865</v>
      </c>
      <c r="AJ1094" s="123">
        <v>31243</v>
      </c>
      <c r="AL1094" s="123">
        <f>31545+3031+1441</f>
        <v>36017</v>
      </c>
      <c r="AM1094" s="123">
        <f>289104</f>
        <v>289104</v>
      </c>
      <c r="AN1094" s="123">
        <v>252974</v>
      </c>
    </row>
    <row r="1095" spans="1:40" s="123" customFormat="1" ht="16.2" thickBot="1" x14ac:dyDescent="0.35">
      <c r="A1095" s="21"/>
      <c r="B1095" s="212" t="s">
        <v>81</v>
      </c>
      <c r="C1095" s="31" t="str">
        <f>VLOOKUP((CONCATENATE(B1095)),ID!$A$2:$D$305,3,0)</f>
        <v>EL002</v>
      </c>
      <c r="D1095" s="21">
        <v>1</v>
      </c>
      <c r="E1095" s="21" t="s">
        <v>3948</v>
      </c>
      <c r="F1095" s="21" t="s">
        <v>1117</v>
      </c>
      <c r="G1095" s="21" t="s">
        <v>3853</v>
      </c>
      <c r="H1095" s="88">
        <v>4749</v>
      </c>
      <c r="I1095" s="43">
        <v>4806</v>
      </c>
      <c r="J1095" s="43">
        <v>4806</v>
      </c>
      <c r="K1095" s="21">
        <v>1</v>
      </c>
      <c r="L1095" s="43">
        <v>4806</v>
      </c>
      <c r="M1095" s="43">
        <v>4820</v>
      </c>
      <c r="N1095" s="43">
        <v>4820</v>
      </c>
      <c r="O1095" s="21" t="s">
        <v>3950</v>
      </c>
      <c r="P1095" s="194" t="str">
        <f t="shared" si="208"/>
        <v>1</v>
      </c>
      <c r="Q1095" s="21">
        <v>1</v>
      </c>
      <c r="R1095" s="39" t="str">
        <f t="shared" si="201"/>
        <v>-</v>
      </c>
      <c r="S1095" s="120">
        <f t="shared" si="209"/>
        <v>2095148</v>
      </c>
      <c r="T1095" s="123">
        <v>2225718</v>
      </c>
      <c r="U1095" s="123">
        <f>2000323+35247+87182</f>
        <v>2122752</v>
      </c>
      <c r="V1095" s="123">
        <f t="shared" si="203"/>
        <v>102966</v>
      </c>
      <c r="W1095" s="122" t="str">
        <f t="shared" si="204"/>
        <v>1</v>
      </c>
      <c r="X1095" s="123">
        <f>25271+23741+59000+15772+20+4582+29+2155</f>
        <v>130570</v>
      </c>
      <c r="Z1095" s="123">
        <f t="shared" si="206"/>
        <v>130570</v>
      </c>
      <c r="AA1095" s="122" t="str">
        <f t="shared" si="207"/>
        <v>1</v>
      </c>
      <c r="AB1095" s="120">
        <f t="shared" si="205"/>
        <v>0</v>
      </c>
      <c r="AC1095" s="123">
        <v>0</v>
      </c>
      <c r="AD1095" s="123">
        <v>0</v>
      </c>
      <c r="AE1095" s="123">
        <v>7612</v>
      </c>
      <c r="AG1095" s="151">
        <f t="shared" si="202"/>
        <v>127874</v>
      </c>
      <c r="AH1095" s="123">
        <f>189624-25943</f>
        <v>163681</v>
      </c>
      <c r="AJ1095" s="123">
        <v>31243</v>
      </c>
      <c r="AL1095" s="123">
        <f>31545+2787+1475</f>
        <v>35807</v>
      </c>
      <c r="AM1095" s="123">
        <v>297909</v>
      </c>
      <c r="AN1095" s="123">
        <v>260453</v>
      </c>
    </row>
    <row r="1096" spans="1:40" s="123" customFormat="1" ht="16.2" thickBot="1" x14ac:dyDescent="0.35">
      <c r="A1096" s="21"/>
      <c r="B1096" s="212" t="s">
        <v>81</v>
      </c>
      <c r="C1096" s="31" t="str">
        <f>VLOOKUP((CONCATENATE(B1096)),ID!$A$2:$D$305,3,0)</f>
        <v>EL002</v>
      </c>
      <c r="D1096" s="21">
        <v>1</v>
      </c>
      <c r="E1096" s="21" t="s">
        <v>3948</v>
      </c>
      <c r="F1096" s="21" t="s">
        <v>1117</v>
      </c>
      <c r="G1096" s="21" t="s">
        <v>3853</v>
      </c>
      <c r="H1096" s="88">
        <v>5114</v>
      </c>
      <c r="I1096" s="43">
        <v>5170</v>
      </c>
      <c r="J1096" s="43">
        <v>5170</v>
      </c>
      <c r="K1096" s="21">
        <v>1</v>
      </c>
      <c r="L1096" s="43">
        <v>5175</v>
      </c>
      <c r="M1096" s="43">
        <v>5187</v>
      </c>
      <c r="N1096" s="43">
        <v>5184</v>
      </c>
      <c r="O1096" s="21" t="s">
        <v>3950</v>
      </c>
      <c r="P1096" s="194" t="str">
        <f t="shared" si="208"/>
        <v>1</v>
      </c>
      <c r="Q1096" s="21">
        <v>1</v>
      </c>
      <c r="R1096" s="39" t="str">
        <f t="shared" si="201"/>
        <v>-</v>
      </c>
      <c r="S1096" s="120">
        <f t="shared" si="209"/>
        <v>2103883</v>
      </c>
      <c r="T1096" s="123">
        <v>2223311</v>
      </c>
      <c r="U1096" s="123">
        <f>1993889+40982+82199</f>
        <v>2117070</v>
      </c>
      <c r="V1096" s="123">
        <f t="shared" si="203"/>
        <v>106241</v>
      </c>
      <c r="W1096" s="122" t="str">
        <f t="shared" si="204"/>
        <v>1</v>
      </c>
      <c r="X1096" s="123">
        <f>16771+13673+66000+15772+84+4944+29+2155</f>
        <v>119428</v>
      </c>
      <c r="Z1096" s="123">
        <f t="shared" si="206"/>
        <v>119428</v>
      </c>
      <c r="AA1096" s="122" t="str">
        <f t="shared" si="207"/>
        <v>1</v>
      </c>
      <c r="AB1096" s="120">
        <f t="shared" si="205"/>
        <v>0</v>
      </c>
      <c r="AC1096" s="123">
        <v>0</v>
      </c>
      <c r="AD1096" s="123">
        <v>0</v>
      </c>
      <c r="AE1096" s="123">
        <v>3454</v>
      </c>
      <c r="AG1096" s="151">
        <f t="shared" si="202"/>
        <v>138540</v>
      </c>
      <c r="AH1096" s="123">
        <f>198923-24333</f>
        <v>174590</v>
      </c>
      <c r="AJ1096" s="123">
        <v>31243</v>
      </c>
      <c r="AL1096" s="123">
        <f>31545+2994+1511</f>
        <v>36050</v>
      </c>
      <c r="AM1096" s="123">
        <v>311822</v>
      </c>
      <c r="AN1096" s="123">
        <v>27486</v>
      </c>
    </row>
    <row r="1097" spans="1:40" s="123" customFormat="1" ht="16.2" thickBot="1" x14ac:dyDescent="0.35">
      <c r="A1097" s="21"/>
      <c r="B1097" s="212" t="s">
        <v>216</v>
      </c>
      <c r="C1097" s="31" t="str">
        <f>VLOOKUP((CONCATENATE(B1097)),ID!$A$2:$D$305,3,0)</f>
        <v>EL003</v>
      </c>
      <c r="D1097" s="21">
        <v>1</v>
      </c>
      <c r="E1097" s="21" t="s">
        <v>3948</v>
      </c>
      <c r="F1097" s="21" t="s">
        <v>1117</v>
      </c>
      <c r="G1097" s="21" t="s">
        <v>3853</v>
      </c>
      <c r="H1097" s="88">
        <v>3653</v>
      </c>
      <c r="I1097" s="43">
        <v>3706</v>
      </c>
      <c r="J1097" s="43">
        <v>3708</v>
      </c>
      <c r="K1097" s="21">
        <v>0</v>
      </c>
      <c r="L1097" s="43"/>
      <c r="M1097" s="43"/>
      <c r="N1097" s="43">
        <v>3720</v>
      </c>
      <c r="O1097" s="27" t="s">
        <v>3800</v>
      </c>
      <c r="P1097" s="194" t="str">
        <f t="shared" si="208"/>
        <v>1</v>
      </c>
      <c r="Q1097" s="21">
        <v>1</v>
      </c>
      <c r="R1097" s="39" t="str">
        <f t="shared" si="201"/>
        <v>-</v>
      </c>
      <c r="S1097" s="120">
        <f t="shared" si="209"/>
        <v>2167110</v>
      </c>
      <c r="T1097" s="123">
        <v>2389957</v>
      </c>
      <c r="U1097" s="123">
        <f>1898421+384271</f>
        <v>2282692</v>
      </c>
      <c r="V1097" s="123">
        <f t="shared" si="203"/>
        <v>107265</v>
      </c>
      <c r="W1097" s="122" t="str">
        <f t="shared" si="204"/>
        <v>1</v>
      </c>
      <c r="X1097" s="123">
        <f>Y1097+12864+24983</f>
        <v>222847</v>
      </c>
      <c r="Y1097" s="123">
        <f>AB1097</f>
        <v>185000</v>
      </c>
      <c r="Z1097" s="123">
        <f t="shared" si="206"/>
        <v>37847</v>
      </c>
      <c r="AA1097" s="122" t="str">
        <f t="shared" si="207"/>
        <v>1</v>
      </c>
      <c r="AB1097" s="120">
        <f t="shared" si="205"/>
        <v>185000</v>
      </c>
      <c r="AC1097" s="123">
        <v>185000</v>
      </c>
      <c r="AD1097" s="123">
        <v>0</v>
      </c>
      <c r="AE1097" s="123">
        <v>6706</v>
      </c>
      <c r="AG1097" s="151">
        <f t="shared" si="202"/>
        <v>72069</v>
      </c>
      <c r="AH1097" s="123">
        <f>93796-972-1500</f>
        <v>91324</v>
      </c>
      <c r="AJ1097" s="123">
        <v>25000</v>
      </c>
      <c r="AL1097" s="123">
        <f>19255</f>
        <v>19255</v>
      </c>
      <c r="AM1097" s="123">
        <v>174367</v>
      </c>
      <c r="AN1097" s="123">
        <v>166422</v>
      </c>
    </row>
    <row r="1098" spans="1:40" s="123" customFormat="1" ht="16.2" thickBot="1" x14ac:dyDescent="0.35">
      <c r="A1098" s="21">
        <v>189.1</v>
      </c>
      <c r="B1098" s="212" t="s">
        <v>216</v>
      </c>
      <c r="C1098" s="31" t="str">
        <f>VLOOKUP((CONCATENATE(B1098)),ID!$A$2:$D$305,3,0)</f>
        <v>EL003</v>
      </c>
      <c r="D1098" s="21">
        <v>1</v>
      </c>
      <c r="E1098" s="21" t="s">
        <v>3948</v>
      </c>
      <c r="F1098" s="21" t="s">
        <v>1117</v>
      </c>
      <c r="G1098" s="21" t="s">
        <v>3853</v>
      </c>
      <c r="H1098" s="88">
        <v>4018</v>
      </c>
      <c r="I1098" s="43">
        <v>4077</v>
      </c>
      <c r="J1098" s="43">
        <v>4079</v>
      </c>
      <c r="K1098" s="21">
        <v>0</v>
      </c>
      <c r="L1098" s="21"/>
      <c r="M1098" s="21"/>
      <c r="N1098" s="43">
        <v>4091</v>
      </c>
      <c r="O1098" s="27" t="s">
        <v>3800</v>
      </c>
      <c r="P1098" s="194" t="str">
        <f t="shared" si="208"/>
        <v>1</v>
      </c>
      <c r="Q1098" s="21">
        <v>1</v>
      </c>
      <c r="R1098" s="39" t="str">
        <f t="shared" si="201"/>
        <v>-</v>
      </c>
      <c r="S1098" s="120">
        <f t="shared" si="209"/>
        <v>2200078</v>
      </c>
      <c r="T1098" s="123">
        <v>2428493</v>
      </c>
      <c r="U1098" s="123">
        <f>1936530+369301</f>
        <v>2305831</v>
      </c>
      <c r="V1098" s="123">
        <f t="shared" si="203"/>
        <v>122662</v>
      </c>
      <c r="W1098" s="122" t="str">
        <f t="shared" si="204"/>
        <v>1</v>
      </c>
      <c r="X1098" s="123">
        <f>13981+29434+185000</f>
        <v>228415</v>
      </c>
      <c r="Y1098" s="123">
        <f>AB1098</f>
        <v>185000</v>
      </c>
      <c r="Z1098" s="123">
        <f t="shared" si="206"/>
        <v>43415</v>
      </c>
      <c r="AA1098" s="122" t="str">
        <f t="shared" si="207"/>
        <v>1</v>
      </c>
      <c r="AB1098" s="120">
        <f t="shared" si="205"/>
        <v>185000</v>
      </c>
      <c r="AC1098" s="123">
        <v>185000</v>
      </c>
      <c r="AD1098" s="123">
        <v>0</v>
      </c>
      <c r="AE1098" s="123">
        <v>7808</v>
      </c>
      <c r="AG1098" s="151">
        <f t="shared" si="202"/>
        <v>70901</v>
      </c>
      <c r="AH1098" s="123">
        <f>95161-3500-877</f>
        <v>90784</v>
      </c>
      <c r="AJ1098" s="123">
        <v>20000</v>
      </c>
      <c r="AL1098" s="123">
        <f>19883</f>
        <v>19883</v>
      </c>
      <c r="AM1098" s="123">
        <f>172736</f>
        <v>172736</v>
      </c>
      <c r="AN1098" s="123">
        <v>164510</v>
      </c>
    </row>
    <row r="1099" spans="1:40" s="123" customFormat="1" ht="16.2" thickBot="1" x14ac:dyDescent="0.35">
      <c r="A1099" s="21">
        <v>189.2</v>
      </c>
      <c r="B1099" s="212" t="s">
        <v>216</v>
      </c>
      <c r="C1099" s="31" t="str">
        <f>VLOOKUP((CONCATENATE(B1099)),ID!$A$2:$D$305,3,0)</f>
        <v>EL003</v>
      </c>
      <c r="D1099" s="21">
        <v>1</v>
      </c>
      <c r="E1099" s="21" t="s">
        <v>3948</v>
      </c>
      <c r="F1099" s="21" t="s">
        <v>1117</v>
      </c>
      <c r="G1099" s="21" t="s">
        <v>3853</v>
      </c>
      <c r="H1099" s="88">
        <v>4383</v>
      </c>
      <c r="I1099" s="43">
        <v>4448</v>
      </c>
      <c r="J1099" s="43">
        <v>4450</v>
      </c>
      <c r="K1099" s="21">
        <v>1</v>
      </c>
      <c r="L1099" s="43">
        <v>4451</v>
      </c>
      <c r="M1099" s="43">
        <v>4462</v>
      </c>
      <c r="N1099" s="43">
        <v>4462</v>
      </c>
      <c r="O1099" s="27" t="s">
        <v>3800</v>
      </c>
      <c r="P1099" s="194" t="str">
        <f t="shared" si="208"/>
        <v>1</v>
      </c>
      <c r="Q1099" s="21">
        <v>1</v>
      </c>
      <c r="R1099" s="39" t="str">
        <f t="shared" si="201"/>
        <v>-</v>
      </c>
      <c r="S1099" s="120">
        <f t="shared" si="209"/>
        <v>2239650</v>
      </c>
      <c r="T1099" s="123">
        <v>2494453</v>
      </c>
      <c r="U1099" s="123">
        <f>1989831+320001</f>
        <v>2309832</v>
      </c>
      <c r="V1099" s="123">
        <f t="shared" si="203"/>
        <v>184621</v>
      </c>
      <c r="W1099" s="122" t="str">
        <f t="shared" si="204"/>
        <v>1</v>
      </c>
      <c r="X1099" s="123">
        <f>62520+145000+33089+14194</f>
        <v>254803</v>
      </c>
      <c r="Y1099" s="123">
        <f>AB1099</f>
        <v>207520</v>
      </c>
      <c r="Z1099" s="123">
        <f t="shared" si="206"/>
        <v>47283</v>
      </c>
      <c r="AA1099" s="122" t="str">
        <f t="shared" si="207"/>
        <v>1</v>
      </c>
      <c r="AB1099" s="120">
        <f t="shared" si="205"/>
        <v>207520</v>
      </c>
      <c r="AC1099" s="123">
        <v>145000</v>
      </c>
      <c r="AD1099" s="123">
        <v>62520</v>
      </c>
      <c r="AE1099" s="123">
        <v>6884</v>
      </c>
      <c r="AG1099" s="151">
        <f t="shared" si="202"/>
        <v>65532</v>
      </c>
      <c r="AH1099" s="123">
        <f>88412-771</f>
        <v>87641</v>
      </c>
      <c r="AJ1099" s="123">
        <v>20000</v>
      </c>
      <c r="AL1099" s="123">
        <f>20414+1695</f>
        <v>22109</v>
      </c>
      <c r="AM1099" s="123">
        <v>182621</v>
      </c>
      <c r="AN1099" s="123">
        <v>173929</v>
      </c>
    </row>
    <row r="1100" spans="1:40" s="123" customFormat="1" ht="16.2" thickBot="1" x14ac:dyDescent="0.35">
      <c r="A1100" s="21"/>
      <c r="B1100" s="212" t="s">
        <v>216</v>
      </c>
      <c r="C1100" s="31" t="str">
        <f>VLOOKUP((CONCATENATE(B1100)),ID!$A$2:$D$305,3,0)</f>
        <v>EL003</v>
      </c>
      <c r="D1100" s="21">
        <v>1</v>
      </c>
      <c r="E1100" s="21" t="s">
        <v>3948</v>
      </c>
      <c r="F1100" s="21" t="s">
        <v>1117</v>
      </c>
      <c r="G1100" s="21" t="s">
        <v>3853</v>
      </c>
      <c r="H1100" s="88">
        <v>4749</v>
      </c>
      <c r="I1100" s="43">
        <v>4812</v>
      </c>
      <c r="J1100" s="43">
        <v>4814</v>
      </c>
      <c r="K1100" s="21">
        <v>0</v>
      </c>
      <c r="L1100" s="43"/>
      <c r="M1100" s="43"/>
      <c r="N1100" s="43">
        <v>4826</v>
      </c>
      <c r="O1100" s="27" t="s">
        <v>3800</v>
      </c>
      <c r="P1100" s="194" t="str">
        <f t="shared" si="208"/>
        <v>1</v>
      </c>
      <c r="Q1100" s="21">
        <v>1</v>
      </c>
      <c r="R1100" s="39" t="str">
        <f t="shared" si="201"/>
        <v>-</v>
      </c>
      <c r="S1100" s="120">
        <f t="shared" si="209"/>
        <v>2312603</v>
      </c>
      <c r="T1100" s="123">
        <v>2555880</v>
      </c>
      <c r="U1100" s="123">
        <f>2103996+324793</f>
        <v>2428789</v>
      </c>
      <c r="V1100" s="123">
        <f t="shared" si="203"/>
        <v>127091</v>
      </c>
      <c r="W1100" s="122" t="str">
        <f t="shared" si="204"/>
        <v>1</v>
      </c>
      <c r="X1100" s="123">
        <f>Y1100+33549+21377</f>
        <v>243277</v>
      </c>
      <c r="Y1100" s="123">
        <f>AB1100</f>
        <v>188351</v>
      </c>
      <c r="Z1100" s="123">
        <f t="shared" si="206"/>
        <v>54926</v>
      </c>
      <c r="AA1100" s="122" t="str">
        <f t="shared" si="207"/>
        <v>1</v>
      </c>
      <c r="AB1100" s="120">
        <f t="shared" si="205"/>
        <v>188351</v>
      </c>
      <c r="AC1100" s="123">
        <v>130000</v>
      </c>
      <c r="AD1100" s="123">
        <v>58351</v>
      </c>
      <c r="AE1100" s="123">
        <v>6119</v>
      </c>
      <c r="AG1100" s="151">
        <f t="shared" si="202"/>
        <v>66853</v>
      </c>
      <c r="AH1100" s="123">
        <f>94314-2356</f>
        <v>91958</v>
      </c>
      <c r="AJ1100" s="123">
        <v>20000</v>
      </c>
      <c r="AL1100" s="123">
        <f>22835+2270</f>
        <v>25105</v>
      </c>
      <c r="AM1100" s="123">
        <v>202182</v>
      </c>
      <c r="AN1100" s="123">
        <v>182953</v>
      </c>
    </row>
    <row r="1101" spans="1:40" s="123" customFormat="1" ht="16.2" thickBot="1" x14ac:dyDescent="0.35">
      <c r="A1101" s="21"/>
      <c r="B1101" s="212" t="s">
        <v>216</v>
      </c>
      <c r="C1101" s="31" t="str">
        <f>VLOOKUP((CONCATENATE(B1101)),ID!$A$2:$D$305,3,0)</f>
        <v>EL003</v>
      </c>
      <c r="D1101" s="21">
        <v>1</v>
      </c>
      <c r="E1101" s="21" t="s">
        <v>3948</v>
      </c>
      <c r="F1101" s="21" t="s">
        <v>1117</v>
      </c>
      <c r="G1101" s="21" t="s">
        <v>3853</v>
      </c>
      <c r="H1101" s="88">
        <v>5114</v>
      </c>
      <c r="I1101" s="43">
        <v>5169</v>
      </c>
      <c r="J1101" s="43">
        <v>5171</v>
      </c>
      <c r="K1101" s="21">
        <v>0</v>
      </c>
      <c r="L1101" s="43"/>
      <c r="M1101" s="43"/>
      <c r="N1101" s="43">
        <v>5183</v>
      </c>
      <c r="O1101" s="27" t="s">
        <v>3800</v>
      </c>
      <c r="P1101" s="194" t="str">
        <f t="shared" si="208"/>
        <v>1</v>
      </c>
      <c r="Q1101" s="21">
        <v>1</v>
      </c>
      <c r="R1101" s="39" t="str">
        <f t="shared" si="201"/>
        <v>-</v>
      </c>
      <c r="S1101" s="120">
        <f t="shared" si="209"/>
        <v>2344502</v>
      </c>
      <c r="T1101" s="123">
        <v>2634837</v>
      </c>
      <c r="U1101" s="123">
        <f>2172336+324672</f>
        <v>2497008</v>
      </c>
      <c r="V1101" s="123">
        <f t="shared" si="203"/>
        <v>137829</v>
      </c>
      <c r="W1101" s="122" t="str">
        <f t="shared" si="204"/>
        <v>1</v>
      </c>
      <c r="X1101" s="123">
        <f>Y1101+30524+33797</f>
        <v>290335</v>
      </c>
      <c r="Y1101" s="123">
        <f>AB1101</f>
        <v>226014</v>
      </c>
      <c r="Z1101" s="123">
        <f t="shared" si="206"/>
        <v>64321</v>
      </c>
      <c r="AA1101" s="122" t="str">
        <f t="shared" si="207"/>
        <v>1</v>
      </c>
      <c r="AB1101" s="120">
        <f t="shared" si="205"/>
        <v>226014</v>
      </c>
      <c r="AC1101" s="123">
        <v>170000</v>
      </c>
      <c r="AD1101" s="123">
        <v>56014</v>
      </c>
      <c r="AE1101" s="123">
        <v>6607</v>
      </c>
      <c r="AG1101" s="151">
        <f t="shared" si="202"/>
        <v>68030</v>
      </c>
      <c r="AH1101" s="123">
        <f>97474-4262</f>
        <v>93212</v>
      </c>
      <c r="AJ1101" s="123">
        <v>20000</v>
      </c>
      <c r="AL1101" s="123">
        <f>23520+1662</f>
        <v>25182</v>
      </c>
      <c r="AM1101" s="123">
        <v>217605</v>
      </c>
      <c r="AN1101" s="123">
        <v>208524</v>
      </c>
    </row>
    <row r="1102" spans="1:40" s="123" customFormat="1" ht="16.2" thickBot="1" x14ac:dyDescent="0.35">
      <c r="A1102" s="21"/>
      <c r="B1102" s="212" t="s">
        <v>238</v>
      </c>
      <c r="C1102" s="31" t="str">
        <f>VLOOKUP((CONCATENATE(B1102)),ID!$A$2:$D$305,3,0)</f>
        <v>EL004</v>
      </c>
      <c r="D1102" s="21">
        <v>1</v>
      </c>
      <c r="E1102" s="21" t="s">
        <v>3948</v>
      </c>
      <c r="F1102" s="21" t="s">
        <v>3878</v>
      </c>
      <c r="G1102" s="21" t="s">
        <v>3853</v>
      </c>
      <c r="H1102" s="88">
        <v>3653</v>
      </c>
      <c r="I1102" s="43">
        <v>3723</v>
      </c>
      <c r="J1102" s="43">
        <v>3716</v>
      </c>
      <c r="K1102" s="21">
        <v>0</v>
      </c>
      <c r="L1102" s="43"/>
      <c r="M1102" s="43"/>
      <c r="N1102" s="43">
        <v>3733</v>
      </c>
      <c r="O1102" s="21" t="s">
        <v>3951</v>
      </c>
      <c r="P1102" s="194" t="str">
        <f t="shared" si="208"/>
        <v>1</v>
      </c>
      <c r="Q1102" s="21">
        <v>1</v>
      </c>
      <c r="R1102" s="39" t="str">
        <f t="shared" si="201"/>
        <v>-</v>
      </c>
      <c r="S1102" s="120">
        <f t="shared" si="209"/>
        <v>2217107</v>
      </c>
      <c r="T1102" s="123">
        <v>2309417</v>
      </c>
      <c r="U1102" s="123">
        <f>1781882+59718+5561+163168</f>
        <v>2010329</v>
      </c>
      <c r="V1102" s="123">
        <f t="shared" si="203"/>
        <v>299088</v>
      </c>
      <c r="W1102" s="122" t="str">
        <f t="shared" si="204"/>
        <v>1</v>
      </c>
      <c r="X1102" s="123">
        <f>AB1102+91309</f>
        <v>92310</v>
      </c>
      <c r="Z1102" s="123">
        <f t="shared" si="206"/>
        <v>92310</v>
      </c>
      <c r="AA1102" s="122" t="str">
        <f t="shared" si="207"/>
        <v>1</v>
      </c>
      <c r="AB1102" s="120">
        <f t="shared" si="205"/>
        <v>1001</v>
      </c>
      <c r="AC1102" s="123">
        <v>0</v>
      </c>
      <c r="AD1102" s="123">
        <v>1001</v>
      </c>
      <c r="AE1102" s="123">
        <f>155076+201</f>
        <v>155277</v>
      </c>
      <c r="AG1102" s="151">
        <f t="shared" si="202"/>
        <v>78563</v>
      </c>
      <c r="AH1102" s="123">
        <f>104887-2736</f>
        <v>102151</v>
      </c>
      <c r="AJ1102" s="123">
        <v>17187</v>
      </c>
      <c r="AL1102" s="123">
        <f>21734+1854</f>
        <v>23588</v>
      </c>
      <c r="AM1102" s="123">
        <v>91532</v>
      </c>
    </row>
    <row r="1103" spans="1:40" s="123" customFormat="1" ht="16.2" thickBot="1" x14ac:dyDescent="0.35">
      <c r="A1103" s="21">
        <v>190.1</v>
      </c>
      <c r="B1103" s="212" t="s">
        <v>238</v>
      </c>
      <c r="C1103" s="31" t="str">
        <f>VLOOKUP((CONCATENATE(B1103)),ID!$A$2:$D$305,3,0)</f>
        <v>EL004</v>
      </c>
      <c r="D1103" s="21">
        <v>1</v>
      </c>
      <c r="E1103" s="21" t="s">
        <v>3948</v>
      </c>
      <c r="F1103" s="21" t="s">
        <v>3878</v>
      </c>
      <c r="G1103" s="21" t="s">
        <v>3853</v>
      </c>
      <c r="H1103" s="88">
        <v>4018</v>
      </c>
      <c r="I1103" s="43">
        <v>4092</v>
      </c>
      <c r="J1103" s="43">
        <v>4088</v>
      </c>
      <c r="K1103" s="21">
        <v>0</v>
      </c>
      <c r="L1103" s="21"/>
      <c r="M1103" s="21"/>
      <c r="N1103" s="43">
        <v>4106</v>
      </c>
      <c r="O1103" s="21" t="s">
        <v>3951</v>
      </c>
      <c r="P1103" s="194" t="str">
        <f t="shared" si="208"/>
        <v>1</v>
      </c>
      <c r="Q1103" s="21">
        <v>1</v>
      </c>
      <c r="R1103" s="39" t="str">
        <f t="shared" si="201"/>
        <v>-</v>
      </c>
      <c r="S1103" s="120">
        <f t="shared" si="209"/>
        <v>2220920</v>
      </c>
      <c r="T1103" s="123">
        <v>2277986</v>
      </c>
      <c r="U1103" s="123">
        <f>1892164+61869+5561+138905</f>
        <v>2098499</v>
      </c>
      <c r="V1103" s="123">
        <f t="shared" si="203"/>
        <v>179487</v>
      </c>
      <c r="W1103" s="122" t="str">
        <f t="shared" si="204"/>
        <v>1</v>
      </c>
      <c r="X1103" s="123">
        <f>56158+908</f>
        <v>57066</v>
      </c>
      <c r="Z1103" s="123">
        <f t="shared" si="206"/>
        <v>57066</v>
      </c>
      <c r="AA1103" s="122" t="str">
        <f t="shared" si="207"/>
        <v>1</v>
      </c>
      <c r="AB1103" s="120">
        <f t="shared" si="205"/>
        <v>908</v>
      </c>
      <c r="AC1103" s="123">
        <v>0</v>
      </c>
      <c r="AD1103" s="123">
        <v>908</v>
      </c>
      <c r="AE1103" s="123">
        <f>26084+120</f>
        <v>26204</v>
      </c>
      <c r="AG1103" s="151">
        <f t="shared" si="202"/>
        <v>76002</v>
      </c>
      <c r="AH1103" s="123">
        <f>9545+98233</f>
        <v>107778</v>
      </c>
      <c r="AJ1103" s="123">
        <v>27500</v>
      </c>
      <c r="AL1103" s="123">
        <f>30740+1036</f>
        <v>31776</v>
      </c>
      <c r="AM1103" s="123">
        <v>100670</v>
      </c>
    </row>
    <row r="1104" spans="1:40" s="123" customFormat="1" ht="16.2" thickBot="1" x14ac:dyDescent="0.35">
      <c r="A1104" s="21">
        <v>190.2</v>
      </c>
      <c r="B1104" s="212" t="s">
        <v>238</v>
      </c>
      <c r="C1104" s="31" t="str">
        <f>VLOOKUP((CONCATENATE(B1104)),ID!$A$2:$D$305,3,0)</f>
        <v>EL004</v>
      </c>
      <c r="D1104" s="21">
        <v>1</v>
      </c>
      <c r="E1104" s="21" t="s">
        <v>3948</v>
      </c>
      <c r="F1104" s="21" t="s">
        <v>3878</v>
      </c>
      <c r="G1104" s="21" t="s">
        <v>3853</v>
      </c>
      <c r="H1104" s="88">
        <v>4383</v>
      </c>
      <c r="I1104" s="43">
        <v>4456</v>
      </c>
      <c r="J1104" s="43">
        <v>4454</v>
      </c>
      <c r="K1104" s="21">
        <v>1</v>
      </c>
      <c r="L1104" s="43">
        <v>4460</v>
      </c>
      <c r="M1104" s="43">
        <v>4477</v>
      </c>
      <c r="N1104" s="43">
        <v>4470</v>
      </c>
      <c r="O1104" s="21" t="s">
        <v>3951</v>
      </c>
      <c r="P1104" s="194" t="str">
        <f t="shared" si="208"/>
        <v>1</v>
      </c>
      <c r="Q1104" s="21">
        <v>1</v>
      </c>
      <c r="R1104" s="39" t="str">
        <f t="shared" si="201"/>
        <v>-</v>
      </c>
      <c r="S1104" s="120">
        <f t="shared" si="209"/>
        <v>2246533</v>
      </c>
      <c r="T1104" s="123">
        <v>2355414</v>
      </c>
      <c r="U1104" s="123">
        <f>2119113-150000+63131-2500+5552+104506</f>
        <v>2139802</v>
      </c>
      <c r="V1104" s="123">
        <f t="shared" si="203"/>
        <v>215612</v>
      </c>
      <c r="W1104" s="122" t="str">
        <f t="shared" si="204"/>
        <v>1</v>
      </c>
      <c r="X1104" s="123">
        <f>2780+106101</f>
        <v>108881</v>
      </c>
      <c r="Z1104" s="123">
        <f t="shared" si="206"/>
        <v>108881</v>
      </c>
      <c r="AA1104" s="122" t="str">
        <f t="shared" si="207"/>
        <v>1</v>
      </c>
      <c r="AB1104" s="120">
        <f t="shared" si="205"/>
        <v>2780</v>
      </c>
      <c r="AC1104" s="123">
        <v>0</v>
      </c>
      <c r="AD1104" s="123">
        <v>2780</v>
      </c>
      <c r="AE1104" s="123">
        <f>31165+124</f>
        <v>31289</v>
      </c>
      <c r="AG1104" s="151">
        <f t="shared" si="202"/>
        <v>82871</v>
      </c>
      <c r="AH1104" s="123">
        <f>7502+107336</f>
        <v>114838</v>
      </c>
      <c r="AJ1104" s="123">
        <f>17187+13750</f>
        <v>30937</v>
      </c>
      <c r="AL1104" s="123">
        <f>1227+30740</f>
        <v>31967</v>
      </c>
      <c r="AM1104" s="123">
        <v>114479</v>
      </c>
    </row>
    <row r="1105" spans="1:41" s="123" customFormat="1" ht="16.2" thickBot="1" x14ac:dyDescent="0.35">
      <c r="A1105" s="21"/>
      <c r="B1105" s="212" t="s">
        <v>238</v>
      </c>
      <c r="C1105" s="31" t="str">
        <f>VLOOKUP((CONCATENATE(B1105)),ID!$A$2:$D$305,3,0)</f>
        <v>EL004</v>
      </c>
      <c r="D1105" s="21">
        <v>1</v>
      </c>
      <c r="E1105" s="21" t="s">
        <v>3948</v>
      </c>
      <c r="F1105" s="21" t="s">
        <v>3878</v>
      </c>
      <c r="G1105" s="21" t="s">
        <v>3853</v>
      </c>
      <c r="H1105" s="88">
        <v>4749</v>
      </c>
      <c r="I1105" s="43">
        <v>4814</v>
      </c>
      <c r="J1105" s="43">
        <v>4813</v>
      </c>
      <c r="K1105" s="21">
        <v>1</v>
      </c>
      <c r="L1105" s="43">
        <v>4817</v>
      </c>
      <c r="M1105" s="43">
        <v>4834</v>
      </c>
      <c r="N1105" s="43">
        <v>4827</v>
      </c>
      <c r="O1105" s="21" t="s">
        <v>3951</v>
      </c>
      <c r="P1105" s="194" t="str">
        <f t="shared" si="208"/>
        <v>1</v>
      </c>
      <c r="Q1105" s="21">
        <v>1</v>
      </c>
      <c r="R1105" s="39" t="str">
        <f t="shared" si="201"/>
        <v>-</v>
      </c>
      <c r="S1105" s="120">
        <f t="shared" si="209"/>
        <v>2236387</v>
      </c>
      <c r="T1105" s="123">
        <v>2475991</v>
      </c>
      <c r="U1105" s="123">
        <f>2116195+55580+5552+73301</f>
        <v>2250628</v>
      </c>
      <c r="V1105" s="123">
        <f t="shared" si="203"/>
        <v>225363</v>
      </c>
      <c r="W1105" s="122" t="str">
        <f t="shared" si="204"/>
        <v>1</v>
      </c>
      <c r="X1105" s="123">
        <f>AB1105+93490</f>
        <v>239604</v>
      </c>
      <c r="Z1105" s="123">
        <f t="shared" si="206"/>
        <v>239604</v>
      </c>
      <c r="AA1105" s="122" t="str">
        <f t="shared" si="207"/>
        <v>1</v>
      </c>
      <c r="AB1105" s="120">
        <f t="shared" si="205"/>
        <v>146114</v>
      </c>
      <c r="AC1105" s="123">
        <v>0</v>
      </c>
      <c r="AD1105" s="123">
        <f>45534+100580</f>
        <v>146114</v>
      </c>
      <c r="AE1105" s="123">
        <f>408+2740</f>
        <v>3148</v>
      </c>
      <c r="AG1105" s="151">
        <f t="shared" si="202"/>
        <v>85910</v>
      </c>
      <c r="AH1105" s="123">
        <f>5907+115081</f>
        <v>120988</v>
      </c>
      <c r="AJ1105" s="123">
        <v>30937</v>
      </c>
      <c r="AL1105" s="123">
        <f>4141+30937</f>
        <v>35078</v>
      </c>
      <c r="AM1105" s="123">
        <v>117515</v>
      </c>
    </row>
    <row r="1106" spans="1:41" s="123" customFormat="1" ht="16.2" thickBot="1" x14ac:dyDescent="0.35">
      <c r="A1106" s="21"/>
      <c r="B1106" s="212" t="s">
        <v>238</v>
      </c>
      <c r="C1106" s="31" t="str">
        <f>VLOOKUP((CONCATENATE(B1106)),ID!$A$2:$D$305,3,0)</f>
        <v>EL004</v>
      </c>
      <c r="D1106" s="21">
        <v>1</v>
      </c>
      <c r="E1106" s="21" t="s">
        <v>3948</v>
      </c>
      <c r="F1106" s="21" t="s">
        <v>3878</v>
      </c>
      <c r="G1106" s="21" t="s">
        <v>3853</v>
      </c>
      <c r="H1106" s="88">
        <v>5114</v>
      </c>
      <c r="I1106" s="43">
        <v>5170</v>
      </c>
      <c r="J1106" s="43">
        <v>5169</v>
      </c>
      <c r="K1106" s="21">
        <v>1</v>
      </c>
      <c r="L1106" s="43">
        <v>5169</v>
      </c>
      <c r="M1106" s="43">
        <v>5186</v>
      </c>
      <c r="N1106" s="43">
        <v>5179</v>
      </c>
      <c r="O1106" s="21" t="s">
        <v>3951</v>
      </c>
      <c r="P1106" s="194" t="str">
        <f t="shared" si="208"/>
        <v>1</v>
      </c>
      <c r="Q1106" s="21">
        <v>1</v>
      </c>
      <c r="R1106" s="39" t="str">
        <f t="shared" si="201"/>
        <v>-</v>
      </c>
      <c r="S1106" s="120">
        <f t="shared" si="209"/>
        <v>2712706</v>
      </c>
      <c r="T1106" s="123">
        <v>2802925</v>
      </c>
      <c r="U1106" s="123">
        <f>5552+66144+2290466+59139</f>
        <v>2421301</v>
      </c>
      <c r="V1106" s="123">
        <f t="shared" si="203"/>
        <v>381624</v>
      </c>
      <c r="W1106" s="122" t="str">
        <f t="shared" si="204"/>
        <v>1</v>
      </c>
      <c r="X1106" s="123">
        <f>AD1106+82309</f>
        <v>90219</v>
      </c>
      <c r="Z1106" s="123">
        <f t="shared" si="206"/>
        <v>90219</v>
      </c>
      <c r="AA1106" s="122" t="str">
        <f t="shared" si="207"/>
        <v>1</v>
      </c>
      <c r="AB1106" s="120">
        <f t="shared" si="205"/>
        <v>7910</v>
      </c>
      <c r="AC1106" s="123">
        <v>0</v>
      </c>
      <c r="AD1106" s="123">
        <v>7910</v>
      </c>
      <c r="AE1106" s="123">
        <f>24341+174</f>
        <v>24515</v>
      </c>
      <c r="AG1106" s="151">
        <f t="shared" si="202"/>
        <v>98508</v>
      </c>
      <c r="AH1106" s="123">
        <f>134096+7043</f>
        <v>141139</v>
      </c>
      <c r="AJ1106" s="123">
        <v>34375</v>
      </c>
      <c r="AL1106" s="123">
        <f>8993+33638</f>
        <v>42631</v>
      </c>
      <c r="AM1106" s="123">
        <v>127683</v>
      </c>
    </row>
    <row r="1107" spans="1:41" s="123" customFormat="1" ht="16.2" thickBot="1" x14ac:dyDescent="0.35">
      <c r="A1107" s="21"/>
      <c r="B1107" s="212" t="s">
        <v>320</v>
      </c>
      <c r="C1107" s="31" t="str">
        <f>VLOOKUP((CONCATENATE(B1107)),ID!$A$2:$D$305,3,0)</f>
        <v>EL005</v>
      </c>
      <c r="D1107" s="21">
        <v>1</v>
      </c>
      <c r="E1107" s="21" t="s">
        <v>3948</v>
      </c>
      <c r="F1107" s="21" t="s">
        <v>1117</v>
      </c>
      <c r="G1107" s="21" t="s">
        <v>3943</v>
      </c>
      <c r="H1107" s="88">
        <v>3653</v>
      </c>
      <c r="I1107" s="43">
        <v>3832</v>
      </c>
      <c r="J1107" s="43">
        <v>3828</v>
      </c>
      <c r="K1107" s="21">
        <v>0</v>
      </c>
      <c r="L1107" s="43"/>
      <c r="M1107" s="43"/>
      <c r="N1107" s="43">
        <v>3849</v>
      </c>
      <c r="O1107" s="21" t="s">
        <v>3843</v>
      </c>
      <c r="P1107" s="194">
        <v>1</v>
      </c>
      <c r="Q1107" s="21">
        <v>1</v>
      </c>
      <c r="R1107" s="39" t="str">
        <f t="shared" si="201"/>
        <v>-</v>
      </c>
      <c r="S1107" s="120">
        <f t="shared" si="209"/>
        <v>2858188</v>
      </c>
      <c r="T1107" s="123">
        <v>3718344</v>
      </c>
      <c r="U1107" s="123">
        <f>22980+41945+1345+3063+1905+50000+232220+1750+1133978+1074560</f>
        <v>2563746</v>
      </c>
      <c r="V1107" s="123">
        <f t="shared" si="203"/>
        <v>1154598</v>
      </c>
      <c r="W1107" s="122" t="str">
        <f t="shared" si="204"/>
        <v>1</v>
      </c>
      <c r="X1107" s="123">
        <f>945+Y1107+37880</f>
        <v>860156</v>
      </c>
      <c r="Y1107" s="123">
        <f>AB1107</f>
        <v>821331</v>
      </c>
      <c r="Z1107" s="123">
        <f t="shared" si="206"/>
        <v>38825</v>
      </c>
      <c r="AA1107" s="122" t="str">
        <f t="shared" si="207"/>
        <v>1</v>
      </c>
      <c r="AB1107" s="120">
        <f t="shared" si="205"/>
        <v>821331</v>
      </c>
      <c r="AC1107" s="123">
        <v>0</v>
      </c>
      <c r="AD1107" s="123">
        <v>821331</v>
      </c>
      <c r="AE1107" s="123">
        <v>185295</v>
      </c>
      <c r="AG1107" s="151">
        <f t="shared" si="202"/>
        <v>50535</v>
      </c>
      <c r="AH1107" s="123">
        <v>58471</v>
      </c>
      <c r="AL1107" s="123">
        <v>7936</v>
      </c>
      <c r="AO1107" s="123">
        <v>1702183</v>
      </c>
    </row>
    <row r="1108" spans="1:41" s="123" customFormat="1" ht="16.2" thickBot="1" x14ac:dyDescent="0.35">
      <c r="A1108" s="21">
        <v>191.1</v>
      </c>
      <c r="B1108" s="212" t="s">
        <v>320</v>
      </c>
      <c r="C1108" s="31" t="str">
        <f>VLOOKUP((CONCATENATE(B1108)),ID!$A$2:$D$305,3,0)</f>
        <v>EL005</v>
      </c>
      <c r="D1108" s="21">
        <v>1</v>
      </c>
      <c r="E1108" s="21" t="s">
        <v>3948</v>
      </c>
      <c r="F1108" s="21" t="s">
        <v>1117</v>
      </c>
      <c r="G1108" s="21" t="s">
        <v>3943</v>
      </c>
      <c r="H1108" s="88">
        <v>4018</v>
      </c>
      <c r="I1108" s="43">
        <v>4169</v>
      </c>
      <c r="J1108" s="43">
        <v>4165</v>
      </c>
      <c r="K1108" s="21">
        <v>1</v>
      </c>
      <c r="L1108" s="43">
        <v>4178</v>
      </c>
      <c r="M1108" s="43">
        <v>4189</v>
      </c>
      <c r="N1108" s="43">
        <v>4188</v>
      </c>
      <c r="O1108" s="21" t="s">
        <v>3843</v>
      </c>
      <c r="P1108" s="194">
        <v>1</v>
      </c>
      <c r="Q1108" s="21">
        <v>1</v>
      </c>
      <c r="R1108" s="39" t="str">
        <f t="shared" si="201"/>
        <v>-</v>
      </c>
      <c r="S1108" s="120">
        <f t="shared" si="209"/>
        <v>3048010</v>
      </c>
      <c r="T1108" s="123">
        <v>5177210</v>
      </c>
      <c r="U1108" s="123">
        <f>26845+114267+1305+2747+22762+1300000+292394+50000+1462179+1643769</f>
        <v>4916268</v>
      </c>
      <c r="V1108" s="123">
        <f t="shared" si="203"/>
        <v>260942</v>
      </c>
      <c r="W1108" s="122" t="str">
        <f t="shared" si="204"/>
        <v>1</v>
      </c>
      <c r="X1108" s="123">
        <f>Y1108+429200</f>
        <v>2129200</v>
      </c>
      <c r="Y1108" s="123">
        <f>AB1108</f>
        <v>1700000</v>
      </c>
      <c r="Z1108" s="123">
        <f t="shared" si="206"/>
        <v>429200</v>
      </c>
      <c r="AA1108" s="122" t="str">
        <f t="shared" si="207"/>
        <v>1</v>
      </c>
      <c r="AB1108" s="120">
        <f t="shared" si="205"/>
        <v>1700000</v>
      </c>
      <c r="AC1108" s="123">
        <v>0</v>
      </c>
      <c r="AD1108" s="123">
        <v>1700000</v>
      </c>
      <c r="AE1108" s="123">
        <v>80771</v>
      </c>
      <c r="AG1108" s="151">
        <f>AH1108-82550</f>
        <v>36236</v>
      </c>
      <c r="AH1108" s="123">
        <f>157749-38963</f>
        <v>118786</v>
      </c>
      <c r="AO1108" s="123">
        <v>1828200</v>
      </c>
    </row>
    <row r="1109" spans="1:41" s="123" customFormat="1" ht="16.2" thickBot="1" x14ac:dyDescent="0.35">
      <c r="A1109" s="21">
        <v>191.2</v>
      </c>
      <c r="B1109" s="212" t="s">
        <v>320</v>
      </c>
      <c r="C1109" s="31" t="str">
        <f>VLOOKUP((CONCATENATE(B1109)),ID!$A$2:$D$305,3,0)</f>
        <v>EL005</v>
      </c>
      <c r="D1109" s="21">
        <v>1</v>
      </c>
      <c r="E1109" s="21" t="s">
        <v>3948</v>
      </c>
      <c r="F1109" s="21" t="s">
        <v>1117</v>
      </c>
      <c r="G1109" s="21" t="s">
        <v>3943</v>
      </c>
      <c r="H1109" s="88">
        <v>4383</v>
      </c>
      <c r="I1109" s="43">
        <v>4589</v>
      </c>
      <c r="J1109" s="43">
        <v>4585</v>
      </c>
      <c r="K1109" s="21">
        <v>0</v>
      </c>
      <c r="L1109" s="21"/>
      <c r="M1109" s="21"/>
      <c r="N1109" s="43">
        <v>4604</v>
      </c>
      <c r="O1109" s="21" t="s">
        <v>3843</v>
      </c>
      <c r="P1109" s="194">
        <v>1</v>
      </c>
      <c r="Q1109" s="21">
        <v>1</v>
      </c>
      <c r="R1109" s="39" t="str">
        <f t="shared" si="201"/>
        <v>-</v>
      </c>
      <c r="S1109" s="120">
        <f t="shared" si="209"/>
        <v>3261141</v>
      </c>
      <c r="T1109" s="123">
        <v>6471703</v>
      </c>
      <c r="U1109" s="123">
        <f>T1109-92427-704103-75216-9364</f>
        <v>5590593</v>
      </c>
      <c r="V1109" s="123">
        <f t="shared" si="203"/>
        <v>881110</v>
      </c>
      <c r="W1109" s="122" t="str">
        <f t="shared" si="204"/>
        <v>1</v>
      </c>
      <c r="X1109" s="123">
        <f>3000000+210562</f>
        <v>3210562</v>
      </c>
      <c r="Y1109" s="123">
        <f>AB1109</f>
        <v>3000000</v>
      </c>
      <c r="Z1109" s="123">
        <f t="shared" si="206"/>
        <v>210562</v>
      </c>
      <c r="AA1109" s="122" t="str">
        <f t="shared" si="207"/>
        <v>1</v>
      </c>
      <c r="AB1109" s="120">
        <f t="shared" si="205"/>
        <v>3000000</v>
      </c>
      <c r="AC1109" s="123">
        <v>0</v>
      </c>
      <c r="AD1109" s="123">
        <v>3000000</v>
      </c>
      <c r="AE1109" s="123">
        <v>704103</v>
      </c>
      <c r="AG1109" s="151">
        <f>AH1109-124736</f>
        <v>137093</v>
      </c>
      <c r="AH1109" s="123">
        <f>323093-61264</f>
        <v>261829</v>
      </c>
      <c r="AO1109" s="123">
        <v>3000000</v>
      </c>
    </row>
    <row r="1110" spans="1:41" s="123" customFormat="1" ht="16.2" thickBot="1" x14ac:dyDescent="0.35">
      <c r="A1110" s="21"/>
      <c r="B1110" s="212" t="s">
        <v>320</v>
      </c>
      <c r="C1110" s="31" t="str">
        <f>VLOOKUP((CONCATENATE(B1110)),ID!$A$2:$D$305,3,0)</f>
        <v>EL005</v>
      </c>
      <c r="D1110" s="21">
        <v>1</v>
      </c>
      <c r="E1110" s="21" t="s">
        <v>3948</v>
      </c>
      <c r="F1110" s="21" t="s">
        <v>1117</v>
      </c>
      <c r="G1110" s="21" t="s">
        <v>3943</v>
      </c>
      <c r="H1110" s="88">
        <v>4749</v>
      </c>
      <c r="I1110" s="43">
        <v>5002</v>
      </c>
      <c r="J1110" s="43">
        <v>4998</v>
      </c>
      <c r="K1110" s="21">
        <v>0</v>
      </c>
      <c r="L1110" s="21"/>
      <c r="M1110" s="21"/>
      <c r="N1110" s="43">
        <v>5018</v>
      </c>
      <c r="O1110" s="21" t="s">
        <v>3843</v>
      </c>
      <c r="P1110" s="194">
        <v>1</v>
      </c>
      <c r="Q1110" s="21">
        <v>1</v>
      </c>
      <c r="R1110" s="39" t="str">
        <f t="shared" si="201"/>
        <v>-</v>
      </c>
      <c r="S1110" s="120">
        <f t="shared" si="209"/>
        <v>3515367</v>
      </c>
      <c r="T1110" s="123">
        <f>7610416</f>
        <v>7610416</v>
      </c>
      <c r="U1110" s="123">
        <f>T1110-1152649-50109</f>
        <v>6407658</v>
      </c>
      <c r="V1110" s="123">
        <f t="shared" si="203"/>
        <v>1202758</v>
      </c>
      <c r="W1110" s="122" t="str">
        <f t="shared" si="204"/>
        <v>1</v>
      </c>
      <c r="X1110" s="123">
        <f>Y1110+28121+66928</f>
        <v>4095049</v>
      </c>
      <c r="Y1110" s="123">
        <f>AB1110</f>
        <v>4000000</v>
      </c>
      <c r="Z1110" s="123">
        <f t="shared" si="206"/>
        <v>95049</v>
      </c>
      <c r="AA1110" s="122" t="str">
        <f t="shared" si="207"/>
        <v>1</v>
      </c>
      <c r="AB1110" s="120">
        <f t="shared" si="205"/>
        <v>4000000</v>
      </c>
      <c r="AC1110" s="123">
        <v>0</v>
      </c>
      <c r="AD1110" s="123">
        <v>4000000</v>
      </c>
      <c r="AE1110" s="123">
        <v>996330</v>
      </c>
      <c r="AG1110" s="151">
        <f t="shared" si="202"/>
        <v>169624</v>
      </c>
      <c r="AH1110" s="123">
        <f>446380-102053</f>
        <v>344327</v>
      </c>
      <c r="AL1110" s="123">
        <v>174703</v>
      </c>
      <c r="AO1110" s="123">
        <v>3000000</v>
      </c>
    </row>
    <row r="1111" spans="1:41" s="123" customFormat="1" ht="16.2" thickBot="1" x14ac:dyDescent="0.35">
      <c r="A1111" s="21"/>
      <c r="B1111" s="212" t="s">
        <v>320</v>
      </c>
      <c r="C1111" s="31" t="str">
        <f>VLOOKUP((CONCATENATE(B1111)),ID!$A$2:$D$305,3,0)</f>
        <v>EL005</v>
      </c>
      <c r="D1111" s="21">
        <v>1</v>
      </c>
      <c r="E1111" s="21" t="s">
        <v>3948</v>
      </c>
      <c r="F1111" s="21" t="s">
        <v>1117</v>
      </c>
      <c r="G1111" s="21" t="s">
        <v>3943</v>
      </c>
      <c r="H1111" s="88">
        <v>5114</v>
      </c>
      <c r="I1111" s="43">
        <v>5283</v>
      </c>
      <c r="J1111" s="43">
        <v>5280</v>
      </c>
      <c r="K1111" s="21">
        <v>0</v>
      </c>
      <c r="L1111" s="21"/>
      <c r="M1111" s="21"/>
      <c r="N1111" s="43">
        <v>5303</v>
      </c>
      <c r="O1111" s="21" t="s">
        <v>3843</v>
      </c>
      <c r="P1111" s="194">
        <v>1</v>
      </c>
      <c r="Q1111" s="21">
        <v>1</v>
      </c>
      <c r="R1111" s="39" t="str">
        <f t="shared" si="201"/>
        <v>-</v>
      </c>
      <c r="S1111" s="120">
        <f t="shared" si="209"/>
        <v>3527829</v>
      </c>
      <c r="T1111" s="123">
        <v>7752461</v>
      </c>
      <c r="U1111" s="123">
        <f>T1111-690502-57611</f>
        <v>7004348</v>
      </c>
      <c r="V1111" s="123">
        <f t="shared" si="203"/>
        <v>748113</v>
      </c>
      <c r="W1111" s="122" t="str">
        <f t="shared" si="204"/>
        <v>1</v>
      </c>
      <c r="X1111" s="123">
        <f>Y1111+399447-151315</f>
        <v>4224632</v>
      </c>
      <c r="Y1111" s="123">
        <f>AB1111</f>
        <v>3976500</v>
      </c>
      <c r="Z1111" s="123">
        <f t="shared" si="206"/>
        <v>248132</v>
      </c>
      <c r="AA1111" s="122" t="str">
        <f t="shared" si="207"/>
        <v>1</v>
      </c>
      <c r="AB1111" s="120">
        <f t="shared" si="205"/>
        <v>3976500</v>
      </c>
      <c r="AC1111" s="123">
        <v>0</v>
      </c>
      <c r="AD1111" s="123">
        <v>3976500</v>
      </c>
      <c r="AE1111" s="123">
        <v>538047</v>
      </c>
      <c r="AG1111" s="151">
        <f t="shared" si="202"/>
        <v>128412</v>
      </c>
      <c r="AH1111" s="123">
        <f>467823-135491</f>
        <v>332332</v>
      </c>
      <c r="AL1111" s="123">
        <v>203920</v>
      </c>
      <c r="AO1111" s="123">
        <v>3000000</v>
      </c>
    </row>
    <row r="1112" spans="1:41" s="123" customFormat="1" ht="16.2" thickBot="1" x14ac:dyDescent="0.35">
      <c r="A1112" s="21"/>
      <c r="B1112" s="212" t="s">
        <v>328</v>
      </c>
      <c r="C1112" s="31" t="str">
        <f>VLOOKUP((CONCATENATE(B1112)),ID!$A$2:$D$305,3,0)</f>
        <v>EL006</v>
      </c>
      <c r="D1112" s="21">
        <v>1</v>
      </c>
      <c r="E1112" s="21" t="s">
        <v>3948</v>
      </c>
      <c r="F1112" s="21" t="s">
        <v>4062</v>
      </c>
      <c r="G1112" s="21" t="s">
        <v>3853</v>
      </c>
      <c r="H1112" s="88">
        <v>3653</v>
      </c>
      <c r="I1112" s="43">
        <v>3693</v>
      </c>
      <c r="J1112" s="43">
        <v>3694</v>
      </c>
      <c r="K1112" s="21">
        <v>1</v>
      </c>
      <c r="L1112" s="43">
        <v>3694</v>
      </c>
      <c r="M1112" s="43">
        <v>3707</v>
      </c>
      <c r="N1112" s="43">
        <v>3707</v>
      </c>
      <c r="O1112" s="21" t="s">
        <v>3905</v>
      </c>
      <c r="P1112" s="194" t="str">
        <f t="shared" si="208"/>
        <v>1</v>
      </c>
      <c r="Q1112" s="21">
        <v>1</v>
      </c>
      <c r="R1112" s="39" t="str">
        <f t="shared" si="201"/>
        <v>-</v>
      </c>
      <c r="S1112" s="120">
        <f t="shared" si="209"/>
        <v>1578616</v>
      </c>
      <c r="T1112" s="123">
        <v>1599169</v>
      </c>
      <c r="U1112" s="123">
        <f>1143025+275989+50000</f>
        <v>1469014</v>
      </c>
      <c r="V1112" s="123">
        <f t="shared" si="203"/>
        <v>130155</v>
      </c>
      <c r="W1112" s="122" t="str">
        <f t="shared" si="204"/>
        <v>1</v>
      </c>
      <c r="X1112" s="123">
        <f>Y1112+4119+884+18+14117+500</f>
        <v>20553</v>
      </c>
      <c r="Y1112" s="123">
        <v>915</v>
      </c>
      <c r="Z1112" s="123">
        <f t="shared" si="206"/>
        <v>19638</v>
      </c>
      <c r="AA1112" s="122" t="str">
        <f t="shared" si="207"/>
        <v>1</v>
      </c>
      <c r="AB1112" s="120">
        <f t="shared" si="205"/>
        <v>0</v>
      </c>
      <c r="AC1112" s="123">
        <v>0</v>
      </c>
      <c r="AD1112" s="123">
        <v>0</v>
      </c>
      <c r="AE1112" s="123">
        <f>23046+126</f>
        <v>23172</v>
      </c>
      <c r="AG1112" s="151">
        <f t="shared" si="202"/>
        <v>78841</v>
      </c>
      <c r="AH1112" s="123">
        <f>100046-11439</f>
        <v>88607</v>
      </c>
      <c r="AJ1112" s="123">
        <v>34657</v>
      </c>
      <c r="AL1112" s="123">
        <v>9766</v>
      </c>
    </row>
    <row r="1113" spans="1:41" s="123" customFormat="1" ht="16.2" thickBot="1" x14ac:dyDescent="0.35">
      <c r="A1113" s="21">
        <v>192.1</v>
      </c>
      <c r="B1113" s="212" t="s">
        <v>328</v>
      </c>
      <c r="C1113" s="31" t="str">
        <f>VLOOKUP((CONCATENATE(B1113)),ID!$A$2:$D$305,3,0)</f>
        <v>EL006</v>
      </c>
      <c r="D1113" s="21">
        <v>1</v>
      </c>
      <c r="E1113" s="21" t="s">
        <v>3948</v>
      </c>
      <c r="F1113" s="21" t="s">
        <v>4062</v>
      </c>
      <c r="G1113" s="21" t="s">
        <v>3853</v>
      </c>
      <c r="H1113" s="88">
        <v>4018</v>
      </c>
      <c r="I1113" s="43">
        <v>4064</v>
      </c>
      <c r="J1113" s="43">
        <v>4064</v>
      </c>
      <c r="K1113" s="21">
        <v>1</v>
      </c>
      <c r="L1113" s="43">
        <v>4065</v>
      </c>
      <c r="M1113" s="43">
        <v>4078</v>
      </c>
      <c r="N1113" s="43">
        <v>4078</v>
      </c>
      <c r="O1113" s="21" t="s">
        <v>3905</v>
      </c>
      <c r="P1113" s="194" t="str">
        <f t="shared" si="208"/>
        <v>1</v>
      </c>
      <c r="Q1113" s="21">
        <v>1</v>
      </c>
      <c r="R1113" s="39" t="str">
        <f t="shared" si="201"/>
        <v>-</v>
      </c>
      <c r="S1113" s="120">
        <f t="shared" si="209"/>
        <v>1607510</v>
      </c>
      <c r="T1113" s="123">
        <v>1636580</v>
      </c>
      <c r="U1113" s="123">
        <f>1193058+275667+50000</f>
        <v>1518725</v>
      </c>
      <c r="V1113" s="123">
        <f t="shared" si="203"/>
        <v>117855</v>
      </c>
      <c r="W1113" s="122" t="str">
        <f t="shared" si="204"/>
        <v>1</v>
      </c>
      <c r="X1113" s="123">
        <f>500+21343+52+1091+4119+Y1113</f>
        <v>29070</v>
      </c>
      <c r="Y1113" s="123">
        <v>1965</v>
      </c>
      <c r="Z1113" s="123">
        <f t="shared" si="206"/>
        <v>27105</v>
      </c>
      <c r="AA1113" s="122" t="str">
        <f t="shared" si="207"/>
        <v>1</v>
      </c>
      <c r="AB1113" s="120">
        <f t="shared" si="205"/>
        <v>0</v>
      </c>
      <c r="AC1113" s="123">
        <v>0</v>
      </c>
      <c r="AD1113" s="123">
        <v>0</v>
      </c>
      <c r="AE1113" s="123">
        <v>25328</v>
      </c>
      <c r="AG1113" s="151">
        <f t="shared" si="202"/>
        <v>64277</v>
      </c>
      <c r="AH1113" s="123">
        <f>92756-19774</f>
        <v>72982</v>
      </c>
      <c r="AJ1113" s="123">
        <v>34505</v>
      </c>
      <c r="AL1113" s="123">
        <v>8705</v>
      </c>
    </row>
    <row r="1114" spans="1:41" s="123" customFormat="1" ht="16.2" thickBot="1" x14ac:dyDescent="0.35">
      <c r="A1114" s="21">
        <v>192.2</v>
      </c>
      <c r="B1114" s="212" t="s">
        <v>328</v>
      </c>
      <c r="C1114" s="31" t="str">
        <f>VLOOKUP((CONCATENATE(B1114)),ID!$A$2:$D$305,3,0)</f>
        <v>EL006</v>
      </c>
      <c r="D1114" s="21">
        <v>1</v>
      </c>
      <c r="E1114" s="21" t="s">
        <v>3948</v>
      </c>
      <c r="F1114" s="21" t="s">
        <v>4062</v>
      </c>
      <c r="G1114" s="21" t="s">
        <v>3853</v>
      </c>
      <c r="H1114" s="88">
        <v>4383</v>
      </c>
      <c r="I1114" s="43">
        <v>4428</v>
      </c>
      <c r="J1114" s="43">
        <v>4428</v>
      </c>
      <c r="K1114" s="21">
        <v>1</v>
      </c>
      <c r="L1114" s="43">
        <v>4429</v>
      </c>
      <c r="M1114" s="43">
        <v>4442</v>
      </c>
      <c r="N1114" s="43">
        <v>4442</v>
      </c>
      <c r="O1114" s="21" t="s">
        <v>3905</v>
      </c>
      <c r="P1114" s="194" t="str">
        <f t="shared" si="208"/>
        <v>1</v>
      </c>
      <c r="Q1114" s="21">
        <v>1</v>
      </c>
      <c r="R1114" s="39" t="str">
        <f t="shared" si="201"/>
        <v>-</v>
      </c>
      <c r="S1114" s="120">
        <f t="shared" si="209"/>
        <v>1703197</v>
      </c>
      <c r="T1114" s="123">
        <v>1733090</v>
      </c>
      <c r="U1114" s="123">
        <f>50000+327639+1224404</f>
        <v>1602043</v>
      </c>
      <c r="V1114" s="123">
        <f t="shared" si="203"/>
        <v>131047</v>
      </c>
      <c r="W1114" s="122" t="str">
        <f t="shared" si="204"/>
        <v>1</v>
      </c>
      <c r="X1114" s="123">
        <f>500+21025+160+1137+4119+Y1114</f>
        <v>29893</v>
      </c>
      <c r="Y1114" s="123">
        <v>2952</v>
      </c>
      <c r="Z1114" s="123">
        <f t="shared" si="206"/>
        <v>26941</v>
      </c>
      <c r="AA1114" s="122" t="str">
        <f t="shared" si="207"/>
        <v>1</v>
      </c>
      <c r="AB1114" s="120">
        <f t="shared" si="205"/>
        <v>0</v>
      </c>
      <c r="AC1114" s="123">
        <v>0</v>
      </c>
      <c r="AD1114" s="123">
        <v>0</v>
      </c>
      <c r="AE1114" s="123">
        <v>35811</v>
      </c>
      <c r="AG1114" s="151">
        <f t="shared" si="202"/>
        <v>68549</v>
      </c>
      <c r="AH1114" s="123">
        <f>92008-15041</f>
        <v>76967</v>
      </c>
      <c r="AJ1114" s="123">
        <v>36299</v>
      </c>
      <c r="AL1114" s="123">
        <v>8418</v>
      </c>
    </row>
    <row r="1115" spans="1:41" s="123" customFormat="1" ht="16.2" thickBot="1" x14ac:dyDescent="0.35">
      <c r="A1115" s="21"/>
      <c r="B1115" s="212" t="s">
        <v>328</v>
      </c>
      <c r="C1115" s="31" t="str">
        <f>VLOOKUP((CONCATENATE(B1115)),ID!$A$2:$D$305,3,0)</f>
        <v>EL006</v>
      </c>
      <c r="D1115" s="21">
        <v>1</v>
      </c>
      <c r="E1115" s="21" t="s">
        <v>3948</v>
      </c>
      <c r="F1115" s="21" t="s">
        <v>4062</v>
      </c>
      <c r="G1115" s="21" t="s">
        <v>3853</v>
      </c>
      <c r="H1115" s="88">
        <v>4749</v>
      </c>
      <c r="I1115" s="43">
        <v>4792</v>
      </c>
      <c r="J1115" s="43">
        <v>4793</v>
      </c>
      <c r="K1115" s="21">
        <v>1</v>
      </c>
      <c r="L1115" s="43">
        <v>4793</v>
      </c>
      <c r="M1115" s="43">
        <v>4806</v>
      </c>
      <c r="N1115" s="43">
        <v>4806</v>
      </c>
      <c r="O1115" s="21" t="s">
        <v>3905</v>
      </c>
      <c r="P1115" s="194" t="str">
        <f t="shared" si="208"/>
        <v>1</v>
      </c>
      <c r="Q1115" s="21">
        <v>1</v>
      </c>
      <c r="R1115" s="39" t="str">
        <f t="shared" si="201"/>
        <v>-</v>
      </c>
      <c r="S1115" s="120">
        <f t="shared" si="209"/>
        <v>1729479</v>
      </c>
      <c r="T1115" s="123">
        <v>1772734</v>
      </c>
      <c r="U1115" s="123">
        <f>1252630+338644+50000</f>
        <v>1641274</v>
      </c>
      <c r="V1115" s="123">
        <f t="shared" si="203"/>
        <v>131460</v>
      </c>
      <c r="W1115" s="122" t="str">
        <f t="shared" si="204"/>
        <v>1</v>
      </c>
      <c r="X1115" s="123">
        <f>Y1115+4119+1169+84+33693+500</f>
        <v>43255</v>
      </c>
      <c r="Y1115" s="123">
        <v>3690</v>
      </c>
      <c r="Z1115" s="123">
        <f t="shared" si="206"/>
        <v>39565</v>
      </c>
      <c r="AA1115" s="122" t="str">
        <f t="shared" si="207"/>
        <v>1</v>
      </c>
      <c r="AB1115" s="120">
        <f t="shared" si="205"/>
        <v>0</v>
      </c>
      <c r="AC1115" s="123">
        <v>0</v>
      </c>
      <c r="AD1115" s="123">
        <v>0</v>
      </c>
      <c r="AE1115" s="123">
        <v>34248</v>
      </c>
      <c r="AG1115" s="151">
        <f t="shared" si="202"/>
        <v>71904</v>
      </c>
      <c r="AH1115" s="123">
        <f>91015-10607</f>
        <v>80408</v>
      </c>
      <c r="AJ1115" s="123">
        <v>34699</v>
      </c>
      <c r="AL1115" s="123">
        <v>8504</v>
      </c>
    </row>
    <row r="1116" spans="1:41" s="123" customFormat="1" ht="16.2" thickBot="1" x14ac:dyDescent="0.35">
      <c r="A1116" s="21"/>
      <c r="B1116" s="212" t="s">
        <v>328</v>
      </c>
      <c r="C1116" s="31" t="str">
        <f>VLOOKUP((CONCATENATE(B1116)),ID!$A$2:$D$305,3,0)</f>
        <v>EL006</v>
      </c>
      <c r="D1116" s="21">
        <v>1</v>
      </c>
      <c r="E1116" s="21" t="s">
        <v>3948</v>
      </c>
      <c r="F1116" s="21" t="s">
        <v>4062</v>
      </c>
      <c r="G1116" s="21" t="s">
        <v>3853</v>
      </c>
      <c r="H1116" s="88">
        <v>5114</v>
      </c>
      <c r="I1116" s="43">
        <v>5156</v>
      </c>
      <c r="J1116" s="43">
        <v>5156</v>
      </c>
      <c r="K1116" s="21">
        <v>1</v>
      </c>
      <c r="L1116" s="43">
        <v>5157</v>
      </c>
      <c r="M1116" s="43">
        <v>5170</v>
      </c>
      <c r="N1116" s="43">
        <v>5170</v>
      </c>
      <c r="O1116" s="21" t="s">
        <v>3905</v>
      </c>
      <c r="P1116" s="194" t="str">
        <f t="shared" si="208"/>
        <v>1</v>
      </c>
      <c r="Q1116" s="21">
        <v>1</v>
      </c>
      <c r="R1116" s="39" t="str">
        <f t="shared" si="201"/>
        <v>-</v>
      </c>
      <c r="S1116" s="120">
        <f t="shared" si="209"/>
        <v>1741421</v>
      </c>
      <c r="T1116" s="123">
        <v>1782565</v>
      </c>
      <c r="U1116" s="123">
        <f>1268465+338805+50000</f>
        <v>1657270</v>
      </c>
      <c r="V1116" s="123">
        <f t="shared" si="203"/>
        <v>125295</v>
      </c>
      <c r="W1116" s="122" t="str">
        <f t="shared" si="204"/>
        <v>1</v>
      </c>
      <c r="X1116" s="123">
        <f>Y1116+4119+1160+114+30966+500</f>
        <v>41144</v>
      </c>
      <c r="Y1116" s="123">
        <v>4285</v>
      </c>
      <c r="Z1116" s="123">
        <f t="shared" si="206"/>
        <v>36859</v>
      </c>
      <c r="AA1116" s="122" t="str">
        <f t="shared" si="207"/>
        <v>1</v>
      </c>
      <c r="AB1116" s="120">
        <f t="shared" si="205"/>
        <v>0</v>
      </c>
      <c r="AC1116" s="123">
        <v>0</v>
      </c>
      <c r="AD1116" s="123">
        <v>0</v>
      </c>
      <c r="AE1116" s="123">
        <v>80405</v>
      </c>
      <c r="AG1116" s="151">
        <f t="shared" si="202"/>
        <v>73470</v>
      </c>
      <c r="AH1116" s="123">
        <f>89664-7703</f>
        <v>81961</v>
      </c>
      <c r="AJ1116" s="123">
        <v>37546</v>
      </c>
      <c r="AL1116" s="123">
        <v>8491</v>
      </c>
    </row>
    <row r="1117" spans="1:41" s="123" customFormat="1" ht="16.2" thickBot="1" x14ac:dyDescent="0.35">
      <c r="A1117" s="21"/>
      <c r="B1117" s="212" t="s">
        <v>3</v>
      </c>
      <c r="C1117" s="31" t="str">
        <f>VLOOKUP((CONCATENATE(B1117)),ID!$A$2:$D$305,3,0)</f>
        <v>GLC01</v>
      </c>
      <c r="D1117" s="21">
        <v>0</v>
      </c>
      <c r="E1117" s="21" t="s">
        <v>344</v>
      </c>
      <c r="F1117" s="21" t="s">
        <v>3802</v>
      </c>
      <c r="G1117" s="21" t="s">
        <v>3853</v>
      </c>
      <c r="H1117" s="94">
        <v>3653</v>
      </c>
      <c r="I1117" s="43">
        <v>3734</v>
      </c>
      <c r="J1117" s="43">
        <v>3733</v>
      </c>
      <c r="K1117" s="21">
        <v>0</v>
      </c>
      <c r="L1117" s="43"/>
      <c r="M1117" s="43"/>
      <c r="N1117" s="43">
        <v>3743</v>
      </c>
      <c r="O1117" s="21" t="s">
        <v>3998</v>
      </c>
      <c r="P1117" s="194" t="str">
        <f t="shared" si="208"/>
        <v>1</v>
      </c>
      <c r="Q1117" s="21">
        <v>1</v>
      </c>
      <c r="R1117" s="39" t="str">
        <f t="shared" si="201"/>
        <v>-</v>
      </c>
      <c r="S1117" s="120">
        <f t="shared" si="209"/>
        <v>95071</v>
      </c>
      <c r="T1117" s="123">
        <v>197518</v>
      </c>
      <c r="U1117" s="123">
        <f>7206+43076</f>
        <v>50282</v>
      </c>
      <c r="V1117" s="123">
        <f t="shared" si="203"/>
        <v>147236</v>
      </c>
      <c r="W1117" s="122" t="str">
        <f t="shared" si="204"/>
        <v>1</v>
      </c>
      <c r="X1117" s="123">
        <v>102447</v>
      </c>
      <c r="Y1117" s="123">
        <v>0</v>
      </c>
      <c r="Z1117" s="123">
        <f t="shared" si="206"/>
        <v>102447</v>
      </c>
      <c r="AA1117" s="122" t="str">
        <f t="shared" si="207"/>
        <v>1</v>
      </c>
      <c r="AB1117" s="120">
        <f t="shared" si="205"/>
        <v>0</v>
      </c>
      <c r="AC1117" s="123">
        <v>0</v>
      </c>
      <c r="AD1117" s="123">
        <v>0</v>
      </c>
      <c r="AG1117" s="151">
        <f t="shared" si="202"/>
        <v>36972</v>
      </c>
      <c r="AH1117" s="123">
        <v>43943</v>
      </c>
      <c r="AJ1117" s="123">
        <v>36533</v>
      </c>
      <c r="AL1117" s="123">
        <v>6971</v>
      </c>
      <c r="AM1117" s="123">
        <f>AN1117-58328</f>
        <v>50208</v>
      </c>
      <c r="AN1117" s="123">
        <v>108536</v>
      </c>
    </row>
    <row r="1118" spans="1:41" s="123" customFormat="1" ht="16.2" thickBot="1" x14ac:dyDescent="0.35">
      <c r="A1118" s="21"/>
      <c r="B1118" s="212" t="s">
        <v>3</v>
      </c>
      <c r="C1118" s="31" t="str">
        <f>VLOOKUP((CONCATENATE(B1118)),ID!$A$2:$D$305,3,0)</f>
        <v>GLC01</v>
      </c>
      <c r="D1118" s="21">
        <v>0</v>
      </c>
      <c r="E1118" s="21" t="s">
        <v>344</v>
      </c>
      <c r="F1118" s="21" t="s">
        <v>3802</v>
      </c>
      <c r="G1118" s="21" t="s">
        <v>3853</v>
      </c>
      <c r="H1118" s="94">
        <v>3834</v>
      </c>
      <c r="I1118" s="43">
        <v>3916</v>
      </c>
      <c r="J1118" s="43">
        <v>3910</v>
      </c>
      <c r="K1118" s="21">
        <v>0</v>
      </c>
      <c r="L1118" s="43"/>
      <c r="M1118" s="43"/>
      <c r="N1118" s="43">
        <v>3926</v>
      </c>
      <c r="O1118" s="21" t="s">
        <v>3998</v>
      </c>
      <c r="P1118" s="194" t="str">
        <f t="shared" si="208"/>
        <v>1</v>
      </c>
      <c r="Q1118" s="21">
        <v>1</v>
      </c>
      <c r="R1118" s="39" t="str">
        <f t="shared" si="201"/>
        <v>-</v>
      </c>
      <c r="S1118" s="120">
        <f t="shared" si="209"/>
        <v>111280</v>
      </c>
      <c r="T1118" s="123">
        <v>155275</v>
      </c>
      <c r="U1118" s="123">
        <v>43076</v>
      </c>
      <c r="V1118" s="123">
        <f t="shared" si="203"/>
        <v>112199</v>
      </c>
      <c r="W1118" s="122" t="str">
        <f t="shared" si="204"/>
        <v>1</v>
      </c>
      <c r="X1118" s="123">
        <v>43995</v>
      </c>
      <c r="Y1118" s="123">
        <v>0</v>
      </c>
      <c r="Z1118" s="123">
        <f t="shared" si="206"/>
        <v>43995</v>
      </c>
      <c r="AA1118" s="122" t="str">
        <f t="shared" si="207"/>
        <v>1</v>
      </c>
      <c r="AB1118" s="120">
        <f t="shared" si="205"/>
        <v>0</v>
      </c>
      <c r="AC1118" s="123">
        <v>0</v>
      </c>
      <c r="AD1118" s="123">
        <v>0</v>
      </c>
      <c r="AG1118" s="151">
        <f t="shared" si="202"/>
        <v>40464</v>
      </c>
      <c r="AH1118" s="123">
        <v>47770</v>
      </c>
      <c r="AJ1118" s="123">
        <v>36533</v>
      </c>
      <c r="AL1118" s="123">
        <v>7306</v>
      </c>
      <c r="AM1118" s="123">
        <f>AN1118-53613</f>
        <v>46006</v>
      </c>
      <c r="AN1118" s="123">
        <v>99619</v>
      </c>
    </row>
    <row r="1119" spans="1:41" s="123" customFormat="1" ht="16.2" thickBot="1" x14ac:dyDescent="0.35">
      <c r="A1119" s="21">
        <v>193.1</v>
      </c>
      <c r="B1119" s="212" t="s">
        <v>3</v>
      </c>
      <c r="C1119" s="31" t="str">
        <f>VLOOKUP((CONCATENATE(B1119)),ID!$A$2:$D$305,3,0)</f>
        <v>GLC01</v>
      </c>
      <c r="D1119" s="21">
        <v>0</v>
      </c>
      <c r="E1119" s="21" t="s">
        <v>344</v>
      </c>
      <c r="F1119" s="21" t="s">
        <v>3802</v>
      </c>
      <c r="G1119" s="21" t="s">
        <v>3853</v>
      </c>
      <c r="H1119" s="94">
        <v>4018</v>
      </c>
      <c r="I1119" s="43">
        <v>4093</v>
      </c>
      <c r="J1119" s="43">
        <v>4092</v>
      </c>
      <c r="K1119" s="21">
        <v>0</v>
      </c>
      <c r="L1119" s="21"/>
      <c r="M1119" s="21"/>
      <c r="N1119" s="43">
        <v>4108</v>
      </c>
      <c r="O1119" s="21" t="s">
        <v>3998</v>
      </c>
      <c r="P1119" s="194" t="str">
        <f t="shared" si="208"/>
        <v>1</v>
      </c>
      <c r="Q1119" s="21">
        <v>1</v>
      </c>
      <c r="R1119" s="39" t="str">
        <f t="shared" ref="R1119:R1182" si="210">IF(Q1119=0,"?","-")</f>
        <v>-</v>
      </c>
      <c r="S1119" s="120">
        <f t="shared" si="209"/>
        <v>104738</v>
      </c>
      <c r="T1119" s="123">
        <v>187621</v>
      </c>
      <c r="U1119" s="123">
        <v>43076</v>
      </c>
      <c r="V1119" s="123">
        <f t="shared" si="203"/>
        <v>144545</v>
      </c>
      <c r="W1119" s="122" t="str">
        <f t="shared" si="204"/>
        <v>1</v>
      </c>
      <c r="X1119" s="123">
        <v>82883</v>
      </c>
      <c r="Y1119" s="123">
        <v>0</v>
      </c>
      <c r="Z1119" s="123">
        <f t="shared" si="206"/>
        <v>82883</v>
      </c>
      <c r="AA1119" s="122" t="str">
        <f t="shared" si="207"/>
        <v>1</v>
      </c>
      <c r="AB1119" s="120">
        <f t="shared" si="205"/>
        <v>0</v>
      </c>
      <c r="AC1119" s="123">
        <v>0</v>
      </c>
      <c r="AD1119" s="123">
        <v>0</v>
      </c>
      <c r="AG1119" s="151">
        <f t="shared" si="202"/>
        <v>37369</v>
      </c>
      <c r="AH1119" s="123">
        <v>44736</v>
      </c>
      <c r="AJ1119" s="123">
        <v>36533</v>
      </c>
      <c r="AL1119" s="123">
        <v>7367</v>
      </c>
      <c r="AM1119" s="123">
        <f>AN1119-52554</f>
        <v>50262</v>
      </c>
      <c r="AN1119" s="123">
        <v>102816</v>
      </c>
    </row>
    <row r="1120" spans="1:41" s="123" customFormat="1" ht="16.2" thickBot="1" x14ac:dyDescent="0.35">
      <c r="A1120" s="21">
        <v>193.2</v>
      </c>
      <c r="B1120" s="212" t="s">
        <v>3</v>
      </c>
      <c r="C1120" s="31" t="str">
        <f>VLOOKUP((CONCATENATE(B1120)),ID!$A$2:$D$305,3,0)</f>
        <v>GLC01</v>
      </c>
      <c r="D1120" s="21">
        <v>0</v>
      </c>
      <c r="E1120" s="21" t="s">
        <v>344</v>
      </c>
      <c r="F1120" s="21" t="s">
        <v>3802</v>
      </c>
      <c r="G1120" s="21" t="s">
        <v>3853</v>
      </c>
      <c r="H1120" s="94">
        <v>4199</v>
      </c>
      <c r="I1120" s="43">
        <v>4274</v>
      </c>
      <c r="J1120" s="43">
        <v>4279</v>
      </c>
      <c r="K1120" s="21">
        <v>0</v>
      </c>
      <c r="L1120" s="21"/>
      <c r="M1120" s="21"/>
      <c r="N1120" s="43">
        <v>4291</v>
      </c>
      <c r="O1120" s="21" t="s">
        <v>3998</v>
      </c>
      <c r="P1120" s="194" t="str">
        <f t="shared" si="208"/>
        <v>1</v>
      </c>
      <c r="Q1120" s="21">
        <v>1</v>
      </c>
      <c r="R1120" s="39" t="str">
        <f t="shared" si="210"/>
        <v>-</v>
      </c>
      <c r="S1120" s="120">
        <f t="shared" si="209"/>
        <v>100480</v>
      </c>
      <c r="T1120" s="123">
        <v>159349</v>
      </c>
      <c r="U1120" s="123">
        <f>5900+43076</f>
        <v>48976</v>
      </c>
      <c r="V1120" s="123">
        <f t="shared" si="203"/>
        <v>110373</v>
      </c>
      <c r="W1120" s="122" t="str">
        <f t="shared" si="204"/>
        <v>1</v>
      </c>
      <c r="X1120" s="123">
        <v>58869</v>
      </c>
      <c r="Y1120" s="123">
        <v>0</v>
      </c>
      <c r="Z1120" s="123">
        <f t="shared" si="206"/>
        <v>58869</v>
      </c>
      <c r="AA1120" s="122" t="str">
        <f t="shared" si="207"/>
        <v>1</v>
      </c>
      <c r="AB1120" s="120">
        <f t="shared" si="205"/>
        <v>0</v>
      </c>
      <c r="AC1120" s="123">
        <v>0</v>
      </c>
      <c r="AD1120" s="123">
        <v>0</v>
      </c>
      <c r="AG1120" s="151">
        <f t="shared" si="202"/>
        <v>34875</v>
      </c>
      <c r="AH1120" s="123">
        <f>42229</f>
        <v>42229</v>
      </c>
      <c r="AJ1120" s="123">
        <v>36533</v>
      </c>
      <c r="AL1120" s="123">
        <v>7354</v>
      </c>
      <c r="AM1120" s="123">
        <f>AN1120-51553</f>
        <v>45282</v>
      </c>
      <c r="AN1120" s="123">
        <v>96835</v>
      </c>
    </row>
    <row r="1121" spans="1:40" s="123" customFormat="1" ht="16.2" thickBot="1" x14ac:dyDescent="0.35">
      <c r="A1121" s="21">
        <v>193.3</v>
      </c>
      <c r="B1121" s="212" t="s">
        <v>3</v>
      </c>
      <c r="C1121" s="31" t="str">
        <f>VLOOKUP((CONCATENATE(B1121)),ID!$A$2:$D$305,3,0)</f>
        <v>GLC01</v>
      </c>
      <c r="D1121" s="21">
        <v>0</v>
      </c>
      <c r="E1121" s="21" t="s">
        <v>344</v>
      </c>
      <c r="F1121" s="21" t="s">
        <v>3802</v>
      </c>
      <c r="G1121" s="21" t="s">
        <v>3853</v>
      </c>
      <c r="H1121" s="94">
        <v>4383</v>
      </c>
      <c r="I1121" s="43">
        <v>4463</v>
      </c>
      <c r="J1121" s="43">
        <v>4459</v>
      </c>
      <c r="K1121" s="21">
        <v>0</v>
      </c>
      <c r="L1121" s="21"/>
      <c r="M1121" s="21"/>
      <c r="N1121" s="43">
        <v>4473</v>
      </c>
      <c r="O1121" s="21" t="s">
        <v>3998</v>
      </c>
      <c r="P1121" s="194" t="str">
        <f t="shared" si="208"/>
        <v>1</v>
      </c>
      <c r="Q1121" s="21">
        <v>1</v>
      </c>
      <c r="R1121" s="39" t="str">
        <f t="shared" si="210"/>
        <v>-</v>
      </c>
      <c r="S1121" s="120">
        <f t="shared" si="209"/>
        <v>100229</v>
      </c>
      <c r="T1121" s="123">
        <v>194444</v>
      </c>
      <c r="U1121" s="123">
        <f>26196+42931</f>
        <v>69127</v>
      </c>
      <c r="V1121" s="123">
        <f t="shared" si="203"/>
        <v>125317</v>
      </c>
      <c r="W1121" s="122" t="str">
        <f t="shared" si="204"/>
        <v>1</v>
      </c>
      <c r="X1121" s="123">
        <v>94215</v>
      </c>
      <c r="Y1121" s="123">
        <v>0</v>
      </c>
      <c r="Z1121" s="123">
        <f t="shared" si="206"/>
        <v>94215</v>
      </c>
      <c r="AA1121" s="122" t="str">
        <f t="shared" si="207"/>
        <v>1</v>
      </c>
      <c r="AB1121" s="120">
        <f t="shared" si="205"/>
        <v>0</v>
      </c>
      <c r="AC1121" s="123">
        <v>0</v>
      </c>
      <c r="AD1121" s="123">
        <v>0</v>
      </c>
      <c r="AG1121" s="151">
        <f t="shared" si="202"/>
        <v>35511</v>
      </c>
      <c r="AH1121" s="123">
        <v>42986</v>
      </c>
      <c r="AJ1121" s="123">
        <v>36533</v>
      </c>
      <c r="AL1121" s="123">
        <v>7475</v>
      </c>
      <c r="AM1121" s="123">
        <f>AN1121-49047</f>
        <v>46489</v>
      </c>
      <c r="AN1121" s="123">
        <v>95536</v>
      </c>
    </row>
    <row r="1122" spans="1:40" s="123" customFormat="1" ht="16.2" thickBot="1" x14ac:dyDescent="0.35">
      <c r="A1122" s="21">
        <v>193.4</v>
      </c>
      <c r="B1122" s="212" t="s">
        <v>3</v>
      </c>
      <c r="C1122" s="31" t="str">
        <f>VLOOKUP((CONCATENATE(B1122)),ID!$A$2:$D$305,3,0)</f>
        <v>GLC01</v>
      </c>
      <c r="D1122" s="21">
        <v>0</v>
      </c>
      <c r="E1122" s="21" t="s">
        <v>344</v>
      </c>
      <c r="F1122" s="21" t="s">
        <v>3802</v>
      </c>
      <c r="G1122" s="21" t="s">
        <v>3853</v>
      </c>
      <c r="H1122" s="94">
        <v>4565</v>
      </c>
      <c r="I1122" s="43">
        <v>4645</v>
      </c>
      <c r="J1122" s="43">
        <v>4643</v>
      </c>
      <c r="K1122" s="21">
        <v>0</v>
      </c>
      <c r="L1122" s="21"/>
      <c r="M1122" s="21"/>
      <c r="N1122" s="43">
        <v>4657</v>
      </c>
      <c r="O1122" s="21" t="s">
        <v>3998</v>
      </c>
      <c r="P1122" s="194" t="str">
        <f t="shared" si="208"/>
        <v>1</v>
      </c>
      <c r="Q1122" s="21">
        <v>1</v>
      </c>
      <c r="R1122" s="39" t="str">
        <f t="shared" si="210"/>
        <v>-</v>
      </c>
      <c r="S1122" s="120">
        <f t="shared" si="209"/>
        <v>102117</v>
      </c>
      <c r="T1122" s="123">
        <v>174108</v>
      </c>
      <c r="U1122" s="123">
        <f>36579+42891</f>
        <v>79470</v>
      </c>
      <c r="V1122" s="123">
        <f t="shared" si="203"/>
        <v>94638</v>
      </c>
      <c r="W1122" s="122" t="str">
        <f t="shared" si="204"/>
        <v>1</v>
      </c>
      <c r="X1122" s="123">
        <v>71991</v>
      </c>
      <c r="Y1122" s="123">
        <v>0</v>
      </c>
      <c r="Z1122" s="123">
        <f t="shared" si="206"/>
        <v>71991</v>
      </c>
      <c r="AA1122" s="122" t="str">
        <f t="shared" si="207"/>
        <v>1</v>
      </c>
      <c r="AB1122" s="120">
        <f t="shared" si="205"/>
        <v>0</v>
      </c>
      <c r="AC1122" s="123">
        <v>0</v>
      </c>
      <c r="AD1122" s="123">
        <v>0</v>
      </c>
      <c r="AG1122" s="151">
        <f t="shared" ref="AG1122:AG1185" si="211">AH1122-AL1122-AI1122</f>
        <v>37681</v>
      </c>
      <c r="AH1122" s="123">
        <v>45350</v>
      </c>
      <c r="AJ1122" s="123">
        <v>36533</v>
      </c>
      <c r="AL1122" s="123">
        <v>7669</v>
      </c>
      <c r="AM1122" s="123">
        <f>AN1122-51664</f>
        <v>39272</v>
      </c>
      <c r="AN1122" s="123">
        <v>90936</v>
      </c>
    </row>
    <row r="1123" spans="1:40" s="123" customFormat="1" ht="16.2" thickBot="1" x14ac:dyDescent="0.35">
      <c r="A1123" s="21"/>
      <c r="B1123" s="212" t="s">
        <v>3</v>
      </c>
      <c r="C1123" s="31" t="str">
        <f>VLOOKUP((CONCATENATE(B1123)),ID!$A$2:$D$305,3,0)</f>
        <v>GLC01</v>
      </c>
      <c r="D1123" s="21">
        <v>0</v>
      </c>
      <c r="E1123" s="21" t="s">
        <v>344</v>
      </c>
      <c r="F1123" s="21" t="s">
        <v>3802</v>
      </c>
      <c r="G1123" s="21" t="s">
        <v>3853</v>
      </c>
      <c r="H1123" s="94">
        <v>4749</v>
      </c>
      <c r="I1123" s="43">
        <v>4820</v>
      </c>
      <c r="J1123" s="43">
        <v>4823</v>
      </c>
      <c r="K1123" s="21">
        <v>0</v>
      </c>
      <c r="L1123" s="21"/>
      <c r="M1123" s="21"/>
      <c r="N1123" s="43">
        <v>4839</v>
      </c>
      <c r="O1123" s="21" t="s">
        <v>3998</v>
      </c>
      <c r="P1123" s="194" t="str">
        <f t="shared" si="208"/>
        <v>1</v>
      </c>
      <c r="Q1123" s="21">
        <v>1</v>
      </c>
      <c r="R1123" s="39" t="str">
        <f t="shared" si="210"/>
        <v>-</v>
      </c>
      <c r="S1123" s="120">
        <f t="shared" si="209"/>
        <v>100443</v>
      </c>
      <c r="T1123" s="123">
        <v>220633</v>
      </c>
      <c r="U1123" s="123">
        <f>48558+42891</f>
        <v>91449</v>
      </c>
      <c r="V1123" s="123">
        <f t="shared" si="203"/>
        <v>129184</v>
      </c>
      <c r="W1123" s="122" t="str">
        <f t="shared" si="204"/>
        <v>1</v>
      </c>
      <c r="X1123" s="123">
        <v>120190</v>
      </c>
      <c r="Y1123" s="123">
        <v>0</v>
      </c>
      <c r="Z1123" s="123">
        <f t="shared" si="206"/>
        <v>120190</v>
      </c>
      <c r="AA1123" s="122" t="str">
        <f t="shared" si="207"/>
        <v>1</v>
      </c>
      <c r="AB1123" s="120">
        <f t="shared" si="205"/>
        <v>0</v>
      </c>
      <c r="AC1123" s="123">
        <v>0</v>
      </c>
      <c r="AD1123" s="123">
        <v>0</v>
      </c>
      <c r="AG1123" s="151">
        <f t="shared" si="211"/>
        <v>34088</v>
      </c>
      <c r="AH1123" s="123">
        <v>41851</v>
      </c>
      <c r="AJ1123" s="123">
        <v>36533</v>
      </c>
      <c r="AL1123" s="123">
        <v>7763</v>
      </c>
      <c r="AM1123" s="123">
        <f>AN1123-54018</f>
        <v>38734</v>
      </c>
      <c r="AN1123" s="123">
        <v>92752</v>
      </c>
    </row>
    <row r="1124" spans="1:40" s="123" customFormat="1" ht="16.2" thickBot="1" x14ac:dyDescent="0.35">
      <c r="A1124" s="21"/>
      <c r="B1124" s="212" t="s">
        <v>3</v>
      </c>
      <c r="C1124" s="31" t="str">
        <f>VLOOKUP((CONCATENATE(B1124)),ID!$A$2:$D$305,3,0)</f>
        <v>GLC01</v>
      </c>
      <c r="D1124" s="21">
        <v>0</v>
      </c>
      <c r="E1124" s="21" t="s">
        <v>344</v>
      </c>
      <c r="F1124" s="21" t="s">
        <v>3802</v>
      </c>
      <c r="G1124" s="21" t="s">
        <v>3853</v>
      </c>
      <c r="H1124" s="94">
        <v>4930</v>
      </c>
      <c r="I1124" s="43">
        <v>5002</v>
      </c>
      <c r="J1124" s="43">
        <v>5007</v>
      </c>
      <c r="K1124" s="21">
        <v>0</v>
      </c>
      <c r="L1124" s="21"/>
      <c r="M1124" s="21"/>
      <c r="N1124" s="43">
        <v>5022</v>
      </c>
      <c r="O1124" s="21" t="s">
        <v>3998</v>
      </c>
      <c r="P1124" s="194" t="str">
        <f t="shared" si="208"/>
        <v>1</v>
      </c>
      <c r="Q1124" s="21">
        <v>1</v>
      </c>
      <c r="R1124" s="39" t="str">
        <f t="shared" si="210"/>
        <v>-</v>
      </c>
      <c r="S1124" s="120">
        <f t="shared" si="209"/>
        <v>90338</v>
      </c>
      <c r="T1124" s="123">
        <v>202118</v>
      </c>
      <c r="U1124" s="123">
        <f>42891+58410</f>
        <v>101301</v>
      </c>
      <c r="V1124" s="123">
        <f t="shared" si="203"/>
        <v>100817</v>
      </c>
      <c r="W1124" s="122" t="str">
        <f t="shared" si="204"/>
        <v>1</v>
      </c>
      <c r="X1124" s="123">
        <v>111780</v>
      </c>
      <c r="Y1124" s="123">
        <v>0</v>
      </c>
      <c r="Z1124" s="123">
        <f t="shared" si="206"/>
        <v>111780</v>
      </c>
      <c r="AA1124" s="122" t="str">
        <f t="shared" si="207"/>
        <v>1</v>
      </c>
      <c r="AB1124" s="120">
        <f t="shared" si="205"/>
        <v>0</v>
      </c>
      <c r="AC1124" s="123">
        <v>0</v>
      </c>
      <c r="AD1124" s="123">
        <v>0</v>
      </c>
      <c r="AG1124" s="151">
        <f t="shared" si="211"/>
        <v>25669</v>
      </c>
      <c r="AH1124" s="123">
        <v>34075</v>
      </c>
      <c r="AJ1124" s="123">
        <v>29226</v>
      </c>
      <c r="AL1124" s="123">
        <v>8406</v>
      </c>
      <c r="AM1124" s="123">
        <f>AN1124-15650-48094</f>
        <v>22121</v>
      </c>
      <c r="AN1124" s="123">
        <f>89259-3394</f>
        <v>85865</v>
      </c>
    </row>
    <row r="1125" spans="1:40" s="123" customFormat="1" ht="16.2" thickBot="1" x14ac:dyDescent="0.35">
      <c r="A1125" s="21"/>
      <c r="B1125" s="212" t="s">
        <v>3</v>
      </c>
      <c r="C1125" s="31" t="str">
        <f>VLOOKUP((CONCATENATE(B1125)),ID!$A$2:$D$305,3,0)</f>
        <v>GLC01</v>
      </c>
      <c r="D1125" s="21">
        <v>0</v>
      </c>
      <c r="E1125" s="21" t="s">
        <v>344</v>
      </c>
      <c r="F1125" s="21" t="s">
        <v>3802</v>
      </c>
      <c r="G1125" s="21" t="s">
        <v>3853</v>
      </c>
      <c r="H1125" s="94">
        <v>5114</v>
      </c>
      <c r="I1125" s="43">
        <v>5187</v>
      </c>
      <c r="J1125" s="43">
        <v>5189</v>
      </c>
      <c r="K1125" s="21">
        <v>0</v>
      </c>
      <c r="L1125" s="21"/>
      <c r="M1125" s="21"/>
      <c r="N1125" s="43">
        <v>5204</v>
      </c>
      <c r="O1125" s="21" t="s">
        <v>3998</v>
      </c>
      <c r="P1125" s="194">
        <v>1</v>
      </c>
      <c r="Q1125" s="21">
        <v>1</v>
      </c>
      <c r="R1125" s="39" t="str">
        <f t="shared" si="210"/>
        <v>-</v>
      </c>
      <c r="S1125" s="120">
        <f t="shared" si="209"/>
        <v>70815</v>
      </c>
      <c r="T1125" s="123">
        <v>217344</v>
      </c>
      <c r="U1125" s="123">
        <f>42891+68411</f>
        <v>111302</v>
      </c>
      <c r="V1125" s="123">
        <f t="shared" si="203"/>
        <v>106042</v>
      </c>
      <c r="W1125" s="122" t="str">
        <f t="shared" si="204"/>
        <v>1</v>
      </c>
      <c r="X1125" s="123">
        <v>146529</v>
      </c>
      <c r="Y1125" s="123">
        <v>0</v>
      </c>
      <c r="Z1125" s="123">
        <f t="shared" si="206"/>
        <v>146529</v>
      </c>
      <c r="AA1125" s="122" t="str">
        <f t="shared" si="207"/>
        <v>1</v>
      </c>
      <c r="AB1125" s="120">
        <f t="shared" si="205"/>
        <v>0</v>
      </c>
      <c r="AC1125" s="123">
        <v>0</v>
      </c>
      <c r="AD1125" s="123">
        <v>0</v>
      </c>
      <c r="AG1125" s="151">
        <f t="shared" si="211"/>
        <v>24027</v>
      </c>
      <c r="AH1125" s="123">
        <v>32591</v>
      </c>
      <c r="AL1125" s="123">
        <v>8564</v>
      </c>
      <c r="AM1125" s="123">
        <f>AN1125-61951</f>
        <v>69565</v>
      </c>
      <c r="AN1125" s="123">
        <v>131516</v>
      </c>
    </row>
    <row r="1126" spans="1:40" s="123" customFormat="1" ht="16.2" thickBot="1" x14ac:dyDescent="0.35">
      <c r="A1126" s="21"/>
      <c r="B1126" s="212" t="s">
        <v>3</v>
      </c>
      <c r="C1126" s="31" t="str">
        <f>VLOOKUP((CONCATENATE(B1126)),ID!$A$2:$D$305,3,0)</f>
        <v>GLC01</v>
      </c>
      <c r="D1126" s="21">
        <v>0</v>
      </c>
      <c r="E1126" s="21" t="s">
        <v>344</v>
      </c>
      <c r="F1126" s="21" t="s">
        <v>3802</v>
      </c>
      <c r="G1126" s="21" t="s">
        <v>3853</v>
      </c>
      <c r="H1126" s="94">
        <v>5295</v>
      </c>
      <c r="I1126" s="43">
        <v>5371</v>
      </c>
      <c r="J1126" s="43">
        <v>5373</v>
      </c>
      <c r="K1126" s="21">
        <v>0</v>
      </c>
      <c r="L1126" s="21"/>
      <c r="M1126" s="21"/>
      <c r="N1126" s="43">
        <v>5387</v>
      </c>
      <c r="O1126" s="21" t="s">
        <v>3998</v>
      </c>
      <c r="P1126" s="194">
        <v>0</v>
      </c>
      <c r="Q1126" s="21">
        <v>1</v>
      </c>
      <c r="R1126" s="39" t="str">
        <f t="shared" si="210"/>
        <v>-</v>
      </c>
      <c r="S1126" s="120">
        <f t="shared" si="209"/>
        <v>82798</v>
      </c>
      <c r="T1126" s="123">
        <v>227231</v>
      </c>
      <c r="U1126" s="123">
        <f>57011+153+73197</f>
        <v>130361</v>
      </c>
      <c r="V1126" s="123">
        <f t="shared" si="203"/>
        <v>96870</v>
      </c>
      <c r="W1126" s="122" t="str">
        <f t="shared" si="204"/>
        <v>1</v>
      </c>
      <c r="X1126" s="123">
        <v>144433</v>
      </c>
      <c r="Y1126" s="123">
        <v>0</v>
      </c>
      <c r="Z1126" s="123">
        <f t="shared" si="206"/>
        <v>144433</v>
      </c>
      <c r="AA1126" s="122" t="str">
        <f t="shared" si="207"/>
        <v>1</v>
      </c>
      <c r="AB1126" s="120">
        <f t="shared" si="205"/>
        <v>0</v>
      </c>
      <c r="AC1126" s="123">
        <v>0</v>
      </c>
      <c r="AD1126" s="123">
        <v>0</v>
      </c>
      <c r="AE1126" s="123">
        <v>56</v>
      </c>
      <c r="AG1126" s="151">
        <f t="shared" si="211"/>
        <v>13239</v>
      </c>
      <c r="AH1126" s="123">
        <v>23942</v>
      </c>
      <c r="AI1126" s="123">
        <v>1020</v>
      </c>
      <c r="AL1126" s="123">
        <f>10703-AI1126</f>
        <v>9683</v>
      </c>
      <c r="AM1126" s="123">
        <f>AN1126-90014</f>
        <v>26995</v>
      </c>
      <c r="AN1126" s="123">
        <f>117009</f>
        <v>117009</v>
      </c>
    </row>
    <row r="1127" spans="1:40" s="123" customFormat="1" ht="16.2" thickBot="1" x14ac:dyDescent="0.35">
      <c r="A1127" s="21"/>
      <c r="B1127" s="212" t="s">
        <v>43</v>
      </c>
      <c r="C1127" s="31" t="str">
        <f>VLOOKUP((CONCATENATE(B1127)),ID!$A$2:$D$305,3,0)</f>
        <v>GLC02</v>
      </c>
      <c r="D1127" s="21">
        <v>1</v>
      </c>
      <c r="E1127" s="21" t="s">
        <v>344</v>
      </c>
      <c r="F1127" s="21" t="s">
        <v>3849</v>
      </c>
      <c r="G1127" s="21" t="s">
        <v>3853</v>
      </c>
      <c r="H1127" s="88">
        <v>3653</v>
      </c>
      <c r="I1127" s="43">
        <v>3672</v>
      </c>
      <c r="J1127" s="43">
        <v>3675</v>
      </c>
      <c r="K1127" s="21">
        <v>1</v>
      </c>
      <c r="L1127" s="43">
        <v>3680</v>
      </c>
      <c r="M1127" s="43">
        <v>3694</v>
      </c>
      <c r="N1127" s="43">
        <v>3694</v>
      </c>
      <c r="O1127" s="21" t="s">
        <v>3952</v>
      </c>
      <c r="P1127" s="194" t="str">
        <f t="shared" si="208"/>
        <v>1</v>
      </c>
      <c r="Q1127" s="21">
        <v>1</v>
      </c>
      <c r="R1127" s="39" t="str">
        <f t="shared" si="210"/>
        <v>-</v>
      </c>
      <c r="S1127" s="120">
        <f t="shared" si="209"/>
        <v>168648</v>
      </c>
      <c r="T1127" s="123">
        <v>199154</v>
      </c>
      <c r="U1127" s="123">
        <f>24471+83368</f>
        <v>107839</v>
      </c>
      <c r="V1127" s="123">
        <f t="shared" si="203"/>
        <v>91315</v>
      </c>
      <c r="W1127" s="122" t="str">
        <f t="shared" si="204"/>
        <v>1</v>
      </c>
      <c r="X1127" s="123">
        <f>183+6189+24134</f>
        <v>30506</v>
      </c>
      <c r="Z1127" s="123">
        <f t="shared" si="206"/>
        <v>30506</v>
      </c>
      <c r="AA1127" s="122" t="str">
        <f t="shared" si="207"/>
        <v>1</v>
      </c>
      <c r="AB1127" s="120">
        <f t="shared" si="205"/>
        <v>0</v>
      </c>
      <c r="AC1127" s="123">
        <v>0</v>
      </c>
      <c r="AD1127" s="123">
        <v>0</v>
      </c>
      <c r="AE1127" s="123">
        <v>382</v>
      </c>
      <c r="AG1127" s="151">
        <f t="shared" si="211"/>
        <v>62430</v>
      </c>
      <c r="AH1127" s="123">
        <v>75374</v>
      </c>
      <c r="AJ1127" s="123">
        <v>30437</v>
      </c>
      <c r="AL1127" s="123">
        <v>12944</v>
      </c>
      <c r="AM1127" s="123">
        <f>AN1127-223588</f>
        <v>12126</v>
      </c>
      <c r="AN1127" s="123">
        <v>235714</v>
      </c>
    </row>
    <row r="1128" spans="1:40" s="123" customFormat="1" ht="16.2" thickBot="1" x14ac:dyDescent="0.35">
      <c r="A1128" s="21">
        <v>194.1</v>
      </c>
      <c r="B1128" s="212" t="s">
        <v>43</v>
      </c>
      <c r="C1128" s="31" t="str">
        <f>VLOOKUP((CONCATENATE(B1128)),ID!$A$2:$D$305,3,0)</f>
        <v>GLC02</v>
      </c>
      <c r="D1128" s="21">
        <v>1</v>
      </c>
      <c r="E1128" s="21" t="s">
        <v>344</v>
      </c>
      <c r="F1128" s="21" t="s">
        <v>3849</v>
      </c>
      <c r="G1128" s="21" t="s">
        <v>3853</v>
      </c>
      <c r="H1128" s="88">
        <v>4018</v>
      </c>
      <c r="I1128" s="43">
        <v>4036</v>
      </c>
      <c r="J1128" s="43">
        <v>4048</v>
      </c>
      <c r="K1128" s="21">
        <v>1</v>
      </c>
      <c r="L1128" s="43">
        <v>4044</v>
      </c>
      <c r="M1128" s="43">
        <v>4057</v>
      </c>
      <c r="N1128" s="43">
        <v>4058</v>
      </c>
      <c r="O1128" s="21" t="s">
        <v>3952</v>
      </c>
      <c r="P1128" s="194" t="str">
        <f t="shared" si="208"/>
        <v>1</v>
      </c>
      <c r="Q1128" s="21">
        <v>1</v>
      </c>
      <c r="R1128" s="39" t="str">
        <f t="shared" si="210"/>
        <v>-</v>
      </c>
      <c r="S1128" s="120">
        <f t="shared" si="209"/>
        <v>186769</v>
      </c>
      <c r="T1128" s="123">
        <v>223365</v>
      </c>
      <c r="U1128" s="123">
        <f>19177+78620</f>
        <v>97797</v>
      </c>
      <c r="V1128" s="123">
        <f t="shared" si="203"/>
        <v>125568</v>
      </c>
      <c r="W1128" s="122" t="str">
        <f t="shared" si="204"/>
        <v>1</v>
      </c>
      <c r="X1128" s="123">
        <f>176+6189+30231</f>
        <v>36596</v>
      </c>
      <c r="Z1128" s="123">
        <f t="shared" si="206"/>
        <v>36596</v>
      </c>
      <c r="AA1128" s="122" t="str">
        <f t="shared" si="207"/>
        <v>1</v>
      </c>
      <c r="AB1128" s="120">
        <f t="shared" si="205"/>
        <v>0</v>
      </c>
      <c r="AC1128" s="123">
        <v>0</v>
      </c>
      <c r="AD1128" s="123">
        <v>0</v>
      </c>
      <c r="AE1128" s="123">
        <v>266</v>
      </c>
      <c r="AG1128" s="151">
        <f t="shared" si="211"/>
        <v>84616</v>
      </c>
      <c r="AH1128" s="123">
        <f>43+97717</f>
        <v>97760</v>
      </c>
      <c r="AJ1128" s="123">
        <v>31062</v>
      </c>
      <c r="AL1128" s="123">
        <v>13144</v>
      </c>
      <c r="AM1128" s="123">
        <f>AN1128-219104</f>
        <v>17881</v>
      </c>
      <c r="AN1128" s="123">
        <v>236985</v>
      </c>
    </row>
    <row r="1129" spans="1:40" s="123" customFormat="1" ht="16.2" thickBot="1" x14ac:dyDescent="0.35">
      <c r="A1129" s="21">
        <v>194.2</v>
      </c>
      <c r="B1129" s="212" t="s">
        <v>43</v>
      </c>
      <c r="C1129" s="31" t="str">
        <f>VLOOKUP((CONCATENATE(B1129)),ID!$A$2:$D$305,3,0)</f>
        <v>GLC02</v>
      </c>
      <c r="D1129" s="21">
        <v>1</v>
      </c>
      <c r="E1129" s="21" t="s">
        <v>344</v>
      </c>
      <c r="F1129" s="21" t="s">
        <v>3849</v>
      </c>
      <c r="G1129" s="21" t="s">
        <v>3853</v>
      </c>
      <c r="H1129" s="88">
        <v>4383</v>
      </c>
      <c r="I1129" s="43">
        <v>4400</v>
      </c>
      <c r="J1129" s="43">
        <v>4410</v>
      </c>
      <c r="K1129" s="21">
        <v>1</v>
      </c>
      <c r="L1129" s="43">
        <v>4408</v>
      </c>
      <c r="M1129" s="43">
        <v>4422</v>
      </c>
      <c r="N1129" s="43">
        <v>4422</v>
      </c>
      <c r="O1129" s="21" t="s">
        <v>3952</v>
      </c>
      <c r="P1129" s="194" t="str">
        <f t="shared" si="208"/>
        <v>1</v>
      </c>
      <c r="Q1129" s="21">
        <v>1</v>
      </c>
      <c r="R1129" s="39" t="str">
        <f t="shared" si="210"/>
        <v>-</v>
      </c>
      <c r="S1129" s="120">
        <f t="shared" si="209"/>
        <v>211396</v>
      </c>
      <c r="T1129" s="123">
        <v>246406</v>
      </c>
      <c r="U1129" s="123">
        <f>89249+27920</f>
        <v>117169</v>
      </c>
      <c r="V1129" s="123">
        <f t="shared" si="203"/>
        <v>129237</v>
      </c>
      <c r="W1129" s="122" t="str">
        <f t="shared" si="204"/>
        <v>1</v>
      </c>
      <c r="X1129" s="123">
        <f>168+6356+28486</f>
        <v>35010</v>
      </c>
      <c r="Z1129" s="123">
        <f t="shared" si="206"/>
        <v>35010</v>
      </c>
      <c r="AA1129" s="122" t="str">
        <f t="shared" si="207"/>
        <v>1</v>
      </c>
      <c r="AB1129" s="120">
        <f t="shared" si="205"/>
        <v>0</v>
      </c>
      <c r="AC1129" s="123">
        <v>0</v>
      </c>
      <c r="AD1129" s="123">
        <v>0</v>
      </c>
      <c r="AE1129" s="123">
        <v>1202</v>
      </c>
      <c r="AG1129" s="151">
        <f t="shared" si="211"/>
        <v>87615</v>
      </c>
      <c r="AH1129" s="123">
        <f>1222+99913</f>
        <v>101135</v>
      </c>
      <c r="AJ1129" s="123">
        <v>31437</v>
      </c>
      <c r="AL1129" s="123">
        <v>13520</v>
      </c>
      <c r="AM1129" s="123">
        <f>AN1129-227812</f>
        <v>15209</v>
      </c>
      <c r="AN1129" s="123">
        <f>243021</f>
        <v>243021</v>
      </c>
    </row>
    <row r="1130" spans="1:40" s="123" customFormat="1" ht="16.2" thickBot="1" x14ac:dyDescent="0.35">
      <c r="A1130" s="21"/>
      <c r="B1130" s="212" t="s">
        <v>43</v>
      </c>
      <c r="C1130" s="31" t="str">
        <f>VLOOKUP((CONCATENATE(B1130)),ID!$A$2:$D$305,3,0)</f>
        <v>GLC02</v>
      </c>
      <c r="D1130" s="21">
        <v>1</v>
      </c>
      <c r="E1130" s="21" t="s">
        <v>344</v>
      </c>
      <c r="F1130" s="21" t="s">
        <v>3849</v>
      </c>
      <c r="G1130" s="21" t="s">
        <v>3853</v>
      </c>
      <c r="H1130" s="88">
        <v>4749</v>
      </c>
      <c r="I1130" s="43">
        <v>4773</v>
      </c>
      <c r="J1130" s="43">
        <v>4785</v>
      </c>
      <c r="K1130" s="21">
        <v>1</v>
      </c>
      <c r="L1130" s="43">
        <v>4784</v>
      </c>
      <c r="M1130" s="43">
        <v>4798</v>
      </c>
      <c r="N1130" s="43">
        <v>4798</v>
      </c>
      <c r="O1130" s="21" t="s">
        <v>3952</v>
      </c>
      <c r="P1130" s="194" t="str">
        <f t="shared" si="208"/>
        <v>1</v>
      </c>
      <c r="Q1130" s="21">
        <v>1</v>
      </c>
      <c r="R1130" s="39" t="str">
        <f t="shared" si="210"/>
        <v>-</v>
      </c>
      <c r="S1130" s="120">
        <f t="shared" si="209"/>
        <v>260735</v>
      </c>
      <c r="T1130" s="123">
        <v>295579</v>
      </c>
      <c r="U1130" s="123">
        <f>92120+56446</f>
        <v>148566</v>
      </c>
      <c r="V1130" s="123">
        <f t="shared" si="203"/>
        <v>147013</v>
      </c>
      <c r="W1130" s="122" t="str">
        <f t="shared" si="204"/>
        <v>1</v>
      </c>
      <c r="X1130" s="123">
        <f>172+6420+28252</f>
        <v>34844</v>
      </c>
      <c r="Z1130" s="123">
        <f t="shared" si="206"/>
        <v>34844</v>
      </c>
      <c r="AA1130" s="122" t="str">
        <f t="shared" si="207"/>
        <v>1</v>
      </c>
      <c r="AB1130" s="120">
        <f t="shared" si="205"/>
        <v>0</v>
      </c>
      <c r="AC1130" s="123">
        <v>0</v>
      </c>
      <c r="AD1130" s="123">
        <v>0</v>
      </c>
      <c r="AE1130" s="123">
        <v>467</v>
      </c>
      <c r="AG1130" s="151">
        <f t="shared" si="211"/>
        <v>117455</v>
      </c>
      <c r="AH1130" s="123">
        <f>128125+2973</f>
        <v>131098</v>
      </c>
      <c r="AJ1130" s="123">
        <v>31812</v>
      </c>
      <c r="AL1130" s="123">
        <v>13643</v>
      </c>
      <c r="AM1130" s="123">
        <f>AN1130-204702</f>
        <v>43764</v>
      </c>
      <c r="AN1130" s="123">
        <v>248466</v>
      </c>
    </row>
    <row r="1131" spans="1:40" s="123" customFormat="1" ht="16.2" thickBot="1" x14ac:dyDescent="0.35">
      <c r="A1131" s="21"/>
      <c r="B1131" s="212" t="s">
        <v>43</v>
      </c>
      <c r="C1131" s="31" t="str">
        <f>VLOOKUP((CONCATENATE(B1131)),ID!$A$2:$D$305,3,0)</f>
        <v>GLC02</v>
      </c>
      <c r="D1131" s="21">
        <v>1</v>
      </c>
      <c r="E1131" s="21" t="s">
        <v>344</v>
      </c>
      <c r="F1131" s="21" t="s">
        <v>3849</v>
      </c>
      <c r="G1131" s="21" t="s">
        <v>3853</v>
      </c>
      <c r="H1131" s="88">
        <v>5114</v>
      </c>
      <c r="I1131" s="43">
        <v>5135</v>
      </c>
      <c r="J1131" s="43">
        <v>5147</v>
      </c>
      <c r="K1131" s="21">
        <v>1</v>
      </c>
      <c r="L1131" s="43">
        <v>5143</v>
      </c>
      <c r="M1131" s="43">
        <v>5157</v>
      </c>
      <c r="N1131" s="43">
        <v>5157</v>
      </c>
      <c r="O1131" s="21" t="s">
        <v>3952</v>
      </c>
      <c r="P1131" s="194" t="str">
        <f t="shared" si="208"/>
        <v>1</v>
      </c>
      <c r="Q1131" s="21">
        <v>1</v>
      </c>
      <c r="R1131" s="39" t="str">
        <f t="shared" si="210"/>
        <v>-</v>
      </c>
      <c r="S1131" s="120">
        <f t="shared" si="209"/>
        <v>240903</v>
      </c>
      <c r="T1131" s="123">
        <v>281461</v>
      </c>
      <c r="U1131" s="123">
        <f>90448+66515</f>
        <v>156963</v>
      </c>
      <c r="V1131" s="123">
        <f t="shared" si="203"/>
        <v>124498</v>
      </c>
      <c r="W1131" s="122" t="str">
        <f t="shared" si="204"/>
        <v>1</v>
      </c>
      <c r="X1131" s="123">
        <f>166+6297+34095</f>
        <v>40558</v>
      </c>
      <c r="Z1131" s="123">
        <f t="shared" si="206"/>
        <v>40558</v>
      </c>
      <c r="AA1131" s="122" t="str">
        <f t="shared" si="207"/>
        <v>1</v>
      </c>
      <c r="AB1131" s="120">
        <f t="shared" si="205"/>
        <v>0</v>
      </c>
      <c r="AC1131" s="123">
        <v>0</v>
      </c>
      <c r="AD1131" s="123">
        <v>0</v>
      </c>
      <c r="AE1131" s="123">
        <v>349</v>
      </c>
      <c r="AG1131" s="151">
        <f t="shared" si="211"/>
        <v>50003</v>
      </c>
      <c r="AH1131" s="123">
        <f>61778+1671</f>
        <v>63449</v>
      </c>
      <c r="AJ1131" s="123">
        <v>31812</v>
      </c>
      <c r="AL1131" s="123">
        <v>13446</v>
      </c>
      <c r="AM1131" s="123">
        <f>AN1131-293418</f>
        <v>-36357</v>
      </c>
      <c r="AN1131" s="123">
        <v>257061</v>
      </c>
    </row>
    <row r="1132" spans="1:40" s="123" customFormat="1" ht="16.2" thickBot="1" x14ac:dyDescent="0.35">
      <c r="A1132" s="21"/>
      <c r="B1132" s="212" t="s">
        <v>85</v>
      </c>
      <c r="C1132" s="31" t="str">
        <f>VLOOKUP((CONCATENATE(B1132)),ID!$A$2:$D$305,3,0)</f>
        <v>GLC03</v>
      </c>
      <c r="D1132" s="21">
        <v>0</v>
      </c>
      <c r="E1132" s="21" t="s">
        <v>344</v>
      </c>
      <c r="F1132" s="21" t="s">
        <v>1117</v>
      </c>
      <c r="G1132" s="21" t="s">
        <v>3853</v>
      </c>
      <c r="H1132" s="94">
        <v>3653</v>
      </c>
      <c r="I1132" s="43">
        <v>3694</v>
      </c>
      <c r="J1132" s="43">
        <v>3316</v>
      </c>
      <c r="K1132" s="21">
        <v>1</v>
      </c>
      <c r="L1132" s="43">
        <v>3673</v>
      </c>
      <c r="M1132" s="43">
        <v>3708</v>
      </c>
      <c r="N1132" s="43">
        <v>3708</v>
      </c>
      <c r="O1132" s="21" t="s">
        <v>3959</v>
      </c>
      <c r="P1132" s="194" t="str">
        <f t="shared" si="208"/>
        <v>1</v>
      </c>
      <c r="Q1132" s="21">
        <v>1</v>
      </c>
      <c r="R1132" s="39" t="str">
        <f t="shared" si="210"/>
        <v>-</v>
      </c>
      <c r="S1132" s="120">
        <f t="shared" si="209"/>
        <v>150137</v>
      </c>
      <c r="T1132" s="123">
        <v>288800</v>
      </c>
      <c r="U1132" s="123">
        <f>50514+56819</f>
        <v>107333</v>
      </c>
      <c r="V1132" s="123">
        <f t="shared" si="203"/>
        <v>181467</v>
      </c>
      <c r="W1132" s="122" t="str">
        <f t="shared" si="204"/>
        <v>1</v>
      </c>
      <c r="X1132" s="123">
        <f>2608+429+55118+67000+13508</f>
        <v>138663</v>
      </c>
      <c r="Z1132" s="123">
        <f t="shared" si="206"/>
        <v>138663</v>
      </c>
      <c r="AA1132" s="122" t="str">
        <f t="shared" si="207"/>
        <v>1</v>
      </c>
      <c r="AB1132" s="120">
        <f t="shared" si="205"/>
        <v>67000</v>
      </c>
      <c r="AC1132" s="123">
        <v>0</v>
      </c>
      <c r="AD1132" s="123">
        <v>67000</v>
      </c>
      <c r="AE1132" s="123">
        <v>9484</v>
      </c>
      <c r="AG1132" s="151">
        <f t="shared" si="211"/>
        <v>63473</v>
      </c>
      <c r="AH1132" s="123">
        <v>70598</v>
      </c>
      <c r="AJ1132" s="123">
        <v>53085</v>
      </c>
      <c r="AL1132" s="123">
        <v>7125</v>
      </c>
      <c r="AM1132" s="123">
        <f>AN1132-141517</f>
        <v>62148</v>
      </c>
      <c r="AN1132" s="123">
        <v>203665</v>
      </c>
    </row>
    <row r="1133" spans="1:40" s="123" customFormat="1" ht="16.2" thickBot="1" x14ac:dyDescent="0.35">
      <c r="A1133" s="21"/>
      <c r="B1133" s="212" t="s">
        <v>85</v>
      </c>
      <c r="C1133" s="31" t="str">
        <f>VLOOKUP((CONCATENATE(B1133)),ID!$A$2:$D$305,3,0)</f>
        <v>GLC03</v>
      </c>
      <c r="D1133" s="21">
        <v>0</v>
      </c>
      <c r="E1133" s="21" t="s">
        <v>344</v>
      </c>
      <c r="F1133" s="21" t="s">
        <v>1117</v>
      </c>
      <c r="G1133" s="21" t="s">
        <v>3853</v>
      </c>
      <c r="H1133" s="94">
        <v>3834</v>
      </c>
      <c r="I1133" s="43">
        <v>3854</v>
      </c>
      <c r="J1133" s="43">
        <v>3863</v>
      </c>
      <c r="K1133" s="21">
        <v>1</v>
      </c>
      <c r="L1133" s="43">
        <v>3854</v>
      </c>
      <c r="M1133" s="43">
        <v>3876</v>
      </c>
      <c r="N1133" s="43">
        <v>3876</v>
      </c>
      <c r="O1133" s="21" t="s">
        <v>3959</v>
      </c>
      <c r="P1133" s="194" t="str">
        <f t="shared" si="208"/>
        <v>1</v>
      </c>
      <c r="Q1133" s="21">
        <v>1</v>
      </c>
      <c r="R1133" s="39" t="str">
        <f t="shared" si="210"/>
        <v>-</v>
      </c>
      <c r="S1133" s="120">
        <f t="shared" si="209"/>
        <v>163574</v>
      </c>
      <c r="T1133" s="123">
        <v>260144</v>
      </c>
      <c r="U1133" s="123">
        <f>56605+53754</f>
        <v>110359</v>
      </c>
      <c r="V1133" s="123">
        <f t="shared" si="203"/>
        <v>149785</v>
      </c>
      <c r="W1133" s="122" t="str">
        <f t="shared" si="204"/>
        <v>1</v>
      </c>
      <c r="X1133" s="123">
        <f>27000+50510+429+2558+16073</f>
        <v>96570</v>
      </c>
      <c r="Z1133" s="123">
        <f t="shared" si="206"/>
        <v>96570</v>
      </c>
      <c r="AA1133" s="122" t="str">
        <f t="shared" si="207"/>
        <v>1</v>
      </c>
      <c r="AB1133" s="120">
        <f t="shared" si="205"/>
        <v>27000</v>
      </c>
      <c r="AC1133" s="123">
        <v>0</v>
      </c>
      <c r="AD1133" s="123">
        <v>27000</v>
      </c>
      <c r="AE1133" s="123">
        <v>9194</v>
      </c>
      <c r="AG1133" s="151">
        <f t="shared" si="211"/>
        <v>67326</v>
      </c>
      <c r="AH1133" s="123">
        <v>74451</v>
      </c>
      <c r="AJ1133" s="123">
        <v>53345</v>
      </c>
      <c r="AL1133" s="123">
        <v>7125</v>
      </c>
      <c r="AM1133" s="123">
        <f>AN1133-130826</f>
        <v>68025</v>
      </c>
      <c r="AN1133" s="123">
        <v>198851</v>
      </c>
    </row>
    <row r="1134" spans="1:40" s="123" customFormat="1" ht="16.2" thickBot="1" x14ac:dyDescent="0.35">
      <c r="A1134" s="21">
        <v>195.1</v>
      </c>
      <c r="B1134" s="212" t="s">
        <v>85</v>
      </c>
      <c r="C1134" s="31" t="str">
        <f>VLOOKUP((CONCATENATE(B1134)),ID!$A$2:$D$305,3,0)</f>
        <v>GLC03</v>
      </c>
      <c r="D1134" s="21">
        <v>0</v>
      </c>
      <c r="E1134" s="21" t="s">
        <v>344</v>
      </c>
      <c r="F1134" s="21" t="s">
        <v>1117</v>
      </c>
      <c r="G1134" s="21" t="s">
        <v>3853</v>
      </c>
      <c r="H1134" s="94">
        <v>4018</v>
      </c>
      <c r="I1134" s="43">
        <v>4032</v>
      </c>
      <c r="J1134" s="43">
        <v>4045</v>
      </c>
      <c r="K1134" s="21">
        <v>1</v>
      </c>
      <c r="L1134" s="43">
        <v>4041</v>
      </c>
      <c r="M1134" s="43">
        <v>4072</v>
      </c>
      <c r="N1134" s="43">
        <v>4072</v>
      </c>
      <c r="O1134" s="21" t="s">
        <v>3959</v>
      </c>
      <c r="P1134" s="194" t="str">
        <f t="shared" si="208"/>
        <v>1</v>
      </c>
      <c r="Q1134" s="21">
        <v>1</v>
      </c>
      <c r="R1134" s="39" t="str">
        <f t="shared" si="210"/>
        <v>-</v>
      </c>
      <c r="S1134" s="120">
        <f t="shared" si="209"/>
        <v>175975</v>
      </c>
      <c r="T1134" s="123">
        <v>288640</v>
      </c>
      <c r="U1134" s="123">
        <f>56719+54297</f>
        <v>111016</v>
      </c>
      <c r="V1134" s="123">
        <f t="shared" si="203"/>
        <v>177624</v>
      </c>
      <c r="W1134" s="122" t="str">
        <f t="shared" si="204"/>
        <v>1</v>
      </c>
      <c r="X1134" s="123">
        <f>17229+30000+62465+2542+429</f>
        <v>112665</v>
      </c>
      <c r="Z1134" s="123">
        <f t="shared" si="206"/>
        <v>112665</v>
      </c>
      <c r="AA1134" s="122" t="str">
        <f t="shared" si="207"/>
        <v>1</v>
      </c>
      <c r="AB1134" s="120">
        <f t="shared" si="205"/>
        <v>30000</v>
      </c>
      <c r="AC1134" s="123">
        <v>0</v>
      </c>
      <c r="AD1134" s="123">
        <v>30000</v>
      </c>
      <c r="AE1134" s="123">
        <v>9908</v>
      </c>
      <c r="AG1134" s="151">
        <f t="shared" si="211"/>
        <v>65855</v>
      </c>
      <c r="AH1134" s="123">
        <v>72980</v>
      </c>
      <c r="AJ1134" s="123">
        <v>56296</v>
      </c>
      <c r="AL1134" s="123">
        <v>7125</v>
      </c>
      <c r="AM1134" s="123">
        <f>AN1134-136086</f>
        <v>56707</v>
      </c>
      <c r="AN1134" s="123">
        <v>192793</v>
      </c>
    </row>
    <row r="1135" spans="1:40" s="123" customFormat="1" ht="16.2" thickBot="1" x14ac:dyDescent="0.35">
      <c r="A1135" s="21">
        <v>195.2</v>
      </c>
      <c r="B1135" s="212" t="s">
        <v>85</v>
      </c>
      <c r="C1135" s="31" t="str">
        <f>VLOOKUP((CONCATENATE(B1135)),ID!$A$2:$D$305,3,0)</f>
        <v>GLC03</v>
      </c>
      <c r="D1135" s="21">
        <v>0</v>
      </c>
      <c r="E1135" s="21" t="s">
        <v>344</v>
      </c>
      <c r="F1135" s="21" t="s">
        <v>1117</v>
      </c>
      <c r="G1135" s="21" t="s">
        <v>3853</v>
      </c>
      <c r="H1135" s="94">
        <v>4199</v>
      </c>
      <c r="I1135" s="43">
        <v>4209</v>
      </c>
      <c r="J1135" s="43">
        <v>4227</v>
      </c>
      <c r="K1135" s="21">
        <v>1</v>
      </c>
      <c r="L1135" s="43">
        <v>4220</v>
      </c>
      <c r="M1135" s="43">
        <v>4240</v>
      </c>
      <c r="N1135" s="43">
        <v>4240</v>
      </c>
      <c r="O1135" s="21" t="s">
        <v>3959</v>
      </c>
      <c r="P1135" s="194" t="str">
        <f t="shared" si="208"/>
        <v>1</v>
      </c>
      <c r="Q1135" s="21">
        <v>1</v>
      </c>
      <c r="R1135" s="39" t="str">
        <f t="shared" si="210"/>
        <v>-</v>
      </c>
      <c r="S1135" s="120">
        <f t="shared" si="209"/>
        <v>178967</v>
      </c>
      <c r="T1135" s="123">
        <v>261290</v>
      </c>
      <c r="U1135" s="123">
        <f>53716+57117</f>
        <v>110833</v>
      </c>
      <c r="V1135" s="123">
        <f t="shared" si="203"/>
        <v>150457</v>
      </c>
      <c r="W1135" s="122" t="str">
        <f t="shared" si="204"/>
        <v>1</v>
      </c>
      <c r="X1135" s="123">
        <f>20370+58953+2571+429</f>
        <v>82323</v>
      </c>
      <c r="Z1135" s="123">
        <f t="shared" si="206"/>
        <v>82323</v>
      </c>
      <c r="AA1135" s="122" t="str">
        <f t="shared" si="207"/>
        <v>1</v>
      </c>
      <c r="AB1135" s="120">
        <f t="shared" si="205"/>
        <v>0</v>
      </c>
      <c r="AC1135" s="123">
        <v>0</v>
      </c>
      <c r="AD1135" s="123">
        <v>0</v>
      </c>
      <c r="AE1135" s="123">
        <v>16490</v>
      </c>
      <c r="AG1135" s="151">
        <f t="shared" si="211"/>
        <v>59462</v>
      </c>
      <c r="AH1135" s="123">
        <v>66587</v>
      </c>
      <c r="AJ1135" s="123">
        <v>56296</v>
      </c>
      <c r="AL1135" s="123">
        <v>7125</v>
      </c>
      <c r="AM1135" s="123">
        <f>AN1135-137416</f>
        <v>55458</v>
      </c>
      <c r="AN1135" s="123">
        <v>192874</v>
      </c>
    </row>
    <row r="1136" spans="1:40" s="123" customFormat="1" ht="16.2" thickBot="1" x14ac:dyDescent="0.35">
      <c r="A1136" s="21">
        <v>195.3</v>
      </c>
      <c r="B1136" s="212" t="s">
        <v>85</v>
      </c>
      <c r="C1136" s="31" t="str">
        <f>VLOOKUP((CONCATENATE(B1136)),ID!$A$2:$D$305,3,0)</f>
        <v>GLC03</v>
      </c>
      <c r="D1136" s="21">
        <v>0</v>
      </c>
      <c r="E1136" s="21" t="s">
        <v>344</v>
      </c>
      <c r="F1136" s="21" t="s">
        <v>1117</v>
      </c>
      <c r="G1136" s="21" t="s">
        <v>3853</v>
      </c>
      <c r="H1136" s="94">
        <v>4383</v>
      </c>
      <c r="I1136" s="43">
        <v>4391</v>
      </c>
      <c r="J1136" s="43">
        <v>4414</v>
      </c>
      <c r="K1136" s="21">
        <v>1</v>
      </c>
      <c r="L1136" s="43">
        <v>4406</v>
      </c>
      <c r="M1136" s="43">
        <v>4436</v>
      </c>
      <c r="N1136" s="43">
        <v>4436</v>
      </c>
      <c r="O1136" s="21" t="s">
        <v>3959</v>
      </c>
      <c r="P1136" s="194" t="str">
        <f t="shared" si="208"/>
        <v>1</v>
      </c>
      <c r="Q1136" s="21">
        <v>1</v>
      </c>
      <c r="R1136" s="39" t="str">
        <f t="shared" si="210"/>
        <v>-</v>
      </c>
      <c r="S1136" s="120">
        <f t="shared" si="209"/>
        <v>187883</v>
      </c>
      <c r="T1136" s="123">
        <v>295375</v>
      </c>
      <c r="U1136" s="123">
        <f>57259+59211</f>
        <v>116470</v>
      </c>
      <c r="V1136" s="123">
        <f t="shared" si="203"/>
        <v>178905</v>
      </c>
      <c r="W1136" s="122" t="str">
        <f t="shared" si="204"/>
        <v>1</v>
      </c>
      <c r="X1136" s="123">
        <f>2580+429+59313+24000+21170</f>
        <v>107492</v>
      </c>
      <c r="Z1136" s="123">
        <f t="shared" si="206"/>
        <v>107492</v>
      </c>
      <c r="AA1136" s="122" t="str">
        <f t="shared" si="207"/>
        <v>1</v>
      </c>
      <c r="AB1136" s="120">
        <f t="shared" si="205"/>
        <v>24000</v>
      </c>
      <c r="AC1136" s="123">
        <v>0</v>
      </c>
      <c r="AD1136" s="123">
        <v>24000</v>
      </c>
      <c r="AE1136" s="123">
        <v>10407</v>
      </c>
      <c r="AG1136" s="151">
        <f t="shared" si="211"/>
        <v>65011</v>
      </c>
      <c r="AH1136" s="123">
        <v>72136</v>
      </c>
      <c r="AJ1136" s="123">
        <v>56296</v>
      </c>
      <c r="AL1136" s="123">
        <v>7125</v>
      </c>
      <c r="AM1136" s="123">
        <f>AN1136-137899</f>
        <v>56069</v>
      </c>
      <c r="AN1136" s="123">
        <v>193968</v>
      </c>
    </row>
    <row r="1137" spans="1:41" s="123" customFormat="1" ht="16.2" thickBot="1" x14ac:dyDescent="0.35">
      <c r="A1137" s="21">
        <v>195.4</v>
      </c>
      <c r="B1137" s="212" t="s">
        <v>85</v>
      </c>
      <c r="C1137" s="31" t="str">
        <f>VLOOKUP((CONCATENATE(B1137)),ID!$A$2:$D$305,3,0)</f>
        <v>GLC03</v>
      </c>
      <c r="D1137" s="21">
        <v>0</v>
      </c>
      <c r="E1137" s="21" t="s">
        <v>344</v>
      </c>
      <c r="F1137" s="21" t="s">
        <v>1117</v>
      </c>
      <c r="G1137" s="21" t="s">
        <v>3853</v>
      </c>
      <c r="H1137" s="94">
        <v>4565</v>
      </c>
      <c r="I1137" s="43">
        <v>4573</v>
      </c>
      <c r="J1137" s="43">
        <v>4591</v>
      </c>
      <c r="K1137" s="21">
        <v>1</v>
      </c>
      <c r="L1137" s="43">
        <v>4588</v>
      </c>
      <c r="M1137" s="43">
        <v>4618</v>
      </c>
      <c r="N1137" s="43">
        <v>4618</v>
      </c>
      <c r="O1137" s="21" t="s">
        <v>3959</v>
      </c>
      <c r="P1137" s="194" t="str">
        <f t="shared" si="208"/>
        <v>1</v>
      </c>
      <c r="Q1137" s="21">
        <v>1</v>
      </c>
      <c r="R1137" s="39" t="str">
        <f t="shared" si="210"/>
        <v>-</v>
      </c>
      <c r="S1137" s="120">
        <f t="shared" si="209"/>
        <v>197425</v>
      </c>
      <c r="T1137" s="123">
        <v>281159</v>
      </c>
      <c r="U1137" s="123">
        <f>56012+53810</f>
        <v>109822</v>
      </c>
      <c r="V1137" s="123">
        <f t="shared" si="203"/>
        <v>171337</v>
      </c>
      <c r="W1137" s="122" t="str">
        <f t="shared" si="204"/>
        <v>1</v>
      </c>
      <c r="X1137" s="123">
        <f>2511+429+59350+21444</f>
        <v>83734</v>
      </c>
      <c r="Z1137" s="123">
        <f t="shared" si="206"/>
        <v>83734</v>
      </c>
      <c r="AA1137" s="122" t="str">
        <f t="shared" si="207"/>
        <v>1</v>
      </c>
      <c r="AB1137" s="120">
        <f t="shared" si="205"/>
        <v>0</v>
      </c>
      <c r="AC1137" s="123">
        <v>0</v>
      </c>
      <c r="AD1137" s="123">
        <v>0</v>
      </c>
      <c r="AE1137" s="123">
        <v>6157</v>
      </c>
      <c r="AG1137" s="151">
        <f t="shared" si="211"/>
        <v>65972</v>
      </c>
      <c r="AH1137" s="123">
        <v>73097</v>
      </c>
      <c r="AJ1137" s="123">
        <v>56296</v>
      </c>
      <c r="AL1137" s="123">
        <v>7125</v>
      </c>
      <c r="AM1137" s="123">
        <f>AN1137-128227</f>
        <v>66967</v>
      </c>
      <c r="AN1137" s="123">
        <v>195194</v>
      </c>
    </row>
    <row r="1138" spans="1:41" s="123" customFormat="1" ht="16.2" thickBot="1" x14ac:dyDescent="0.35">
      <c r="A1138" s="21"/>
      <c r="B1138" s="212" t="s">
        <v>85</v>
      </c>
      <c r="C1138" s="31" t="str">
        <f>VLOOKUP((CONCATENATE(B1138)),ID!$A$2:$D$305,3,0)</f>
        <v>GLC03</v>
      </c>
      <c r="D1138" s="21">
        <v>0</v>
      </c>
      <c r="E1138" s="21" t="s">
        <v>344</v>
      </c>
      <c r="F1138" s="21" t="s">
        <v>1117</v>
      </c>
      <c r="G1138" s="21" t="s">
        <v>3853</v>
      </c>
      <c r="H1138" s="94">
        <v>4749</v>
      </c>
      <c r="I1138" s="43">
        <v>4755</v>
      </c>
      <c r="J1138" s="43">
        <v>4779</v>
      </c>
      <c r="K1138" s="21">
        <v>1</v>
      </c>
      <c r="L1138" s="43">
        <v>4770</v>
      </c>
      <c r="M1138" s="43">
        <v>4800</v>
      </c>
      <c r="N1138" s="43">
        <v>4800</v>
      </c>
      <c r="O1138" s="21" t="s">
        <v>4123</v>
      </c>
      <c r="P1138" s="194" t="str">
        <f t="shared" si="208"/>
        <v>1</v>
      </c>
      <c r="Q1138" s="21">
        <v>1</v>
      </c>
      <c r="R1138" s="39" t="str">
        <f t="shared" si="210"/>
        <v>-</v>
      </c>
      <c r="S1138" s="120">
        <f t="shared" si="209"/>
        <v>210082</v>
      </c>
      <c r="T1138" s="123">
        <v>306458</v>
      </c>
      <c r="U1138" s="123">
        <f>44739+56972</f>
        <v>101711</v>
      </c>
      <c r="V1138" s="123">
        <f t="shared" ref="V1138:V1197" si="212">T1138-U1138</f>
        <v>204747</v>
      </c>
      <c r="W1138" s="122" t="str">
        <f t="shared" ref="W1138:W1197" si="213">IF(V1138+U1138=T1138,"1","0")</f>
        <v>1</v>
      </c>
      <c r="X1138" s="123">
        <f>2783+429+70425+22739</f>
        <v>96376</v>
      </c>
      <c r="Z1138" s="123">
        <f t="shared" si="206"/>
        <v>96376</v>
      </c>
      <c r="AA1138" s="122" t="str">
        <f t="shared" si="207"/>
        <v>1</v>
      </c>
      <c r="AB1138" s="120">
        <f t="shared" ref="AB1138:AB1197" si="214">SUM(AC1138+AD1138)</f>
        <v>0</v>
      </c>
      <c r="AC1138" s="123">
        <v>0</v>
      </c>
      <c r="AD1138" s="123">
        <v>0</v>
      </c>
      <c r="AE1138" s="123">
        <v>7544</v>
      </c>
      <c r="AG1138" s="151">
        <f t="shared" si="211"/>
        <v>71492</v>
      </c>
      <c r="AH1138" s="123">
        <v>78617</v>
      </c>
      <c r="AJ1138" s="123">
        <v>56296</v>
      </c>
      <c r="AL1138" s="123">
        <v>7125</v>
      </c>
      <c r="AM1138" s="123">
        <f>AN1138-139401</f>
        <v>61919</v>
      </c>
      <c r="AN1138" s="123">
        <v>201320</v>
      </c>
    </row>
    <row r="1139" spans="1:41" s="123" customFormat="1" ht="16.2" thickBot="1" x14ac:dyDescent="0.35">
      <c r="A1139" s="21"/>
      <c r="B1139" s="212" t="s">
        <v>85</v>
      </c>
      <c r="C1139" s="31" t="str">
        <f>VLOOKUP((CONCATENATE(B1139)),ID!$A$2:$D$305,3,0)</f>
        <v>GLC03</v>
      </c>
      <c r="D1139" s="21">
        <v>0</v>
      </c>
      <c r="E1139" s="21" t="s">
        <v>344</v>
      </c>
      <c r="F1139" s="21" t="s">
        <v>1117</v>
      </c>
      <c r="G1139" s="21" t="s">
        <v>3853</v>
      </c>
      <c r="H1139" s="94">
        <v>4930</v>
      </c>
      <c r="I1139" s="43">
        <v>4937</v>
      </c>
      <c r="J1139" s="43">
        <v>4955</v>
      </c>
      <c r="K1139" s="21">
        <v>1</v>
      </c>
      <c r="L1139" s="43">
        <v>4952</v>
      </c>
      <c r="M1139" s="43">
        <v>4982</v>
      </c>
      <c r="N1139" s="43">
        <v>4982</v>
      </c>
      <c r="O1139" s="21" t="s">
        <v>4123</v>
      </c>
      <c r="P1139" s="194" t="str">
        <f t="shared" si="208"/>
        <v>1</v>
      </c>
      <c r="Q1139" s="21">
        <v>1</v>
      </c>
      <c r="R1139" s="39" t="str">
        <f t="shared" si="210"/>
        <v>-</v>
      </c>
      <c r="S1139" s="120">
        <f t="shared" si="209"/>
        <v>219879</v>
      </c>
      <c r="T1139" s="123">
        <v>314639</v>
      </c>
      <c r="U1139" s="123">
        <f>62019+54443</f>
        <v>116462</v>
      </c>
      <c r="V1139" s="123">
        <f t="shared" si="212"/>
        <v>198177</v>
      </c>
      <c r="W1139" s="122" t="str">
        <f t="shared" si="213"/>
        <v>1</v>
      </c>
      <c r="X1139" s="123">
        <f>2652+429+66210+25469</f>
        <v>94760</v>
      </c>
      <c r="Z1139" s="123">
        <f t="shared" si="206"/>
        <v>94760</v>
      </c>
      <c r="AA1139" s="122" t="str">
        <f t="shared" si="207"/>
        <v>1</v>
      </c>
      <c r="AB1139" s="120">
        <f t="shared" si="214"/>
        <v>0</v>
      </c>
      <c r="AC1139" s="123">
        <v>0</v>
      </c>
      <c r="AD1139" s="123">
        <v>0</v>
      </c>
      <c r="AE1139" s="123">
        <v>7059</v>
      </c>
      <c r="AG1139" s="151">
        <f t="shared" si="211"/>
        <v>65804</v>
      </c>
      <c r="AH1139" s="123">
        <v>72929</v>
      </c>
      <c r="AJ1139" s="123">
        <v>56296</v>
      </c>
      <c r="AL1139" s="123">
        <v>7125</v>
      </c>
      <c r="AM1139" s="123">
        <f>AN1139-133070</f>
        <v>64725</v>
      </c>
      <c r="AN1139" s="123">
        <v>197795</v>
      </c>
    </row>
    <row r="1140" spans="1:41" s="123" customFormat="1" ht="16.2" thickBot="1" x14ac:dyDescent="0.35">
      <c r="A1140" s="21"/>
      <c r="B1140" s="212" t="s">
        <v>85</v>
      </c>
      <c r="C1140" s="31" t="str">
        <f>VLOOKUP((CONCATENATE(B1140)),ID!$A$2:$D$305,3,0)</f>
        <v>GLC03</v>
      </c>
      <c r="D1140" s="21">
        <v>0</v>
      </c>
      <c r="E1140" s="21" t="s">
        <v>344</v>
      </c>
      <c r="F1140" s="21" t="s">
        <v>1117</v>
      </c>
      <c r="G1140" s="21" t="s">
        <v>3853</v>
      </c>
      <c r="H1140" s="94">
        <v>5114</v>
      </c>
      <c r="I1140" s="43">
        <v>5112</v>
      </c>
      <c r="J1140" s="43">
        <v>5141</v>
      </c>
      <c r="K1140" s="21">
        <v>1</v>
      </c>
      <c r="L1140" s="43">
        <v>5121</v>
      </c>
      <c r="M1140" s="43">
        <v>5150</v>
      </c>
      <c r="N1140" s="43">
        <v>5150</v>
      </c>
      <c r="O1140" s="21" t="s">
        <v>4123</v>
      </c>
      <c r="P1140" s="194" t="str">
        <f t="shared" si="208"/>
        <v>1</v>
      </c>
      <c r="Q1140" s="21">
        <v>1</v>
      </c>
      <c r="R1140" s="39" t="str">
        <f t="shared" si="210"/>
        <v>-</v>
      </c>
      <c r="S1140" s="120">
        <f t="shared" si="209"/>
        <v>221880</v>
      </c>
      <c r="T1140" s="123">
        <v>316921</v>
      </c>
      <c r="U1140" s="123">
        <f>57607+54311</f>
        <v>111918</v>
      </c>
      <c r="V1140" s="123">
        <f t="shared" si="212"/>
        <v>205003</v>
      </c>
      <c r="W1140" s="122" t="str">
        <f t="shared" si="213"/>
        <v>1</v>
      </c>
      <c r="X1140" s="123">
        <f>17415+74429+429+2768</f>
        <v>95041</v>
      </c>
      <c r="Z1140" s="123">
        <f t="shared" si="206"/>
        <v>95041</v>
      </c>
      <c r="AA1140" s="122" t="str">
        <f t="shared" si="207"/>
        <v>1</v>
      </c>
      <c r="AB1140" s="120">
        <f t="shared" si="214"/>
        <v>0</v>
      </c>
      <c r="AC1140" s="123">
        <v>0</v>
      </c>
      <c r="AD1140" s="123">
        <v>0</v>
      </c>
      <c r="AE1140" s="123">
        <v>7183</v>
      </c>
      <c r="AG1140" s="151">
        <f t="shared" si="211"/>
        <v>57524</v>
      </c>
      <c r="AH1140" s="123">
        <v>64649</v>
      </c>
      <c r="AJ1140" s="123">
        <v>56296</v>
      </c>
      <c r="AL1140" s="123">
        <v>7125</v>
      </c>
      <c r="AM1140" s="123">
        <f>AN1140-150316</f>
        <v>51162</v>
      </c>
      <c r="AN1140" s="123">
        <v>201478</v>
      </c>
    </row>
    <row r="1141" spans="1:41" s="123" customFormat="1" ht="16.2" thickBot="1" x14ac:dyDescent="0.35">
      <c r="A1141" s="21"/>
      <c r="B1141" s="212" t="s">
        <v>85</v>
      </c>
      <c r="C1141" s="31" t="str">
        <f>VLOOKUP((CONCATENATE(B1141)),ID!$A$2:$D$305,3,0)</f>
        <v>GLC03</v>
      </c>
      <c r="D1141" s="21">
        <v>0</v>
      </c>
      <c r="E1141" s="21" t="s">
        <v>344</v>
      </c>
      <c r="F1141" s="21" t="s">
        <v>1117</v>
      </c>
      <c r="G1141" s="21" t="s">
        <v>3853</v>
      </c>
      <c r="H1141" s="94">
        <v>5295</v>
      </c>
      <c r="I1141" s="43">
        <v>5294</v>
      </c>
      <c r="J1141" s="43">
        <v>5324</v>
      </c>
      <c r="K1141" s="21">
        <v>1</v>
      </c>
      <c r="L1141" s="43">
        <v>5302</v>
      </c>
      <c r="M1141" s="43">
        <v>5332</v>
      </c>
      <c r="N1141" s="43">
        <v>5332</v>
      </c>
      <c r="O1141" s="21" t="s">
        <v>4123</v>
      </c>
      <c r="P1141" s="194">
        <v>1</v>
      </c>
      <c r="Q1141" s="21">
        <v>1</v>
      </c>
      <c r="R1141" s="39" t="str">
        <f t="shared" si="210"/>
        <v>-</v>
      </c>
      <c r="S1141" s="120">
        <f t="shared" si="209"/>
        <v>209306</v>
      </c>
      <c r="T1141" s="123">
        <v>305849</v>
      </c>
      <c r="U1141" s="123">
        <f>55278+57756</f>
        <v>113034</v>
      </c>
      <c r="V1141" s="123">
        <f t="shared" si="212"/>
        <v>192815</v>
      </c>
      <c r="W1141" s="122" t="str">
        <f t="shared" si="213"/>
        <v>1</v>
      </c>
      <c r="X1141" s="123">
        <f>2777+429+73109+20228</f>
        <v>96543</v>
      </c>
      <c r="Z1141" s="123">
        <f t="shared" si="206"/>
        <v>96543</v>
      </c>
      <c r="AA1141" s="122" t="str">
        <f t="shared" si="207"/>
        <v>1</v>
      </c>
      <c r="AB1141" s="120">
        <f t="shared" si="214"/>
        <v>0</v>
      </c>
      <c r="AC1141" s="123">
        <v>0</v>
      </c>
      <c r="AD1141" s="123">
        <v>0</v>
      </c>
      <c r="AE1141" s="123">
        <v>8323</v>
      </c>
      <c r="AG1141" s="151">
        <f t="shared" si="211"/>
        <v>43301</v>
      </c>
      <c r="AH1141" s="123">
        <v>50426</v>
      </c>
      <c r="AL1141" s="123">
        <v>7125</v>
      </c>
      <c r="AM1141" s="123">
        <f>AN1141-149335</f>
        <v>51721</v>
      </c>
      <c r="AN1141" s="123">
        <v>201056</v>
      </c>
    </row>
    <row r="1142" spans="1:41" s="123" customFormat="1" ht="16.2" thickBot="1" x14ac:dyDescent="0.35">
      <c r="A1142" s="21"/>
      <c r="B1142" s="212" t="s">
        <v>89</v>
      </c>
      <c r="C1142" s="31" t="str">
        <f>VLOOKUP((CONCATENATE(B1142)),ID!$A$2:$D$305,3,0)</f>
        <v>GLC04</v>
      </c>
      <c r="D1142" s="21">
        <v>1</v>
      </c>
      <c r="E1142" s="21" t="s">
        <v>344</v>
      </c>
      <c r="F1142" s="21" t="s">
        <v>1117</v>
      </c>
      <c r="G1142" s="21" t="s">
        <v>3853</v>
      </c>
      <c r="H1142" s="94">
        <v>3834</v>
      </c>
      <c r="I1142" s="43">
        <v>3976</v>
      </c>
      <c r="J1142" s="43">
        <v>3965</v>
      </c>
      <c r="K1142" s="21">
        <v>1</v>
      </c>
      <c r="L1142" s="43">
        <v>3980</v>
      </c>
      <c r="M1142" s="43">
        <v>3994</v>
      </c>
      <c r="N1142" s="43">
        <v>3993</v>
      </c>
      <c r="O1142" s="21" t="s">
        <v>3953</v>
      </c>
      <c r="P1142" s="194" t="str">
        <f t="shared" si="208"/>
        <v>1</v>
      </c>
      <c r="Q1142" s="21">
        <v>1</v>
      </c>
      <c r="R1142" s="39" t="str">
        <f t="shared" si="210"/>
        <v>-</v>
      </c>
      <c r="S1142" s="120">
        <f t="shared" si="209"/>
        <v>1096967</v>
      </c>
      <c r="T1142" s="123">
        <v>1098195</v>
      </c>
      <c r="U1142" s="123">
        <f>822076+48446+40423+63072</f>
        <v>974017</v>
      </c>
      <c r="V1142" s="123">
        <f t="shared" si="212"/>
        <v>124178</v>
      </c>
      <c r="W1142" s="122" t="str">
        <f t="shared" si="213"/>
        <v>1</v>
      </c>
      <c r="X1142" s="123">
        <v>1228</v>
      </c>
      <c r="Z1142" s="123">
        <f t="shared" si="206"/>
        <v>1228</v>
      </c>
      <c r="AA1142" s="122" t="str">
        <f t="shared" si="207"/>
        <v>1</v>
      </c>
      <c r="AB1142" s="120">
        <f t="shared" si="214"/>
        <v>0</v>
      </c>
      <c r="AC1142" s="123">
        <v>0</v>
      </c>
      <c r="AD1142" s="123">
        <v>0</v>
      </c>
      <c r="AE1142" s="123">
        <v>33254</v>
      </c>
      <c r="AG1142" s="151">
        <f t="shared" si="211"/>
        <v>54012</v>
      </c>
      <c r="AH1142" s="123">
        <f>54012+AI1142</f>
        <v>54300</v>
      </c>
      <c r="AI1142" s="123">
        <v>288</v>
      </c>
      <c r="AJ1142" s="123">
        <v>22591</v>
      </c>
      <c r="AN1142" s="132"/>
    </row>
    <row r="1143" spans="1:41" s="123" customFormat="1" ht="16.2" thickBot="1" x14ac:dyDescent="0.35">
      <c r="A1143" s="21">
        <v>196.1</v>
      </c>
      <c r="B1143" s="212" t="s">
        <v>89</v>
      </c>
      <c r="C1143" s="31" t="str">
        <f>VLOOKUP((CONCATENATE(B1143)),ID!$A$2:$D$305,3,0)</f>
        <v>GLC04</v>
      </c>
      <c r="D1143" s="21">
        <v>1</v>
      </c>
      <c r="E1143" s="21" t="s">
        <v>344</v>
      </c>
      <c r="F1143" s="21" t="s">
        <v>1117</v>
      </c>
      <c r="G1143" s="21" t="s">
        <v>3853</v>
      </c>
      <c r="H1143" s="94">
        <v>4199</v>
      </c>
      <c r="I1143" s="43">
        <v>4343</v>
      </c>
      <c r="J1143" s="43">
        <v>4329</v>
      </c>
      <c r="K1143" s="21">
        <v>1</v>
      </c>
      <c r="L1143" s="43">
        <v>4344</v>
      </c>
      <c r="M1143" s="43">
        <v>4358</v>
      </c>
      <c r="N1143" s="43">
        <v>4357</v>
      </c>
      <c r="O1143" s="21" t="s">
        <v>3953</v>
      </c>
      <c r="P1143" s="194" t="str">
        <f t="shared" si="208"/>
        <v>1</v>
      </c>
      <c r="Q1143" s="21">
        <v>1</v>
      </c>
      <c r="R1143" s="39" t="str">
        <f t="shared" si="210"/>
        <v>-</v>
      </c>
      <c r="S1143" s="120">
        <f t="shared" si="209"/>
        <v>1096243</v>
      </c>
      <c r="T1143" s="123">
        <v>1099033</v>
      </c>
      <c r="U1143" s="123">
        <f>817344+39739+40423+87355</f>
        <v>984861</v>
      </c>
      <c r="V1143" s="123">
        <f t="shared" si="212"/>
        <v>114172</v>
      </c>
      <c r="W1143" s="122" t="str">
        <f t="shared" si="213"/>
        <v>1</v>
      </c>
      <c r="X1143" s="123">
        <v>2790</v>
      </c>
      <c r="Z1143" s="123">
        <f t="shared" si="206"/>
        <v>2790</v>
      </c>
      <c r="AA1143" s="122" t="str">
        <f t="shared" si="207"/>
        <v>1</v>
      </c>
      <c r="AB1143" s="120">
        <f t="shared" si="214"/>
        <v>0</v>
      </c>
      <c r="AC1143" s="123">
        <v>0</v>
      </c>
      <c r="AD1143" s="123">
        <v>0</v>
      </c>
      <c r="AE1143" s="123">
        <v>23683</v>
      </c>
      <c r="AG1143" s="151">
        <f t="shared" si="211"/>
        <v>54459</v>
      </c>
      <c r="AH1143" s="123">
        <f>54459+AI1143</f>
        <v>54576</v>
      </c>
      <c r="AI1143" s="123">
        <v>117</v>
      </c>
      <c r="AJ1143" s="123">
        <v>22591</v>
      </c>
    </row>
    <row r="1144" spans="1:41" s="123" customFormat="1" ht="16.2" thickBot="1" x14ac:dyDescent="0.35">
      <c r="A1144" s="21">
        <v>196.2</v>
      </c>
      <c r="B1144" s="212" t="s">
        <v>89</v>
      </c>
      <c r="C1144" s="31" t="str">
        <f>VLOOKUP((CONCATENATE(B1144)),ID!$A$2:$D$305,3,0)</f>
        <v>GLC04</v>
      </c>
      <c r="D1144" s="21">
        <v>1</v>
      </c>
      <c r="E1144" s="21" t="s">
        <v>344</v>
      </c>
      <c r="F1144" s="21" t="s">
        <v>1117</v>
      </c>
      <c r="G1144" s="21" t="s">
        <v>3853</v>
      </c>
      <c r="H1144" s="94">
        <v>4565</v>
      </c>
      <c r="I1144" s="43">
        <v>4704</v>
      </c>
      <c r="J1144" s="43">
        <v>4693</v>
      </c>
      <c r="K1144" s="21">
        <v>1</v>
      </c>
      <c r="L1144" s="43">
        <v>4708</v>
      </c>
      <c r="M1144" s="43">
        <v>4722</v>
      </c>
      <c r="N1144" s="43">
        <v>4721</v>
      </c>
      <c r="O1144" s="21" t="s">
        <v>3953</v>
      </c>
      <c r="P1144" s="194" t="str">
        <f t="shared" si="208"/>
        <v>1</v>
      </c>
      <c r="Q1144" s="21">
        <v>1</v>
      </c>
      <c r="R1144" s="39" t="str">
        <f t="shared" si="210"/>
        <v>-</v>
      </c>
      <c r="S1144" s="120">
        <f t="shared" si="209"/>
        <v>1096063</v>
      </c>
      <c r="T1144" s="123">
        <v>1097493</v>
      </c>
      <c r="U1144" s="123">
        <f>808208+30533+40423+102955</f>
        <v>982119</v>
      </c>
      <c r="V1144" s="123">
        <f t="shared" si="212"/>
        <v>115374</v>
      </c>
      <c r="W1144" s="122" t="str">
        <f t="shared" si="213"/>
        <v>1</v>
      </c>
      <c r="X1144" s="123">
        <f>1430</f>
        <v>1430</v>
      </c>
      <c r="Z1144" s="123">
        <f t="shared" ref="Z1144:Z1203" si="215">X1144-Y1144</f>
        <v>1430</v>
      </c>
      <c r="AA1144" s="122" t="str">
        <f t="shared" ref="AA1144:AA1203" si="216">IF(Z1144+Y1144=X1144,"1","0")</f>
        <v>1</v>
      </c>
      <c r="AB1144" s="120">
        <f t="shared" si="214"/>
        <v>0</v>
      </c>
      <c r="AC1144" s="123">
        <v>0</v>
      </c>
      <c r="AD1144" s="123">
        <v>0</v>
      </c>
      <c r="AE1144" s="123">
        <v>25360</v>
      </c>
      <c r="AG1144" s="151">
        <f t="shared" si="211"/>
        <v>55003</v>
      </c>
      <c r="AH1144" s="123">
        <v>55003</v>
      </c>
      <c r="AJ1144" s="123">
        <v>22591</v>
      </c>
    </row>
    <row r="1145" spans="1:41" s="123" customFormat="1" ht="16.2" thickBot="1" x14ac:dyDescent="0.35">
      <c r="A1145" s="21"/>
      <c r="B1145" s="212" t="s">
        <v>89</v>
      </c>
      <c r="C1145" s="31" t="str">
        <f>VLOOKUP((CONCATENATE(B1145)),ID!$A$2:$D$305,3,0)</f>
        <v>GLC04</v>
      </c>
      <c r="D1145" s="21">
        <v>1</v>
      </c>
      <c r="E1145" s="21" t="s">
        <v>344</v>
      </c>
      <c r="F1145" s="21" t="s">
        <v>1117</v>
      </c>
      <c r="G1145" s="21" t="s">
        <v>3853</v>
      </c>
      <c r="H1145" s="94">
        <v>4930</v>
      </c>
      <c r="I1145" s="43">
        <v>5068</v>
      </c>
      <c r="J1145" s="43">
        <v>5063</v>
      </c>
      <c r="K1145" s="21">
        <v>1</v>
      </c>
      <c r="L1145" s="43">
        <v>5072</v>
      </c>
      <c r="M1145" s="43">
        <v>5086</v>
      </c>
      <c r="N1145" s="43">
        <v>5085</v>
      </c>
      <c r="O1145" s="21" t="s">
        <v>3953</v>
      </c>
      <c r="P1145" s="194" t="str">
        <f t="shared" si="208"/>
        <v>1</v>
      </c>
      <c r="Q1145" s="21">
        <v>1</v>
      </c>
      <c r="R1145" s="39" t="str">
        <f t="shared" si="210"/>
        <v>-</v>
      </c>
      <c r="S1145" s="120">
        <f t="shared" si="209"/>
        <v>1053738</v>
      </c>
      <c r="T1145" s="123">
        <v>1058833</v>
      </c>
      <c r="U1145" s="123">
        <f>939904+59824</f>
        <v>999728</v>
      </c>
      <c r="V1145" s="123">
        <f t="shared" si="212"/>
        <v>59105</v>
      </c>
      <c r="W1145" s="122" t="str">
        <f t="shared" si="213"/>
        <v>1</v>
      </c>
      <c r="X1145" s="123">
        <v>5095</v>
      </c>
      <c r="Z1145" s="123">
        <f t="shared" si="215"/>
        <v>5095</v>
      </c>
      <c r="AA1145" s="122" t="str">
        <f t="shared" si="216"/>
        <v>1</v>
      </c>
      <c r="AB1145" s="120">
        <f t="shared" si="214"/>
        <v>0</v>
      </c>
      <c r="AC1145" s="123">
        <v>0</v>
      </c>
      <c r="AD1145" s="123">
        <v>0</v>
      </c>
      <c r="AE1145" s="123">
        <v>2213</v>
      </c>
      <c r="AG1145" s="151">
        <f t="shared" si="211"/>
        <v>42859</v>
      </c>
      <c r="AH1145" s="123">
        <f>57817+AI1145-AK1145-7498</f>
        <v>46245</v>
      </c>
      <c r="AI1145" s="123">
        <v>3386</v>
      </c>
      <c r="AJ1145" s="123">
        <v>23541</v>
      </c>
      <c r="AK1145" s="123">
        <v>7460</v>
      </c>
    </row>
    <row r="1146" spans="1:41" s="123" customFormat="1" ht="16.2" thickBot="1" x14ac:dyDescent="0.35">
      <c r="A1146" s="21"/>
      <c r="B1146" s="212" t="s">
        <v>89</v>
      </c>
      <c r="C1146" s="31" t="str">
        <f>VLOOKUP((CONCATENATE(B1146)),ID!$A$2:$D$305,3,0)</f>
        <v>GLC04</v>
      </c>
      <c r="D1146" s="21">
        <v>1</v>
      </c>
      <c r="E1146" s="21" t="s">
        <v>344</v>
      </c>
      <c r="F1146" s="21" t="s">
        <v>1117</v>
      </c>
      <c r="G1146" s="21" t="s">
        <v>3853</v>
      </c>
      <c r="H1146" s="94">
        <v>5295</v>
      </c>
      <c r="I1146" s="43">
        <v>5448</v>
      </c>
      <c r="J1146" s="43">
        <v>5434</v>
      </c>
      <c r="K1146" s="21">
        <v>1</v>
      </c>
      <c r="L1146" s="43">
        <v>5449</v>
      </c>
      <c r="M1146" s="43">
        <v>5455</v>
      </c>
      <c r="N1146" s="43">
        <v>5456</v>
      </c>
      <c r="O1146" s="21" t="s">
        <v>3953</v>
      </c>
      <c r="P1146" s="194" t="str">
        <f t="shared" si="208"/>
        <v>1</v>
      </c>
      <c r="Q1146" s="21">
        <v>1</v>
      </c>
      <c r="R1146" s="39" t="str">
        <f t="shared" si="210"/>
        <v>-</v>
      </c>
      <c r="S1146" s="120">
        <f t="shared" si="209"/>
        <v>1066357</v>
      </c>
      <c r="T1146" s="123">
        <v>1071506</v>
      </c>
      <c r="U1146" s="123">
        <f>953695</f>
        <v>953695</v>
      </c>
      <c r="V1146" s="123">
        <f t="shared" si="212"/>
        <v>117811</v>
      </c>
      <c r="W1146" s="122" t="str">
        <f t="shared" si="213"/>
        <v>1</v>
      </c>
      <c r="X1146" s="123">
        <v>5149</v>
      </c>
      <c r="Z1146" s="123">
        <f t="shared" si="215"/>
        <v>5149</v>
      </c>
      <c r="AA1146" s="122" t="str">
        <f t="shared" si="216"/>
        <v>1</v>
      </c>
      <c r="AB1146" s="120">
        <f t="shared" si="214"/>
        <v>0</v>
      </c>
      <c r="AC1146" s="123">
        <v>0</v>
      </c>
      <c r="AD1146" s="123">
        <v>0</v>
      </c>
      <c r="AE1146" s="123">
        <v>60699</v>
      </c>
      <c r="AG1146" s="151">
        <f t="shared" si="211"/>
        <v>59702</v>
      </c>
      <c r="AH1146" s="123">
        <f>59702+AI1146</f>
        <v>63352</v>
      </c>
      <c r="AI1146" s="123">
        <v>3650</v>
      </c>
      <c r="AJ1146" s="123">
        <v>21658</v>
      </c>
    </row>
    <row r="1147" spans="1:41" s="123" customFormat="1" ht="16.2" thickBot="1" x14ac:dyDescent="0.35">
      <c r="A1147" s="21"/>
      <c r="B1147" s="212" t="s">
        <v>117</v>
      </c>
      <c r="C1147" s="31" t="str">
        <f>VLOOKUP((CONCATENATE(B1147)),ID!$A$2:$D$305,3,0)</f>
        <v>GLC05</v>
      </c>
      <c r="D1147" s="21">
        <v>1</v>
      </c>
      <c r="E1147" s="21" t="s">
        <v>344</v>
      </c>
      <c r="F1147" s="21" t="s">
        <v>1117</v>
      </c>
      <c r="G1147" s="21" t="s">
        <v>3853</v>
      </c>
      <c r="H1147" s="94">
        <v>3743</v>
      </c>
      <c r="I1147" s="43"/>
      <c r="J1147" s="43"/>
      <c r="K1147" s="21"/>
      <c r="L1147" s="43"/>
      <c r="M1147" s="43"/>
      <c r="N1147" s="180"/>
      <c r="O1147" s="49" t="s">
        <v>3954</v>
      </c>
      <c r="P1147" s="194" t="str">
        <f t="shared" si="208"/>
        <v>?</v>
      </c>
      <c r="Q1147" s="21">
        <v>1</v>
      </c>
      <c r="R1147" s="39" t="str">
        <f t="shared" si="210"/>
        <v>-</v>
      </c>
      <c r="S1147" s="179">
        <f t="shared" si="209"/>
        <v>0</v>
      </c>
      <c r="T1147" s="199"/>
      <c r="U1147" s="199"/>
      <c r="V1147" s="199">
        <f t="shared" si="212"/>
        <v>0</v>
      </c>
      <c r="W1147" s="220" t="str">
        <f t="shared" si="213"/>
        <v>1</v>
      </c>
      <c r="X1147" s="199"/>
      <c r="Y1147" s="199"/>
      <c r="Z1147" s="199">
        <f t="shared" si="215"/>
        <v>0</v>
      </c>
      <c r="AA1147" s="220" t="str">
        <f t="shared" si="216"/>
        <v>1</v>
      </c>
      <c r="AB1147" s="179">
        <f t="shared" si="214"/>
        <v>0</v>
      </c>
      <c r="AC1147" s="199"/>
      <c r="AD1147" s="199"/>
      <c r="AE1147" s="199"/>
      <c r="AF1147" s="199"/>
      <c r="AG1147" s="158">
        <f t="shared" si="211"/>
        <v>0</v>
      </c>
      <c r="AH1147" s="186"/>
      <c r="AI1147" s="186"/>
      <c r="AJ1147" s="186"/>
      <c r="AK1147" s="186"/>
      <c r="AL1147" s="186"/>
      <c r="AM1147" s="186"/>
      <c r="AN1147" s="186"/>
      <c r="AO1147" s="186"/>
    </row>
    <row r="1148" spans="1:41" s="123" customFormat="1" ht="16.2" thickBot="1" x14ac:dyDescent="0.35">
      <c r="A1148" s="21">
        <v>197.1</v>
      </c>
      <c r="B1148" s="212" t="s">
        <v>117</v>
      </c>
      <c r="C1148" s="31" t="str">
        <f>VLOOKUP((CONCATENATE(B1148)),ID!$A$2:$D$305,3,0)</f>
        <v>GLC05</v>
      </c>
      <c r="D1148" s="21">
        <v>1</v>
      </c>
      <c r="E1148" s="21" t="s">
        <v>344</v>
      </c>
      <c r="F1148" s="21" t="s">
        <v>1117</v>
      </c>
      <c r="G1148" s="21" t="s">
        <v>3853</v>
      </c>
      <c r="H1148" s="94">
        <v>4108</v>
      </c>
      <c r="I1148" s="43">
        <v>4196</v>
      </c>
      <c r="J1148" s="43">
        <v>4198</v>
      </c>
      <c r="K1148" s="21">
        <v>0</v>
      </c>
      <c r="L1148" s="21"/>
      <c r="M1148" s="21"/>
      <c r="N1148" s="21" t="s">
        <v>3784</v>
      </c>
      <c r="O1148" s="21" t="s">
        <v>3954</v>
      </c>
      <c r="P1148" s="194" t="str">
        <f t="shared" si="208"/>
        <v>1</v>
      </c>
      <c r="Q1148" s="21">
        <v>1</v>
      </c>
      <c r="R1148" s="39" t="str">
        <f t="shared" si="210"/>
        <v>-</v>
      </c>
      <c r="S1148" s="120">
        <f t="shared" si="209"/>
        <v>1772684</v>
      </c>
      <c r="T1148" s="123">
        <v>1775450</v>
      </c>
      <c r="U1148" s="123">
        <f>T1148-58411</f>
        <v>1717039</v>
      </c>
      <c r="V1148" s="123">
        <f t="shared" si="212"/>
        <v>58411</v>
      </c>
      <c r="W1148" s="122" t="str">
        <f t="shared" si="213"/>
        <v>1</v>
      </c>
      <c r="X1148" s="123">
        <v>2766</v>
      </c>
      <c r="Z1148" s="123">
        <f t="shared" si="215"/>
        <v>2766</v>
      </c>
      <c r="AA1148" s="122" t="str">
        <f t="shared" si="216"/>
        <v>1</v>
      </c>
      <c r="AB1148" s="120">
        <f t="shared" si="214"/>
        <v>0</v>
      </c>
      <c r="AC1148" s="123">
        <v>0</v>
      </c>
      <c r="AD1148" s="123">
        <v>0</v>
      </c>
      <c r="AE1148" s="134">
        <v>36</v>
      </c>
      <c r="AG1148" s="151">
        <f t="shared" si="211"/>
        <v>100280</v>
      </c>
      <c r="AH1148" s="134">
        <v>100280</v>
      </c>
      <c r="AI1148" s="134"/>
      <c r="AJ1148" s="134">
        <v>37581</v>
      </c>
      <c r="AK1148" s="134"/>
      <c r="AL1148" s="134"/>
      <c r="AM1148" s="134"/>
      <c r="AN1148" s="134"/>
      <c r="AO1148" s="134">
        <v>100218</v>
      </c>
    </row>
    <row r="1149" spans="1:41" s="123" customFormat="1" ht="16.2" thickBot="1" x14ac:dyDescent="0.35">
      <c r="A1149" s="21">
        <v>197.2</v>
      </c>
      <c r="B1149" s="212" t="s">
        <v>117</v>
      </c>
      <c r="C1149" s="31" t="str">
        <f>VLOOKUP((CONCATENATE(B1149)),ID!$A$2:$D$305,3,0)</f>
        <v>GLC05</v>
      </c>
      <c r="D1149" s="21">
        <v>1</v>
      </c>
      <c r="E1149" s="21" t="s">
        <v>344</v>
      </c>
      <c r="F1149" s="21" t="s">
        <v>1117</v>
      </c>
      <c r="G1149" s="21" t="s">
        <v>3853</v>
      </c>
      <c r="H1149" s="94">
        <v>4474</v>
      </c>
      <c r="I1149" s="43">
        <v>4560</v>
      </c>
      <c r="J1149" s="43">
        <v>4562</v>
      </c>
      <c r="K1149" s="21">
        <v>0</v>
      </c>
      <c r="L1149" s="21"/>
      <c r="M1149" s="21"/>
      <c r="N1149" s="43">
        <v>4581</v>
      </c>
      <c r="O1149" s="21" t="s">
        <v>3954</v>
      </c>
      <c r="P1149" s="194" t="str">
        <f t="shared" si="208"/>
        <v>1</v>
      </c>
      <c r="Q1149" s="21">
        <v>1</v>
      </c>
      <c r="R1149" s="39" t="str">
        <f t="shared" si="210"/>
        <v>-</v>
      </c>
      <c r="S1149" s="120">
        <f t="shared" si="209"/>
        <v>1769364</v>
      </c>
      <c r="T1149" s="123">
        <v>1842534</v>
      </c>
      <c r="U1149" s="123">
        <f>1102650+546341+69735</f>
        <v>1718726</v>
      </c>
      <c r="V1149" s="123">
        <f t="shared" si="212"/>
        <v>123808</v>
      </c>
      <c r="W1149" s="122" t="str">
        <f t="shared" si="213"/>
        <v>1</v>
      </c>
      <c r="X1149" s="134">
        <v>73170</v>
      </c>
      <c r="Y1149" s="132"/>
      <c r="Z1149" s="123">
        <f t="shared" si="215"/>
        <v>73170</v>
      </c>
      <c r="AA1149" s="122" t="str">
        <f t="shared" si="216"/>
        <v>1</v>
      </c>
      <c r="AB1149" s="120">
        <f t="shared" si="214"/>
        <v>0</v>
      </c>
      <c r="AC1149" s="134">
        <v>0</v>
      </c>
      <c r="AD1149" s="134">
        <v>0</v>
      </c>
      <c r="AE1149" s="123">
        <v>27026</v>
      </c>
      <c r="AG1149" s="151">
        <f t="shared" si="211"/>
        <v>101371</v>
      </c>
      <c r="AH1149" s="134">
        <v>101371</v>
      </c>
      <c r="AI1149" s="134"/>
      <c r="AJ1149" s="134">
        <v>50109</v>
      </c>
      <c r="AK1149" s="134"/>
      <c r="AL1149" s="134"/>
      <c r="AM1149" s="134"/>
      <c r="AN1149" s="134"/>
      <c r="AO1149" s="134">
        <v>100218</v>
      </c>
    </row>
    <row r="1150" spans="1:41" s="123" customFormat="1" ht="16.2" thickBot="1" x14ac:dyDescent="0.35">
      <c r="A1150" s="21"/>
      <c r="B1150" s="212" t="s">
        <v>117</v>
      </c>
      <c r="C1150" s="31" t="str">
        <f>VLOOKUP((CONCATENATE(B1150)),ID!$A$2:$D$305,3,0)</f>
        <v>GLC05</v>
      </c>
      <c r="D1150" s="21">
        <v>1</v>
      </c>
      <c r="E1150" s="21" t="s">
        <v>344</v>
      </c>
      <c r="F1150" s="21" t="s">
        <v>1117</v>
      </c>
      <c r="G1150" s="21" t="s">
        <v>3853</v>
      </c>
      <c r="H1150" s="94">
        <v>4839</v>
      </c>
      <c r="I1150" s="43">
        <v>4938</v>
      </c>
      <c r="J1150" s="43">
        <v>4926</v>
      </c>
      <c r="K1150" s="21">
        <v>0</v>
      </c>
      <c r="L1150" s="21"/>
      <c r="M1150" s="21"/>
      <c r="N1150" s="43">
        <v>4952</v>
      </c>
      <c r="O1150" s="21" t="s">
        <v>3954</v>
      </c>
      <c r="P1150" s="194" t="str">
        <f t="shared" si="208"/>
        <v>1</v>
      </c>
      <c r="Q1150" s="21">
        <v>1</v>
      </c>
      <c r="R1150" s="39" t="str">
        <f t="shared" si="210"/>
        <v>-</v>
      </c>
      <c r="S1150" s="120">
        <f t="shared" si="209"/>
        <v>1770657</v>
      </c>
      <c r="T1150" s="123">
        <v>1851768</v>
      </c>
      <c r="U1150" s="123">
        <f>1140687+74462+541329</f>
        <v>1756478</v>
      </c>
      <c r="V1150" s="123">
        <f t="shared" si="212"/>
        <v>95290</v>
      </c>
      <c r="W1150" s="122" t="str">
        <f t="shared" si="213"/>
        <v>1</v>
      </c>
      <c r="X1150" s="134">
        <v>81111</v>
      </c>
      <c r="Y1150" s="132"/>
      <c r="Z1150" s="123">
        <f t="shared" si="215"/>
        <v>81111</v>
      </c>
      <c r="AA1150" s="122" t="str">
        <f t="shared" si="216"/>
        <v>1</v>
      </c>
      <c r="AB1150" s="120">
        <f t="shared" si="214"/>
        <v>0</v>
      </c>
      <c r="AC1150" s="134">
        <v>0</v>
      </c>
      <c r="AD1150" s="134">
        <v>0</v>
      </c>
      <c r="AE1150" s="123">
        <v>5262</v>
      </c>
      <c r="AG1150" s="151">
        <f t="shared" si="211"/>
        <v>100519</v>
      </c>
      <c r="AH1150" s="134">
        <v>100598</v>
      </c>
      <c r="AI1150" s="134"/>
      <c r="AJ1150" s="134">
        <v>50109</v>
      </c>
      <c r="AK1150" s="134"/>
      <c r="AL1150" s="134">
        <v>79</v>
      </c>
      <c r="AM1150" s="134"/>
      <c r="AN1150" s="134"/>
      <c r="AO1150" s="134">
        <v>100218</v>
      </c>
    </row>
    <row r="1151" spans="1:41" s="123" customFormat="1" ht="16.2" thickBot="1" x14ac:dyDescent="0.35">
      <c r="A1151" s="21"/>
      <c r="B1151" s="212" t="s">
        <v>117</v>
      </c>
      <c r="C1151" s="31" t="str">
        <f>VLOOKUP((CONCATENATE(B1151)),ID!$A$2:$D$305,3,0)</f>
        <v>GLC05</v>
      </c>
      <c r="D1151" s="21">
        <v>1</v>
      </c>
      <c r="E1151" s="21" t="s">
        <v>344</v>
      </c>
      <c r="F1151" s="21" t="s">
        <v>1117</v>
      </c>
      <c r="G1151" s="21" t="s">
        <v>3853</v>
      </c>
      <c r="H1151" s="94">
        <v>5204</v>
      </c>
      <c r="I1151" s="43">
        <v>5302</v>
      </c>
      <c r="J1151" s="43">
        <v>5290</v>
      </c>
      <c r="K1151" s="21">
        <v>0</v>
      </c>
      <c r="L1151" s="21"/>
      <c r="M1151" s="21"/>
      <c r="N1151" s="43">
        <v>5316</v>
      </c>
      <c r="O1151" s="21" t="s">
        <v>3954</v>
      </c>
      <c r="P1151" s="194" t="str">
        <f t="shared" si="208"/>
        <v>1</v>
      </c>
      <c r="Q1151" s="21">
        <v>1</v>
      </c>
      <c r="R1151" s="39" t="str">
        <f t="shared" si="210"/>
        <v>-</v>
      </c>
      <c r="S1151" s="120">
        <f t="shared" si="209"/>
        <v>1785854</v>
      </c>
      <c r="T1151" s="123">
        <v>1916523</v>
      </c>
      <c r="U1151" s="123">
        <f>1210564+80829+525529</f>
        <v>1816922</v>
      </c>
      <c r="V1151" s="123">
        <f t="shared" si="212"/>
        <v>99601</v>
      </c>
      <c r="W1151" s="122" t="str">
        <f t="shared" si="213"/>
        <v>1</v>
      </c>
      <c r="X1151" s="134">
        <f>Y1151+87669</f>
        <v>130669</v>
      </c>
      <c r="Y1151" s="134">
        <f>AB1151</f>
        <v>43000</v>
      </c>
      <c r="Z1151" s="123">
        <f t="shared" si="215"/>
        <v>87669</v>
      </c>
      <c r="AA1151" s="122" t="str">
        <f t="shared" si="216"/>
        <v>1</v>
      </c>
      <c r="AB1151" s="120">
        <f t="shared" si="214"/>
        <v>43000</v>
      </c>
      <c r="AC1151" s="134">
        <v>43000</v>
      </c>
      <c r="AD1151" s="134">
        <v>0</v>
      </c>
      <c r="AE1151" s="123">
        <v>3339</v>
      </c>
      <c r="AG1151" s="151">
        <f t="shared" si="211"/>
        <v>97971</v>
      </c>
      <c r="AH1151" s="134">
        <v>98347</v>
      </c>
      <c r="AI1151" s="134"/>
      <c r="AJ1151" s="134">
        <v>50109</v>
      </c>
      <c r="AK1151" s="134"/>
      <c r="AL1151" s="134">
        <v>376</v>
      </c>
      <c r="AM1151" s="134"/>
      <c r="AN1151" s="134"/>
      <c r="AO1151" s="134">
        <v>100218</v>
      </c>
    </row>
    <row r="1152" spans="1:41" s="123" customFormat="1" ht="16.2" thickBot="1" x14ac:dyDescent="0.35">
      <c r="A1152" s="21"/>
      <c r="B1152" s="212" t="s">
        <v>125</v>
      </c>
      <c r="C1152" s="31" t="str">
        <f>VLOOKUP((CONCATENATE(B1152)),ID!$A$2:$D$305,3,0)</f>
        <v>GLC06</v>
      </c>
      <c r="D1152" s="21">
        <v>0</v>
      </c>
      <c r="E1152" s="21" t="s">
        <v>344</v>
      </c>
      <c r="F1152" s="21" t="s">
        <v>4062</v>
      </c>
      <c r="G1152" s="21" t="s">
        <v>3853</v>
      </c>
      <c r="H1152" s="94">
        <v>3653</v>
      </c>
      <c r="I1152" s="43">
        <v>3680</v>
      </c>
      <c r="J1152" s="43">
        <v>3675</v>
      </c>
      <c r="K1152" s="21">
        <v>1</v>
      </c>
      <c r="L1152" s="43">
        <v>3680</v>
      </c>
      <c r="M1152" s="43">
        <v>3690</v>
      </c>
      <c r="N1152" s="43">
        <v>3690</v>
      </c>
      <c r="O1152" s="21" t="s">
        <v>4124</v>
      </c>
      <c r="P1152" s="194" t="str">
        <f t="shared" si="208"/>
        <v>1</v>
      </c>
      <c r="Q1152" s="21">
        <v>1</v>
      </c>
      <c r="R1152" s="39" t="str">
        <f t="shared" si="210"/>
        <v>-</v>
      </c>
      <c r="S1152" s="120">
        <f t="shared" si="209"/>
        <v>1410665</v>
      </c>
      <c r="T1152" s="123">
        <v>2142494</v>
      </c>
      <c r="U1152" s="123">
        <f>211718</f>
        <v>211718</v>
      </c>
      <c r="V1152" s="123">
        <f t="shared" si="212"/>
        <v>1930776</v>
      </c>
      <c r="W1152" s="122" t="str">
        <f t="shared" si="213"/>
        <v>1</v>
      </c>
      <c r="X1152" s="134">
        <f>T1152-72326-126900-67902-11160-821295-311082</f>
        <v>731829</v>
      </c>
      <c r="Y1152" s="134">
        <f>97072+95450+15347+4541+23600+5000+1667</f>
        <v>242677</v>
      </c>
      <c r="Z1152" s="123">
        <f t="shared" si="215"/>
        <v>489152</v>
      </c>
      <c r="AA1152" s="122" t="str">
        <f t="shared" si="216"/>
        <v>1</v>
      </c>
      <c r="AB1152" s="120">
        <f t="shared" si="214"/>
        <v>0</v>
      </c>
      <c r="AC1152" s="134">
        <v>0</v>
      </c>
      <c r="AD1152" s="134">
        <v>0</v>
      </c>
      <c r="AE1152" s="123">
        <v>40608</v>
      </c>
      <c r="AG1152" s="151">
        <f t="shared" si="211"/>
        <v>541901</v>
      </c>
      <c r="AH1152" s="134">
        <v>614583</v>
      </c>
      <c r="AI1152" s="134"/>
      <c r="AJ1152" s="134">
        <v>121497</v>
      </c>
      <c r="AK1152" s="134"/>
      <c r="AL1152" s="134">
        <f>69409+3273</f>
        <v>72682</v>
      </c>
      <c r="AM1152" s="134">
        <f>AN1152-892075</f>
        <v>626639</v>
      </c>
      <c r="AN1152" s="123">
        <v>1518714</v>
      </c>
    </row>
    <row r="1153" spans="1:40" s="123" customFormat="1" ht="16.2" thickBot="1" x14ac:dyDescent="0.35">
      <c r="A1153" s="21"/>
      <c r="B1153" s="212" t="s">
        <v>125</v>
      </c>
      <c r="C1153" s="31" t="str">
        <f>VLOOKUP((CONCATENATE(B1153)),ID!$A$2:$D$305,3,0)</f>
        <v>GLC06</v>
      </c>
      <c r="D1153" s="21">
        <v>0</v>
      </c>
      <c r="E1153" s="21" t="s">
        <v>344</v>
      </c>
      <c r="F1153" s="21" t="s">
        <v>4062</v>
      </c>
      <c r="G1153" s="21" t="s">
        <v>3853</v>
      </c>
      <c r="H1153" s="94">
        <v>3834</v>
      </c>
      <c r="I1153" s="43">
        <v>3862</v>
      </c>
      <c r="J1153" s="43">
        <v>3856</v>
      </c>
      <c r="K1153" s="21">
        <v>1</v>
      </c>
      <c r="L1153" s="43">
        <v>3870</v>
      </c>
      <c r="M1153" s="43">
        <v>3870</v>
      </c>
      <c r="N1153" s="43">
        <v>3870</v>
      </c>
      <c r="O1153" s="21" t="s">
        <v>3959</v>
      </c>
      <c r="P1153" s="194" t="str">
        <f t="shared" si="208"/>
        <v>1</v>
      </c>
      <c r="Q1153" s="21">
        <v>1</v>
      </c>
      <c r="R1153" s="39" t="str">
        <f t="shared" si="210"/>
        <v>-</v>
      </c>
      <c r="S1153" s="120">
        <f t="shared" si="209"/>
        <v>1641502</v>
      </c>
      <c r="T1153" s="123">
        <v>2364302</v>
      </c>
      <c r="U1153" s="123">
        <f>209996</f>
        <v>209996</v>
      </c>
      <c r="V1153" s="123">
        <f t="shared" si="212"/>
        <v>2154306</v>
      </c>
      <c r="W1153" s="122" t="str">
        <f t="shared" si="213"/>
        <v>1</v>
      </c>
      <c r="X1153" s="134">
        <f>T1153-411640-929890-56966-169095-73911</f>
        <v>722800</v>
      </c>
      <c r="Y1153" s="134">
        <f>97897+103550+28782+5725+24150+5000+1687</f>
        <v>266791</v>
      </c>
      <c r="Z1153" s="123">
        <f t="shared" si="215"/>
        <v>456009</v>
      </c>
      <c r="AA1153" s="122" t="str">
        <f t="shared" si="216"/>
        <v>1</v>
      </c>
      <c r="AB1153" s="120">
        <f t="shared" si="214"/>
        <v>0</v>
      </c>
      <c r="AC1153" s="134">
        <v>0</v>
      </c>
      <c r="AD1153" s="134">
        <v>0</v>
      </c>
      <c r="AE1153" s="123">
        <v>106144</v>
      </c>
      <c r="AG1153" s="151">
        <f t="shared" si="211"/>
        <v>596899</v>
      </c>
      <c r="AH1153" s="132">
        <v>673219</v>
      </c>
      <c r="AI1153" s="132"/>
      <c r="AJ1153" s="132">
        <v>126747</v>
      </c>
      <c r="AK1153" s="132"/>
      <c r="AL1153" s="132">
        <f>74475+1845</f>
        <v>76320</v>
      </c>
      <c r="AM1153" s="132">
        <f>AN1153-962110</f>
        <v>661534</v>
      </c>
      <c r="AN1153" s="123">
        <v>1623644</v>
      </c>
    </row>
    <row r="1154" spans="1:40" s="123" customFormat="1" ht="16.2" thickBot="1" x14ac:dyDescent="0.35">
      <c r="A1154" s="21">
        <v>198.1</v>
      </c>
      <c r="B1154" s="212" t="s">
        <v>125</v>
      </c>
      <c r="C1154" s="31" t="str">
        <f>VLOOKUP((CONCATENATE(B1154)),ID!$A$2:$D$305,3,0)</f>
        <v>GLC06</v>
      </c>
      <c r="D1154" s="21">
        <v>0</v>
      </c>
      <c r="E1154" s="21" t="s">
        <v>344</v>
      </c>
      <c r="F1154" s="21" t="s">
        <v>4062</v>
      </c>
      <c r="G1154" s="21" t="s">
        <v>3853</v>
      </c>
      <c r="H1154" s="94">
        <v>4018</v>
      </c>
      <c r="I1154" s="43">
        <v>4048</v>
      </c>
      <c r="J1154" s="43">
        <v>4038</v>
      </c>
      <c r="K1154" s="21">
        <v>1</v>
      </c>
      <c r="L1154" s="43">
        <v>4059</v>
      </c>
      <c r="M1154" s="43">
        <v>4059</v>
      </c>
      <c r="N1154" s="43">
        <v>4059</v>
      </c>
      <c r="O1154" s="21" t="s">
        <v>3959</v>
      </c>
      <c r="P1154" s="194" t="str">
        <f t="shared" ref="P1154:P1218" si="217">IF(AJ1154=0,"?","1")</f>
        <v>1</v>
      </c>
      <c r="Q1154" s="21">
        <v>1</v>
      </c>
      <c r="R1154" s="39" t="str">
        <f t="shared" si="210"/>
        <v>-</v>
      </c>
      <c r="S1154" s="120">
        <f t="shared" si="209"/>
        <v>1723465</v>
      </c>
      <c r="T1154" s="123">
        <v>2510227</v>
      </c>
      <c r="U1154" s="123">
        <v>229165</v>
      </c>
      <c r="V1154" s="123">
        <f t="shared" si="212"/>
        <v>2281062</v>
      </c>
      <c r="W1154" s="122" t="str">
        <f t="shared" si="213"/>
        <v>1</v>
      </c>
      <c r="X1154" s="123">
        <f>269433+36871+8790+126747+74475+Y1154</f>
        <v>786762</v>
      </c>
      <c r="Y1154" s="123">
        <f>100283+112014+25732+25750+5000+1667</f>
        <v>270446</v>
      </c>
      <c r="Z1154" s="123">
        <f t="shared" si="215"/>
        <v>516316</v>
      </c>
      <c r="AA1154" s="122" t="str">
        <f t="shared" si="216"/>
        <v>1</v>
      </c>
      <c r="AB1154" s="120">
        <f t="shared" si="214"/>
        <v>0</v>
      </c>
      <c r="AC1154" s="123">
        <v>0</v>
      </c>
      <c r="AD1154" s="123">
        <v>0</v>
      </c>
      <c r="AE1154" s="123">
        <v>91925</v>
      </c>
      <c r="AG1154" s="151">
        <f t="shared" si="211"/>
        <v>617586</v>
      </c>
      <c r="AH1154" s="123">
        <f>691835+226</f>
        <v>692061</v>
      </c>
      <c r="AJ1154" s="123">
        <v>126747</v>
      </c>
      <c r="AL1154" s="123">
        <v>74475</v>
      </c>
      <c r="AM1154" s="123">
        <f>AN1154-978819</f>
        <v>669388</v>
      </c>
      <c r="AN1154" s="123">
        <v>1648207</v>
      </c>
    </row>
    <row r="1155" spans="1:40" s="123" customFormat="1" ht="16.2" thickBot="1" x14ac:dyDescent="0.35">
      <c r="A1155" s="21">
        <v>198.2</v>
      </c>
      <c r="B1155" s="212" t="s">
        <v>125</v>
      </c>
      <c r="C1155" s="31" t="str">
        <f>VLOOKUP((CONCATENATE(B1155)),ID!$A$2:$D$305,3,0)</f>
        <v>GLC06</v>
      </c>
      <c r="D1155" s="21">
        <v>0</v>
      </c>
      <c r="E1155" s="21" t="s">
        <v>344</v>
      </c>
      <c r="F1155" s="21" t="s">
        <v>4062</v>
      </c>
      <c r="G1155" s="21" t="s">
        <v>3853</v>
      </c>
      <c r="H1155" s="94">
        <v>4199</v>
      </c>
      <c r="I1155" s="43">
        <v>4226</v>
      </c>
      <c r="J1155" s="43">
        <v>4219</v>
      </c>
      <c r="K1155" s="21">
        <v>1</v>
      </c>
      <c r="L1155" s="43">
        <v>4234</v>
      </c>
      <c r="M1155" s="43">
        <v>4234</v>
      </c>
      <c r="N1155" s="43">
        <v>4234</v>
      </c>
      <c r="O1155" s="21" t="s">
        <v>3959</v>
      </c>
      <c r="P1155" s="194" t="str">
        <f t="shared" si="217"/>
        <v>1</v>
      </c>
      <c r="Q1155" s="21">
        <v>1</v>
      </c>
      <c r="R1155" s="39" t="str">
        <f t="shared" si="210"/>
        <v>-</v>
      </c>
      <c r="S1155" s="120">
        <f t="shared" si="209"/>
        <v>1900945</v>
      </c>
      <c r="T1155" s="123">
        <v>2658519</v>
      </c>
      <c r="U1155" s="123">
        <v>602699</v>
      </c>
      <c r="V1155" s="123">
        <f t="shared" si="212"/>
        <v>2055820</v>
      </c>
      <c r="W1155" s="122" t="str">
        <f t="shared" si="213"/>
        <v>1</v>
      </c>
      <c r="X1155" s="123">
        <f>74475+126747+3526+35514+230469+Y1155</f>
        <v>757574</v>
      </c>
      <c r="Y1155" s="123">
        <f>102231+120428+30963+26554+5000+1667</f>
        <v>286843</v>
      </c>
      <c r="Z1155" s="123">
        <f t="shared" si="215"/>
        <v>470731</v>
      </c>
      <c r="AA1155" s="122" t="str">
        <f t="shared" si="216"/>
        <v>1</v>
      </c>
      <c r="AB1155" s="120">
        <f t="shared" si="214"/>
        <v>0</v>
      </c>
      <c r="AC1155" s="123">
        <v>0</v>
      </c>
      <c r="AD1155" s="123">
        <v>0</v>
      </c>
      <c r="AE1155" s="123">
        <v>83430</v>
      </c>
      <c r="AG1155" s="151">
        <f t="shared" si="211"/>
        <v>617877</v>
      </c>
      <c r="AH1155" s="123">
        <f>690102+4699</f>
        <v>694801</v>
      </c>
      <c r="AJ1155" s="123">
        <v>126747</v>
      </c>
      <c r="AL1155" s="123">
        <f>74475+2449</f>
        <v>76924</v>
      </c>
      <c r="AM1155" s="123">
        <f>AN1155-1058592</f>
        <v>582514</v>
      </c>
      <c r="AN1155" s="123">
        <v>1641106</v>
      </c>
    </row>
    <row r="1156" spans="1:40" s="123" customFormat="1" ht="16.2" thickBot="1" x14ac:dyDescent="0.35">
      <c r="A1156" s="21">
        <v>198.3</v>
      </c>
      <c r="B1156" s="212" t="s">
        <v>125</v>
      </c>
      <c r="C1156" s="31" t="str">
        <f>VLOOKUP((CONCATENATE(B1156)),ID!$A$2:$D$305,3,0)</f>
        <v>GLC06</v>
      </c>
      <c r="D1156" s="21">
        <v>0</v>
      </c>
      <c r="E1156" s="21" t="s">
        <v>344</v>
      </c>
      <c r="F1156" s="21" t="s">
        <v>4062</v>
      </c>
      <c r="G1156" s="21" t="s">
        <v>3853</v>
      </c>
      <c r="H1156" s="94">
        <v>4383</v>
      </c>
      <c r="I1156" s="43">
        <v>4415</v>
      </c>
      <c r="J1156" s="43">
        <v>4405</v>
      </c>
      <c r="K1156" s="21">
        <v>1</v>
      </c>
      <c r="L1156" s="43">
        <v>4423</v>
      </c>
      <c r="M1156" s="43">
        <v>4423</v>
      </c>
      <c r="N1156" s="43">
        <v>4423</v>
      </c>
      <c r="O1156" s="21" t="s">
        <v>3959</v>
      </c>
      <c r="P1156" s="194" t="str">
        <f t="shared" si="217"/>
        <v>1</v>
      </c>
      <c r="Q1156" s="21">
        <v>1</v>
      </c>
      <c r="R1156" s="39" t="str">
        <f t="shared" si="210"/>
        <v>-</v>
      </c>
      <c r="S1156" s="120">
        <f t="shared" si="209"/>
        <v>1947734</v>
      </c>
      <c r="T1156" s="123">
        <v>2767806</v>
      </c>
      <c r="U1156" s="123">
        <v>647519</v>
      </c>
      <c r="V1156" s="123">
        <f t="shared" si="212"/>
        <v>2120287</v>
      </c>
      <c r="W1156" s="122" t="str">
        <f t="shared" si="213"/>
        <v>1</v>
      </c>
      <c r="X1156" s="123">
        <f>276961+35070+3272+126747+74475+Y1156</f>
        <v>820072</v>
      </c>
      <c r="Y1156" s="123">
        <f>5000+27802+33997+105518+129563+1667</f>
        <v>303547</v>
      </c>
      <c r="Z1156" s="123">
        <f t="shared" si="215"/>
        <v>516525</v>
      </c>
      <c r="AA1156" s="122" t="str">
        <f t="shared" si="216"/>
        <v>1</v>
      </c>
      <c r="AB1156" s="120">
        <f t="shared" si="214"/>
        <v>0</v>
      </c>
      <c r="AC1156" s="123">
        <v>0</v>
      </c>
      <c r="AD1156" s="123">
        <v>0</v>
      </c>
      <c r="AE1156" s="123">
        <v>67451</v>
      </c>
      <c r="AG1156" s="151">
        <f t="shared" si="211"/>
        <v>580530</v>
      </c>
      <c r="AH1156" s="123">
        <f>652348+2657</f>
        <v>655005</v>
      </c>
      <c r="AJ1156" s="123">
        <v>126747</v>
      </c>
      <c r="AL1156" s="123">
        <f>74475</f>
        <v>74475</v>
      </c>
      <c r="AM1156" s="123">
        <f>AN1156-972819</f>
        <v>609664</v>
      </c>
      <c r="AN1156" s="123">
        <v>1582483</v>
      </c>
    </row>
    <row r="1157" spans="1:40" s="123" customFormat="1" ht="16.2" thickBot="1" x14ac:dyDescent="0.35">
      <c r="A1157" s="21">
        <v>198.4</v>
      </c>
      <c r="B1157" s="212" t="s">
        <v>125</v>
      </c>
      <c r="C1157" s="31" t="str">
        <f>VLOOKUP((CONCATENATE(B1157)),ID!$A$2:$D$305,3,0)</f>
        <v>GLC06</v>
      </c>
      <c r="D1157" s="21">
        <v>0</v>
      </c>
      <c r="E1157" s="21" t="s">
        <v>344</v>
      </c>
      <c r="F1157" s="21" t="s">
        <v>4062</v>
      </c>
      <c r="G1157" s="21" t="s">
        <v>3853</v>
      </c>
      <c r="H1157" s="94">
        <v>4565</v>
      </c>
      <c r="I1157" s="43">
        <v>4590</v>
      </c>
      <c r="J1157" s="43">
        <v>4584</v>
      </c>
      <c r="K1157" s="21">
        <v>1</v>
      </c>
      <c r="L1157" s="43">
        <v>4598</v>
      </c>
      <c r="M1157" s="43">
        <v>4598</v>
      </c>
      <c r="N1157" s="43">
        <v>4598</v>
      </c>
      <c r="O1157" s="21" t="s">
        <v>3959</v>
      </c>
      <c r="P1157" s="194" t="str">
        <f t="shared" si="217"/>
        <v>1</v>
      </c>
      <c r="Q1157" s="21">
        <v>1</v>
      </c>
      <c r="R1157" s="39" t="str">
        <f t="shared" si="210"/>
        <v>-</v>
      </c>
      <c r="S1157" s="120">
        <f t="shared" ref="S1157:S1217" si="218">T1157-X1157</f>
        <v>1992449</v>
      </c>
      <c r="T1157" s="123">
        <v>2751984</v>
      </c>
      <c r="U1157" s="123">
        <v>670594</v>
      </c>
      <c r="V1157" s="123">
        <f t="shared" si="212"/>
        <v>2081390</v>
      </c>
      <c r="W1157" s="122" t="str">
        <f t="shared" si="213"/>
        <v>1</v>
      </c>
      <c r="X1157" s="123">
        <f>189812+34258+3291+126744+76622+Y1157</f>
        <v>759535</v>
      </c>
      <c r="Y1157" s="123">
        <f>138862+106722+5000+28709+47848+1667</f>
        <v>328808</v>
      </c>
      <c r="Z1157" s="123">
        <f t="shared" si="215"/>
        <v>430727</v>
      </c>
      <c r="AA1157" s="122" t="str">
        <f t="shared" si="216"/>
        <v>1</v>
      </c>
      <c r="AB1157" s="120">
        <f t="shared" si="214"/>
        <v>0</v>
      </c>
      <c r="AC1157" s="123">
        <v>0</v>
      </c>
      <c r="AD1157" s="123">
        <v>0</v>
      </c>
      <c r="AE1157" s="123">
        <v>74746</v>
      </c>
      <c r="AG1157" s="151">
        <f t="shared" si="211"/>
        <v>601353</v>
      </c>
      <c r="AH1157" s="123">
        <f>676288+1687</f>
        <v>677975</v>
      </c>
      <c r="AJ1157" s="123">
        <v>126744</v>
      </c>
      <c r="AL1157" s="123">
        <v>76622</v>
      </c>
      <c r="AM1157" s="123">
        <f>AN1157-1008248</f>
        <v>630847</v>
      </c>
      <c r="AN1157" s="123">
        <v>1639095</v>
      </c>
    </row>
    <row r="1158" spans="1:40" s="123" customFormat="1" ht="16.2" thickBot="1" x14ac:dyDescent="0.35">
      <c r="A1158" s="21"/>
      <c r="B1158" s="212" t="s">
        <v>125</v>
      </c>
      <c r="C1158" s="31" t="str">
        <f>VLOOKUP((CONCATENATE(B1158)),ID!$A$2:$D$305,3,0)</f>
        <v>GLC06</v>
      </c>
      <c r="D1158" s="21">
        <v>0</v>
      </c>
      <c r="E1158" s="21" t="s">
        <v>344</v>
      </c>
      <c r="F1158" s="21" t="s">
        <v>4062</v>
      </c>
      <c r="G1158" s="21" t="s">
        <v>3853</v>
      </c>
      <c r="H1158" s="94">
        <v>4749</v>
      </c>
      <c r="I1158" s="43">
        <v>4779</v>
      </c>
      <c r="J1158" s="43">
        <v>4770</v>
      </c>
      <c r="K1158" s="21">
        <v>1</v>
      </c>
      <c r="L1158" s="43">
        <v>4787</v>
      </c>
      <c r="M1158" s="43">
        <v>4787</v>
      </c>
      <c r="N1158" s="43">
        <v>4787</v>
      </c>
      <c r="O1158" s="21" t="s">
        <v>4123</v>
      </c>
      <c r="P1158" s="194" t="str">
        <f t="shared" si="217"/>
        <v>1</v>
      </c>
      <c r="Q1158" s="21">
        <v>1</v>
      </c>
      <c r="R1158" s="39" t="str">
        <f t="shared" si="210"/>
        <v>-</v>
      </c>
      <c r="S1158" s="120">
        <f t="shared" si="218"/>
        <v>1925913</v>
      </c>
      <c r="T1158" s="123">
        <v>2837821</v>
      </c>
      <c r="U1158" s="123">
        <v>670594</v>
      </c>
      <c r="V1158" s="123">
        <f t="shared" si="212"/>
        <v>2167227</v>
      </c>
      <c r="W1158" s="122" t="str">
        <f t="shared" si="213"/>
        <v>1</v>
      </c>
      <c r="X1158" s="123">
        <f>T1158-367780-1126830-15000-69041-265063-82199</f>
        <v>911908</v>
      </c>
      <c r="Y1158" s="123">
        <f>107272+148340+64624+27717+5000+1667</f>
        <v>354620</v>
      </c>
      <c r="Z1158" s="123">
        <f t="shared" si="215"/>
        <v>557288</v>
      </c>
      <c r="AA1158" s="122" t="str">
        <f t="shared" si="216"/>
        <v>1</v>
      </c>
      <c r="AB1158" s="120">
        <f t="shared" si="214"/>
        <v>0</v>
      </c>
      <c r="AC1158" s="123">
        <v>0</v>
      </c>
      <c r="AD1158" s="123">
        <v>0</v>
      </c>
      <c r="AE1158" s="123">
        <v>145047</v>
      </c>
      <c r="AG1158" s="151">
        <f t="shared" si="211"/>
        <v>505176</v>
      </c>
      <c r="AH1158" s="123">
        <f>580477+1321</f>
        <v>581798</v>
      </c>
      <c r="AJ1158" s="123">
        <v>126744</v>
      </c>
      <c r="AL1158" s="123">
        <f>76622</f>
        <v>76622</v>
      </c>
      <c r="AM1158" s="123">
        <f>AN1158-1218449</f>
        <v>453382</v>
      </c>
      <c r="AN1158" s="123">
        <v>1671831</v>
      </c>
    </row>
    <row r="1159" spans="1:40" s="123" customFormat="1" ht="16.2" thickBot="1" x14ac:dyDescent="0.35">
      <c r="A1159" s="21"/>
      <c r="B1159" s="212" t="s">
        <v>125</v>
      </c>
      <c r="C1159" s="31" t="str">
        <f>VLOOKUP((CONCATENATE(B1159)),ID!$A$2:$D$305,3,0)</f>
        <v>GLC06</v>
      </c>
      <c r="D1159" s="21">
        <v>0</v>
      </c>
      <c r="E1159" s="21" t="s">
        <v>344</v>
      </c>
      <c r="F1159" s="21" t="s">
        <v>4062</v>
      </c>
      <c r="G1159" s="21" t="s">
        <v>3853</v>
      </c>
      <c r="H1159" s="94">
        <v>4930</v>
      </c>
      <c r="I1159" s="43">
        <v>4954</v>
      </c>
      <c r="J1159" s="43">
        <v>4951</v>
      </c>
      <c r="K1159" s="21">
        <v>1</v>
      </c>
      <c r="L1159" s="43">
        <v>4962</v>
      </c>
      <c r="M1159" s="43">
        <v>4962</v>
      </c>
      <c r="N1159" s="43">
        <v>4962</v>
      </c>
      <c r="O1159" s="21" t="s">
        <v>4123</v>
      </c>
      <c r="P1159" s="194" t="str">
        <f t="shared" si="217"/>
        <v>1</v>
      </c>
      <c r="Q1159" s="21">
        <v>1</v>
      </c>
      <c r="R1159" s="39" t="str">
        <f t="shared" si="210"/>
        <v>-</v>
      </c>
      <c r="S1159" s="120">
        <f t="shared" si="218"/>
        <v>1947132</v>
      </c>
      <c r="T1159" s="123">
        <v>2783205</v>
      </c>
      <c r="U1159" s="123">
        <v>657732</v>
      </c>
      <c r="V1159" s="123">
        <f t="shared" si="212"/>
        <v>2125473</v>
      </c>
      <c r="W1159" s="122" t="str">
        <f t="shared" si="213"/>
        <v>1</v>
      </c>
      <c r="X1159" s="123">
        <f>T1159-379506-1124474-70154-289066-83932</f>
        <v>836073</v>
      </c>
      <c r="Y1159" s="123">
        <f>157614+107550+62409+26991+5000+1667</f>
        <v>361231</v>
      </c>
      <c r="Z1159" s="123">
        <f t="shared" si="215"/>
        <v>474842</v>
      </c>
      <c r="AA1159" s="122" t="str">
        <f t="shared" si="216"/>
        <v>1</v>
      </c>
      <c r="AB1159" s="120">
        <f t="shared" si="214"/>
        <v>0</v>
      </c>
      <c r="AC1159" s="123">
        <v>0</v>
      </c>
      <c r="AD1159" s="123">
        <v>0</v>
      </c>
      <c r="AE1159" s="123">
        <v>95406</v>
      </c>
      <c r="AG1159" s="151">
        <f t="shared" si="211"/>
        <v>571694</v>
      </c>
      <c r="AH1159" s="123">
        <f>648186+130</f>
        <v>648316</v>
      </c>
      <c r="AJ1159" s="123">
        <v>126744</v>
      </c>
      <c r="AL1159" s="123">
        <v>76622</v>
      </c>
      <c r="AM1159" s="123">
        <f>AN1159-1261512</f>
        <v>436740</v>
      </c>
      <c r="AN1159" s="123">
        <v>1698252</v>
      </c>
    </row>
    <row r="1160" spans="1:40" s="123" customFormat="1" ht="16.2" thickBot="1" x14ac:dyDescent="0.35">
      <c r="A1160" s="21"/>
      <c r="B1160" s="212" t="s">
        <v>125</v>
      </c>
      <c r="C1160" s="31" t="str">
        <f>VLOOKUP((CONCATENATE(B1160)),ID!$A$2:$D$305,3,0)</f>
        <v>GLC06</v>
      </c>
      <c r="D1160" s="21">
        <v>0</v>
      </c>
      <c r="E1160" s="21" t="s">
        <v>344</v>
      </c>
      <c r="F1160" s="21" t="s">
        <v>4062</v>
      </c>
      <c r="G1160" s="21" t="s">
        <v>3853</v>
      </c>
      <c r="H1160" s="94">
        <v>5114</v>
      </c>
      <c r="I1160" s="43">
        <v>5140</v>
      </c>
      <c r="J1160" s="43">
        <v>5134</v>
      </c>
      <c r="K1160" s="21">
        <v>1</v>
      </c>
      <c r="L1160" s="43">
        <v>5151</v>
      </c>
      <c r="M1160" s="43">
        <v>5151</v>
      </c>
      <c r="N1160" s="43">
        <v>5151</v>
      </c>
      <c r="O1160" s="21" t="s">
        <v>4123</v>
      </c>
      <c r="P1160" s="194" t="str">
        <f t="shared" si="217"/>
        <v>1</v>
      </c>
      <c r="Q1160" s="21">
        <v>1</v>
      </c>
      <c r="R1160" s="39" t="str">
        <f t="shared" si="210"/>
        <v>-</v>
      </c>
      <c r="S1160" s="120">
        <f t="shared" si="218"/>
        <v>1852052</v>
      </c>
      <c r="T1160" s="123">
        <v>2763222</v>
      </c>
      <c r="U1160" s="123">
        <v>657732</v>
      </c>
      <c r="V1160" s="123">
        <f t="shared" si="212"/>
        <v>2105490</v>
      </c>
      <c r="W1160" s="122" t="str">
        <f t="shared" si="213"/>
        <v>1</v>
      </c>
      <c r="X1160" s="123">
        <f>T1160-358660-1027794-15000-71285-293622-85691</f>
        <v>911170</v>
      </c>
      <c r="Y1160" s="123">
        <f>110451+167227+70099+27421+5000+1667</f>
        <v>381865</v>
      </c>
      <c r="Z1160" s="123">
        <f t="shared" si="215"/>
        <v>529305</v>
      </c>
      <c r="AA1160" s="122" t="str">
        <f t="shared" si="216"/>
        <v>1</v>
      </c>
      <c r="AB1160" s="120">
        <f t="shared" si="214"/>
        <v>0</v>
      </c>
      <c r="AC1160" s="123">
        <v>0</v>
      </c>
      <c r="AD1160" s="123">
        <v>0</v>
      </c>
      <c r="AE1160" s="123">
        <v>106637</v>
      </c>
      <c r="AG1160" s="151">
        <f t="shared" si="211"/>
        <v>443989</v>
      </c>
      <c r="AH1160" s="123">
        <v>522710</v>
      </c>
      <c r="AJ1160" s="123">
        <v>126744</v>
      </c>
      <c r="AL1160" s="123">
        <f>2099+76622</f>
        <v>78721</v>
      </c>
      <c r="AM1160" s="123">
        <f>AN1160-1269546</f>
        <v>366823</v>
      </c>
      <c r="AN1160" s="123">
        <v>1636369</v>
      </c>
    </row>
    <row r="1161" spans="1:40" s="123" customFormat="1" ht="16.2" thickBot="1" x14ac:dyDescent="0.35">
      <c r="A1161" s="21"/>
      <c r="B1161" s="212" t="s">
        <v>125</v>
      </c>
      <c r="C1161" s="31" t="str">
        <f>VLOOKUP((CONCATENATE(B1161)),ID!$A$2:$D$305,3,0)</f>
        <v>GLC06</v>
      </c>
      <c r="D1161" s="21">
        <v>0</v>
      </c>
      <c r="E1161" s="21" t="s">
        <v>344</v>
      </c>
      <c r="F1161" s="21" t="s">
        <v>4062</v>
      </c>
      <c r="G1161" s="21" t="s">
        <v>3853</v>
      </c>
      <c r="H1161" s="94">
        <v>5295</v>
      </c>
      <c r="I1161" s="43">
        <v>5325</v>
      </c>
      <c r="J1161" s="43">
        <v>5317</v>
      </c>
      <c r="K1161" s="21">
        <v>1</v>
      </c>
      <c r="L1161" s="43">
        <v>5302</v>
      </c>
      <c r="M1161" s="43">
        <v>5302</v>
      </c>
      <c r="N1161" s="43">
        <v>5302</v>
      </c>
      <c r="O1161" s="21" t="s">
        <v>4123</v>
      </c>
      <c r="P1161" s="194" t="str">
        <f t="shared" si="217"/>
        <v>1</v>
      </c>
      <c r="Q1161" s="21">
        <v>1</v>
      </c>
      <c r="R1161" s="39" t="str">
        <f t="shared" si="210"/>
        <v>-</v>
      </c>
      <c r="S1161" s="120">
        <f t="shared" si="218"/>
        <v>1795252</v>
      </c>
      <c r="T1161" s="123">
        <v>2661016</v>
      </c>
      <c r="U1161" s="123">
        <v>662334</v>
      </c>
      <c r="V1161" s="123">
        <f t="shared" si="212"/>
        <v>1998682</v>
      </c>
      <c r="W1161" s="122" t="str">
        <f t="shared" si="213"/>
        <v>1</v>
      </c>
      <c r="X1161" s="123">
        <f>T1161-382815-948530-5753-72432-298246-87476</f>
        <v>865764</v>
      </c>
      <c r="Y1161" s="123">
        <f>177103+111579+92475+28488+1667</f>
        <v>411312</v>
      </c>
      <c r="Z1161" s="123">
        <f t="shared" si="215"/>
        <v>454452</v>
      </c>
      <c r="AA1161" s="122" t="str">
        <f t="shared" si="216"/>
        <v>1</v>
      </c>
      <c r="AB1161" s="120">
        <f t="shared" si="214"/>
        <v>0</v>
      </c>
      <c r="AC1161" s="123">
        <v>0</v>
      </c>
      <c r="AD1161" s="123">
        <v>0</v>
      </c>
      <c r="AE1161" s="123">
        <v>62520</v>
      </c>
      <c r="AG1161" s="151">
        <f t="shared" si="211"/>
        <v>461223</v>
      </c>
      <c r="AH1161" s="123">
        <f>538875+5000</f>
        <v>543875</v>
      </c>
      <c r="AJ1161" s="123">
        <v>126744</v>
      </c>
      <c r="AL1161" s="123">
        <f>76622+6030</f>
        <v>82652</v>
      </c>
      <c r="AM1161" s="123">
        <f>AN1161-1293896</f>
        <v>430056</v>
      </c>
      <c r="AN1161" s="123">
        <v>1723952</v>
      </c>
    </row>
    <row r="1162" spans="1:40" s="123" customFormat="1" ht="16.2" thickBot="1" x14ac:dyDescent="0.35">
      <c r="A1162" s="21"/>
      <c r="B1162" s="212" t="s">
        <v>153</v>
      </c>
      <c r="C1162" s="31" t="str">
        <f>VLOOKUP((CONCATENATE(B1162)),ID!$A$2:$D$305,3,0)</f>
        <v>GLC07</v>
      </c>
      <c r="D1162" s="21">
        <v>0</v>
      </c>
      <c r="E1162" s="21" t="s">
        <v>344</v>
      </c>
      <c r="F1162" s="21" t="s">
        <v>1117</v>
      </c>
      <c r="G1162" s="21" t="s">
        <v>3853</v>
      </c>
      <c r="H1162" s="94">
        <v>3653</v>
      </c>
      <c r="I1162" s="43">
        <v>3755</v>
      </c>
      <c r="J1162" s="43">
        <v>3755</v>
      </c>
      <c r="K1162" s="21">
        <v>1</v>
      </c>
      <c r="L1162" s="43">
        <v>3762</v>
      </c>
      <c r="M1162" s="43">
        <v>3776</v>
      </c>
      <c r="N1162" s="43">
        <v>3776</v>
      </c>
      <c r="O1162" s="21" t="s">
        <v>3955</v>
      </c>
      <c r="P1162" s="194" t="str">
        <f t="shared" si="217"/>
        <v>1</v>
      </c>
      <c r="Q1162" s="21">
        <v>1</v>
      </c>
      <c r="R1162" s="39" t="str">
        <f t="shared" si="210"/>
        <v>-</v>
      </c>
      <c r="S1162" s="120">
        <f t="shared" si="218"/>
        <v>6148244</v>
      </c>
      <c r="T1162" s="123">
        <v>7879258</v>
      </c>
      <c r="U1162" s="123">
        <f>3828986+236277+416740+2079767</f>
        <v>6561770</v>
      </c>
      <c r="V1162" s="123">
        <f t="shared" si="212"/>
        <v>1317488</v>
      </c>
      <c r="W1162" s="122" t="str">
        <f t="shared" si="213"/>
        <v>1</v>
      </c>
      <c r="X1162" s="123">
        <f>Y1162+13020+2185+480809</f>
        <v>1731014</v>
      </c>
      <c r="Y1162" s="123">
        <f t="shared" ref="Y1162:Y1170" si="219">AB1162</f>
        <v>1235000</v>
      </c>
      <c r="Z1162" s="123">
        <f t="shared" si="215"/>
        <v>496014</v>
      </c>
      <c r="AA1162" s="122" t="str">
        <f t="shared" si="216"/>
        <v>1</v>
      </c>
      <c r="AB1162" s="120">
        <f t="shared" si="214"/>
        <v>1235000</v>
      </c>
      <c r="AC1162" s="123">
        <v>0</v>
      </c>
      <c r="AD1162" s="123">
        <v>1235000</v>
      </c>
      <c r="AE1162" s="123">
        <f>104595+11393</f>
        <v>115988</v>
      </c>
      <c r="AG1162" s="151">
        <f t="shared" si="211"/>
        <v>213854</v>
      </c>
      <c r="AH1162" s="123">
        <f>247298-33444</f>
        <v>213854</v>
      </c>
      <c r="AJ1162" s="123">
        <v>197600</v>
      </c>
    </row>
    <row r="1163" spans="1:40" s="123" customFormat="1" ht="16.2" thickBot="1" x14ac:dyDescent="0.35">
      <c r="A1163" s="21"/>
      <c r="B1163" s="212" t="s">
        <v>153</v>
      </c>
      <c r="C1163" s="31" t="str">
        <f>VLOOKUP((CONCATENATE(B1163)),ID!$A$2:$D$305,3,0)</f>
        <v>GLC07</v>
      </c>
      <c r="D1163" s="21">
        <v>0</v>
      </c>
      <c r="E1163" s="21" t="s">
        <v>344</v>
      </c>
      <c r="F1163" s="21" t="s">
        <v>1117</v>
      </c>
      <c r="G1163" s="21" t="s">
        <v>3853</v>
      </c>
      <c r="H1163" s="94">
        <v>3834</v>
      </c>
      <c r="I1163" s="43">
        <v>3937</v>
      </c>
      <c r="J1163" s="43">
        <v>3937</v>
      </c>
      <c r="K1163" s="21">
        <v>1</v>
      </c>
      <c r="L1163" s="43">
        <v>3944</v>
      </c>
      <c r="M1163" s="43">
        <v>3958</v>
      </c>
      <c r="N1163" s="43">
        <v>3958</v>
      </c>
      <c r="O1163" s="21" t="s">
        <v>3955</v>
      </c>
      <c r="P1163" s="194" t="str">
        <f t="shared" si="217"/>
        <v>1</v>
      </c>
      <c r="Q1163" s="21">
        <v>1</v>
      </c>
      <c r="R1163" s="39" t="str">
        <f t="shared" si="210"/>
        <v>-</v>
      </c>
      <c r="S1163" s="120">
        <f t="shared" si="218"/>
        <v>6568695</v>
      </c>
      <c r="T1163" s="123">
        <v>8250791</v>
      </c>
      <c r="U1163" s="123">
        <f>3489026+400074+611722+225890+400000+1997123</f>
        <v>7123835</v>
      </c>
      <c r="V1163" s="123">
        <f t="shared" si="212"/>
        <v>1126956</v>
      </c>
      <c r="W1163" s="122" t="str">
        <f t="shared" si="213"/>
        <v>1</v>
      </c>
      <c r="X1163" s="123">
        <f>Y1163+18014+2142+426940</f>
        <v>1682096</v>
      </c>
      <c r="Y1163" s="123">
        <f t="shared" si="219"/>
        <v>1235000</v>
      </c>
      <c r="Z1163" s="123">
        <f t="shared" si="215"/>
        <v>447096</v>
      </c>
      <c r="AA1163" s="122" t="str">
        <f t="shared" si="216"/>
        <v>1</v>
      </c>
      <c r="AB1163" s="120">
        <f t="shared" si="214"/>
        <v>1235000</v>
      </c>
      <c r="AC1163" s="123">
        <v>0</v>
      </c>
      <c r="AD1163" s="123">
        <v>1235000</v>
      </c>
      <c r="AE1163" s="123">
        <v>102437</v>
      </c>
      <c r="AG1163" s="151">
        <f t="shared" si="211"/>
        <v>269149</v>
      </c>
      <c r="AH1163" s="123">
        <v>269149</v>
      </c>
      <c r="AJ1163" s="123">
        <v>222300</v>
      </c>
    </row>
    <row r="1164" spans="1:40" s="123" customFormat="1" ht="16.2" thickBot="1" x14ac:dyDescent="0.35">
      <c r="A1164" s="21">
        <v>199.1</v>
      </c>
      <c r="B1164" s="212" t="s">
        <v>153</v>
      </c>
      <c r="C1164" s="31" t="str">
        <f>VLOOKUP((CONCATENATE(B1164)),ID!$A$2:$D$305,3,0)</f>
        <v>GLC07</v>
      </c>
      <c r="D1164" s="21">
        <v>0</v>
      </c>
      <c r="E1164" s="21" t="s">
        <v>344</v>
      </c>
      <c r="F1164" s="21" t="s">
        <v>1117</v>
      </c>
      <c r="G1164" s="21" t="s">
        <v>3853</v>
      </c>
      <c r="H1164" s="94">
        <v>4018</v>
      </c>
      <c r="I1164" s="43">
        <v>4119</v>
      </c>
      <c r="J1164" s="43">
        <v>4119</v>
      </c>
      <c r="K1164" s="21">
        <v>1</v>
      </c>
      <c r="L1164" s="43">
        <v>4126</v>
      </c>
      <c r="M1164" s="43">
        <v>4140</v>
      </c>
      <c r="N1164" s="43">
        <v>4140</v>
      </c>
      <c r="O1164" s="21" t="s">
        <v>3955</v>
      </c>
      <c r="P1164" s="194" t="str">
        <f t="shared" si="217"/>
        <v>1</v>
      </c>
      <c r="Q1164" s="21">
        <v>1</v>
      </c>
      <c r="R1164" s="39" t="str">
        <f t="shared" si="210"/>
        <v>-</v>
      </c>
      <c r="S1164" s="120">
        <f t="shared" si="218"/>
        <v>6618425</v>
      </c>
      <c r="T1164" s="123">
        <v>8377880</v>
      </c>
      <c r="U1164" s="123">
        <f>3556344+400074+599437+235437+400000+1970175</f>
        <v>7161467</v>
      </c>
      <c r="V1164" s="123">
        <f t="shared" si="212"/>
        <v>1216413</v>
      </c>
      <c r="W1164" s="122" t="str">
        <f t="shared" si="213"/>
        <v>1</v>
      </c>
      <c r="X1164" s="123">
        <f>Y1164+18012+2057+504386</f>
        <v>1759455</v>
      </c>
      <c r="Y1164" s="123">
        <f t="shared" si="219"/>
        <v>1235000</v>
      </c>
      <c r="Z1164" s="123">
        <f t="shared" si="215"/>
        <v>524455</v>
      </c>
      <c r="AA1164" s="122" t="str">
        <f t="shared" si="216"/>
        <v>1</v>
      </c>
      <c r="AB1164" s="120">
        <f t="shared" si="214"/>
        <v>1235000</v>
      </c>
      <c r="AC1164" s="123">
        <v>0</v>
      </c>
      <c r="AD1164" s="123">
        <v>1235000</v>
      </c>
      <c r="AE1164" s="123">
        <v>141970</v>
      </c>
      <c r="AG1164" s="151">
        <f t="shared" si="211"/>
        <v>272030</v>
      </c>
      <c r="AH1164" s="123">
        <v>272030</v>
      </c>
      <c r="AJ1164" s="123">
        <v>222300</v>
      </c>
    </row>
    <row r="1165" spans="1:40" s="123" customFormat="1" ht="16.2" thickBot="1" x14ac:dyDescent="0.35">
      <c r="A1165" s="21">
        <v>199.2</v>
      </c>
      <c r="B1165" s="212" t="s">
        <v>153</v>
      </c>
      <c r="C1165" s="31" t="str">
        <f>VLOOKUP((CONCATENATE(B1165)),ID!$A$2:$D$305,3,0)</f>
        <v>GLC07</v>
      </c>
      <c r="D1165" s="21">
        <v>0</v>
      </c>
      <c r="E1165" s="21" t="s">
        <v>344</v>
      </c>
      <c r="F1165" s="21" t="s">
        <v>1117</v>
      </c>
      <c r="G1165" s="21" t="s">
        <v>3853</v>
      </c>
      <c r="H1165" s="94">
        <v>4199</v>
      </c>
      <c r="I1165" s="43">
        <v>4308</v>
      </c>
      <c r="J1165" s="43">
        <v>4339</v>
      </c>
      <c r="K1165" s="21">
        <v>1</v>
      </c>
      <c r="L1165" s="43">
        <v>4315</v>
      </c>
      <c r="M1165" s="43">
        <v>4329</v>
      </c>
      <c r="N1165" s="43">
        <v>4329</v>
      </c>
      <c r="O1165" s="21" t="s">
        <v>3955</v>
      </c>
      <c r="P1165" s="194" t="str">
        <f t="shared" si="217"/>
        <v>1</v>
      </c>
      <c r="Q1165" s="21">
        <v>1</v>
      </c>
      <c r="R1165" s="39" t="str">
        <f t="shared" si="210"/>
        <v>-</v>
      </c>
      <c r="S1165" s="120">
        <f t="shared" si="218"/>
        <v>6677893</v>
      </c>
      <c r="T1165" s="123">
        <v>8489516</v>
      </c>
      <c r="U1165" s="123">
        <f>3542512+400684+845000+238415+400000+2038888</f>
        <v>7465499</v>
      </c>
      <c r="V1165" s="123">
        <f t="shared" si="212"/>
        <v>1024017</v>
      </c>
      <c r="W1165" s="122" t="str">
        <f t="shared" si="213"/>
        <v>1</v>
      </c>
      <c r="X1165" s="123">
        <f>Y1165+18010+2471+556142</f>
        <v>1811623</v>
      </c>
      <c r="Y1165" s="123">
        <f t="shared" si="219"/>
        <v>1235000</v>
      </c>
      <c r="Z1165" s="123">
        <f t="shared" si="215"/>
        <v>576623</v>
      </c>
      <c r="AA1165" s="122" t="str">
        <f t="shared" si="216"/>
        <v>1</v>
      </c>
      <c r="AB1165" s="120">
        <f t="shared" si="214"/>
        <v>1235000</v>
      </c>
      <c r="AC1165" s="123">
        <v>0</v>
      </c>
      <c r="AD1165" s="123">
        <v>1235000</v>
      </c>
      <c r="AE1165" s="123">
        <v>143666</v>
      </c>
      <c r="AG1165" s="151">
        <f t="shared" si="211"/>
        <v>281767</v>
      </c>
      <c r="AH1165" s="123">
        <v>281767</v>
      </c>
      <c r="AJ1165" s="123">
        <v>222300</v>
      </c>
    </row>
    <row r="1166" spans="1:40" s="123" customFormat="1" ht="16.2" thickBot="1" x14ac:dyDescent="0.35">
      <c r="A1166" s="21">
        <v>199.3</v>
      </c>
      <c r="B1166" s="212" t="s">
        <v>153</v>
      </c>
      <c r="C1166" s="31" t="str">
        <f>VLOOKUP((CONCATENATE(B1166)),ID!$A$2:$D$305,3,0)</f>
        <v>GLC07</v>
      </c>
      <c r="D1166" s="21">
        <v>0</v>
      </c>
      <c r="E1166" s="21" t="s">
        <v>344</v>
      </c>
      <c r="F1166" s="21" t="s">
        <v>1117</v>
      </c>
      <c r="G1166" s="21" t="s">
        <v>3853</v>
      </c>
      <c r="H1166" s="94">
        <v>4383</v>
      </c>
      <c r="I1166" s="43">
        <v>4490</v>
      </c>
      <c r="J1166" s="43">
        <v>4490</v>
      </c>
      <c r="K1166" s="21">
        <v>1</v>
      </c>
      <c r="L1166" s="43">
        <v>4497</v>
      </c>
      <c r="M1166" s="43">
        <v>4511</v>
      </c>
      <c r="N1166" s="43">
        <v>4511</v>
      </c>
      <c r="O1166" s="21" t="s">
        <v>3955</v>
      </c>
      <c r="P1166" s="194" t="str">
        <f t="shared" si="217"/>
        <v>1</v>
      </c>
      <c r="Q1166" s="21">
        <v>1</v>
      </c>
      <c r="R1166" s="39" t="str">
        <f t="shared" si="210"/>
        <v>-</v>
      </c>
      <c r="S1166" s="120">
        <f t="shared" si="218"/>
        <v>6731046</v>
      </c>
      <c r="T1166" s="123">
        <v>8954872</v>
      </c>
      <c r="U1166" s="123">
        <f>3938726+401426+770758+241317+400000+2012769</f>
        <v>7764996</v>
      </c>
      <c r="V1166" s="123">
        <f t="shared" si="212"/>
        <v>1189876</v>
      </c>
      <c r="W1166" s="122" t="str">
        <f t="shared" si="213"/>
        <v>1</v>
      </c>
      <c r="X1166" s="123">
        <f>Y1166+18012+2884+967930</f>
        <v>2223826</v>
      </c>
      <c r="Y1166" s="123">
        <f t="shared" si="219"/>
        <v>1235000</v>
      </c>
      <c r="Z1166" s="123">
        <f t="shared" si="215"/>
        <v>988826</v>
      </c>
      <c r="AA1166" s="122" t="str">
        <f t="shared" si="216"/>
        <v>1</v>
      </c>
      <c r="AB1166" s="120">
        <f t="shared" si="214"/>
        <v>1235000</v>
      </c>
      <c r="AC1166" s="123">
        <v>0</v>
      </c>
      <c r="AD1166" s="123">
        <v>1235000</v>
      </c>
      <c r="AE1166" s="123">
        <v>242515</v>
      </c>
      <c r="AG1166" s="151">
        <f t="shared" si="211"/>
        <v>275453</v>
      </c>
      <c r="AH1166" s="123">
        <v>275453</v>
      </c>
      <c r="AJ1166" s="123">
        <v>222300</v>
      </c>
    </row>
    <row r="1167" spans="1:40" s="123" customFormat="1" ht="16.2" thickBot="1" x14ac:dyDescent="0.35">
      <c r="A1167" s="21">
        <v>199.4</v>
      </c>
      <c r="B1167" s="212" t="s">
        <v>153</v>
      </c>
      <c r="C1167" s="31" t="str">
        <f>VLOOKUP((CONCATENATE(B1167)),ID!$A$2:$D$305,3,0)</f>
        <v>GLC07</v>
      </c>
      <c r="D1167" s="21">
        <v>0</v>
      </c>
      <c r="E1167" s="21" t="s">
        <v>344</v>
      </c>
      <c r="F1167" s="21" t="s">
        <v>1117</v>
      </c>
      <c r="G1167" s="21" t="s">
        <v>3853</v>
      </c>
      <c r="H1167" s="94">
        <v>4565</v>
      </c>
      <c r="I1167" s="43">
        <v>4672</v>
      </c>
      <c r="J1167" s="43">
        <v>4672</v>
      </c>
      <c r="K1167" s="21">
        <v>1</v>
      </c>
      <c r="L1167" s="43">
        <v>4679</v>
      </c>
      <c r="M1167" s="43">
        <v>4693</v>
      </c>
      <c r="N1167" s="43">
        <v>4693</v>
      </c>
      <c r="O1167" s="21" t="s">
        <v>3955</v>
      </c>
      <c r="P1167" s="194" t="str">
        <f t="shared" si="217"/>
        <v>1</v>
      </c>
      <c r="Q1167" s="21">
        <v>1</v>
      </c>
      <c r="R1167" s="39" t="str">
        <f t="shared" si="210"/>
        <v>-</v>
      </c>
      <c r="S1167" s="120">
        <f t="shared" si="218"/>
        <v>6756756</v>
      </c>
      <c r="T1167" s="123">
        <v>8779012</v>
      </c>
      <c r="U1167" s="123">
        <f>3673600+390015+679823+261988+400000+2188091</f>
        <v>7593517</v>
      </c>
      <c r="V1167" s="123">
        <f t="shared" si="212"/>
        <v>1185495</v>
      </c>
      <c r="W1167" s="122" t="str">
        <f t="shared" si="213"/>
        <v>1</v>
      </c>
      <c r="X1167" s="123">
        <f>Y1167+18010+3316+765930</f>
        <v>2022256</v>
      </c>
      <c r="Y1167" s="123">
        <f t="shared" si="219"/>
        <v>1235000</v>
      </c>
      <c r="Z1167" s="123">
        <f t="shared" si="215"/>
        <v>787256</v>
      </c>
      <c r="AA1167" s="122" t="str">
        <f t="shared" si="216"/>
        <v>1</v>
      </c>
      <c r="AB1167" s="120">
        <f t="shared" si="214"/>
        <v>1235000</v>
      </c>
      <c r="AC1167" s="123">
        <v>0</v>
      </c>
      <c r="AD1167" s="123">
        <v>1235000</v>
      </c>
      <c r="AE1167" s="123">
        <v>377162</v>
      </c>
      <c r="AG1167" s="151">
        <f t="shared" si="211"/>
        <v>248008</v>
      </c>
      <c r="AH1167" s="123">
        <v>248008</v>
      </c>
      <c r="AJ1167" s="123">
        <v>222300</v>
      </c>
    </row>
    <row r="1168" spans="1:40" s="123" customFormat="1" ht="16.2" thickBot="1" x14ac:dyDescent="0.35">
      <c r="A1168" s="21"/>
      <c r="B1168" s="212" t="s">
        <v>153</v>
      </c>
      <c r="C1168" s="31" t="str">
        <f>VLOOKUP((CONCATENATE(B1168)),ID!$A$2:$D$305,3,0)</f>
        <v>GLC07</v>
      </c>
      <c r="D1168" s="21">
        <v>0</v>
      </c>
      <c r="E1168" s="21" t="s">
        <v>344</v>
      </c>
      <c r="F1168" s="21" t="s">
        <v>1117</v>
      </c>
      <c r="G1168" s="21" t="s">
        <v>3853</v>
      </c>
      <c r="H1168" s="94">
        <v>4749</v>
      </c>
      <c r="I1168" s="43">
        <v>5219</v>
      </c>
      <c r="J1168" s="43">
        <v>5219</v>
      </c>
      <c r="K1168" s="21">
        <v>1</v>
      </c>
      <c r="L1168" s="43">
        <v>4861</v>
      </c>
      <c r="M1168" s="43">
        <v>4875</v>
      </c>
      <c r="N1168" s="43">
        <v>4875</v>
      </c>
      <c r="O1168" s="21" t="s">
        <v>4125</v>
      </c>
      <c r="P1168" s="194" t="str">
        <f t="shared" si="217"/>
        <v>1</v>
      </c>
      <c r="Q1168" s="21">
        <v>1</v>
      </c>
      <c r="R1168" s="39" t="str">
        <f t="shared" si="210"/>
        <v>-</v>
      </c>
      <c r="S1168" s="120">
        <f t="shared" si="218"/>
        <v>6770715</v>
      </c>
      <c r="T1168" s="123">
        <v>8768329</v>
      </c>
      <c r="U1168" s="123">
        <f>3514647+368259+577101+233260+400000+2101260</f>
        <v>7194527</v>
      </c>
      <c r="V1168" s="123">
        <f t="shared" si="212"/>
        <v>1573802</v>
      </c>
      <c r="W1168" s="122" t="str">
        <f t="shared" si="213"/>
        <v>1</v>
      </c>
      <c r="X1168" s="123">
        <f>Y1168+18018+2909+741687</f>
        <v>1997614</v>
      </c>
      <c r="Y1168" s="123">
        <f t="shared" si="219"/>
        <v>1235000</v>
      </c>
      <c r="Z1168" s="123">
        <f t="shared" si="215"/>
        <v>762614</v>
      </c>
      <c r="AA1168" s="122" t="str">
        <f t="shared" si="216"/>
        <v>1</v>
      </c>
      <c r="AB1168" s="120">
        <f t="shared" si="214"/>
        <v>1235000</v>
      </c>
      <c r="AC1168" s="123">
        <v>0</v>
      </c>
      <c r="AD1168" s="123">
        <v>1235000</v>
      </c>
      <c r="AE1168" s="123">
        <v>269334</v>
      </c>
      <c r="AG1168" s="151">
        <f t="shared" si="211"/>
        <v>236259</v>
      </c>
      <c r="AH1168" s="123">
        <v>236259</v>
      </c>
      <c r="AJ1168" s="123">
        <v>222300</v>
      </c>
    </row>
    <row r="1169" spans="1:41" s="123" customFormat="1" ht="16.2" thickBot="1" x14ac:dyDescent="0.35">
      <c r="A1169" s="21"/>
      <c r="B1169" s="212" t="s">
        <v>153</v>
      </c>
      <c r="C1169" s="31" t="str">
        <f>VLOOKUP((CONCATENATE(B1169)),ID!$A$2:$D$305,3,0)</f>
        <v>GLC07</v>
      </c>
      <c r="D1169" s="21">
        <v>0</v>
      </c>
      <c r="E1169" s="21" t="s">
        <v>344</v>
      </c>
      <c r="F1169" s="21" t="s">
        <v>1117</v>
      </c>
      <c r="G1169" s="21" t="s">
        <v>3853</v>
      </c>
      <c r="H1169" s="94">
        <v>4930</v>
      </c>
      <c r="I1169" s="43">
        <v>5036</v>
      </c>
      <c r="J1169" s="43">
        <v>5036</v>
      </c>
      <c r="K1169" s="21">
        <v>1</v>
      </c>
      <c r="L1169" s="43">
        <v>5040</v>
      </c>
      <c r="M1169" s="43">
        <v>5057</v>
      </c>
      <c r="N1169" s="43">
        <v>5057</v>
      </c>
      <c r="O1169" s="21" t="s">
        <v>4126</v>
      </c>
      <c r="P1169" s="194" t="str">
        <f t="shared" si="217"/>
        <v>1</v>
      </c>
      <c r="Q1169" s="21">
        <v>1</v>
      </c>
      <c r="R1169" s="39" t="str">
        <f t="shared" si="210"/>
        <v>-</v>
      </c>
      <c r="S1169" s="120">
        <f t="shared" si="218"/>
        <v>6834894</v>
      </c>
      <c r="T1169" s="123">
        <v>8691215</v>
      </c>
      <c r="U1169" s="123">
        <f>2098252+400000+241743+763863+385729+3466178</f>
        <v>7355765</v>
      </c>
      <c r="V1169" s="123">
        <f t="shared" si="212"/>
        <v>1335450</v>
      </c>
      <c r="W1169" s="122" t="str">
        <f t="shared" si="213"/>
        <v>1</v>
      </c>
      <c r="X1169" s="123">
        <f>Y1169+18010+4134+599177</f>
        <v>1856321</v>
      </c>
      <c r="Y1169" s="123">
        <f t="shared" si="219"/>
        <v>1235000</v>
      </c>
      <c r="Z1169" s="123">
        <f t="shared" si="215"/>
        <v>621321</v>
      </c>
      <c r="AA1169" s="122" t="str">
        <f t="shared" si="216"/>
        <v>1</v>
      </c>
      <c r="AB1169" s="120">
        <f t="shared" si="214"/>
        <v>1235000</v>
      </c>
      <c r="AC1169" s="123">
        <v>0</v>
      </c>
      <c r="AD1169" s="123">
        <v>1235000</v>
      </c>
      <c r="AE1169" s="123">
        <v>257426</v>
      </c>
      <c r="AG1169" s="151">
        <f t="shared" si="211"/>
        <v>286479</v>
      </c>
      <c r="AH1169" s="123">
        <v>286479</v>
      </c>
      <c r="AJ1169" s="123">
        <v>222300</v>
      </c>
    </row>
    <row r="1170" spans="1:41" s="123" customFormat="1" ht="16.2" thickBot="1" x14ac:dyDescent="0.35">
      <c r="A1170" s="21"/>
      <c r="B1170" s="212" t="s">
        <v>153</v>
      </c>
      <c r="C1170" s="31" t="str">
        <f>VLOOKUP((CONCATENATE(B1170)),ID!$A$2:$D$305,3,0)</f>
        <v>GLC07</v>
      </c>
      <c r="D1170" s="21">
        <v>0</v>
      </c>
      <c r="E1170" s="21" t="s">
        <v>344</v>
      </c>
      <c r="F1170" s="21" t="s">
        <v>1117</v>
      </c>
      <c r="G1170" s="21" t="s">
        <v>3853</v>
      </c>
      <c r="H1170" s="94">
        <v>5114</v>
      </c>
      <c r="I1170" s="43">
        <v>5218</v>
      </c>
      <c r="J1170" s="43">
        <v>5218</v>
      </c>
      <c r="K1170" s="21">
        <v>1</v>
      </c>
      <c r="L1170" s="43">
        <v>5225</v>
      </c>
      <c r="M1170" s="43">
        <v>5239</v>
      </c>
      <c r="N1170" s="43">
        <v>5239</v>
      </c>
      <c r="O1170" s="21" t="s">
        <v>4126</v>
      </c>
      <c r="P1170" s="194" t="str">
        <f t="shared" si="217"/>
        <v>1</v>
      </c>
      <c r="Q1170" s="21">
        <v>1</v>
      </c>
      <c r="R1170" s="39" t="str">
        <f t="shared" si="210"/>
        <v>-</v>
      </c>
      <c r="S1170" s="120">
        <f t="shared" si="218"/>
        <v>6845583</v>
      </c>
      <c r="T1170" s="123">
        <v>8750855</v>
      </c>
      <c r="U1170" s="123">
        <f>3436820+393596+811278+239956+400000+2117705</f>
        <v>7399355</v>
      </c>
      <c r="V1170" s="123">
        <f t="shared" si="212"/>
        <v>1351500</v>
      </c>
      <c r="W1170" s="122" t="str">
        <f t="shared" si="213"/>
        <v>1</v>
      </c>
      <c r="X1170" s="123">
        <f>Y1170+18011+4657+647604</f>
        <v>1905272</v>
      </c>
      <c r="Y1170" s="123">
        <f t="shared" si="219"/>
        <v>1235000</v>
      </c>
      <c r="Z1170" s="123">
        <f t="shared" si="215"/>
        <v>670272</v>
      </c>
      <c r="AA1170" s="122" t="str">
        <f t="shared" si="216"/>
        <v>1</v>
      </c>
      <c r="AB1170" s="120">
        <f t="shared" si="214"/>
        <v>1235000</v>
      </c>
      <c r="AC1170" s="123">
        <v>0</v>
      </c>
      <c r="AD1170" s="123">
        <v>1235000</v>
      </c>
      <c r="AE1170" s="123">
        <v>146205</v>
      </c>
      <c r="AG1170" s="151">
        <f t="shared" si="211"/>
        <v>232988</v>
      </c>
      <c r="AH1170" s="123">
        <v>232988</v>
      </c>
      <c r="AJ1170" s="123">
        <v>222300</v>
      </c>
    </row>
    <row r="1171" spans="1:41" s="123" customFormat="1" ht="16.2" thickBot="1" x14ac:dyDescent="0.35">
      <c r="A1171" s="21"/>
      <c r="B1171" s="212" t="s">
        <v>180</v>
      </c>
      <c r="C1171" s="31" t="str">
        <f>VLOOKUP((CONCATENATE(B1171)),ID!$A$2:$D$305,3,0)</f>
        <v>GLC08</v>
      </c>
      <c r="D1171" s="21">
        <v>1</v>
      </c>
      <c r="E1171" s="21" t="s">
        <v>344</v>
      </c>
      <c r="F1171" s="21" t="s">
        <v>3861</v>
      </c>
      <c r="G1171" s="21" t="s">
        <v>3853</v>
      </c>
      <c r="H1171" s="88">
        <v>3834</v>
      </c>
      <c r="I1171" s="43">
        <v>3881</v>
      </c>
      <c r="J1171" s="43">
        <v>3877</v>
      </c>
      <c r="K1171" s="21">
        <v>1</v>
      </c>
      <c r="L1171" s="43">
        <v>3868</v>
      </c>
      <c r="M1171" s="43">
        <v>3881</v>
      </c>
      <c r="N1171" s="43">
        <v>3881</v>
      </c>
      <c r="O1171" s="21" t="s">
        <v>3956</v>
      </c>
      <c r="P1171" s="194" t="str">
        <f t="shared" si="217"/>
        <v>1</v>
      </c>
      <c r="Q1171" s="21">
        <v>1</v>
      </c>
      <c r="R1171" s="39" t="str">
        <f t="shared" si="210"/>
        <v>-</v>
      </c>
      <c r="S1171" s="120">
        <f t="shared" si="218"/>
        <v>221381</v>
      </c>
      <c r="T1171" s="123">
        <v>306738</v>
      </c>
      <c r="U1171" s="123">
        <v>115148</v>
      </c>
      <c r="V1171" s="123">
        <f t="shared" si="212"/>
        <v>191590</v>
      </c>
      <c r="W1171" s="122" t="str">
        <f t="shared" si="213"/>
        <v>1</v>
      </c>
      <c r="X1171" s="123">
        <f>T1171-25058-71323-125000</f>
        <v>85357</v>
      </c>
      <c r="Y1171" s="123">
        <f>15922+2333</f>
        <v>18255</v>
      </c>
      <c r="Z1171" s="123">
        <f t="shared" si="215"/>
        <v>67102</v>
      </c>
      <c r="AA1171" s="122" t="str">
        <f t="shared" si="216"/>
        <v>1</v>
      </c>
      <c r="AB1171" s="120">
        <f t="shared" si="214"/>
        <v>0</v>
      </c>
      <c r="AC1171" s="123">
        <v>0</v>
      </c>
      <c r="AD1171" s="123">
        <v>0</v>
      </c>
      <c r="AE1171" s="123">
        <f>34491-477</f>
        <v>34014</v>
      </c>
      <c r="AG1171" s="151">
        <f t="shared" si="211"/>
        <v>118282</v>
      </c>
      <c r="AH1171" s="123">
        <v>129310</v>
      </c>
      <c r="AJ1171" s="123">
        <f>53183+53183</f>
        <v>106366</v>
      </c>
      <c r="AL1171" s="123">
        <v>11028</v>
      </c>
      <c r="AM1171" s="123">
        <f>AN1171-390243</f>
        <v>131438</v>
      </c>
      <c r="AN1171" s="123">
        <v>521681</v>
      </c>
    </row>
    <row r="1172" spans="1:41" s="123" customFormat="1" ht="16.2" thickBot="1" x14ac:dyDescent="0.35">
      <c r="A1172" s="21">
        <v>200.1</v>
      </c>
      <c r="B1172" s="212" t="s">
        <v>180</v>
      </c>
      <c r="C1172" s="31" t="str">
        <f>VLOOKUP((CONCATENATE(B1172)),ID!$A$2:$D$305,3,0)</f>
        <v>GLC08</v>
      </c>
      <c r="D1172" s="21">
        <v>1</v>
      </c>
      <c r="E1172" s="21" t="s">
        <v>344</v>
      </c>
      <c r="F1172" s="21" t="s">
        <v>3861</v>
      </c>
      <c r="G1172" s="21" t="s">
        <v>3853</v>
      </c>
      <c r="H1172" s="88">
        <v>4199</v>
      </c>
      <c r="I1172" s="43">
        <v>4239</v>
      </c>
      <c r="J1172" s="43">
        <v>4231</v>
      </c>
      <c r="K1172" s="21">
        <v>1</v>
      </c>
      <c r="L1172" s="43">
        <v>4232</v>
      </c>
      <c r="M1172" s="43">
        <v>4245</v>
      </c>
      <c r="N1172" s="43">
        <v>4245</v>
      </c>
      <c r="O1172" s="21" t="s">
        <v>3956</v>
      </c>
      <c r="P1172" s="194" t="str">
        <f t="shared" si="217"/>
        <v>1</v>
      </c>
      <c r="Q1172" s="21">
        <v>1</v>
      </c>
      <c r="R1172" s="39" t="str">
        <f t="shared" si="210"/>
        <v>-</v>
      </c>
      <c r="S1172" s="120">
        <f t="shared" si="218"/>
        <v>245195</v>
      </c>
      <c r="T1172" s="123">
        <v>361179</v>
      </c>
      <c r="U1172" s="123">
        <v>114858</v>
      </c>
      <c r="V1172" s="123">
        <f t="shared" si="212"/>
        <v>246321</v>
      </c>
      <c r="W1172" s="122" t="str">
        <f t="shared" si="213"/>
        <v>1</v>
      </c>
      <c r="X1172" s="123">
        <f>15743+93637+6121+483</f>
        <v>115984</v>
      </c>
      <c r="Y1172" s="123">
        <f>93637+15743</f>
        <v>109380</v>
      </c>
      <c r="Z1172" s="123">
        <f t="shared" si="215"/>
        <v>6604</v>
      </c>
      <c r="AA1172" s="122" t="str">
        <f t="shared" si="216"/>
        <v>1</v>
      </c>
      <c r="AB1172" s="120">
        <f t="shared" si="214"/>
        <v>0</v>
      </c>
      <c r="AC1172" s="123">
        <v>0</v>
      </c>
      <c r="AD1172" s="123">
        <v>0</v>
      </c>
      <c r="AE1172" s="123">
        <f>92940-483</f>
        <v>92457</v>
      </c>
      <c r="AG1172" s="151">
        <f t="shared" si="211"/>
        <v>142847</v>
      </c>
      <c r="AH1172" s="123">
        <f>226413-71323</f>
        <v>155090</v>
      </c>
      <c r="AJ1172" s="123">
        <f>53183*2</f>
        <v>106366</v>
      </c>
      <c r="AL1172" s="123">
        <v>12243</v>
      </c>
      <c r="AM1172" s="123">
        <f>AN1172-362488</f>
        <v>151216</v>
      </c>
      <c r="AN1172" s="123">
        <v>513704</v>
      </c>
    </row>
    <row r="1173" spans="1:41" s="123" customFormat="1" ht="16.2" thickBot="1" x14ac:dyDescent="0.35">
      <c r="A1173" s="21">
        <v>200.2</v>
      </c>
      <c r="B1173" s="212" t="s">
        <v>180</v>
      </c>
      <c r="C1173" s="31" t="str">
        <f>VLOOKUP((CONCATENATE(B1173)),ID!$A$2:$D$305,3,0)</f>
        <v>GLC08</v>
      </c>
      <c r="D1173" s="21">
        <v>1</v>
      </c>
      <c r="E1173" s="21" t="s">
        <v>344</v>
      </c>
      <c r="F1173" s="21" t="s">
        <v>3861</v>
      </c>
      <c r="G1173" s="21" t="s">
        <v>3853</v>
      </c>
      <c r="H1173" s="88">
        <v>4565</v>
      </c>
      <c r="I1173" s="43">
        <v>4610</v>
      </c>
      <c r="J1173" s="43">
        <v>4610</v>
      </c>
      <c r="K1173" s="21">
        <v>1</v>
      </c>
      <c r="L1173" s="43">
        <v>4603</v>
      </c>
      <c r="M1173" s="43">
        <v>4616</v>
      </c>
      <c r="N1173" s="43">
        <v>4616</v>
      </c>
      <c r="O1173" s="21" t="s">
        <v>3956</v>
      </c>
      <c r="P1173" s="194" t="str">
        <f t="shared" si="217"/>
        <v>1</v>
      </c>
      <c r="Q1173" s="21">
        <v>1</v>
      </c>
      <c r="R1173" s="39" t="str">
        <f t="shared" si="210"/>
        <v>-</v>
      </c>
      <c r="S1173" s="120">
        <f t="shared" si="218"/>
        <v>222172</v>
      </c>
      <c r="T1173" s="123">
        <v>366485</v>
      </c>
      <c r="U1173" s="123">
        <f>12048+114858</f>
        <v>126906</v>
      </c>
      <c r="V1173" s="123">
        <f t="shared" si="212"/>
        <v>239579</v>
      </c>
      <c r="W1173" s="122" t="str">
        <f t="shared" si="213"/>
        <v>1</v>
      </c>
      <c r="X1173" s="123">
        <f>21768+115956+6121+468</f>
        <v>144313</v>
      </c>
      <c r="Y1173" s="123">
        <v>21768</v>
      </c>
      <c r="Z1173" s="123">
        <f t="shared" si="215"/>
        <v>122545</v>
      </c>
      <c r="AA1173" s="122" t="str">
        <f t="shared" si="216"/>
        <v>1</v>
      </c>
      <c r="AB1173" s="120">
        <f t="shared" si="214"/>
        <v>0</v>
      </c>
      <c r="AC1173" s="123">
        <v>0</v>
      </c>
      <c r="AD1173" s="123">
        <v>0</v>
      </c>
      <c r="AE1173" s="123">
        <f>87884-468</f>
        <v>87416</v>
      </c>
      <c r="AG1173" s="151">
        <f t="shared" si="211"/>
        <v>95734</v>
      </c>
      <c r="AH1173" s="123">
        <f>215780-107803</f>
        <v>107977</v>
      </c>
      <c r="AJ1173" s="123">
        <f>53183*2</f>
        <v>106366</v>
      </c>
      <c r="AL1173" s="123">
        <v>12243</v>
      </c>
      <c r="AM1173" s="123">
        <f>AN1173-378608</f>
        <v>113915</v>
      </c>
      <c r="AN1173" s="123">
        <v>492523</v>
      </c>
    </row>
    <row r="1174" spans="1:41" s="123" customFormat="1" ht="16.2" thickBot="1" x14ac:dyDescent="0.35">
      <c r="A1174" s="21"/>
      <c r="B1174" s="212" t="s">
        <v>180</v>
      </c>
      <c r="C1174" s="31" t="str">
        <f>VLOOKUP((CONCATENATE(B1174)),ID!$A$2:$D$305,3,0)</f>
        <v>GLC08</v>
      </c>
      <c r="D1174" s="21">
        <v>1</v>
      </c>
      <c r="E1174" s="21" t="s">
        <v>344</v>
      </c>
      <c r="F1174" s="21" t="s">
        <v>3861</v>
      </c>
      <c r="G1174" s="21" t="s">
        <v>3853</v>
      </c>
      <c r="H1174" s="88">
        <v>4930</v>
      </c>
      <c r="I1174" s="43">
        <v>4974</v>
      </c>
      <c r="J1174" s="43">
        <v>4974</v>
      </c>
      <c r="K1174" s="21">
        <v>1</v>
      </c>
      <c r="L1174" s="43">
        <v>4967</v>
      </c>
      <c r="M1174" s="43">
        <v>4980</v>
      </c>
      <c r="N1174" s="43">
        <v>4980</v>
      </c>
      <c r="O1174" s="21" t="s">
        <v>3956</v>
      </c>
      <c r="P1174" s="194" t="str">
        <f t="shared" si="217"/>
        <v>?</v>
      </c>
      <c r="Q1174" s="21">
        <v>1</v>
      </c>
      <c r="R1174" s="39" t="str">
        <f t="shared" si="210"/>
        <v>-</v>
      </c>
      <c r="S1174" s="179">
        <f t="shared" si="218"/>
        <v>0</v>
      </c>
      <c r="T1174" s="199"/>
      <c r="U1174" s="199"/>
      <c r="V1174" s="199">
        <f t="shared" si="212"/>
        <v>0</v>
      </c>
      <c r="W1174" s="220" t="str">
        <f t="shared" si="213"/>
        <v>1</v>
      </c>
      <c r="X1174" s="199"/>
      <c r="Y1174" s="199"/>
      <c r="Z1174" s="199">
        <f t="shared" si="215"/>
        <v>0</v>
      </c>
      <c r="AA1174" s="220" t="str">
        <f t="shared" si="216"/>
        <v>1</v>
      </c>
      <c r="AB1174" s="179">
        <f t="shared" si="214"/>
        <v>0</v>
      </c>
      <c r="AC1174" s="199"/>
      <c r="AD1174" s="199"/>
      <c r="AE1174" s="199"/>
      <c r="AF1174" s="199"/>
      <c r="AG1174" s="158">
        <f t="shared" si="211"/>
        <v>0</v>
      </c>
      <c r="AH1174" s="199"/>
      <c r="AI1174" s="199"/>
      <c r="AJ1174" s="199"/>
      <c r="AK1174" s="199"/>
      <c r="AL1174" s="199"/>
      <c r="AM1174" s="123">
        <f>AN1174-438814</f>
        <v>89625</v>
      </c>
      <c r="AN1174" s="123">
        <v>528439</v>
      </c>
    </row>
    <row r="1175" spans="1:41" s="123" customFormat="1" ht="16.2" thickBot="1" x14ac:dyDescent="0.35">
      <c r="A1175" s="21"/>
      <c r="B1175" s="212" t="s">
        <v>180</v>
      </c>
      <c r="C1175" s="31" t="str">
        <f>VLOOKUP((CONCATENATE(B1175)),ID!$A$2:$D$305,3,0)</f>
        <v>GLC08</v>
      </c>
      <c r="D1175" s="21">
        <v>1</v>
      </c>
      <c r="E1175" s="21" t="s">
        <v>344</v>
      </c>
      <c r="F1175" s="21" t="s">
        <v>3861</v>
      </c>
      <c r="G1175" s="21" t="s">
        <v>3853</v>
      </c>
      <c r="H1175" s="88">
        <v>5295</v>
      </c>
      <c r="I1175" s="43">
        <v>5338</v>
      </c>
      <c r="J1175" s="43"/>
      <c r="K1175" s="21"/>
      <c r="L1175" s="43"/>
      <c r="M1175" s="43"/>
      <c r="N1175" s="43">
        <v>5344</v>
      </c>
      <c r="O1175" s="21" t="s">
        <v>3956</v>
      </c>
      <c r="P1175" s="194" t="str">
        <f t="shared" si="217"/>
        <v>?</v>
      </c>
      <c r="Q1175" s="21">
        <v>1</v>
      </c>
      <c r="R1175" s="39" t="str">
        <f t="shared" si="210"/>
        <v>-</v>
      </c>
      <c r="S1175" s="179">
        <f t="shared" si="218"/>
        <v>0</v>
      </c>
      <c r="T1175" s="199"/>
      <c r="U1175" s="199"/>
      <c r="V1175" s="199">
        <f t="shared" si="212"/>
        <v>0</v>
      </c>
      <c r="W1175" s="220" t="str">
        <f t="shared" si="213"/>
        <v>1</v>
      </c>
      <c r="X1175" s="199"/>
      <c r="Y1175" s="199"/>
      <c r="Z1175" s="199">
        <f t="shared" si="215"/>
        <v>0</v>
      </c>
      <c r="AA1175" s="220" t="str">
        <f t="shared" si="216"/>
        <v>1</v>
      </c>
      <c r="AB1175" s="179">
        <f t="shared" si="214"/>
        <v>0</v>
      </c>
      <c r="AC1175" s="199"/>
      <c r="AD1175" s="199"/>
      <c r="AE1175" s="199"/>
      <c r="AF1175" s="199"/>
      <c r="AG1175" s="158">
        <f t="shared" si="211"/>
        <v>0</v>
      </c>
      <c r="AH1175" s="199"/>
      <c r="AI1175" s="199"/>
      <c r="AJ1175" s="199"/>
      <c r="AK1175" s="199"/>
      <c r="AL1175" s="199"/>
      <c r="AM1175" s="123">
        <f>AN1175-489731</f>
        <v>68146</v>
      </c>
      <c r="AN1175" s="123">
        <v>557877</v>
      </c>
    </row>
    <row r="1176" spans="1:41" s="123" customFormat="1" ht="16.2" thickBot="1" x14ac:dyDescent="0.35">
      <c r="A1176" s="21"/>
      <c r="B1176" s="212" t="s">
        <v>237</v>
      </c>
      <c r="C1176" s="31" t="str">
        <f>VLOOKUP((CONCATENATE(B1176)),ID!$A$2:$D$305,3,0)</f>
        <v>GLC09</v>
      </c>
      <c r="D1176" s="21">
        <v>1</v>
      </c>
      <c r="E1176" s="21" t="s">
        <v>344</v>
      </c>
      <c r="F1176" s="21" t="s">
        <v>3878</v>
      </c>
      <c r="G1176" s="21" t="s">
        <v>3853</v>
      </c>
      <c r="H1176" s="88">
        <v>3653</v>
      </c>
      <c r="I1176" s="43">
        <v>3684</v>
      </c>
      <c r="J1176" s="43">
        <v>3688</v>
      </c>
      <c r="K1176" s="21"/>
      <c r="L1176" s="43"/>
      <c r="M1176" s="43"/>
      <c r="N1176" s="43">
        <v>3700</v>
      </c>
      <c r="O1176" s="21" t="s">
        <v>3957</v>
      </c>
      <c r="P1176" s="194" t="str">
        <f t="shared" si="217"/>
        <v>1</v>
      </c>
      <c r="Q1176" s="21">
        <v>1</v>
      </c>
      <c r="R1176" s="39" t="str">
        <f t="shared" si="210"/>
        <v>-</v>
      </c>
      <c r="S1176" s="120">
        <f t="shared" si="218"/>
        <v>105822</v>
      </c>
      <c r="T1176" s="123">
        <v>298913</v>
      </c>
      <c r="U1176" s="123">
        <v>100169</v>
      </c>
      <c r="V1176" s="123">
        <f t="shared" si="212"/>
        <v>198744</v>
      </c>
      <c r="W1176" s="122" t="str">
        <f t="shared" si="213"/>
        <v>1</v>
      </c>
      <c r="X1176" s="123">
        <f>T1176-45822-60000</f>
        <v>193091</v>
      </c>
      <c r="Z1176" s="123">
        <f t="shared" si="215"/>
        <v>193091</v>
      </c>
      <c r="AA1176" s="122" t="str">
        <f t="shared" si="216"/>
        <v>1</v>
      </c>
      <c r="AB1176" s="120">
        <f t="shared" si="214"/>
        <v>142059</v>
      </c>
      <c r="AC1176" s="123">
        <v>0</v>
      </c>
      <c r="AD1176" s="123">
        <v>142059</v>
      </c>
      <c r="AG1176" s="151">
        <f t="shared" si="211"/>
        <v>84203</v>
      </c>
      <c r="AH1176" s="123">
        <v>108310</v>
      </c>
      <c r="AI1176" s="123">
        <v>2557</v>
      </c>
      <c r="AJ1176" s="123">
        <v>43850</v>
      </c>
      <c r="AL1176" s="123">
        <f>17391+4159</f>
        <v>21550</v>
      </c>
      <c r="AM1176" s="123">
        <f>AN1176-236036</f>
        <v>45224</v>
      </c>
      <c r="AN1176" s="123">
        <v>281260</v>
      </c>
    </row>
    <row r="1177" spans="1:41" s="123" customFormat="1" ht="16.2" thickBot="1" x14ac:dyDescent="0.35">
      <c r="A1177" s="21">
        <v>201.1</v>
      </c>
      <c r="B1177" s="212" t="s">
        <v>237</v>
      </c>
      <c r="C1177" s="31" t="str">
        <f>VLOOKUP((CONCATENATE(B1177)),ID!$A$2:$D$305,3,0)</f>
        <v>GLC09</v>
      </c>
      <c r="D1177" s="21">
        <v>1</v>
      </c>
      <c r="E1177" s="21" t="s">
        <v>344</v>
      </c>
      <c r="F1177" s="21" t="s">
        <v>3878</v>
      </c>
      <c r="G1177" s="21" t="s">
        <v>3853</v>
      </c>
      <c r="H1177" s="88">
        <v>4018</v>
      </c>
      <c r="I1177" s="43">
        <v>4044</v>
      </c>
      <c r="J1177" s="43">
        <v>4050</v>
      </c>
      <c r="K1177" s="21">
        <v>1</v>
      </c>
      <c r="L1177" s="43">
        <v>4051</v>
      </c>
      <c r="M1177" s="43">
        <v>4063</v>
      </c>
      <c r="N1177" s="43">
        <v>4032</v>
      </c>
      <c r="O1177" s="21" t="s">
        <v>3957</v>
      </c>
      <c r="P1177" s="194" t="str">
        <f t="shared" si="217"/>
        <v>1</v>
      </c>
      <c r="Q1177" s="21">
        <v>1</v>
      </c>
      <c r="R1177" s="39" t="str">
        <f t="shared" si="210"/>
        <v>-</v>
      </c>
      <c r="S1177" s="120">
        <f t="shared" si="218"/>
        <v>117418</v>
      </c>
      <c r="T1177" s="123">
        <v>320701</v>
      </c>
      <c r="U1177" s="123">
        <v>142871</v>
      </c>
      <c r="V1177" s="123">
        <f t="shared" si="212"/>
        <v>177830</v>
      </c>
      <c r="W1177" s="122" t="str">
        <f t="shared" si="213"/>
        <v>1</v>
      </c>
      <c r="X1177" s="123">
        <f>T1177-57210-208-60000</f>
        <v>203283</v>
      </c>
      <c r="Z1177" s="123">
        <f t="shared" si="215"/>
        <v>203283</v>
      </c>
      <c r="AA1177" s="122" t="str">
        <f t="shared" si="216"/>
        <v>1</v>
      </c>
      <c r="AB1177" s="120">
        <f t="shared" si="214"/>
        <v>144638</v>
      </c>
      <c r="AC1177" s="123">
        <v>0</v>
      </c>
      <c r="AD1177" s="123">
        <v>144638</v>
      </c>
      <c r="AG1177" s="151">
        <f t="shared" si="211"/>
        <v>91417</v>
      </c>
      <c r="AH1177" s="123">
        <v>116138</v>
      </c>
      <c r="AI1177" s="123">
        <v>2557</v>
      </c>
      <c r="AJ1177" s="123">
        <v>43850</v>
      </c>
      <c r="AL1177" s="123">
        <v>22164</v>
      </c>
      <c r="AM1177" s="123">
        <f>AN1177-236663</f>
        <v>44695</v>
      </c>
      <c r="AN1177" s="123">
        <v>281358</v>
      </c>
    </row>
    <row r="1178" spans="1:41" s="123" customFormat="1" ht="16.2" thickBot="1" x14ac:dyDescent="0.35">
      <c r="A1178" s="21">
        <v>201.2</v>
      </c>
      <c r="B1178" s="212" t="s">
        <v>237</v>
      </c>
      <c r="C1178" s="31" t="str">
        <f>VLOOKUP((CONCATENATE(B1178)),ID!$A$2:$D$305,3,0)</f>
        <v>GLC09</v>
      </c>
      <c r="D1178" s="21">
        <v>1</v>
      </c>
      <c r="E1178" s="21" t="s">
        <v>344</v>
      </c>
      <c r="F1178" s="21" t="s">
        <v>3878</v>
      </c>
      <c r="G1178" s="21" t="s">
        <v>3853</v>
      </c>
      <c r="H1178" s="88">
        <v>4383</v>
      </c>
      <c r="I1178" s="43">
        <v>4408</v>
      </c>
      <c r="J1178" s="43">
        <v>4415</v>
      </c>
      <c r="K1178" s="21">
        <v>1</v>
      </c>
      <c r="L1178" s="43">
        <v>4416</v>
      </c>
      <c r="M1178" s="43">
        <v>4427</v>
      </c>
      <c r="N1178" s="43">
        <v>4427</v>
      </c>
      <c r="O1178" s="21" t="s">
        <v>3957</v>
      </c>
      <c r="P1178" s="194" t="str">
        <f t="shared" si="217"/>
        <v>1</v>
      </c>
      <c r="Q1178" s="21">
        <v>1</v>
      </c>
      <c r="R1178" s="39" t="str">
        <f t="shared" si="210"/>
        <v>-</v>
      </c>
      <c r="S1178" s="120">
        <f t="shared" si="218"/>
        <v>121121</v>
      </c>
      <c r="T1178" s="123">
        <v>347129</v>
      </c>
      <c r="U1178" s="123">
        <v>153413</v>
      </c>
      <c r="V1178" s="123">
        <f t="shared" si="212"/>
        <v>193716</v>
      </c>
      <c r="W1178" s="122" t="str">
        <f t="shared" si="213"/>
        <v>1</v>
      </c>
      <c r="X1178" s="123">
        <f>T1178-290-50831-70000</f>
        <v>226008</v>
      </c>
      <c r="Z1178" s="123">
        <f t="shared" si="215"/>
        <v>226008</v>
      </c>
      <c r="AA1178" s="122" t="str">
        <f t="shared" si="216"/>
        <v>1</v>
      </c>
      <c r="AB1178" s="120">
        <f t="shared" si="214"/>
        <v>161429</v>
      </c>
      <c r="AC1178" s="123">
        <v>0</v>
      </c>
      <c r="AD1178" s="123">
        <v>161429</v>
      </c>
      <c r="AG1178" s="151">
        <f t="shared" si="211"/>
        <v>83650</v>
      </c>
      <c r="AH1178" s="123">
        <v>107964</v>
      </c>
      <c r="AI1178" s="123">
        <v>2557</v>
      </c>
      <c r="AJ1178" s="123">
        <v>43850</v>
      </c>
      <c r="AL1178" s="123">
        <v>21757</v>
      </c>
      <c r="AM1178" s="123">
        <f>AN1178-237613</f>
        <v>48836</v>
      </c>
      <c r="AN1178" s="123">
        <v>286449</v>
      </c>
    </row>
    <row r="1179" spans="1:41" s="123" customFormat="1" ht="16.2" thickBot="1" x14ac:dyDescent="0.35">
      <c r="A1179" s="21"/>
      <c r="B1179" s="212" t="s">
        <v>237</v>
      </c>
      <c r="C1179" s="31" t="str">
        <f>VLOOKUP((CONCATENATE(B1179)),ID!$A$2:$D$305,3,0)</f>
        <v>GLC09</v>
      </c>
      <c r="D1179" s="21">
        <v>1</v>
      </c>
      <c r="E1179" s="21" t="s">
        <v>344</v>
      </c>
      <c r="F1179" s="21" t="s">
        <v>3878</v>
      </c>
      <c r="G1179" s="21" t="s">
        <v>3853</v>
      </c>
      <c r="H1179" s="88">
        <v>4749</v>
      </c>
      <c r="I1179" s="43">
        <v>4777</v>
      </c>
      <c r="J1179" s="43">
        <v>4786</v>
      </c>
      <c r="K1179" s="21">
        <v>1</v>
      </c>
      <c r="L1179" s="43">
        <v>4785</v>
      </c>
      <c r="M1179" s="43">
        <v>4798</v>
      </c>
      <c r="N1179" s="43">
        <v>4798</v>
      </c>
      <c r="O1179" s="21" t="s">
        <v>3957</v>
      </c>
      <c r="P1179" s="194" t="str">
        <f t="shared" si="217"/>
        <v>1</v>
      </c>
      <c r="Q1179" s="21">
        <v>1</v>
      </c>
      <c r="R1179" s="39" t="str">
        <f t="shared" si="210"/>
        <v>-</v>
      </c>
      <c r="S1179" s="120">
        <f t="shared" si="218"/>
        <v>124020</v>
      </c>
      <c r="T1179" s="123">
        <v>375055</v>
      </c>
      <c r="U1179" s="123">
        <v>204796</v>
      </c>
      <c r="V1179" s="123">
        <f t="shared" si="212"/>
        <v>170259</v>
      </c>
      <c r="W1179" s="122" t="str">
        <f t="shared" si="213"/>
        <v>1</v>
      </c>
      <c r="X1179" s="123">
        <f>T1179-53751-269-70000</f>
        <v>251035</v>
      </c>
      <c r="Z1179" s="123">
        <f t="shared" si="215"/>
        <v>251035</v>
      </c>
      <c r="AA1179" s="122" t="str">
        <f t="shared" si="216"/>
        <v>1</v>
      </c>
      <c r="AB1179" s="120">
        <f t="shared" si="214"/>
        <v>180976</v>
      </c>
      <c r="AC1179" s="123">
        <v>0</v>
      </c>
      <c r="AD1179" s="123">
        <v>180976</v>
      </c>
      <c r="AG1179" s="151">
        <f t="shared" si="211"/>
        <v>83929</v>
      </c>
      <c r="AH1179" s="123">
        <v>109263</v>
      </c>
      <c r="AI1179" s="123">
        <v>2622</v>
      </c>
      <c r="AJ1179" s="123">
        <v>44960</v>
      </c>
      <c r="AL1179" s="123">
        <v>22712</v>
      </c>
      <c r="AM1179" s="123">
        <f>AN1179-258162</f>
        <v>23189</v>
      </c>
      <c r="AN1179" s="123">
        <v>281351</v>
      </c>
    </row>
    <row r="1180" spans="1:41" s="123" customFormat="1" ht="16.2" thickBot="1" x14ac:dyDescent="0.35">
      <c r="A1180" s="21"/>
      <c r="B1180" s="212" t="s">
        <v>237</v>
      </c>
      <c r="C1180" s="31" t="str">
        <f>VLOOKUP((CONCATENATE(B1180)),ID!$A$2:$D$305,3,0)</f>
        <v>GLC09</v>
      </c>
      <c r="D1180" s="21">
        <v>1</v>
      </c>
      <c r="E1180" s="21" t="s">
        <v>344</v>
      </c>
      <c r="F1180" s="21" t="s">
        <v>3878</v>
      </c>
      <c r="G1180" s="21" t="s">
        <v>3853</v>
      </c>
      <c r="H1180" s="88">
        <v>5114</v>
      </c>
      <c r="I1180" s="43">
        <v>5141</v>
      </c>
      <c r="J1180" s="43">
        <v>5148</v>
      </c>
      <c r="K1180" s="21">
        <v>1</v>
      </c>
      <c r="L1180" s="43">
        <v>5149</v>
      </c>
      <c r="M1180" s="43">
        <v>5162</v>
      </c>
      <c r="N1180" s="43">
        <v>5162</v>
      </c>
      <c r="O1180" s="21" t="s">
        <v>3957</v>
      </c>
      <c r="P1180" s="194" t="str">
        <f t="shared" si="217"/>
        <v>1</v>
      </c>
      <c r="Q1180" s="21">
        <v>1</v>
      </c>
      <c r="R1180" s="39" t="str">
        <f t="shared" si="210"/>
        <v>-</v>
      </c>
      <c r="S1180" s="120">
        <f t="shared" si="218"/>
        <v>133338</v>
      </c>
      <c r="T1180" s="123">
        <v>457144</v>
      </c>
      <c r="U1180" s="123">
        <v>264615</v>
      </c>
      <c r="V1180" s="123">
        <f t="shared" si="212"/>
        <v>192529</v>
      </c>
      <c r="W1180" s="122" t="str">
        <f t="shared" si="213"/>
        <v>1</v>
      </c>
      <c r="X1180" s="123">
        <f>T1180-176-63162-70000</f>
        <v>323806</v>
      </c>
      <c r="Z1180" s="123">
        <f t="shared" si="215"/>
        <v>323806</v>
      </c>
      <c r="AA1180" s="122" t="str">
        <f t="shared" si="216"/>
        <v>1</v>
      </c>
      <c r="AB1180" s="120">
        <f t="shared" si="214"/>
        <v>236236</v>
      </c>
      <c r="AC1180" s="123">
        <v>0</v>
      </c>
      <c r="AD1180" s="123">
        <v>236236</v>
      </c>
      <c r="AG1180" s="151">
        <f t="shared" si="211"/>
        <v>91466</v>
      </c>
      <c r="AH1180" s="123">
        <v>120000</v>
      </c>
      <c r="AI1180" s="123">
        <v>2622</v>
      </c>
      <c r="AJ1180" s="123">
        <v>44960</v>
      </c>
      <c r="AL1180" s="123">
        <v>25912</v>
      </c>
      <c r="AM1180" s="123">
        <f>AN1180-277099</f>
        <v>20049</v>
      </c>
      <c r="AN1180" s="123">
        <v>297148</v>
      </c>
    </row>
    <row r="1181" spans="1:41" s="123" customFormat="1" ht="16.2" thickBot="1" x14ac:dyDescent="0.35">
      <c r="A1181" s="21"/>
      <c r="B1181" s="212" t="s">
        <v>265</v>
      </c>
      <c r="C1181" s="31" t="str">
        <f>VLOOKUP((CONCATENATE(B1181)),ID!$A$2:$D$305,3,0)</f>
        <v>GLC10</v>
      </c>
      <c r="D1181" s="21">
        <v>1</v>
      </c>
      <c r="E1181" s="21" t="s">
        <v>344</v>
      </c>
      <c r="F1181" s="21" t="s">
        <v>1117</v>
      </c>
      <c r="G1181" s="21" t="s">
        <v>3821</v>
      </c>
      <c r="H1181" s="88">
        <v>3653</v>
      </c>
      <c r="I1181" s="43">
        <v>3756</v>
      </c>
      <c r="J1181" s="43">
        <v>3751</v>
      </c>
      <c r="K1181" s="21">
        <v>1</v>
      </c>
      <c r="L1181" s="43"/>
      <c r="M1181" s="43">
        <v>3765</v>
      </c>
      <c r="N1181" s="43">
        <v>3765</v>
      </c>
      <c r="O1181" s="21" t="s">
        <v>3958</v>
      </c>
      <c r="P1181" s="194" t="str">
        <f t="shared" si="217"/>
        <v>1</v>
      </c>
      <c r="Q1181" s="21">
        <v>1</v>
      </c>
      <c r="R1181" s="39" t="str">
        <f t="shared" si="210"/>
        <v>-</v>
      </c>
      <c r="S1181" s="120">
        <f t="shared" si="218"/>
        <v>1392724</v>
      </c>
      <c r="T1181" s="123">
        <v>1982987</v>
      </c>
      <c r="U1181" s="123">
        <f>1174918+556000+1175+20000</f>
        <v>1752093</v>
      </c>
      <c r="V1181" s="123">
        <f t="shared" si="212"/>
        <v>230894</v>
      </c>
      <c r="W1181" s="122" t="str">
        <f t="shared" si="213"/>
        <v>1</v>
      </c>
      <c r="X1181" s="123">
        <f>Y1181+37008+1892+1463</f>
        <v>590263</v>
      </c>
      <c r="Y1181" s="123">
        <f>AB1181</f>
        <v>549900</v>
      </c>
      <c r="Z1181" s="123">
        <f t="shared" si="215"/>
        <v>40363</v>
      </c>
      <c r="AA1181" s="122" t="str">
        <f t="shared" si="216"/>
        <v>1</v>
      </c>
      <c r="AB1181" s="120">
        <f t="shared" si="214"/>
        <v>549900</v>
      </c>
      <c r="AC1181" s="123">
        <v>0</v>
      </c>
      <c r="AD1181" s="123">
        <f>549900</f>
        <v>549900</v>
      </c>
      <c r="AE1181" s="123">
        <v>8130</v>
      </c>
      <c r="AG1181" s="151">
        <f t="shared" si="211"/>
        <v>98422</v>
      </c>
      <c r="AH1181" s="123">
        <f>129772-3798-AK1181</f>
        <v>125844</v>
      </c>
      <c r="AI1181" s="123">
        <v>4615</v>
      </c>
      <c r="AJ1181" s="123">
        <v>38000</v>
      </c>
      <c r="AK1181" s="123">
        <v>130</v>
      </c>
      <c r="AL1181" s="123">
        <f>22239+568</f>
        <v>22807</v>
      </c>
      <c r="AO1181" s="123">
        <f>159960+79980</f>
        <v>239940</v>
      </c>
    </row>
    <row r="1182" spans="1:41" s="123" customFormat="1" ht="16.2" thickBot="1" x14ac:dyDescent="0.35">
      <c r="A1182" s="21">
        <v>202.1</v>
      </c>
      <c r="B1182" s="212" t="s">
        <v>265</v>
      </c>
      <c r="C1182" s="31" t="str">
        <f>VLOOKUP((CONCATENATE(B1182)),ID!$A$2:$D$305,3,0)</f>
        <v>GLC10</v>
      </c>
      <c r="D1182" s="21">
        <v>1</v>
      </c>
      <c r="E1182" s="21" t="s">
        <v>344</v>
      </c>
      <c r="F1182" s="21" t="s">
        <v>1117</v>
      </c>
      <c r="G1182" s="21" t="s">
        <v>3821</v>
      </c>
      <c r="H1182" s="88">
        <v>4018</v>
      </c>
      <c r="I1182" s="43">
        <v>4143</v>
      </c>
      <c r="J1182" s="43">
        <v>4141</v>
      </c>
      <c r="K1182" s="21">
        <v>1</v>
      </c>
      <c r="L1182" s="43">
        <v>4140</v>
      </c>
      <c r="M1182" s="43">
        <v>4154</v>
      </c>
      <c r="N1182" s="43">
        <v>4154</v>
      </c>
      <c r="O1182" s="21" t="s">
        <v>3958</v>
      </c>
      <c r="P1182" s="194" t="str">
        <f t="shared" si="217"/>
        <v>1</v>
      </c>
      <c r="Q1182" s="21">
        <v>1</v>
      </c>
      <c r="R1182" s="39" t="str">
        <f t="shared" si="210"/>
        <v>-</v>
      </c>
      <c r="S1182" s="120">
        <f t="shared" si="218"/>
        <v>3943444</v>
      </c>
      <c r="T1182" s="123">
        <v>5272995</v>
      </c>
      <c r="U1182" s="123">
        <f>3329230+275+65375+680144</f>
        <v>4075024</v>
      </c>
      <c r="V1182" s="123">
        <f t="shared" si="212"/>
        <v>1197971</v>
      </c>
      <c r="W1182" s="122" t="str">
        <f t="shared" si="213"/>
        <v>1</v>
      </c>
      <c r="X1182" s="123">
        <f>Y1182+4685+177185+15936</f>
        <v>1329551</v>
      </c>
      <c r="Y1182" s="123">
        <f>AB1182+10145</f>
        <v>1131745</v>
      </c>
      <c r="Z1182" s="123">
        <f t="shared" si="215"/>
        <v>197806</v>
      </c>
      <c r="AA1182" s="122" t="str">
        <f t="shared" si="216"/>
        <v>1</v>
      </c>
      <c r="AB1182" s="120">
        <f t="shared" si="214"/>
        <v>1121600</v>
      </c>
      <c r="AC1182" s="123">
        <v>0</v>
      </c>
      <c r="AD1182" s="123">
        <f>521600+350000+250000</f>
        <v>1121600</v>
      </c>
      <c r="AE1182" s="123">
        <v>49388</v>
      </c>
      <c r="AG1182" s="151">
        <f t="shared" si="211"/>
        <v>293673</v>
      </c>
      <c r="AH1182" s="123">
        <f>372912-2353-AK1182-29332</f>
        <v>339492</v>
      </c>
      <c r="AJ1182" s="123">
        <v>94750</v>
      </c>
      <c r="AK1182" s="123">
        <v>1735</v>
      </c>
      <c r="AL1182" s="123">
        <v>45819</v>
      </c>
      <c r="AO1182" s="123">
        <f>159960+79980</f>
        <v>239940</v>
      </c>
    </row>
    <row r="1183" spans="1:41" s="123" customFormat="1" ht="16.2" thickBot="1" x14ac:dyDescent="0.35">
      <c r="A1183" s="21">
        <v>202.2</v>
      </c>
      <c r="B1183" s="212" t="s">
        <v>265</v>
      </c>
      <c r="C1183" s="31" t="str">
        <f>VLOOKUP((CONCATENATE(B1183)),ID!$A$2:$D$305,3,0)</f>
        <v>GLC10</v>
      </c>
      <c r="D1183" s="21">
        <v>1</v>
      </c>
      <c r="E1183" s="21" t="s">
        <v>344</v>
      </c>
      <c r="F1183" s="21" t="s">
        <v>1117</v>
      </c>
      <c r="G1183" s="21" t="s">
        <v>3821</v>
      </c>
      <c r="H1183" s="88">
        <v>4383</v>
      </c>
      <c r="I1183" s="43">
        <v>4486</v>
      </c>
      <c r="J1183" s="43">
        <v>4478</v>
      </c>
      <c r="K1183" s="21">
        <v>1</v>
      </c>
      <c r="L1183" s="43">
        <v>4490</v>
      </c>
      <c r="M1183" s="43">
        <v>4504</v>
      </c>
      <c r="N1183" s="43">
        <v>4504</v>
      </c>
      <c r="O1183" s="21" t="s">
        <v>3958</v>
      </c>
      <c r="P1183" s="194" t="str">
        <f t="shared" si="217"/>
        <v>1</v>
      </c>
      <c r="Q1183" s="21">
        <v>1</v>
      </c>
      <c r="R1183" s="39" t="str">
        <f t="shared" ref="R1183:R1247" si="220">IF(Q1183=0,"?","-")</f>
        <v>-</v>
      </c>
      <c r="S1183" s="120">
        <f t="shared" si="218"/>
        <v>4022709</v>
      </c>
      <c r="T1183" s="123">
        <v>5420577</v>
      </c>
      <c r="U1183" s="123">
        <f>3444058+6494+45235+645142</f>
        <v>4140929</v>
      </c>
      <c r="V1183" s="123">
        <f t="shared" si="212"/>
        <v>1279648</v>
      </c>
      <c r="W1183" s="122" t="str">
        <f t="shared" si="213"/>
        <v>1</v>
      </c>
      <c r="X1183" s="123">
        <f>Y1183+18363+116252+4517</f>
        <v>1397868</v>
      </c>
      <c r="Y1183" s="123">
        <f>AB1183+9567</f>
        <v>1258736</v>
      </c>
      <c r="Z1183" s="123">
        <f t="shared" si="215"/>
        <v>139132</v>
      </c>
      <c r="AA1183" s="122" t="str">
        <f t="shared" si="216"/>
        <v>1</v>
      </c>
      <c r="AB1183" s="120">
        <f t="shared" si="214"/>
        <v>1249169</v>
      </c>
      <c r="AC1183" s="123">
        <v>0</v>
      </c>
      <c r="AD1183" s="123">
        <f>512200+346198+245771+145000</f>
        <v>1249169</v>
      </c>
      <c r="AE1183" s="123">
        <v>37166</v>
      </c>
      <c r="AG1183" s="151">
        <f t="shared" si="211"/>
        <v>282707</v>
      </c>
      <c r="AH1183" s="123">
        <f>276386+6321+AL1183</f>
        <v>329541</v>
      </c>
      <c r="AJ1183" s="123">
        <v>106250</v>
      </c>
      <c r="AK1183" s="123">
        <f>250+519</f>
        <v>769</v>
      </c>
      <c r="AL1183" s="123">
        <v>46834</v>
      </c>
      <c r="AO1183" s="123">
        <f>499960+249980</f>
        <v>749940</v>
      </c>
    </row>
    <row r="1184" spans="1:41" s="123" customFormat="1" ht="16.2" thickBot="1" x14ac:dyDescent="0.35">
      <c r="A1184" s="21"/>
      <c r="B1184" s="212" t="s">
        <v>265</v>
      </c>
      <c r="C1184" s="31" t="str">
        <f>VLOOKUP((CONCATENATE(B1184)),ID!$A$2:$D$305,3,0)</f>
        <v>GLC10</v>
      </c>
      <c r="D1184" s="21">
        <v>1</v>
      </c>
      <c r="E1184" s="21" t="s">
        <v>344</v>
      </c>
      <c r="F1184" s="21" t="s">
        <v>1117</v>
      </c>
      <c r="G1184" s="21" t="s">
        <v>3821</v>
      </c>
      <c r="H1184" s="88">
        <v>4749</v>
      </c>
      <c r="I1184" s="43">
        <v>4854</v>
      </c>
      <c r="J1184" s="43">
        <v>4848</v>
      </c>
      <c r="K1184" s="21">
        <v>1</v>
      </c>
      <c r="L1184" s="43">
        <v>4854</v>
      </c>
      <c r="M1184" s="43">
        <v>4868</v>
      </c>
      <c r="N1184" s="43">
        <v>4868</v>
      </c>
      <c r="O1184" s="21" t="s">
        <v>3958</v>
      </c>
      <c r="P1184" s="194" t="str">
        <f t="shared" si="217"/>
        <v>1</v>
      </c>
      <c r="Q1184" s="21">
        <v>1</v>
      </c>
      <c r="R1184" s="39" t="str">
        <f t="shared" si="220"/>
        <v>-</v>
      </c>
      <c r="S1184" s="120">
        <f t="shared" si="218"/>
        <v>270313</v>
      </c>
      <c r="T1184" s="123">
        <v>5697580</v>
      </c>
      <c r="U1184" s="123">
        <f>3650625+8131+29249+46846+627153</f>
        <v>4362004</v>
      </c>
      <c r="V1184" s="123">
        <f t="shared" si="212"/>
        <v>1335576</v>
      </c>
      <c r="W1184" s="122" t="str">
        <f t="shared" si="213"/>
        <v>1</v>
      </c>
      <c r="X1184" s="123">
        <f>Y1184+19118+125122+7921</f>
        <v>5427267</v>
      </c>
      <c r="Y1184" s="123">
        <f>AB1184+8645</f>
        <v>5275106</v>
      </c>
      <c r="Z1184" s="123">
        <f t="shared" si="215"/>
        <v>152161</v>
      </c>
      <c r="AA1184" s="122" t="str">
        <f t="shared" si="216"/>
        <v>1</v>
      </c>
      <c r="AB1184" s="120">
        <f t="shared" si="214"/>
        <v>5266461</v>
      </c>
      <c r="AC1184" s="123">
        <v>0</v>
      </c>
      <c r="AD1184" s="123">
        <f>3799700+502300+342734+244734+376993</f>
        <v>5266461</v>
      </c>
      <c r="AE1184" s="123">
        <v>96490</v>
      </c>
      <c r="AG1184" s="151">
        <f t="shared" si="211"/>
        <v>259567</v>
      </c>
      <c r="AH1184" s="123">
        <f>253067+6500+AL1184</f>
        <v>311216</v>
      </c>
      <c r="AJ1184" s="123">
        <v>106524</v>
      </c>
      <c r="AK1184" s="123">
        <v>698</v>
      </c>
      <c r="AL1184" s="123">
        <v>51649</v>
      </c>
      <c r="AO1184" s="123">
        <f>499960+249980</f>
        <v>749940</v>
      </c>
    </row>
    <row r="1185" spans="1:41" s="123" customFormat="1" ht="16.2" thickBot="1" x14ac:dyDescent="0.35">
      <c r="A1185" s="21"/>
      <c r="B1185" s="212" t="s">
        <v>265</v>
      </c>
      <c r="C1185" s="31" t="str">
        <f>VLOOKUP((CONCATENATE(B1185)),ID!$A$2:$D$305,3,0)</f>
        <v>GLC10</v>
      </c>
      <c r="D1185" s="21">
        <v>1</v>
      </c>
      <c r="E1185" s="21" t="s">
        <v>344</v>
      </c>
      <c r="F1185" s="21" t="s">
        <v>1117</v>
      </c>
      <c r="G1185" s="21" t="s">
        <v>3821</v>
      </c>
      <c r="H1185" s="88">
        <v>5114</v>
      </c>
      <c r="I1185" s="43">
        <v>5208</v>
      </c>
      <c r="J1185" s="43">
        <v>5200</v>
      </c>
      <c r="K1185" s="21">
        <v>1</v>
      </c>
      <c r="L1185" s="43">
        <v>5201</v>
      </c>
      <c r="M1185" s="43">
        <v>5213</v>
      </c>
      <c r="N1185" s="43">
        <v>5221</v>
      </c>
      <c r="O1185" s="21" t="s">
        <v>3958</v>
      </c>
      <c r="P1185" s="194" t="str">
        <f t="shared" si="217"/>
        <v>1</v>
      </c>
      <c r="Q1185" s="21">
        <v>1</v>
      </c>
      <c r="R1185" s="39" t="str">
        <f t="shared" si="220"/>
        <v>-</v>
      </c>
      <c r="S1185" s="120">
        <f t="shared" si="218"/>
        <v>280509</v>
      </c>
      <c r="T1185" s="123">
        <v>5904793</v>
      </c>
      <c r="U1185" s="123">
        <f>3834115+7510+24249+44700+592153</f>
        <v>4502727</v>
      </c>
      <c r="V1185" s="123">
        <f t="shared" si="212"/>
        <v>1402066</v>
      </c>
      <c r="W1185" s="122" t="str">
        <f t="shared" si="213"/>
        <v>1</v>
      </c>
      <c r="X1185" s="123">
        <f>Y1185+23688+121478</f>
        <v>5624284</v>
      </c>
      <c r="Y1185" s="123">
        <f>AB1185+7174</f>
        <v>5479118</v>
      </c>
      <c r="Z1185" s="123">
        <f t="shared" si="215"/>
        <v>145166</v>
      </c>
      <c r="AA1185" s="122" t="str">
        <f t="shared" si="216"/>
        <v>1</v>
      </c>
      <c r="AB1185" s="120">
        <f t="shared" si="214"/>
        <v>5471944</v>
      </c>
      <c r="AC1185" s="123">
        <v>0</v>
      </c>
      <c r="AD1185" s="123">
        <f>3799700+491600+338732+241912+600000</f>
        <v>5471944</v>
      </c>
      <c r="AE1185" s="123">
        <v>13583</v>
      </c>
      <c r="AG1185" s="151">
        <f t="shared" si="211"/>
        <v>281197</v>
      </c>
      <c r="AH1185" s="123">
        <f>274424+AL1185+6773</f>
        <v>348147</v>
      </c>
      <c r="AJ1185" s="123">
        <v>108000</v>
      </c>
      <c r="AK1185" s="123">
        <v>813</v>
      </c>
      <c r="AL1185" s="123">
        <v>66950</v>
      </c>
      <c r="AO1185" s="123">
        <f>499960+249980</f>
        <v>749940</v>
      </c>
    </row>
    <row r="1186" spans="1:41" s="123" customFormat="1" ht="16.2" thickBot="1" x14ac:dyDescent="0.35">
      <c r="A1186" s="21"/>
      <c r="B1186" s="212" t="s">
        <v>291</v>
      </c>
      <c r="C1186" s="31" t="str">
        <f>VLOOKUP((CONCATENATE(B1186)),ID!$A$2:$D$305,3,0)</f>
        <v>GLC11</v>
      </c>
      <c r="D1186" s="21">
        <v>0</v>
      </c>
      <c r="E1186" s="21" t="s">
        <v>344</v>
      </c>
      <c r="F1186" s="21" t="s">
        <v>1117</v>
      </c>
      <c r="G1186" s="21" t="s">
        <v>3853</v>
      </c>
      <c r="H1186" s="94">
        <v>3653</v>
      </c>
      <c r="I1186" s="43">
        <v>3664</v>
      </c>
      <c r="J1186" s="43">
        <v>3677</v>
      </c>
      <c r="K1186" s="21">
        <v>1</v>
      </c>
      <c r="L1186" s="43">
        <v>3679</v>
      </c>
      <c r="M1186" s="43">
        <v>3693</v>
      </c>
      <c r="N1186" s="43">
        <v>3693</v>
      </c>
      <c r="O1186" s="21" t="s">
        <v>4124</v>
      </c>
      <c r="P1186" s="194" t="str">
        <f t="shared" si="217"/>
        <v>1</v>
      </c>
      <c r="Q1186" s="21">
        <v>1</v>
      </c>
      <c r="R1186" s="39" t="str">
        <f t="shared" si="220"/>
        <v>-</v>
      </c>
      <c r="S1186" s="120">
        <f t="shared" si="218"/>
        <v>834672</v>
      </c>
      <c r="T1186" s="123">
        <v>1094879</v>
      </c>
      <c r="U1186" s="123">
        <f>211564</f>
        <v>211564</v>
      </c>
      <c r="V1186" s="123">
        <f t="shared" si="212"/>
        <v>883315</v>
      </c>
      <c r="W1186" s="122" t="str">
        <f t="shared" si="213"/>
        <v>1</v>
      </c>
      <c r="X1186" s="123">
        <f>T1186-266192-255378-184171-29658-99273</f>
        <v>260207</v>
      </c>
      <c r="Y1186" s="123">
        <f>15123+52149</f>
        <v>67272</v>
      </c>
      <c r="Z1186" s="123">
        <f t="shared" si="215"/>
        <v>192935</v>
      </c>
      <c r="AA1186" s="122" t="str">
        <f t="shared" si="216"/>
        <v>1</v>
      </c>
      <c r="AB1186" s="120">
        <f t="shared" si="214"/>
        <v>45000</v>
      </c>
      <c r="AC1186" s="123">
        <v>0</v>
      </c>
      <c r="AD1186" s="123">
        <v>45000</v>
      </c>
      <c r="AE1186" s="123">
        <f>38386</f>
        <v>38386</v>
      </c>
      <c r="AG1186" s="151">
        <f t="shared" ref="AG1186:AG1246" si="221">AH1186-AL1186-AI1186</f>
        <v>188653</v>
      </c>
      <c r="AH1186" s="123">
        <f>220978+239</f>
        <v>221217</v>
      </c>
      <c r="AJ1186" s="123">
        <v>175750</v>
      </c>
      <c r="AL1186" s="123">
        <f>4133+28431</f>
        <v>32564</v>
      </c>
      <c r="AM1186" s="123">
        <f>AN1186-520847</f>
        <v>120884</v>
      </c>
      <c r="AN1186" s="123">
        <v>641731</v>
      </c>
    </row>
    <row r="1187" spans="1:41" s="123" customFormat="1" ht="16.2" thickBot="1" x14ac:dyDescent="0.35">
      <c r="A1187" s="21"/>
      <c r="B1187" s="212" t="s">
        <v>291</v>
      </c>
      <c r="C1187" s="31" t="str">
        <f>VLOOKUP((CONCATENATE(B1187)),ID!$A$2:$D$305,3,0)</f>
        <v>GLC11</v>
      </c>
      <c r="D1187" s="21">
        <v>0</v>
      </c>
      <c r="E1187" s="21" t="s">
        <v>344</v>
      </c>
      <c r="F1187" s="21" t="s">
        <v>1117</v>
      </c>
      <c r="G1187" s="21" t="s">
        <v>3853</v>
      </c>
      <c r="H1187" s="94">
        <v>3834</v>
      </c>
      <c r="I1187" s="43">
        <v>3850</v>
      </c>
      <c r="J1187" s="43">
        <v>3861</v>
      </c>
      <c r="K1187" s="21">
        <v>1</v>
      </c>
      <c r="L1187" s="43">
        <v>3861</v>
      </c>
      <c r="M1187" s="43">
        <v>3875</v>
      </c>
      <c r="N1187" s="43">
        <v>3875</v>
      </c>
      <c r="O1187" s="21" t="s">
        <v>3959</v>
      </c>
      <c r="P1187" s="194" t="str">
        <f t="shared" si="217"/>
        <v>1</v>
      </c>
      <c r="Q1187" s="21">
        <v>1</v>
      </c>
      <c r="R1187" s="39" t="str">
        <f t="shared" si="220"/>
        <v>-</v>
      </c>
      <c r="S1187" s="120">
        <f t="shared" si="218"/>
        <v>843809</v>
      </c>
      <c r="T1187" s="123">
        <v>1061807</v>
      </c>
      <c r="U1187" s="123">
        <f>210766</f>
        <v>210766</v>
      </c>
      <c r="V1187" s="123">
        <f t="shared" si="212"/>
        <v>851041</v>
      </c>
      <c r="W1187" s="122" t="str">
        <f t="shared" si="213"/>
        <v>1</v>
      </c>
      <c r="X1187" s="123">
        <f>T1187-261811-268309-184021-30619-99049</f>
        <v>217998</v>
      </c>
      <c r="Y1187" s="123">
        <f>37419+53705</f>
        <v>91124</v>
      </c>
      <c r="Z1187" s="123">
        <f t="shared" si="215"/>
        <v>126874</v>
      </c>
      <c r="AA1187" s="122" t="str">
        <f t="shared" si="216"/>
        <v>1</v>
      </c>
      <c r="AB1187" s="120">
        <f t="shared" si="214"/>
        <v>0</v>
      </c>
      <c r="AC1187" s="123">
        <v>0</v>
      </c>
      <c r="AD1187" s="123">
        <v>0</v>
      </c>
      <c r="AE1187" s="123">
        <f>3000+177666</f>
        <v>180666</v>
      </c>
      <c r="AG1187" s="151">
        <f t="shared" si="221"/>
        <v>188683</v>
      </c>
      <c r="AH1187" s="123">
        <f>219884+648</f>
        <v>220532</v>
      </c>
      <c r="AJ1187" s="123">
        <v>175750</v>
      </c>
      <c r="AL1187" s="123">
        <f>28431+3418</f>
        <v>31849</v>
      </c>
      <c r="AM1187" s="123">
        <f>AN1187-518488</f>
        <v>133971</v>
      </c>
      <c r="AN1187" s="123">
        <v>652459</v>
      </c>
    </row>
    <row r="1188" spans="1:41" s="123" customFormat="1" ht="16.2" thickBot="1" x14ac:dyDescent="0.35">
      <c r="A1188" s="21">
        <v>203.1</v>
      </c>
      <c r="B1188" s="212" t="s">
        <v>291</v>
      </c>
      <c r="C1188" s="31" t="str">
        <f>VLOOKUP((CONCATENATE(B1188)),ID!$A$2:$D$305,3,0)</f>
        <v>GLC11</v>
      </c>
      <c r="D1188" s="21">
        <v>0</v>
      </c>
      <c r="E1188" s="21" t="s">
        <v>344</v>
      </c>
      <c r="F1188" s="21" t="s">
        <v>1117</v>
      </c>
      <c r="G1188" s="21" t="s">
        <v>3853</v>
      </c>
      <c r="H1188" s="94">
        <v>4018</v>
      </c>
      <c r="I1188" s="43">
        <v>4034</v>
      </c>
      <c r="J1188" s="43">
        <v>4044</v>
      </c>
      <c r="K1188" s="21">
        <v>1</v>
      </c>
      <c r="L1188" s="43">
        <v>4043</v>
      </c>
      <c r="M1188" s="43">
        <v>4057</v>
      </c>
      <c r="N1188" s="43">
        <v>4057</v>
      </c>
      <c r="O1188" s="21" t="s">
        <v>3959</v>
      </c>
      <c r="P1188" s="194" t="str">
        <f t="shared" si="217"/>
        <v>1</v>
      </c>
      <c r="Q1188" s="21">
        <v>1</v>
      </c>
      <c r="R1188" s="39" t="str">
        <f t="shared" si="220"/>
        <v>-</v>
      </c>
      <c r="S1188" s="120">
        <f t="shared" si="218"/>
        <v>834600</v>
      </c>
      <c r="T1188" s="123">
        <v>1145342</v>
      </c>
      <c r="U1188" s="123">
        <v>210766</v>
      </c>
      <c r="V1188" s="123">
        <f t="shared" si="212"/>
        <v>934576</v>
      </c>
      <c r="W1188" s="122" t="str">
        <f t="shared" si="213"/>
        <v>1</v>
      </c>
      <c r="X1188" s="123">
        <f>T1188-258332-260959-186930-31279-97100</f>
        <v>310742</v>
      </c>
      <c r="Y1188" s="123">
        <f>33591+53901</f>
        <v>87492</v>
      </c>
      <c r="Z1188" s="123">
        <f t="shared" si="215"/>
        <v>223250</v>
      </c>
      <c r="AA1188" s="122" t="str">
        <f t="shared" si="216"/>
        <v>1</v>
      </c>
      <c r="AB1188" s="120">
        <f t="shared" si="214"/>
        <v>65000</v>
      </c>
      <c r="AC1188" s="123">
        <v>0</v>
      </c>
      <c r="AD1188" s="123">
        <v>65000</v>
      </c>
      <c r="AE1188" s="123">
        <f>42703+3000</f>
        <v>45703</v>
      </c>
      <c r="AG1188" s="151">
        <f t="shared" si="221"/>
        <v>1168401</v>
      </c>
      <c r="AH1188" s="123">
        <f>1199996+587</f>
        <v>1200583</v>
      </c>
      <c r="AJ1188" s="123">
        <v>175750</v>
      </c>
      <c r="AL1188" s="123">
        <f>3751+28431</f>
        <v>32182</v>
      </c>
      <c r="AM1188" s="123">
        <f>AN1188-546048</f>
        <v>101964</v>
      </c>
      <c r="AN1188" s="123">
        <v>648012</v>
      </c>
    </row>
    <row r="1189" spans="1:41" s="123" customFormat="1" ht="16.2" thickBot="1" x14ac:dyDescent="0.35">
      <c r="A1189" s="21">
        <v>203.2</v>
      </c>
      <c r="B1189" s="212" t="s">
        <v>291</v>
      </c>
      <c r="C1189" s="31" t="str">
        <f>VLOOKUP((CONCATENATE(B1189)),ID!$A$2:$D$305,3,0)</f>
        <v>GLC11</v>
      </c>
      <c r="D1189" s="21">
        <v>0</v>
      </c>
      <c r="E1189" s="21" t="s">
        <v>344</v>
      </c>
      <c r="F1189" s="21" t="s">
        <v>1117</v>
      </c>
      <c r="G1189" s="21" t="s">
        <v>3853</v>
      </c>
      <c r="H1189" s="94">
        <v>4199</v>
      </c>
      <c r="I1189" s="43">
        <v>4214</v>
      </c>
      <c r="J1189" s="43">
        <v>4225</v>
      </c>
      <c r="K1189" s="21">
        <v>1</v>
      </c>
      <c r="L1189" s="43">
        <v>4225</v>
      </c>
      <c r="M1189" s="43">
        <v>4239</v>
      </c>
      <c r="N1189" s="43">
        <v>4239</v>
      </c>
      <c r="O1189" s="21" t="s">
        <v>3959</v>
      </c>
      <c r="P1189" s="194" t="str">
        <f t="shared" si="217"/>
        <v>1</v>
      </c>
      <c r="Q1189" s="21">
        <v>1</v>
      </c>
      <c r="R1189" s="39" t="str">
        <f t="shared" si="220"/>
        <v>-</v>
      </c>
      <c r="S1189" s="120">
        <f t="shared" si="218"/>
        <v>870525</v>
      </c>
      <c r="T1189" s="123">
        <v>1077467</v>
      </c>
      <c r="U1189" s="123">
        <v>210766</v>
      </c>
      <c r="V1189" s="123">
        <f t="shared" si="212"/>
        <v>866701</v>
      </c>
      <c r="W1189" s="122" t="str">
        <f t="shared" si="213"/>
        <v>1</v>
      </c>
      <c r="X1189" s="123">
        <f>28756+31+2481+15392+78164+26773+55345</f>
        <v>206942</v>
      </c>
      <c r="Y1189" s="123">
        <f>55345+28756</f>
        <v>84101</v>
      </c>
      <c r="Z1189" s="123">
        <f t="shared" si="215"/>
        <v>122841</v>
      </c>
      <c r="AA1189" s="122" t="str">
        <f t="shared" si="216"/>
        <v>1</v>
      </c>
      <c r="AB1189" s="120">
        <f t="shared" si="214"/>
        <v>0</v>
      </c>
      <c r="AC1189" s="123">
        <v>0</v>
      </c>
      <c r="AD1189" s="123">
        <v>0</v>
      </c>
      <c r="AE1189" s="123">
        <f>105174+3000</f>
        <v>108174</v>
      </c>
      <c r="AG1189" s="151">
        <f t="shared" si="221"/>
        <v>210122</v>
      </c>
      <c r="AH1189" s="123">
        <f>306+242379</f>
        <v>242685</v>
      </c>
      <c r="AJ1189" s="123">
        <v>175750</v>
      </c>
      <c r="AL1189" s="123">
        <f>4132+28431</f>
        <v>32563</v>
      </c>
      <c r="AM1189" s="123">
        <f>AN1189-531437</f>
        <v>137756</v>
      </c>
      <c r="AN1189" s="123">
        <v>669193</v>
      </c>
    </row>
    <row r="1190" spans="1:41" s="123" customFormat="1" ht="16.2" thickBot="1" x14ac:dyDescent="0.35">
      <c r="A1190" s="21">
        <v>203.3</v>
      </c>
      <c r="B1190" s="212" t="s">
        <v>291</v>
      </c>
      <c r="C1190" s="31" t="str">
        <f>VLOOKUP((CONCATENATE(B1190)),ID!$A$2:$D$305,3,0)</f>
        <v>GLC11</v>
      </c>
      <c r="D1190" s="21">
        <v>0</v>
      </c>
      <c r="E1190" s="21" t="s">
        <v>344</v>
      </c>
      <c r="F1190" s="21" t="s">
        <v>1117</v>
      </c>
      <c r="G1190" s="21" t="s">
        <v>3853</v>
      </c>
      <c r="H1190" s="94">
        <v>4383</v>
      </c>
      <c r="I1190" s="43">
        <v>4403</v>
      </c>
      <c r="J1190" s="43">
        <v>4407</v>
      </c>
      <c r="K1190" s="21">
        <v>1</v>
      </c>
      <c r="L1190" s="43">
        <v>4414</v>
      </c>
      <c r="M1190" s="43">
        <v>4428</v>
      </c>
      <c r="N1190" s="43">
        <v>4428</v>
      </c>
      <c r="O1190" s="21" t="s">
        <v>3959</v>
      </c>
      <c r="P1190" s="194" t="str">
        <f t="shared" si="217"/>
        <v>1</v>
      </c>
      <c r="Q1190" s="21">
        <v>1</v>
      </c>
      <c r="R1190" s="39" t="str">
        <f t="shared" si="220"/>
        <v>-</v>
      </c>
      <c r="S1190" s="120">
        <f t="shared" si="218"/>
        <v>876455</v>
      </c>
      <c r="T1190" s="123">
        <v>1144501</v>
      </c>
      <c r="U1190" s="123">
        <v>210766</v>
      </c>
      <c r="V1190" s="123">
        <f t="shared" si="212"/>
        <v>933735</v>
      </c>
      <c r="W1190" s="122" t="str">
        <f t="shared" si="213"/>
        <v>1</v>
      </c>
      <c r="X1190" s="123">
        <f>57404+9900+54+2541+15040+101334+26773+AB1190</f>
        <v>268046</v>
      </c>
      <c r="Y1190" s="123">
        <f>57404+9900</f>
        <v>67304</v>
      </c>
      <c r="Z1190" s="123">
        <f t="shared" si="215"/>
        <v>200742</v>
      </c>
      <c r="AA1190" s="122" t="str">
        <f t="shared" si="216"/>
        <v>1</v>
      </c>
      <c r="AB1190" s="120">
        <f t="shared" si="214"/>
        <v>55000</v>
      </c>
      <c r="AC1190" s="123">
        <v>0</v>
      </c>
      <c r="AD1190" s="123">
        <v>55000</v>
      </c>
      <c r="AE1190" s="123">
        <f>23845+4000</f>
        <v>27845</v>
      </c>
      <c r="AG1190" s="151">
        <f t="shared" si="221"/>
        <v>182147</v>
      </c>
      <c r="AH1190" s="123">
        <f>214358+311</f>
        <v>214669</v>
      </c>
      <c r="AJ1190" s="123">
        <v>175750</v>
      </c>
      <c r="AL1190" s="123">
        <f>4091+28431</f>
        <v>32522</v>
      </c>
      <c r="AM1190" s="123">
        <f>AN1190-519972</f>
        <v>106665</v>
      </c>
      <c r="AN1190" s="123">
        <v>626637</v>
      </c>
    </row>
    <row r="1191" spans="1:41" s="123" customFormat="1" ht="16.2" thickBot="1" x14ac:dyDescent="0.35">
      <c r="A1191" s="21">
        <v>203.4</v>
      </c>
      <c r="B1191" s="212" t="s">
        <v>291</v>
      </c>
      <c r="C1191" s="31" t="str">
        <f>VLOOKUP((CONCATENATE(B1191)),ID!$A$2:$D$305,3,0)</f>
        <v>GLC11</v>
      </c>
      <c r="D1191" s="21">
        <v>0</v>
      </c>
      <c r="E1191" s="21" t="s">
        <v>344</v>
      </c>
      <c r="F1191" s="21" t="s">
        <v>1117</v>
      </c>
      <c r="G1191" s="21" t="s">
        <v>3853</v>
      </c>
      <c r="H1191" s="94">
        <v>4565</v>
      </c>
      <c r="I1191" s="43">
        <v>4585</v>
      </c>
      <c r="J1191" s="43">
        <v>4591</v>
      </c>
      <c r="K1191" s="21">
        <v>1</v>
      </c>
      <c r="L1191" s="43">
        <v>4596</v>
      </c>
      <c r="M1191" s="43">
        <v>4610</v>
      </c>
      <c r="N1191" s="43">
        <v>4610</v>
      </c>
      <c r="O1191" s="21" t="s">
        <v>3959</v>
      </c>
      <c r="P1191" s="194" t="str">
        <f t="shared" si="217"/>
        <v>1</v>
      </c>
      <c r="Q1191" s="21">
        <v>1</v>
      </c>
      <c r="R1191" s="39" t="str">
        <f t="shared" si="220"/>
        <v>-</v>
      </c>
      <c r="S1191" s="120">
        <f t="shared" si="218"/>
        <v>821602</v>
      </c>
      <c r="T1191" s="123">
        <v>1045682</v>
      </c>
      <c r="U1191" s="123">
        <v>201556</v>
      </c>
      <c r="V1191" s="123">
        <f t="shared" si="212"/>
        <v>844126</v>
      </c>
      <c r="W1191" s="122" t="str">
        <f t="shared" si="213"/>
        <v>1</v>
      </c>
      <c r="X1191" s="123">
        <f>32084+56+2121+14779+78916+26773+69351</f>
        <v>224080</v>
      </c>
      <c r="Y1191" s="123">
        <f>32084+69351</f>
        <v>101435</v>
      </c>
      <c r="Z1191" s="123">
        <f t="shared" si="215"/>
        <v>122645</v>
      </c>
      <c r="AA1191" s="122" t="str">
        <f t="shared" si="216"/>
        <v>1</v>
      </c>
      <c r="AB1191" s="120">
        <f t="shared" si="214"/>
        <v>0</v>
      </c>
      <c r="AC1191" s="123">
        <v>0</v>
      </c>
      <c r="AD1191" s="123">
        <v>0</v>
      </c>
      <c r="AE1191" s="123">
        <f>98313+4000</f>
        <v>102313</v>
      </c>
      <c r="AG1191" s="151">
        <f t="shared" si="221"/>
        <v>128808</v>
      </c>
      <c r="AH1191" s="123">
        <f>160213+710</f>
        <v>160923</v>
      </c>
      <c r="AJ1191" s="123">
        <v>175750</v>
      </c>
      <c r="AL1191" s="123">
        <f>3684+28431</f>
        <v>32115</v>
      </c>
      <c r="AM1191" s="123">
        <f>AN1191-638810</f>
        <v>48345</v>
      </c>
      <c r="AN1191" s="123">
        <v>687155</v>
      </c>
    </row>
    <row r="1192" spans="1:41" s="123" customFormat="1" ht="16.2" thickBot="1" x14ac:dyDescent="0.35">
      <c r="A1192" s="21"/>
      <c r="B1192" s="212" t="s">
        <v>291</v>
      </c>
      <c r="C1192" s="31" t="str">
        <f>VLOOKUP((CONCATENATE(B1192)),ID!$A$2:$D$305,3,0)</f>
        <v>GLC11</v>
      </c>
      <c r="D1192" s="21">
        <v>0</v>
      </c>
      <c r="E1192" s="21" t="s">
        <v>344</v>
      </c>
      <c r="F1192" s="21" t="s">
        <v>1117</v>
      </c>
      <c r="G1192" s="21" t="s">
        <v>3853</v>
      </c>
      <c r="H1192" s="94">
        <v>4749</v>
      </c>
      <c r="I1192" s="43">
        <v>4767</v>
      </c>
      <c r="J1192" s="43">
        <v>4776</v>
      </c>
      <c r="K1192" s="21">
        <v>1</v>
      </c>
      <c r="L1192" s="43">
        <v>4778</v>
      </c>
      <c r="M1192" s="43">
        <v>4792</v>
      </c>
      <c r="N1192" s="43">
        <v>4792</v>
      </c>
      <c r="O1192" s="21" t="s">
        <v>4123</v>
      </c>
      <c r="P1192" s="194" t="str">
        <f t="shared" si="217"/>
        <v>1</v>
      </c>
      <c r="Q1192" s="21">
        <v>1</v>
      </c>
      <c r="R1192" s="39" t="str">
        <f t="shared" si="220"/>
        <v>-</v>
      </c>
      <c r="S1192" s="120">
        <f t="shared" si="218"/>
        <v>788372</v>
      </c>
      <c r="T1192" s="123">
        <v>1098520</v>
      </c>
      <c r="U1192" s="123">
        <v>199459</v>
      </c>
      <c r="V1192" s="123">
        <f t="shared" si="212"/>
        <v>899061</v>
      </c>
      <c r="W1192" s="122" t="str">
        <f t="shared" si="213"/>
        <v>1</v>
      </c>
      <c r="X1192" s="123">
        <f>T1192-241441-298056-192749-34521-21605</f>
        <v>310148</v>
      </c>
      <c r="Y1192" s="123">
        <f>65648+31174</f>
        <v>96822</v>
      </c>
      <c r="Z1192" s="123">
        <f t="shared" si="215"/>
        <v>213326</v>
      </c>
      <c r="AA1192" s="122" t="str">
        <f t="shared" si="216"/>
        <v>1</v>
      </c>
      <c r="AB1192" s="120">
        <f t="shared" si="214"/>
        <v>40000</v>
      </c>
      <c r="AC1192" s="123">
        <v>0</v>
      </c>
      <c r="AD1192" s="123">
        <v>40000</v>
      </c>
      <c r="AE1192" s="123">
        <f>33489+4000</f>
        <v>37489</v>
      </c>
      <c r="AG1192" s="151">
        <f t="shared" si="221"/>
        <v>144023</v>
      </c>
      <c r="AH1192" s="123">
        <f>175158+280</f>
        <v>175438</v>
      </c>
      <c r="AJ1192" s="123">
        <v>175750</v>
      </c>
      <c r="AL1192" s="123">
        <f>2934+28481</f>
        <v>31415</v>
      </c>
      <c r="AM1192" s="123">
        <f>AN1192-628371</f>
        <v>34347</v>
      </c>
      <c r="AN1192" s="123">
        <v>662718</v>
      </c>
    </row>
    <row r="1193" spans="1:41" s="123" customFormat="1" ht="16.2" thickBot="1" x14ac:dyDescent="0.35">
      <c r="A1193" s="21"/>
      <c r="B1193" s="212" t="s">
        <v>291</v>
      </c>
      <c r="C1193" s="31" t="str">
        <f>VLOOKUP((CONCATENATE(B1193)),ID!$A$2:$D$305,3,0)</f>
        <v>GLC11</v>
      </c>
      <c r="D1193" s="21">
        <v>0</v>
      </c>
      <c r="E1193" s="21" t="s">
        <v>344</v>
      </c>
      <c r="F1193" s="21" t="s">
        <v>1117</v>
      </c>
      <c r="G1193" s="21" t="s">
        <v>3853</v>
      </c>
      <c r="H1193" s="94">
        <v>4930</v>
      </c>
      <c r="I1193" s="43">
        <v>4949</v>
      </c>
      <c r="J1193" s="43">
        <v>4959</v>
      </c>
      <c r="K1193" s="21">
        <v>1</v>
      </c>
      <c r="L1193" s="43">
        <v>4960</v>
      </c>
      <c r="M1193" s="43">
        <v>4974</v>
      </c>
      <c r="N1193" s="43">
        <v>4974</v>
      </c>
      <c r="O1193" s="21" t="s">
        <v>4123</v>
      </c>
      <c r="P1193" s="194" t="str">
        <f t="shared" si="217"/>
        <v>1</v>
      </c>
      <c r="Q1193" s="21">
        <v>1</v>
      </c>
      <c r="R1193" s="39" t="str">
        <f t="shared" si="220"/>
        <v>-</v>
      </c>
      <c r="S1193" s="120">
        <f t="shared" si="218"/>
        <v>786020</v>
      </c>
      <c r="T1193" s="123">
        <v>1039188</v>
      </c>
      <c r="U1193" s="123">
        <v>194200</v>
      </c>
      <c r="V1193" s="123">
        <f t="shared" si="212"/>
        <v>844988</v>
      </c>
      <c r="W1193" s="122" t="str">
        <f t="shared" si="213"/>
        <v>1</v>
      </c>
      <c r="X1193" s="123">
        <f>T1193-237946-299262-191755-35606-21451</f>
        <v>253168</v>
      </c>
      <c r="Y1193" s="123">
        <f>48361+66807</f>
        <v>115168</v>
      </c>
      <c r="Z1193" s="123">
        <f t="shared" si="215"/>
        <v>138000</v>
      </c>
      <c r="AA1193" s="122" t="str">
        <f t="shared" si="216"/>
        <v>1</v>
      </c>
      <c r="AB1193" s="120">
        <f t="shared" si="214"/>
        <v>30000</v>
      </c>
      <c r="AC1193" s="123">
        <v>0</v>
      </c>
      <c r="AD1193" s="123">
        <v>30000</v>
      </c>
      <c r="AE1193" s="123">
        <f>21499+4000</f>
        <v>25499</v>
      </c>
      <c r="AG1193" s="151">
        <f t="shared" si="221"/>
        <v>177457</v>
      </c>
      <c r="AH1193" s="123">
        <f>209121+152</f>
        <v>209273</v>
      </c>
      <c r="AJ1193" s="123">
        <v>175750</v>
      </c>
      <c r="AL1193" s="123">
        <f>3385+28431</f>
        <v>31816</v>
      </c>
      <c r="AM1193" s="123">
        <f>AN1193-641296</f>
        <v>57880</v>
      </c>
      <c r="AN1193" s="123">
        <v>699176</v>
      </c>
    </row>
    <row r="1194" spans="1:41" s="123" customFormat="1" ht="16.2" thickBot="1" x14ac:dyDescent="0.35">
      <c r="A1194" s="21"/>
      <c r="B1194" s="212" t="s">
        <v>291</v>
      </c>
      <c r="C1194" s="31" t="str">
        <f>VLOOKUP((CONCATENATE(B1194)),ID!$A$2:$D$305,3,0)</f>
        <v>GLC11</v>
      </c>
      <c r="D1194" s="21">
        <v>0</v>
      </c>
      <c r="E1194" s="21" t="s">
        <v>344</v>
      </c>
      <c r="F1194" s="21" t="s">
        <v>1117</v>
      </c>
      <c r="G1194" s="21" t="s">
        <v>3853</v>
      </c>
      <c r="H1194" s="94">
        <v>5114</v>
      </c>
      <c r="I1194" s="43">
        <v>5131</v>
      </c>
      <c r="J1194" s="43">
        <v>5141</v>
      </c>
      <c r="K1194" s="21">
        <v>1</v>
      </c>
      <c r="L1194" s="43">
        <v>5142</v>
      </c>
      <c r="M1194" s="43">
        <v>5156</v>
      </c>
      <c r="N1194" s="43">
        <v>5156</v>
      </c>
      <c r="O1194" s="21" t="s">
        <v>4123</v>
      </c>
      <c r="P1194" s="194" t="str">
        <f t="shared" si="217"/>
        <v>1</v>
      </c>
      <c r="Q1194" s="21">
        <v>1</v>
      </c>
      <c r="R1194" s="39" t="str">
        <f t="shared" si="220"/>
        <v>-</v>
      </c>
      <c r="S1194" s="120">
        <f t="shared" si="218"/>
        <v>710053</v>
      </c>
      <c r="T1194" s="123">
        <v>1244896</v>
      </c>
      <c r="U1194" s="123">
        <v>178042</v>
      </c>
      <c r="V1194" s="123">
        <f t="shared" si="212"/>
        <v>1066854</v>
      </c>
      <c r="W1194" s="122" t="str">
        <f t="shared" si="213"/>
        <v>1</v>
      </c>
      <c r="X1194" s="123">
        <f>T1194-233190-240421-192538-23550-20354</f>
        <v>534843</v>
      </c>
      <c r="Y1194" s="123">
        <f>68771+40477</f>
        <v>109248</v>
      </c>
      <c r="Z1194" s="123">
        <f t="shared" si="215"/>
        <v>425595</v>
      </c>
      <c r="AA1194" s="122" t="str">
        <f t="shared" si="216"/>
        <v>1</v>
      </c>
      <c r="AB1194" s="120">
        <f t="shared" si="214"/>
        <v>300000</v>
      </c>
      <c r="AC1194" s="123">
        <v>0</v>
      </c>
      <c r="AD1194" s="123">
        <v>300000</v>
      </c>
      <c r="AE1194" s="123">
        <f>41952+4000</f>
        <v>45952</v>
      </c>
      <c r="AG1194" s="151">
        <f t="shared" si="221"/>
        <v>116920</v>
      </c>
      <c r="AH1194" s="123">
        <f>152462+63</f>
        <v>152525</v>
      </c>
      <c r="AJ1194" s="123">
        <v>175750</v>
      </c>
      <c r="AL1194" s="123">
        <f>7184+28421</f>
        <v>35605</v>
      </c>
      <c r="AM1194" s="123">
        <f>AN1194-676500</f>
        <v>-3437</v>
      </c>
      <c r="AN1194" s="123">
        <f>394109+278954</f>
        <v>673063</v>
      </c>
    </row>
    <row r="1195" spans="1:41" s="123" customFormat="1" ht="16.2" thickBot="1" x14ac:dyDescent="0.35">
      <c r="A1195" s="21"/>
      <c r="B1195" s="212" t="s">
        <v>291</v>
      </c>
      <c r="C1195" s="31" t="str">
        <f>VLOOKUP((CONCATENATE(B1195)),ID!$A$2:$D$305,3,0)</f>
        <v>GLC11</v>
      </c>
      <c r="D1195" s="21">
        <v>0</v>
      </c>
      <c r="E1195" s="21" t="s">
        <v>344</v>
      </c>
      <c r="F1195" s="21" t="s">
        <v>1117</v>
      </c>
      <c r="G1195" s="21" t="s">
        <v>3853</v>
      </c>
      <c r="H1195" s="94">
        <v>5295</v>
      </c>
      <c r="I1195" s="43">
        <v>5313</v>
      </c>
      <c r="J1195" s="43">
        <v>5325</v>
      </c>
      <c r="K1195" s="21">
        <v>1</v>
      </c>
      <c r="L1195" s="43">
        <v>5324</v>
      </c>
      <c r="M1195" s="43">
        <v>5338</v>
      </c>
      <c r="N1195" s="43">
        <v>5338</v>
      </c>
      <c r="O1195" s="21" t="s">
        <v>4123</v>
      </c>
      <c r="P1195" s="194">
        <v>1</v>
      </c>
      <c r="Q1195" s="21">
        <v>1</v>
      </c>
      <c r="R1195" s="39" t="str">
        <f t="shared" si="220"/>
        <v>-</v>
      </c>
      <c r="S1195" s="120">
        <f t="shared" si="218"/>
        <v>672506</v>
      </c>
      <c r="T1195" s="123">
        <v>1127516</v>
      </c>
      <c r="U1195" s="123">
        <v>178042</v>
      </c>
      <c r="V1195" s="123">
        <f t="shared" si="212"/>
        <v>949474</v>
      </c>
      <c r="W1195" s="122" t="str">
        <f t="shared" si="213"/>
        <v>1</v>
      </c>
      <c r="X1195" s="123">
        <f>T1195-228677-202498-196106-24525-20700</f>
        <v>455010</v>
      </c>
      <c r="Y1195" s="123">
        <f>71305+63301</f>
        <v>134606</v>
      </c>
      <c r="Z1195" s="123">
        <f t="shared" si="215"/>
        <v>320404</v>
      </c>
      <c r="AA1195" s="122" t="str">
        <f t="shared" si="216"/>
        <v>1</v>
      </c>
      <c r="AB1195" s="120">
        <f t="shared" si="214"/>
        <v>200000</v>
      </c>
      <c r="AC1195" s="123">
        <v>0</v>
      </c>
      <c r="AD1195" s="123">
        <v>200000</v>
      </c>
      <c r="AE1195" s="123">
        <f>50189+4000</f>
        <v>54189</v>
      </c>
      <c r="AG1195" s="151">
        <f t="shared" si="221"/>
        <v>137833</v>
      </c>
      <c r="AH1195" s="123">
        <f>172969+128</f>
        <v>173097</v>
      </c>
      <c r="AL1195" s="123">
        <f>6833+28431</f>
        <v>35264</v>
      </c>
      <c r="AM1195" s="123">
        <f>AN1195-649053</f>
        <v>84972</v>
      </c>
      <c r="AN1195" s="123">
        <v>734025</v>
      </c>
    </row>
    <row r="1196" spans="1:41" s="123" customFormat="1" ht="16.2" thickBot="1" x14ac:dyDescent="0.35">
      <c r="A1196" s="21"/>
      <c r="B1196" s="212" t="s">
        <v>14</v>
      </c>
      <c r="C1196" s="31" t="str">
        <f>VLOOKUP((CONCATENATE(B1196)),ID!$A$2:$D$305,3,0)</f>
        <v>SP001</v>
      </c>
      <c r="D1196" s="21">
        <v>1</v>
      </c>
      <c r="E1196" s="21" t="s">
        <v>3960</v>
      </c>
      <c r="F1196" s="21" t="s">
        <v>1117</v>
      </c>
      <c r="G1196" s="21" t="s">
        <v>3776</v>
      </c>
      <c r="H1196" s="88">
        <v>3834</v>
      </c>
      <c r="I1196" s="43">
        <v>4006</v>
      </c>
      <c r="J1196" s="43">
        <v>4006</v>
      </c>
      <c r="K1196" s="21">
        <v>1</v>
      </c>
      <c r="L1196" s="43">
        <v>4008</v>
      </c>
      <c r="M1196" s="43">
        <v>4025</v>
      </c>
      <c r="N1196" s="43">
        <v>4016</v>
      </c>
      <c r="O1196" s="27" t="s">
        <v>3800</v>
      </c>
      <c r="P1196" s="194" t="str">
        <f t="shared" si="217"/>
        <v>1</v>
      </c>
      <c r="Q1196" s="21">
        <v>1</v>
      </c>
      <c r="R1196" s="39" t="str">
        <f t="shared" si="220"/>
        <v>-</v>
      </c>
      <c r="S1196" s="120">
        <f t="shared" si="218"/>
        <v>2071445</v>
      </c>
      <c r="T1196" s="123">
        <v>2692468</v>
      </c>
      <c r="U1196" s="123">
        <f>146150+26087+231530+1819829</f>
        <v>2223596</v>
      </c>
      <c r="V1196" s="123">
        <f t="shared" si="212"/>
        <v>468872</v>
      </c>
      <c r="W1196" s="122" t="str">
        <f t="shared" si="213"/>
        <v>1</v>
      </c>
      <c r="X1196" s="123">
        <f>Y1196+13600+14125+5329+101569</f>
        <v>621023</v>
      </c>
      <c r="Y1196" s="123">
        <f>AD1196</f>
        <v>486400</v>
      </c>
      <c r="Z1196" s="123">
        <f t="shared" si="215"/>
        <v>134623</v>
      </c>
      <c r="AA1196" s="122" t="str">
        <f t="shared" si="216"/>
        <v>1</v>
      </c>
      <c r="AB1196" s="120">
        <f t="shared" si="214"/>
        <v>486400</v>
      </c>
      <c r="AC1196" s="123">
        <v>0</v>
      </c>
      <c r="AD1196" s="123">
        <f>486400</f>
        <v>486400</v>
      </c>
      <c r="AE1196" s="123">
        <v>92066</v>
      </c>
      <c r="AF1196" s="123">
        <v>146150</v>
      </c>
      <c r="AG1196" s="151">
        <f t="shared" si="221"/>
        <v>130220</v>
      </c>
      <c r="AH1196" s="123">
        <f>187747-19678-2431-366-5713-3923</f>
        <v>155636</v>
      </c>
      <c r="AJ1196" s="123">
        <v>12000</v>
      </c>
      <c r="AL1196" s="123">
        <v>25416</v>
      </c>
      <c r="AO1196" s="123">
        <v>1800000</v>
      </c>
    </row>
    <row r="1197" spans="1:41" s="123" customFormat="1" ht="16.2" thickBot="1" x14ac:dyDescent="0.35">
      <c r="A1197" s="21">
        <v>205.1</v>
      </c>
      <c r="B1197" s="212" t="s">
        <v>14</v>
      </c>
      <c r="C1197" s="31" t="str">
        <f>VLOOKUP((CONCATENATE(B1197)),ID!$A$2:$D$305,3,0)</f>
        <v>SP001</v>
      </c>
      <c r="D1197" s="21">
        <v>1</v>
      </c>
      <c r="E1197" s="21" t="s">
        <v>3960</v>
      </c>
      <c r="F1197" s="21" t="s">
        <v>1117</v>
      </c>
      <c r="G1197" s="21" t="s">
        <v>3776</v>
      </c>
      <c r="H1197" s="88">
        <v>4199</v>
      </c>
      <c r="I1197" s="43">
        <v>4336</v>
      </c>
      <c r="J1197" s="43">
        <v>4335</v>
      </c>
      <c r="K1197" s="21">
        <v>1</v>
      </c>
      <c r="L1197" s="43">
        <v>4338</v>
      </c>
      <c r="M1197" s="43">
        <v>4352</v>
      </c>
      <c r="N1197" s="43">
        <v>4344</v>
      </c>
      <c r="O1197" s="27" t="s">
        <v>3800</v>
      </c>
      <c r="P1197" s="194" t="str">
        <f t="shared" si="217"/>
        <v>1</v>
      </c>
      <c r="Q1197" s="21">
        <v>1</v>
      </c>
      <c r="R1197" s="39" t="str">
        <f t="shared" si="220"/>
        <v>-</v>
      </c>
      <c r="S1197" s="120">
        <f t="shared" si="218"/>
        <v>2148380</v>
      </c>
      <c r="T1197" s="123">
        <v>3132346</v>
      </c>
      <c r="U1197" s="123">
        <f>T1197-295912-364726-86883-43894</f>
        <v>2340931</v>
      </c>
      <c r="V1197" s="123">
        <f t="shared" si="212"/>
        <v>791415</v>
      </c>
      <c r="W1197" s="122" t="str">
        <f t="shared" si="213"/>
        <v>1</v>
      </c>
      <c r="X1197" s="123">
        <f>767300+19440+22215+16976+158035</f>
        <v>983966</v>
      </c>
      <c r="Y1197" s="123">
        <v>767300</v>
      </c>
      <c r="Z1197" s="123">
        <f t="shared" si="215"/>
        <v>216666</v>
      </c>
      <c r="AA1197" s="122" t="str">
        <f t="shared" si="216"/>
        <v>1</v>
      </c>
      <c r="AB1197" s="120">
        <f t="shared" si="214"/>
        <v>767300</v>
      </c>
      <c r="AC1197" s="123">
        <v>0</v>
      </c>
      <c r="AD1197" s="123">
        <v>767300</v>
      </c>
      <c r="AE1197" s="123">
        <v>295912</v>
      </c>
      <c r="AF1197" s="123">
        <v>146150</v>
      </c>
      <c r="AG1197" s="151">
        <f t="shared" si="221"/>
        <v>193750</v>
      </c>
      <c r="AH1197" s="123">
        <f>258629-3069-400-10000-15000</f>
        <v>230160</v>
      </c>
      <c r="AI1197" s="123">
        <v>820</v>
      </c>
      <c r="AJ1197" s="123">
        <v>12000</v>
      </c>
      <c r="AL1197" s="123">
        <v>35590</v>
      </c>
      <c r="AO1197" s="123">
        <v>1800000</v>
      </c>
    </row>
    <row r="1198" spans="1:41" s="123" customFormat="1" ht="16.2" thickBot="1" x14ac:dyDescent="0.35">
      <c r="A1198" s="21">
        <v>205.2</v>
      </c>
      <c r="B1198" s="212" t="s">
        <v>14</v>
      </c>
      <c r="C1198" s="31" t="str">
        <f>VLOOKUP((CONCATENATE(B1198)),ID!$A$2:$D$305,3,0)</f>
        <v>SP001</v>
      </c>
      <c r="D1198" s="21">
        <v>1</v>
      </c>
      <c r="E1198" s="21" t="s">
        <v>3960</v>
      </c>
      <c r="F1198" s="21" t="s">
        <v>1117</v>
      </c>
      <c r="G1198" s="21" t="s">
        <v>3776</v>
      </c>
      <c r="H1198" s="88">
        <v>4565</v>
      </c>
      <c r="I1198" s="43">
        <v>4704</v>
      </c>
      <c r="J1198" s="43">
        <v>4702</v>
      </c>
      <c r="K1198" s="21">
        <v>1</v>
      </c>
      <c r="L1198" s="43">
        <v>4714</v>
      </c>
      <c r="M1198" s="43">
        <v>4718</v>
      </c>
      <c r="N1198" s="43">
        <v>4714</v>
      </c>
      <c r="O1198" s="27" t="s">
        <v>3800</v>
      </c>
      <c r="P1198" s="194" t="str">
        <f t="shared" si="217"/>
        <v>1</v>
      </c>
      <c r="Q1198" s="21">
        <v>1</v>
      </c>
      <c r="R1198" s="39" t="str">
        <f t="shared" si="220"/>
        <v>-</v>
      </c>
      <c r="S1198" s="120">
        <f t="shared" si="218"/>
        <v>2442480</v>
      </c>
      <c r="T1198" s="123">
        <v>3390876</v>
      </c>
      <c r="U1198" s="123">
        <f>2125621+252309+146150</f>
        <v>2524080</v>
      </c>
      <c r="V1198" s="123">
        <f t="shared" ref="V1198:V1262" si="222">T1198-U1198</f>
        <v>866796</v>
      </c>
      <c r="W1198" s="122" t="str">
        <f t="shared" ref="W1198:W1262" si="223">IF(V1198+U1198=T1198,"1","0")</f>
        <v>1</v>
      </c>
      <c r="X1198" s="123">
        <f>742500+25020+21676+32264+126936</f>
        <v>948396</v>
      </c>
      <c r="Y1198" s="123">
        <f>AB1198</f>
        <v>742500</v>
      </c>
      <c r="Z1198" s="123">
        <f t="shared" si="215"/>
        <v>205896</v>
      </c>
      <c r="AA1198" s="122" t="str">
        <f t="shared" si="216"/>
        <v>1</v>
      </c>
      <c r="AB1198" s="120">
        <f t="shared" ref="AB1198:AB1262" si="224">SUM(AC1198+AD1198)</f>
        <v>742500</v>
      </c>
      <c r="AC1198" s="123">
        <v>0</v>
      </c>
      <c r="AD1198" s="123">
        <v>742500</v>
      </c>
      <c r="AE1198" s="123">
        <v>250034</v>
      </c>
      <c r="AF1198" s="123">
        <v>146150</v>
      </c>
      <c r="AG1198" s="151">
        <f t="shared" si="221"/>
        <v>191805</v>
      </c>
      <c r="AH1198" s="123">
        <f>266042-2799-400-10000-15000</f>
        <v>237843</v>
      </c>
      <c r="AJ1198" s="123">
        <v>12000</v>
      </c>
      <c r="AL1198" s="123">
        <v>46038</v>
      </c>
      <c r="AO1198" s="123">
        <v>2000000</v>
      </c>
    </row>
    <row r="1199" spans="1:41" s="123" customFormat="1" ht="16.2" thickBot="1" x14ac:dyDescent="0.35">
      <c r="A1199" s="21"/>
      <c r="B1199" s="212" t="s">
        <v>14</v>
      </c>
      <c r="C1199" s="31" t="str">
        <f>VLOOKUP((CONCATENATE(B1199)),ID!$A$2:$D$305,3,0)</f>
        <v>SP001</v>
      </c>
      <c r="D1199" s="21">
        <v>1</v>
      </c>
      <c r="E1199" s="21" t="s">
        <v>3960</v>
      </c>
      <c r="F1199" s="21" t="s">
        <v>1117</v>
      </c>
      <c r="G1199" s="21" t="s">
        <v>3776</v>
      </c>
      <c r="H1199" s="88">
        <v>4930</v>
      </c>
      <c r="I1199" s="43">
        <v>5070</v>
      </c>
      <c r="J1199" s="43">
        <v>5066</v>
      </c>
      <c r="K1199" s="21">
        <v>1</v>
      </c>
      <c r="L1199" s="43">
        <v>5079</v>
      </c>
      <c r="M1199" s="43">
        <v>5082</v>
      </c>
      <c r="N1199" s="43">
        <v>5078</v>
      </c>
      <c r="O1199" s="27" t="s">
        <v>3800</v>
      </c>
      <c r="P1199" s="194" t="str">
        <f t="shared" si="217"/>
        <v>1</v>
      </c>
      <c r="Q1199" s="21">
        <v>1</v>
      </c>
      <c r="R1199" s="39" t="str">
        <f t="shared" si="220"/>
        <v>-</v>
      </c>
      <c r="S1199" s="120">
        <f t="shared" si="218"/>
        <v>2573340</v>
      </c>
      <c r="T1199" s="123">
        <v>3519963</v>
      </c>
      <c r="U1199" s="123">
        <f>146150+274140+2313002</f>
        <v>2733292</v>
      </c>
      <c r="V1199" s="123">
        <f t="shared" si="222"/>
        <v>786671</v>
      </c>
      <c r="W1199" s="122" t="str">
        <f t="shared" si="223"/>
        <v>1</v>
      </c>
      <c r="X1199" s="123">
        <f>Y1199+26400+20975+31074+151974</f>
        <v>946623</v>
      </c>
      <c r="Y1199" s="123">
        <f>AB1199</f>
        <v>716200</v>
      </c>
      <c r="Z1199" s="123">
        <f t="shared" si="215"/>
        <v>230423</v>
      </c>
      <c r="AA1199" s="122" t="str">
        <f t="shared" si="216"/>
        <v>1</v>
      </c>
      <c r="AB1199" s="120">
        <f t="shared" si="224"/>
        <v>716200</v>
      </c>
      <c r="AC1199" s="123">
        <v>0</v>
      </c>
      <c r="AD1199" s="123">
        <v>716200</v>
      </c>
      <c r="AE1199" s="123">
        <v>232041</v>
      </c>
      <c r="AF1199" s="123">
        <v>146150</v>
      </c>
      <c r="AG1199" s="151">
        <f t="shared" si="221"/>
        <v>206080</v>
      </c>
      <c r="AH1199" s="123">
        <f>186080+20000+AL1199</f>
        <v>250630</v>
      </c>
      <c r="AJ1199" s="123">
        <v>12000</v>
      </c>
      <c r="AL1199" s="123">
        <v>44550</v>
      </c>
      <c r="AO1199" s="123">
        <v>2000000</v>
      </c>
    </row>
    <row r="1200" spans="1:41" s="123" customFormat="1" ht="16.2" thickBot="1" x14ac:dyDescent="0.35">
      <c r="A1200" s="21"/>
      <c r="B1200" s="212" t="s">
        <v>14</v>
      </c>
      <c r="C1200" s="31" t="str">
        <f>VLOOKUP((CONCATENATE(B1200)),ID!$A$2:$D$305,3,0)</f>
        <v>SP001</v>
      </c>
      <c r="D1200" s="21">
        <v>1</v>
      </c>
      <c r="E1200" s="21" t="s">
        <v>3960</v>
      </c>
      <c r="F1200" s="21" t="s">
        <v>1117</v>
      </c>
      <c r="G1200" s="21" t="s">
        <v>3776</v>
      </c>
      <c r="H1200" s="88">
        <v>5295</v>
      </c>
      <c r="I1200" s="43">
        <v>5456</v>
      </c>
      <c r="J1200" s="43">
        <v>5455</v>
      </c>
      <c r="K1200" s="21">
        <v>1</v>
      </c>
      <c r="L1200" s="43">
        <v>5460</v>
      </c>
      <c r="M1200" s="43">
        <v>5465</v>
      </c>
      <c r="N1200" s="43">
        <v>5465</v>
      </c>
      <c r="O1200" s="27" t="s">
        <v>3800</v>
      </c>
      <c r="P1200" s="194" t="str">
        <f t="shared" si="217"/>
        <v>1</v>
      </c>
      <c r="Q1200" s="21">
        <v>1</v>
      </c>
      <c r="R1200" s="39" t="str">
        <f t="shared" si="220"/>
        <v>-</v>
      </c>
      <c r="S1200" s="120">
        <f t="shared" si="218"/>
        <v>2465502</v>
      </c>
      <c r="T1200" s="123">
        <v>3640058</v>
      </c>
      <c r="U1200" s="123">
        <f>146150+284738+2540525</f>
        <v>2971413</v>
      </c>
      <c r="V1200" s="123">
        <f t="shared" si="222"/>
        <v>668645</v>
      </c>
      <c r="W1200" s="122" t="str">
        <f t="shared" si="223"/>
        <v>1</v>
      </c>
      <c r="X1200" s="123">
        <f>Y1200+27900+24364+30587+103405</f>
        <v>1174556</v>
      </c>
      <c r="Y1200" s="123">
        <f>AB1200</f>
        <v>988300</v>
      </c>
      <c r="Z1200" s="123">
        <f t="shared" si="215"/>
        <v>186256</v>
      </c>
      <c r="AA1200" s="122" t="str">
        <f t="shared" si="216"/>
        <v>1</v>
      </c>
      <c r="AB1200" s="120">
        <f t="shared" si="224"/>
        <v>988300</v>
      </c>
      <c r="AC1200" s="123">
        <v>0</v>
      </c>
      <c r="AD1200" s="123">
        <f>688300+300000</f>
        <v>988300</v>
      </c>
      <c r="AE1200" s="123">
        <v>186129</v>
      </c>
      <c r="AF1200" s="123">
        <v>146150</v>
      </c>
      <c r="AG1200" s="151">
        <f t="shared" si="221"/>
        <v>0</v>
      </c>
      <c r="AH1200" s="123">
        <f>7482+AL1200</f>
        <v>54218</v>
      </c>
      <c r="AI1200" s="123">
        <v>7482</v>
      </c>
      <c r="AJ1200" s="123">
        <v>12000</v>
      </c>
      <c r="AL1200" s="123">
        <f>3764+42972</f>
        <v>46736</v>
      </c>
      <c r="AO1200" s="123">
        <v>2000000</v>
      </c>
    </row>
    <row r="1201" spans="1:41" s="123" customFormat="1" ht="16.2" thickBot="1" x14ac:dyDescent="0.35">
      <c r="A1201" s="21"/>
      <c r="B1201" s="212" t="s">
        <v>49</v>
      </c>
      <c r="C1201" s="31" t="str">
        <f>VLOOKUP((CONCATENATE(B1201)),ID!$A$2:$D$305,3,0)</f>
        <v>SP002</v>
      </c>
      <c r="D1201" s="21">
        <v>1</v>
      </c>
      <c r="E1201" s="21" t="s">
        <v>3960</v>
      </c>
      <c r="F1201" s="21" t="s">
        <v>1117</v>
      </c>
      <c r="G1201" s="21" t="s">
        <v>3853</v>
      </c>
      <c r="H1201" s="88" t="s">
        <v>4439</v>
      </c>
      <c r="I1201" s="43"/>
      <c r="J1201" s="43"/>
      <c r="K1201" s="21"/>
      <c r="L1201" s="43"/>
      <c r="M1201" s="43"/>
      <c r="N1201" s="43"/>
      <c r="O1201" s="21" t="s">
        <v>4127</v>
      </c>
      <c r="P1201" s="194" t="str">
        <f t="shared" si="217"/>
        <v>?</v>
      </c>
      <c r="Q1201" s="21">
        <v>1</v>
      </c>
      <c r="R1201" s="39" t="str">
        <f t="shared" si="220"/>
        <v>-</v>
      </c>
      <c r="S1201" s="120">
        <f t="shared" si="218"/>
        <v>0</v>
      </c>
      <c r="V1201" s="123">
        <f t="shared" si="222"/>
        <v>0</v>
      </c>
      <c r="W1201" s="122" t="str">
        <f t="shared" si="223"/>
        <v>1</v>
      </c>
      <c r="Z1201" s="123">
        <f t="shared" si="215"/>
        <v>0</v>
      </c>
      <c r="AA1201" s="122" t="str">
        <f t="shared" si="216"/>
        <v>1</v>
      </c>
      <c r="AB1201" s="120">
        <f t="shared" si="224"/>
        <v>0</v>
      </c>
      <c r="AG1201" s="151">
        <f t="shared" si="221"/>
        <v>0</v>
      </c>
    </row>
    <row r="1202" spans="1:41" s="123" customFormat="1" ht="16.2" thickBot="1" x14ac:dyDescent="0.35">
      <c r="A1202" s="21">
        <v>206.1</v>
      </c>
      <c r="B1202" s="212" t="s">
        <v>49</v>
      </c>
      <c r="C1202" s="31" t="str">
        <f>VLOOKUP((CONCATENATE(B1202)),ID!$A$2:$D$305,3,0)</f>
        <v>SP002</v>
      </c>
      <c r="D1202" s="21">
        <v>1</v>
      </c>
      <c r="E1202" s="21" t="s">
        <v>3960</v>
      </c>
      <c r="F1202" s="21" t="s">
        <v>1117</v>
      </c>
      <c r="G1202" s="21" t="s">
        <v>3853</v>
      </c>
      <c r="H1202" s="88" t="s">
        <v>4440</v>
      </c>
      <c r="I1202" s="21"/>
      <c r="J1202" s="21"/>
      <c r="K1202" s="21"/>
      <c r="L1202" s="21"/>
      <c r="M1202" s="21"/>
      <c r="N1202" s="21"/>
      <c r="O1202" s="21" t="s">
        <v>4127</v>
      </c>
      <c r="P1202" s="194" t="str">
        <f t="shared" si="217"/>
        <v>?</v>
      </c>
      <c r="Q1202" s="21">
        <v>1</v>
      </c>
      <c r="R1202" s="39" t="str">
        <f t="shared" si="220"/>
        <v>-</v>
      </c>
      <c r="S1202" s="120">
        <f t="shared" si="218"/>
        <v>0</v>
      </c>
      <c r="V1202" s="123">
        <f t="shared" si="222"/>
        <v>0</v>
      </c>
      <c r="W1202" s="122" t="str">
        <f t="shared" si="223"/>
        <v>1</v>
      </c>
      <c r="Z1202" s="123">
        <f t="shared" si="215"/>
        <v>0</v>
      </c>
      <c r="AA1202" s="122" t="str">
        <f t="shared" si="216"/>
        <v>1</v>
      </c>
      <c r="AB1202" s="120">
        <f t="shared" si="224"/>
        <v>0</v>
      </c>
      <c r="AG1202" s="151">
        <f t="shared" si="221"/>
        <v>0</v>
      </c>
    </row>
    <row r="1203" spans="1:41" s="123" customFormat="1" ht="16.2" thickBot="1" x14ac:dyDescent="0.35">
      <c r="A1203" s="21">
        <v>206.2</v>
      </c>
      <c r="B1203" s="212" t="s">
        <v>49</v>
      </c>
      <c r="C1203" s="31" t="str">
        <f>VLOOKUP((CONCATENATE(B1203)),ID!$A$2:$D$305,3,0)</f>
        <v>SP002</v>
      </c>
      <c r="D1203" s="21">
        <v>1</v>
      </c>
      <c r="E1203" s="21" t="s">
        <v>3960</v>
      </c>
      <c r="F1203" s="21" t="s">
        <v>1117</v>
      </c>
      <c r="G1203" s="21" t="s">
        <v>3853</v>
      </c>
      <c r="H1203" s="88" t="s">
        <v>4441</v>
      </c>
      <c r="I1203" s="21"/>
      <c r="J1203" s="21"/>
      <c r="K1203" s="21"/>
      <c r="L1203" s="21"/>
      <c r="M1203" s="21"/>
      <c r="N1203" s="21"/>
      <c r="O1203" s="21" t="s">
        <v>4127</v>
      </c>
      <c r="P1203" s="194" t="str">
        <f t="shared" si="217"/>
        <v>?</v>
      </c>
      <c r="Q1203" s="21">
        <v>1</v>
      </c>
      <c r="R1203" s="39" t="str">
        <f t="shared" si="220"/>
        <v>-</v>
      </c>
      <c r="S1203" s="120">
        <f t="shared" si="218"/>
        <v>0</v>
      </c>
      <c r="V1203" s="123">
        <f t="shared" si="222"/>
        <v>0</v>
      </c>
      <c r="W1203" s="122" t="str">
        <f t="shared" si="223"/>
        <v>1</v>
      </c>
      <c r="Z1203" s="123">
        <f t="shared" si="215"/>
        <v>0</v>
      </c>
      <c r="AA1203" s="122" t="str">
        <f t="shared" si="216"/>
        <v>1</v>
      </c>
      <c r="AB1203" s="120">
        <f t="shared" si="224"/>
        <v>0</v>
      </c>
      <c r="AG1203" s="151">
        <f t="shared" si="221"/>
        <v>0</v>
      </c>
    </row>
    <row r="1204" spans="1:41" s="123" customFormat="1" ht="16.2" thickBot="1" x14ac:dyDescent="0.35">
      <c r="A1204" s="21"/>
      <c r="B1204" s="212" t="s">
        <v>49</v>
      </c>
      <c r="C1204" s="31" t="str">
        <f>VLOOKUP((CONCATENATE(B1204)),ID!$A$2:$D$305,3,0)</f>
        <v>SP002</v>
      </c>
      <c r="D1204" s="21">
        <v>1</v>
      </c>
      <c r="E1204" s="21" t="s">
        <v>3960</v>
      </c>
      <c r="F1204" s="21" t="s">
        <v>1117</v>
      </c>
      <c r="G1204" s="21" t="s">
        <v>3853</v>
      </c>
      <c r="H1204" s="88" t="s">
        <v>4444</v>
      </c>
      <c r="I1204" s="43">
        <v>4876</v>
      </c>
      <c r="J1204" s="43">
        <v>4875</v>
      </c>
      <c r="K1204" s="21">
        <v>0</v>
      </c>
      <c r="L1204" s="21"/>
      <c r="M1204" s="21"/>
      <c r="N1204" s="43">
        <v>4890</v>
      </c>
      <c r="O1204" s="21" t="s">
        <v>4127</v>
      </c>
      <c r="P1204" s="194" t="str">
        <f t="shared" si="217"/>
        <v>1</v>
      </c>
      <c r="Q1204" s="21">
        <v>1</v>
      </c>
      <c r="R1204" s="39" t="str">
        <f t="shared" si="220"/>
        <v>-</v>
      </c>
      <c r="S1204" s="120">
        <f t="shared" si="218"/>
        <v>3252501</v>
      </c>
      <c r="T1204" s="123">
        <v>5319645</v>
      </c>
      <c r="U1204" s="123">
        <f>509970+3935551</f>
        <v>4445521</v>
      </c>
      <c r="V1204" s="123">
        <f t="shared" si="222"/>
        <v>874124</v>
      </c>
      <c r="W1204" s="122" t="str">
        <f t="shared" si="223"/>
        <v>1</v>
      </c>
      <c r="X1204" s="123">
        <f>Y1204+603314</f>
        <v>2067144</v>
      </c>
      <c r="Y1204" s="123">
        <f t="shared" ref="Y1204:Y1210" si="225">AB1204</f>
        <v>1463830</v>
      </c>
      <c r="Z1204" s="123">
        <f t="shared" ref="Z1204:Z1268" si="226">X1204-Y1204</f>
        <v>603314</v>
      </c>
      <c r="AA1204" s="122" t="str">
        <f t="shared" ref="AA1204:AA1268" si="227">IF(Z1204+Y1204=X1204,"1","0")</f>
        <v>1</v>
      </c>
      <c r="AB1204" s="120">
        <f t="shared" si="224"/>
        <v>1463830</v>
      </c>
      <c r="AC1204" s="123">
        <v>0</v>
      </c>
      <c r="AD1204" s="123">
        <f>1463830</f>
        <v>1463830</v>
      </c>
      <c r="AE1204" s="123">
        <v>241810</v>
      </c>
      <c r="AG1204" s="151">
        <f t="shared" si="221"/>
        <v>130603</v>
      </c>
      <c r="AH1204" s="123">
        <f>166489-35886</f>
        <v>130603</v>
      </c>
      <c r="AJ1204" s="123">
        <v>51002</v>
      </c>
      <c r="AO1204" s="123">
        <v>19144</v>
      </c>
    </row>
    <row r="1205" spans="1:41" s="123" customFormat="1" ht="16.2" thickBot="1" x14ac:dyDescent="0.35">
      <c r="A1205" s="21"/>
      <c r="B1205" s="212" t="s">
        <v>49</v>
      </c>
      <c r="C1205" s="31" t="str">
        <f>VLOOKUP((CONCATENATE(B1205)),ID!$A$2:$D$305,3,0)</f>
        <v>SP002</v>
      </c>
      <c r="D1205" s="21">
        <v>1</v>
      </c>
      <c r="E1205" s="21" t="s">
        <v>3960</v>
      </c>
      <c r="F1205" s="21" t="s">
        <v>1117</v>
      </c>
      <c r="G1205" s="21" t="s">
        <v>3853</v>
      </c>
      <c r="H1205" s="88" t="s">
        <v>4442</v>
      </c>
      <c r="I1205" s="43">
        <v>5245</v>
      </c>
      <c r="J1205" s="43">
        <v>5238</v>
      </c>
      <c r="K1205" s="21">
        <v>0</v>
      </c>
      <c r="L1205" s="21"/>
      <c r="M1205" s="21"/>
      <c r="N1205" s="43">
        <v>5260</v>
      </c>
      <c r="O1205" s="21" t="s">
        <v>4127</v>
      </c>
      <c r="P1205" s="194" t="str">
        <f t="shared" si="217"/>
        <v>1</v>
      </c>
      <c r="Q1205" s="21">
        <v>1</v>
      </c>
      <c r="R1205" s="39" t="str">
        <f t="shared" si="220"/>
        <v>-</v>
      </c>
      <c r="S1205" s="120">
        <f t="shared" si="218"/>
        <v>3252584</v>
      </c>
      <c r="T1205" s="123">
        <f>6099951</f>
        <v>6099951</v>
      </c>
      <c r="U1205" s="123">
        <f>539069+4326882</f>
        <v>4865951</v>
      </c>
      <c r="V1205" s="123">
        <f t="shared" si="222"/>
        <v>1234000</v>
      </c>
      <c r="W1205" s="122" t="str">
        <f t="shared" si="223"/>
        <v>1</v>
      </c>
      <c r="X1205" s="123">
        <f>Y1205+938197</f>
        <v>2847367</v>
      </c>
      <c r="Y1205" s="123">
        <f t="shared" si="225"/>
        <v>1909170</v>
      </c>
      <c r="Z1205" s="123">
        <f t="shared" si="226"/>
        <v>938197</v>
      </c>
      <c r="AA1205" s="122" t="str">
        <f t="shared" si="227"/>
        <v>1</v>
      </c>
      <c r="AB1205" s="120">
        <f t="shared" si="224"/>
        <v>1909170</v>
      </c>
      <c r="AC1205" s="123">
        <v>0</v>
      </c>
      <c r="AD1205" s="123">
        <f>1657200+251970</f>
        <v>1909170</v>
      </c>
      <c r="AE1205" s="123">
        <v>276186</v>
      </c>
      <c r="AG1205" s="151">
        <f t="shared" si="221"/>
        <v>130803</v>
      </c>
      <c r="AH1205" s="123">
        <f>229511-38921</f>
        <v>190590</v>
      </c>
      <c r="AJ1205" s="123">
        <v>51002</v>
      </c>
      <c r="AL1205" s="123">
        <v>59787</v>
      </c>
      <c r="AO1205" s="123">
        <v>19144</v>
      </c>
    </row>
    <row r="1206" spans="1:41" s="123" customFormat="1" ht="16.2" thickBot="1" x14ac:dyDescent="0.35">
      <c r="A1206" s="21"/>
      <c r="B1206" s="212" t="s">
        <v>49</v>
      </c>
      <c r="C1206" s="31" t="str">
        <f>VLOOKUP((CONCATENATE(B1206)),ID!$A$2:$D$305,3,0)</f>
        <v>SP002</v>
      </c>
      <c r="D1206" s="21">
        <v>1</v>
      </c>
      <c r="E1206" s="21" t="s">
        <v>3960</v>
      </c>
      <c r="F1206" s="21" t="s">
        <v>1117</v>
      </c>
      <c r="G1206" s="21" t="s">
        <v>3853</v>
      </c>
      <c r="H1206" s="88" t="s">
        <v>4443</v>
      </c>
      <c r="I1206" s="43">
        <v>5553</v>
      </c>
      <c r="J1206" s="43">
        <v>5541</v>
      </c>
      <c r="K1206" s="21">
        <v>0</v>
      </c>
      <c r="L1206" s="21"/>
      <c r="M1206" s="21"/>
      <c r="N1206" s="43">
        <v>5555</v>
      </c>
      <c r="O1206" s="21" t="s">
        <v>4127</v>
      </c>
      <c r="P1206" s="194" t="str">
        <f t="shared" si="217"/>
        <v>1</v>
      </c>
      <c r="Q1206" s="21">
        <v>1</v>
      </c>
      <c r="R1206" s="39" t="str">
        <f t="shared" si="220"/>
        <v>-</v>
      </c>
      <c r="S1206" s="120">
        <f t="shared" si="218"/>
        <v>3252455</v>
      </c>
      <c r="T1206" s="123">
        <v>7009146</v>
      </c>
      <c r="U1206" s="123">
        <f>5512123+582590</f>
        <v>6094713</v>
      </c>
      <c r="V1206" s="123">
        <f t="shared" si="222"/>
        <v>914433</v>
      </c>
      <c r="W1206" s="122" t="str">
        <f t="shared" si="223"/>
        <v>1</v>
      </c>
      <c r="X1206" s="123">
        <f>Y1206+1858071</f>
        <v>3756691</v>
      </c>
      <c r="Y1206" s="123">
        <f t="shared" si="225"/>
        <v>1898620</v>
      </c>
      <c r="Z1206" s="123">
        <f>X1206-Y1206</f>
        <v>1858071</v>
      </c>
      <c r="AA1206" s="122" t="str">
        <f>IF(Z1206+Y1206=X1206,"1","0")</f>
        <v>1</v>
      </c>
      <c r="AB1206" s="120">
        <f>SUM(AC1206+AD1206)</f>
        <v>1898620</v>
      </c>
      <c r="AC1206" s="123">
        <v>0</v>
      </c>
      <c r="AD1206" s="123">
        <f>1657200+241420</f>
        <v>1898620</v>
      </c>
      <c r="AE1206" s="123">
        <v>69328</v>
      </c>
      <c r="AG1206" s="151">
        <f t="shared" si="221"/>
        <v>118233</v>
      </c>
      <c r="AH1206" s="123">
        <f>193175-37655</f>
        <v>155520</v>
      </c>
      <c r="AJ1206" s="123">
        <v>99635</v>
      </c>
      <c r="AL1206" s="123">
        <v>37287</v>
      </c>
      <c r="AO1206" s="123">
        <v>19144</v>
      </c>
    </row>
    <row r="1207" spans="1:41" s="123" customFormat="1" ht="16.2" thickBot="1" x14ac:dyDescent="0.35">
      <c r="A1207" s="21"/>
      <c r="B1207" s="212" t="s">
        <v>49</v>
      </c>
      <c r="C1207" s="31" t="str">
        <f>VLOOKUP((CONCATENATE(B1207)),ID!$A$2:$D$305,3,0)</f>
        <v>SP002</v>
      </c>
      <c r="D1207" s="21">
        <v>1</v>
      </c>
      <c r="E1207" s="21" t="s">
        <v>3960</v>
      </c>
      <c r="F1207" s="21" t="s">
        <v>1117</v>
      </c>
      <c r="G1207" s="21" t="s">
        <v>3853</v>
      </c>
      <c r="H1207" s="88" t="s">
        <v>4445</v>
      </c>
      <c r="I1207" s="43">
        <v>5819</v>
      </c>
      <c r="J1207" s="43">
        <v>5809</v>
      </c>
      <c r="K1207" s="21">
        <v>0</v>
      </c>
      <c r="L1207" s="21"/>
      <c r="M1207" s="21"/>
      <c r="N1207" s="43">
        <v>5821</v>
      </c>
      <c r="O1207" s="21" t="s">
        <v>4127</v>
      </c>
      <c r="P1207" s="194" t="str">
        <f t="shared" si="217"/>
        <v>1</v>
      </c>
      <c r="Q1207" s="21">
        <v>1</v>
      </c>
      <c r="R1207" s="39" t="str">
        <f t="shared" si="220"/>
        <v>-</v>
      </c>
      <c r="S1207" s="120">
        <f t="shared" si="218"/>
        <v>3443388</v>
      </c>
      <c r="T1207" s="123">
        <v>7548567</v>
      </c>
      <c r="U1207" s="123">
        <f>581982+5023947</f>
        <v>5605929</v>
      </c>
      <c r="V1207" s="123">
        <f t="shared" si="222"/>
        <v>1942638</v>
      </c>
      <c r="W1207" s="122" t="str">
        <f t="shared" si="223"/>
        <v>1</v>
      </c>
      <c r="X1207" s="123">
        <f>Y1207+2224904</f>
        <v>4105179</v>
      </c>
      <c r="Y1207" s="123">
        <f>AB1207</f>
        <v>1880275</v>
      </c>
      <c r="Z1207" s="123">
        <f>X1207-Y1207</f>
        <v>2224904</v>
      </c>
      <c r="AA1207" s="122" t="str">
        <f>IF(Z1207+Y1207=X1207,"1","0")</f>
        <v>1</v>
      </c>
      <c r="AB1207" s="120">
        <f>SUM(AC1207+AD1207)</f>
        <v>1880275</v>
      </c>
      <c r="AC1207" s="123">
        <v>0</v>
      </c>
      <c r="AD1207" s="123">
        <f>1657200+223075</f>
        <v>1880275</v>
      </c>
      <c r="AE1207" s="123">
        <v>1305121</v>
      </c>
      <c r="AG1207" s="151">
        <f t="shared" si="221"/>
        <v>130769</v>
      </c>
      <c r="AH1207" s="123">
        <f>205343</f>
        <v>205343</v>
      </c>
      <c r="AJ1207" s="123">
        <v>79718</v>
      </c>
      <c r="AL1207" s="123">
        <v>74574</v>
      </c>
      <c r="AO1207" s="123">
        <v>19144</v>
      </c>
    </row>
    <row r="1208" spans="1:41" s="123" customFormat="1" ht="16.2" thickBot="1" x14ac:dyDescent="0.35">
      <c r="A1208" s="21"/>
      <c r="B1208" s="212" t="s">
        <v>94</v>
      </c>
      <c r="C1208" s="31" t="str">
        <f>VLOOKUP((CONCATENATE(B1208)),ID!$A$2:$D$305,3,0)</f>
        <v>SP003</v>
      </c>
      <c r="D1208" s="21">
        <v>1</v>
      </c>
      <c r="E1208" s="21" t="s">
        <v>3960</v>
      </c>
      <c r="F1208" s="21" t="s">
        <v>3861</v>
      </c>
      <c r="G1208" s="21" t="s">
        <v>3853</v>
      </c>
      <c r="H1208" s="88">
        <v>3653</v>
      </c>
      <c r="I1208" s="43">
        <v>3754</v>
      </c>
      <c r="J1208" s="43">
        <v>3754</v>
      </c>
      <c r="K1208" s="21">
        <v>1</v>
      </c>
      <c r="L1208" s="43">
        <v>3754</v>
      </c>
      <c r="M1208" s="43">
        <v>3764</v>
      </c>
      <c r="N1208" s="43">
        <v>3764</v>
      </c>
      <c r="O1208" s="21" t="s">
        <v>3843</v>
      </c>
      <c r="P1208" s="194">
        <v>0</v>
      </c>
      <c r="Q1208" s="21">
        <v>1</v>
      </c>
      <c r="R1208" s="39" t="str">
        <f t="shared" si="220"/>
        <v>-</v>
      </c>
      <c r="S1208" s="120">
        <f t="shared" si="218"/>
        <v>2269183</v>
      </c>
      <c r="T1208" s="123">
        <v>6625615</v>
      </c>
      <c r="U1208" s="123">
        <f>250000+150300+5265831</f>
        <v>5666131</v>
      </c>
      <c r="V1208" s="123">
        <f t="shared" si="222"/>
        <v>959484</v>
      </c>
      <c r="W1208" s="122" t="str">
        <f t="shared" si="223"/>
        <v>1</v>
      </c>
      <c r="X1208" s="123">
        <f>Y1208+348333+68099</f>
        <v>4356432</v>
      </c>
      <c r="Y1208" s="123">
        <f t="shared" si="225"/>
        <v>3940000</v>
      </c>
      <c r="Z1208" s="123">
        <f t="shared" si="226"/>
        <v>416432</v>
      </c>
      <c r="AA1208" s="122" t="str">
        <f t="shared" si="227"/>
        <v>1</v>
      </c>
      <c r="AB1208" s="120">
        <f t="shared" si="224"/>
        <v>3940000</v>
      </c>
      <c r="AC1208" s="123">
        <v>0</v>
      </c>
      <c r="AD1208" s="123">
        <f>2340000+1600000</f>
        <v>3940000</v>
      </c>
      <c r="AE1208" s="123">
        <v>336344</v>
      </c>
      <c r="AG1208" s="151">
        <f t="shared" si="221"/>
        <v>515486</v>
      </c>
      <c r="AH1208" s="123">
        <f>649416</f>
        <v>649416</v>
      </c>
      <c r="AI1208" s="123">
        <v>175</v>
      </c>
      <c r="AL1208" s="123">
        <f>4906+67489+61360</f>
        <v>133755</v>
      </c>
      <c r="AM1208" s="123">
        <v>2820577</v>
      </c>
      <c r="AN1208" s="123">
        <v>2820577</v>
      </c>
      <c r="AO1208" s="123">
        <v>100000</v>
      </c>
    </row>
    <row r="1209" spans="1:41" s="123" customFormat="1" ht="16.2" thickBot="1" x14ac:dyDescent="0.35">
      <c r="A1209" s="21">
        <v>207.1</v>
      </c>
      <c r="B1209" s="212" t="s">
        <v>94</v>
      </c>
      <c r="C1209" s="31" t="str">
        <f>VLOOKUP((CONCATENATE(B1209)),ID!$A$2:$D$305,3,0)</f>
        <v>SP003</v>
      </c>
      <c r="D1209" s="21">
        <v>1</v>
      </c>
      <c r="E1209" s="21" t="s">
        <v>3960</v>
      </c>
      <c r="F1209" s="21" t="s">
        <v>3861</v>
      </c>
      <c r="G1209" s="21" t="s">
        <v>3853</v>
      </c>
      <c r="H1209" s="88">
        <v>4018</v>
      </c>
      <c r="I1209" s="43">
        <v>4100</v>
      </c>
      <c r="J1209" s="43">
        <v>4100</v>
      </c>
      <c r="K1209" s="21">
        <v>1</v>
      </c>
      <c r="L1209" s="43" t="s">
        <v>3999</v>
      </c>
      <c r="M1209" s="43">
        <v>4114</v>
      </c>
      <c r="N1209" s="43">
        <v>4114</v>
      </c>
      <c r="O1209" s="21" t="s">
        <v>3843</v>
      </c>
      <c r="P1209" s="194">
        <v>1</v>
      </c>
      <c r="Q1209" s="21">
        <v>1</v>
      </c>
      <c r="R1209" s="39" t="str">
        <f t="shared" si="220"/>
        <v>-</v>
      </c>
      <c r="S1209" s="120">
        <f t="shared" si="218"/>
        <v>2525167</v>
      </c>
      <c r="T1209" s="123">
        <v>6857027</v>
      </c>
      <c r="U1209" s="123">
        <f>5118841+122915+447164+2000</f>
        <v>5690920</v>
      </c>
      <c r="V1209" s="123">
        <f t="shared" si="222"/>
        <v>1166107</v>
      </c>
      <c r="W1209" s="122" t="str">
        <f t="shared" si="223"/>
        <v>1</v>
      </c>
      <c r="X1209" s="123">
        <f>2210000+30387+1600000+392939+98534</f>
        <v>4331860</v>
      </c>
      <c r="Y1209" s="123">
        <f t="shared" si="225"/>
        <v>3810000</v>
      </c>
      <c r="Z1209" s="123">
        <f t="shared" si="226"/>
        <v>521860</v>
      </c>
      <c r="AA1209" s="122" t="str">
        <f t="shared" si="227"/>
        <v>1</v>
      </c>
      <c r="AB1209" s="120">
        <f t="shared" si="224"/>
        <v>3810000</v>
      </c>
      <c r="AC1209" s="123">
        <v>0</v>
      </c>
      <c r="AD1209" s="123">
        <f>2210000+1600000</f>
        <v>3810000</v>
      </c>
      <c r="AE1209" s="123">
        <f>679554</f>
        <v>679554</v>
      </c>
      <c r="AG1209" s="151">
        <f t="shared" si="221"/>
        <v>869518</v>
      </c>
      <c r="AH1209" s="123">
        <f>994149-6164</f>
        <v>987985</v>
      </c>
      <c r="AI1209" s="123">
        <v>312</v>
      </c>
      <c r="AL1209" s="123">
        <f>63914+54241</f>
        <v>118155</v>
      </c>
      <c r="AM1209" s="123">
        <v>3068425</v>
      </c>
      <c r="AN1209" s="123">
        <v>3068425</v>
      </c>
      <c r="AO1209" s="123">
        <v>100000</v>
      </c>
    </row>
    <row r="1210" spans="1:41" s="123" customFormat="1" ht="16.2" thickBot="1" x14ac:dyDescent="0.35">
      <c r="A1210" s="21">
        <v>207.2</v>
      </c>
      <c r="B1210" s="212" t="s">
        <v>94</v>
      </c>
      <c r="C1210" s="31" t="str">
        <f>VLOOKUP((CONCATENATE(B1210)),ID!$A$2:$D$305,3,0)</f>
        <v>SP003</v>
      </c>
      <c r="D1210" s="21">
        <v>1</v>
      </c>
      <c r="E1210" s="21" t="s">
        <v>3960</v>
      </c>
      <c r="F1210" s="21" t="s">
        <v>3861</v>
      </c>
      <c r="G1210" s="21" t="s">
        <v>3853</v>
      </c>
      <c r="H1210" s="88">
        <v>4383</v>
      </c>
      <c r="I1210" s="43">
        <v>4468</v>
      </c>
      <c r="J1210" s="43">
        <v>4471</v>
      </c>
      <c r="K1210" s="21">
        <v>1</v>
      </c>
      <c r="L1210" s="21" t="s">
        <v>3990</v>
      </c>
      <c r="M1210" s="43">
        <v>4485</v>
      </c>
      <c r="N1210" s="43">
        <v>4485</v>
      </c>
      <c r="O1210" s="21" t="s">
        <v>3843</v>
      </c>
      <c r="P1210" s="194">
        <v>1</v>
      </c>
      <c r="Q1210" s="21">
        <v>1</v>
      </c>
      <c r="R1210" s="39" t="str">
        <f t="shared" si="220"/>
        <v>-</v>
      </c>
      <c r="S1210" s="120">
        <f t="shared" si="218"/>
        <v>2642484</v>
      </c>
      <c r="T1210" s="123">
        <v>6747627</v>
      </c>
      <c r="U1210" s="123">
        <f>2000+367164+122341+5571280</f>
        <v>6062785</v>
      </c>
      <c r="V1210" s="123">
        <f t="shared" si="222"/>
        <v>684842</v>
      </c>
      <c r="W1210" s="122" t="str">
        <f t="shared" si="223"/>
        <v>1</v>
      </c>
      <c r="X1210" s="123">
        <f>2080000+28600+1520000+467742+8801</f>
        <v>4105143</v>
      </c>
      <c r="Y1210" s="123">
        <f t="shared" si="225"/>
        <v>3600000</v>
      </c>
      <c r="Z1210" s="123">
        <f t="shared" si="226"/>
        <v>505143</v>
      </c>
      <c r="AA1210" s="122" t="str">
        <f t="shared" si="227"/>
        <v>1</v>
      </c>
      <c r="AB1210" s="120">
        <f t="shared" si="224"/>
        <v>3600000</v>
      </c>
      <c r="AC1210" s="123">
        <v>0</v>
      </c>
      <c r="AD1210" s="123">
        <f>2080000+1520000</f>
        <v>3600000</v>
      </c>
      <c r="AE1210" s="123">
        <v>293764</v>
      </c>
      <c r="AG1210" s="151">
        <f t="shared" si="221"/>
        <v>722254</v>
      </c>
      <c r="AH1210" s="123">
        <f>898359-60332</f>
        <v>838027</v>
      </c>
      <c r="AI1210" s="123">
        <v>557</v>
      </c>
      <c r="AL1210" s="123">
        <f>60339+54877</f>
        <v>115216</v>
      </c>
      <c r="AM1210" s="123">
        <v>3081263</v>
      </c>
      <c r="AN1210" s="123">
        <v>3081263</v>
      </c>
      <c r="AO1210" s="123">
        <v>100000</v>
      </c>
    </row>
    <row r="1211" spans="1:41" s="123" customFormat="1" ht="16.2" thickBot="1" x14ac:dyDescent="0.35">
      <c r="A1211" s="21"/>
      <c r="B1211" s="212" t="s">
        <v>94</v>
      </c>
      <c r="C1211" s="31" t="str">
        <f>VLOOKUP((CONCATENATE(B1211)),ID!$A$2:$D$305,3,0)</f>
        <v>SP003</v>
      </c>
      <c r="D1211" s="21">
        <v>1</v>
      </c>
      <c r="E1211" s="21" t="s">
        <v>3960</v>
      </c>
      <c r="F1211" s="21" t="s">
        <v>3861</v>
      </c>
      <c r="G1211" s="21" t="s">
        <v>3853</v>
      </c>
      <c r="H1211" s="88">
        <v>4749</v>
      </c>
      <c r="I1211" s="43">
        <v>4835</v>
      </c>
      <c r="J1211" s="43">
        <v>4835</v>
      </c>
      <c r="K1211" s="21">
        <v>1</v>
      </c>
      <c r="L1211" s="43">
        <v>4835</v>
      </c>
      <c r="M1211" s="43">
        <v>4849</v>
      </c>
      <c r="N1211" s="43">
        <v>4849</v>
      </c>
      <c r="O1211" s="21" t="s">
        <v>3843</v>
      </c>
      <c r="P1211" s="194">
        <v>1</v>
      </c>
      <c r="Q1211" s="21">
        <v>1</v>
      </c>
      <c r="R1211" s="39" t="str">
        <f t="shared" si="220"/>
        <v>-</v>
      </c>
      <c r="S1211" s="120">
        <f t="shared" si="218"/>
        <v>2932557</v>
      </c>
      <c r="T1211" s="123">
        <v>7265840</v>
      </c>
      <c r="U1211" s="123">
        <f>5859594+234602+287164+427000</f>
        <v>6808360</v>
      </c>
      <c r="V1211" s="123">
        <f t="shared" si="222"/>
        <v>457480</v>
      </c>
      <c r="W1211" s="122" t="str">
        <f t="shared" si="223"/>
        <v>1</v>
      </c>
      <c r="X1211" s="123">
        <f>Y1211+26812+496757+28375+304718+57061</f>
        <v>4333283</v>
      </c>
      <c r="Y1211" s="123">
        <f>AB1211+29560</f>
        <v>3419560</v>
      </c>
      <c r="Z1211" s="123">
        <f t="shared" si="226"/>
        <v>913723</v>
      </c>
      <c r="AA1211" s="122" t="str">
        <f t="shared" si="227"/>
        <v>1</v>
      </c>
      <c r="AB1211" s="120">
        <f t="shared" si="224"/>
        <v>3390000</v>
      </c>
      <c r="AC1211" s="123">
        <v>0</v>
      </c>
      <c r="AD1211" s="123">
        <f>1950000+1440000</f>
        <v>3390000</v>
      </c>
      <c r="AE1211" s="123">
        <v>2502</v>
      </c>
      <c r="AG1211" s="151">
        <f t="shared" si="221"/>
        <v>1065354</v>
      </c>
      <c r="AH1211" s="123">
        <f>1271421-87269</f>
        <v>1184152</v>
      </c>
      <c r="AI1211" s="123">
        <v>10157</v>
      </c>
      <c r="AL1211" s="123">
        <f>56764+51877</f>
        <v>108641</v>
      </c>
      <c r="AM1211" s="123">
        <v>3584340</v>
      </c>
      <c r="AN1211" s="123">
        <v>3584340</v>
      </c>
      <c r="AO1211" s="123">
        <v>640000</v>
      </c>
    </row>
    <row r="1212" spans="1:41" s="123" customFormat="1" ht="16.2" thickBot="1" x14ac:dyDescent="0.35">
      <c r="A1212" s="21"/>
      <c r="B1212" s="212" t="s">
        <v>94</v>
      </c>
      <c r="C1212" s="31" t="str">
        <f>VLOOKUP((CONCATENATE(B1212)),ID!$A$2:$D$305,3,0)</f>
        <v>SP003</v>
      </c>
      <c r="D1212" s="21">
        <v>1</v>
      </c>
      <c r="E1212" s="21" t="s">
        <v>3960</v>
      </c>
      <c r="F1212" s="21" t="s">
        <v>3861</v>
      </c>
      <c r="G1212" s="21" t="s">
        <v>3853</v>
      </c>
      <c r="H1212" s="88">
        <v>5114</v>
      </c>
      <c r="I1212" s="43">
        <v>5206</v>
      </c>
      <c r="J1212" s="43">
        <v>5206</v>
      </c>
      <c r="K1212" s="21">
        <v>1</v>
      </c>
      <c r="L1212" s="43">
        <v>5206</v>
      </c>
      <c r="M1212" s="43">
        <v>5220</v>
      </c>
      <c r="N1212" s="43">
        <v>5220</v>
      </c>
      <c r="O1212" s="21" t="s">
        <v>3843</v>
      </c>
      <c r="P1212" s="194">
        <v>1</v>
      </c>
      <c r="Q1212" s="21">
        <v>1</v>
      </c>
      <c r="R1212" s="39" t="str">
        <f t="shared" si="220"/>
        <v>-</v>
      </c>
      <c r="S1212" s="120">
        <f t="shared" si="218"/>
        <v>3149957</v>
      </c>
      <c r="T1212" s="123">
        <v>7974925</v>
      </c>
      <c r="U1212" s="123">
        <f>6594519+249063+427000+207164</f>
        <v>7477746</v>
      </c>
      <c r="V1212" s="123">
        <f t="shared" si="222"/>
        <v>497179</v>
      </c>
      <c r="W1212" s="122" t="str">
        <f t="shared" si="223"/>
        <v>1</v>
      </c>
      <c r="X1212" s="123">
        <f>Y1212+25025+630473+28375+769941+136382</f>
        <v>4824968</v>
      </c>
      <c r="Y1212" s="123">
        <f>AB1212+52822</f>
        <v>3234772</v>
      </c>
      <c r="Z1212" s="123">
        <f t="shared" si="226"/>
        <v>1590196</v>
      </c>
      <c r="AA1212" s="122" t="str">
        <f t="shared" si="227"/>
        <v>1</v>
      </c>
      <c r="AB1212" s="120">
        <f t="shared" si="224"/>
        <v>3181950</v>
      </c>
      <c r="AC1212" s="123">
        <v>0</v>
      </c>
      <c r="AD1212" s="123">
        <f>1820000+1360000+1950</f>
        <v>3181950</v>
      </c>
      <c r="AE1212" s="123">
        <v>14662</v>
      </c>
      <c r="AG1212" s="151">
        <f t="shared" si="221"/>
        <v>1065539</v>
      </c>
      <c r="AH1212" s="123">
        <f>1276795-88964</f>
        <v>1187831</v>
      </c>
      <c r="AI1212" s="123">
        <v>17226</v>
      </c>
      <c r="AL1212" s="123">
        <f>53189+51877</f>
        <v>105066</v>
      </c>
      <c r="AM1212" s="123">
        <v>3659773</v>
      </c>
      <c r="AN1212" s="123">
        <v>3659773</v>
      </c>
      <c r="AO1212" s="123">
        <v>640000</v>
      </c>
    </row>
    <row r="1213" spans="1:41" s="123" customFormat="1" ht="16.2" thickBot="1" x14ac:dyDescent="0.35">
      <c r="A1213" s="21"/>
      <c r="B1213" s="212" t="s">
        <v>111</v>
      </c>
      <c r="C1213" s="31" t="str">
        <f>VLOOKUP((CONCATENATE(B1213)),ID!$A$2:$D$305,3,0)</f>
        <v>SP004</v>
      </c>
      <c r="D1213" s="21">
        <v>1</v>
      </c>
      <c r="E1213" s="21" t="s">
        <v>3960</v>
      </c>
      <c r="F1213" s="21" t="s">
        <v>1117</v>
      </c>
      <c r="G1213" s="21" t="s">
        <v>3853</v>
      </c>
      <c r="H1213" s="88">
        <v>3653</v>
      </c>
      <c r="I1213" s="43">
        <v>3806</v>
      </c>
      <c r="J1213" s="43">
        <v>3803</v>
      </c>
      <c r="K1213" s="21">
        <v>0</v>
      </c>
      <c r="L1213" s="21"/>
      <c r="M1213" s="43"/>
      <c r="N1213" s="43">
        <v>3814</v>
      </c>
      <c r="O1213" s="21" t="s">
        <v>3872</v>
      </c>
      <c r="P1213" s="194">
        <v>1</v>
      </c>
      <c r="Q1213" s="21">
        <v>1</v>
      </c>
      <c r="R1213" s="39" t="str">
        <f t="shared" si="220"/>
        <v>-</v>
      </c>
      <c r="S1213" s="120">
        <f t="shared" si="218"/>
        <v>1435155</v>
      </c>
      <c r="T1213" s="123">
        <v>2325068</v>
      </c>
      <c r="U1213" s="123">
        <f>1900+6779+2259601</f>
        <v>2268280</v>
      </c>
      <c r="V1213" s="123">
        <f t="shared" si="222"/>
        <v>56788</v>
      </c>
      <c r="W1213" s="122" t="str">
        <f t="shared" si="223"/>
        <v>1</v>
      </c>
      <c r="X1213" s="123">
        <f>T1213-1400000-35000-155</f>
        <v>889913</v>
      </c>
      <c r="Y1213" s="123">
        <f>AB1213</f>
        <v>56823</v>
      </c>
      <c r="Z1213" s="123">
        <f t="shared" si="226"/>
        <v>833090</v>
      </c>
      <c r="AA1213" s="122" t="str">
        <f t="shared" si="227"/>
        <v>1</v>
      </c>
      <c r="AB1213" s="120">
        <f t="shared" si="224"/>
        <v>56823</v>
      </c>
      <c r="AC1213" s="123">
        <v>0</v>
      </c>
      <c r="AD1213" s="123">
        <v>56823</v>
      </c>
      <c r="AG1213" s="151">
        <f t="shared" si="221"/>
        <v>0</v>
      </c>
      <c r="AO1213" s="123">
        <f>70000+69990+100</f>
        <v>140090</v>
      </c>
    </row>
    <row r="1214" spans="1:41" s="123" customFormat="1" ht="16.2" thickBot="1" x14ac:dyDescent="0.35">
      <c r="A1214" s="21">
        <v>208.1</v>
      </c>
      <c r="B1214" s="212" t="s">
        <v>111</v>
      </c>
      <c r="C1214" s="31" t="str">
        <f>VLOOKUP((CONCATENATE(B1214)),ID!$A$2:$D$305,3,0)</f>
        <v>SP004</v>
      </c>
      <c r="D1214" s="21">
        <v>1</v>
      </c>
      <c r="E1214" s="21" t="s">
        <v>3960</v>
      </c>
      <c r="F1214" s="21" t="s">
        <v>1117</v>
      </c>
      <c r="G1214" s="21" t="s">
        <v>3853</v>
      </c>
      <c r="H1214" s="88">
        <v>4018</v>
      </c>
      <c r="I1214" s="43">
        <v>4170</v>
      </c>
      <c r="J1214" s="43">
        <v>4163</v>
      </c>
      <c r="K1214" s="21">
        <v>0</v>
      </c>
      <c r="L1214" s="21"/>
      <c r="M1214" s="21"/>
      <c r="N1214" s="43">
        <v>4178</v>
      </c>
      <c r="O1214" s="21" t="s">
        <v>3872</v>
      </c>
      <c r="P1214" s="194">
        <v>1</v>
      </c>
      <c r="Q1214" s="21">
        <v>1</v>
      </c>
      <c r="R1214" s="39" t="str">
        <f t="shared" si="220"/>
        <v>-</v>
      </c>
      <c r="S1214" s="120">
        <f t="shared" si="218"/>
        <v>1440175</v>
      </c>
      <c r="T1214" s="123">
        <v>2325203</v>
      </c>
      <c r="U1214" s="123">
        <f>2893+2218582</f>
        <v>2221475</v>
      </c>
      <c r="V1214" s="123">
        <f t="shared" si="222"/>
        <v>103728</v>
      </c>
      <c r="W1214" s="122" t="str">
        <f t="shared" si="223"/>
        <v>1</v>
      </c>
      <c r="X1214" s="123">
        <f>T1214-1400000-40000-175</f>
        <v>885028</v>
      </c>
      <c r="Y1214" s="123">
        <f>AB1214</f>
        <v>51841</v>
      </c>
      <c r="Z1214" s="123">
        <f t="shared" si="226"/>
        <v>833187</v>
      </c>
      <c r="AA1214" s="122" t="str">
        <f t="shared" si="227"/>
        <v>1</v>
      </c>
      <c r="AB1214" s="120">
        <f t="shared" si="224"/>
        <v>51841</v>
      </c>
      <c r="AC1214" s="123">
        <v>0</v>
      </c>
      <c r="AD1214" s="123">
        <v>51841</v>
      </c>
      <c r="AG1214" s="151">
        <f t="shared" si="221"/>
        <v>0</v>
      </c>
      <c r="AO1214" s="123">
        <f>70000+69990+100</f>
        <v>140090</v>
      </c>
    </row>
    <row r="1215" spans="1:41" s="123" customFormat="1" ht="16.2" thickBot="1" x14ac:dyDescent="0.35">
      <c r="A1215" s="21">
        <v>208.2</v>
      </c>
      <c r="B1215" s="212" t="s">
        <v>111</v>
      </c>
      <c r="C1215" s="31" t="str">
        <f>VLOOKUP((CONCATENATE(B1215)),ID!$A$2:$D$305,3,0)</f>
        <v>SP004</v>
      </c>
      <c r="D1215" s="21">
        <v>1</v>
      </c>
      <c r="E1215" s="21" t="s">
        <v>3960</v>
      </c>
      <c r="F1215" s="21" t="s">
        <v>1117</v>
      </c>
      <c r="G1215" s="21" t="s">
        <v>3853</v>
      </c>
      <c r="H1215" s="88">
        <v>4383</v>
      </c>
      <c r="I1215" s="43">
        <v>4541</v>
      </c>
      <c r="J1215" s="43">
        <v>4541</v>
      </c>
      <c r="K1215" s="21">
        <v>0</v>
      </c>
      <c r="L1215" s="21"/>
      <c r="M1215" s="21"/>
      <c r="N1215" s="43">
        <v>4549</v>
      </c>
      <c r="O1215" s="21" t="s">
        <v>3872</v>
      </c>
      <c r="P1215" s="194">
        <v>1</v>
      </c>
      <c r="Q1215" s="21">
        <v>1</v>
      </c>
      <c r="R1215" s="39" t="str">
        <f t="shared" si="220"/>
        <v>-</v>
      </c>
      <c r="S1215" s="120">
        <f t="shared" si="218"/>
        <v>1460286</v>
      </c>
      <c r="T1215" s="123">
        <v>2405558</v>
      </c>
      <c r="U1215" s="123">
        <f>2162558+1678</f>
        <v>2164236</v>
      </c>
      <c r="V1215" s="123">
        <f t="shared" si="222"/>
        <v>241322</v>
      </c>
      <c r="W1215" s="122" t="str">
        <f t="shared" si="223"/>
        <v>1</v>
      </c>
      <c r="X1215" s="123">
        <f>T1215-60000-1400000-286</f>
        <v>945272</v>
      </c>
      <c r="Y1215" s="123">
        <f>AB1215</f>
        <v>53416</v>
      </c>
      <c r="Z1215" s="123">
        <f t="shared" si="226"/>
        <v>891856</v>
      </c>
      <c r="AA1215" s="122" t="str">
        <f t="shared" si="227"/>
        <v>1</v>
      </c>
      <c r="AB1215" s="120">
        <f t="shared" si="224"/>
        <v>53416</v>
      </c>
      <c r="AC1215" s="123">
        <v>0</v>
      </c>
      <c r="AD1215" s="123">
        <v>53416</v>
      </c>
      <c r="AG1215" s="151">
        <f t="shared" si="221"/>
        <v>0</v>
      </c>
      <c r="AO1215" s="123">
        <f>70000+69990+100</f>
        <v>140090</v>
      </c>
    </row>
    <row r="1216" spans="1:41" s="123" customFormat="1" ht="16.2" thickBot="1" x14ac:dyDescent="0.35">
      <c r="A1216" s="21"/>
      <c r="B1216" s="212" t="s">
        <v>111</v>
      </c>
      <c r="C1216" s="31" t="str">
        <f>VLOOKUP((CONCATENATE(B1216)),ID!$A$2:$D$305,3,0)</f>
        <v>SP004</v>
      </c>
      <c r="D1216" s="21">
        <v>1</v>
      </c>
      <c r="E1216" s="21" t="s">
        <v>3960</v>
      </c>
      <c r="F1216" s="21" t="s">
        <v>1117</v>
      </c>
      <c r="G1216" s="21" t="s">
        <v>3853</v>
      </c>
      <c r="H1216" s="88">
        <v>5022</v>
      </c>
      <c r="I1216" s="43">
        <v>5186</v>
      </c>
      <c r="J1216" s="43">
        <v>5186</v>
      </c>
      <c r="K1216" s="21">
        <v>0</v>
      </c>
      <c r="L1216" s="21"/>
      <c r="M1216" s="21"/>
      <c r="N1216" s="43">
        <v>5197</v>
      </c>
      <c r="O1216" s="21" t="s">
        <v>3872</v>
      </c>
      <c r="P1216" s="194">
        <v>1</v>
      </c>
      <c r="Q1216" s="21">
        <v>1</v>
      </c>
      <c r="R1216" s="39" t="str">
        <f t="shared" si="220"/>
        <v>-</v>
      </c>
      <c r="S1216" s="120">
        <f t="shared" si="218"/>
        <v>2438654</v>
      </c>
      <c r="T1216" s="123">
        <v>3421207</v>
      </c>
      <c r="U1216" s="123">
        <f>3006284+5005</f>
        <v>3011289</v>
      </c>
      <c r="V1216" s="123">
        <f t="shared" si="222"/>
        <v>409918</v>
      </c>
      <c r="W1216" s="122" t="str">
        <f t="shared" si="223"/>
        <v>1</v>
      </c>
      <c r="X1216" s="123">
        <f>T1216-2438530-124</f>
        <v>982553</v>
      </c>
      <c r="Y1216" s="123">
        <v>0</v>
      </c>
      <c r="Z1216" s="123">
        <f t="shared" si="226"/>
        <v>982553</v>
      </c>
      <c r="AA1216" s="122" t="str">
        <f t="shared" si="227"/>
        <v>1</v>
      </c>
      <c r="AB1216" s="120">
        <f t="shared" si="224"/>
        <v>0</v>
      </c>
      <c r="AC1216" s="123">
        <v>0</v>
      </c>
      <c r="AD1216" s="123">
        <v>0</v>
      </c>
      <c r="AG1216" s="151">
        <f t="shared" si="221"/>
        <v>0</v>
      </c>
      <c r="AO1216" s="123">
        <f>70000+69990+100</f>
        <v>140090</v>
      </c>
    </row>
    <row r="1217" spans="1:41" s="123" customFormat="1" ht="16.2" thickBot="1" x14ac:dyDescent="0.35">
      <c r="A1217" s="21"/>
      <c r="B1217" s="212" t="s">
        <v>124</v>
      </c>
      <c r="C1217" s="31" t="str">
        <f>VLOOKUP((CONCATENATE(B1217)),ID!$A$2:$D$305,3,0)</f>
        <v>SP005</v>
      </c>
      <c r="D1217" s="21">
        <v>1</v>
      </c>
      <c r="E1217" s="21" t="s">
        <v>3960</v>
      </c>
      <c r="F1217" s="21" t="s">
        <v>3962</v>
      </c>
      <c r="G1217" s="21" t="s">
        <v>3853</v>
      </c>
      <c r="H1217" s="88">
        <v>3773</v>
      </c>
      <c r="I1217" s="43">
        <v>3843</v>
      </c>
      <c r="J1217" s="43">
        <v>3843</v>
      </c>
      <c r="K1217" s="21">
        <v>1</v>
      </c>
      <c r="L1217" s="43">
        <v>3859</v>
      </c>
      <c r="M1217" s="43">
        <v>3871</v>
      </c>
      <c r="N1217" s="43">
        <v>3857</v>
      </c>
      <c r="O1217" s="21" t="s">
        <v>3961</v>
      </c>
      <c r="P1217" s="194" t="str">
        <f t="shared" si="217"/>
        <v>1</v>
      </c>
      <c r="Q1217" s="21">
        <v>1</v>
      </c>
      <c r="R1217" s="39" t="str">
        <f t="shared" si="220"/>
        <v>-</v>
      </c>
      <c r="S1217" s="120">
        <f t="shared" si="218"/>
        <v>4396373</v>
      </c>
      <c r="T1217" s="123">
        <v>5308116</v>
      </c>
      <c r="U1217" s="123">
        <f>4267914+500000</f>
        <v>4767914</v>
      </c>
      <c r="V1217" s="123">
        <f t="shared" si="222"/>
        <v>540202</v>
      </c>
      <c r="W1217" s="122" t="str">
        <f t="shared" si="223"/>
        <v>1</v>
      </c>
      <c r="X1217" s="123">
        <f>586949+324794</f>
        <v>911743</v>
      </c>
      <c r="Y1217" s="123">
        <v>0</v>
      </c>
      <c r="Z1217" s="123">
        <f t="shared" si="226"/>
        <v>911743</v>
      </c>
      <c r="AA1217" s="122" t="str">
        <f t="shared" si="227"/>
        <v>1</v>
      </c>
      <c r="AB1217" s="120">
        <f t="shared" si="224"/>
        <v>0</v>
      </c>
      <c r="AC1217" s="123">
        <v>0</v>
      </c>
      <c r="AD1217" s="123">
        <v>0</v>
      </c>
      <c r="AG1217" s="151">
        <f t="shared" si="221"/>
        <v>332991</v>
      </c>
      <c r="AH1217" s="123">
        <f>303744+29247+AI1217</f>
        <v>338069</v>
      </c>
      <c r="AI1217" s="123">
        <v>5078</v>
      </c>
      <c r="AJ1217" s="123">
        <v>50087</v>
      </c>
      <c r="AO1217" s="123">
        <v>2150000</v>
      </c>
    </row>
    <row r="1218" spans="1:41" s="123" customFormat="1" ht="16.2" thickBot="1" x14ac:dyDescent="0.35">
      <c r="A1218" s="21">
        <v>209.1</v>
      </c>
      <c r="B1218" s="212" t="s">
        <v>124</v>
      </c>
      <c r="C1218" s="31" t="str">
        <f>VLOOKUP((CONCATENATE(B1218)),ID!$A$2:$D$305,3,0)</f>
        <v>SP005</v>
      </c>
      <c r="D1218" s="21">
        <v>1</v>
      </c>
      <c r="E1218" s="21" t="s">
        <v>3960</v>
      </c>
      <c r="F1218" s="21" t="s">
        <v>3962</v>
      </c>
      <c r="G1218" s="21" t="s">
        <v>3853</v>
      </c>
      <c r="H1218" s="88">
        <v>4138</v>
      </c>
      <c r="I1218" s="43">
        <v>4211</v>
      </c>
      <c r="J1218" s="43">
        <v>4206</v>
      </c>
      <c r="K1218" s="21">
        <v>1</v>
      </c>
      <c r="L1218" s="43">
        <v>4230</v>
      </c>
      <c r="M1218" s="43">
        <v>4242</v>
      </c>
      <c r="N1218" s="43">
        <v>4228</v>
      </c>
      <c r="O1218" s="21" t="s">
        <v>3961</v>
      </c>
      <c r="P1218" s="194" t="str">
        <f t="shared" si="217"/>
        <v>1</v>
      </c>
      <c r="Q1218" s="21">
        <v>1</v>
      </c>
      <c r="R1218" s="39" t="str">
        <f t="shared" si="220"/>
        <v>-</v>
      </c>
      <c r="S1218" s="120">
        <f t="shared" ref="S1218:S1281" si="228">T1218-X1218</f>
        <v>4488498</v>
      </c>
      <c r="T1218" s="123">
        <v>5477240</v>
      </c>
      <c r="U1218" s="123">
        <f>T1218-567764-258199</f>
        <v>4651277</v>
      </c>
      <c r="V1218" s="123">
        <f t="shared" si="222"/>
        <v>825963</v>
      </c>
      <c r="W1218" s="122" t="str">
        <f t="shared" si="223"/>
        <v>1</v>
      </c>
      <c r="X1218" s="123">
        <f>315379+673363</f>
        <v>988742</v>
      </c>
      <c r="Y1218" s="123">
        <v>0</v>
      </c>
      <c r="Z1218" s="123">
        <f t="shared" si="226"/>
        <v>988742</v>
      </c>
      <c r="AA1218" s="122" t="str">
        <f t="shared" si="227"/>
        <v>1</v>
      </c>
      <c r="AB1218" s="120">
        <f t="shared" si="224"/>
        <v>0</v>
      </c>
      <c r="AC1218" s="123">
        <v>0</v>
      </c>
      <c r="AD1218" s="123">
        <v>0</v>
      </c>
      <c r="AG1218" s="151">
        <f t="shared" si="221"/>
        <v>440731</v>
      </c>
      <c r="AH1218" s="123">
        <f>440731+AI1218</f>
        <v>446058</v>
      </c>
      <c r="AI1218" s="123">
        <v>5327</v>
      </c>
      <c r="AJ1218" s="123">
        <v>85310</v>
      </c>
      <c r="AO1218" s="123">
        <f>150000+2000000</f>
        <v>2150000</v>
      </c>
    </row>
    <row r="1219" spans="1:41" s="123" customFormat="1" ht="16.2" thickBot="1" x14ac:dyDescent="0.35">
      <c r="A1219" s="21">
        <v>209.2</v>
      </c>
      <c r="B1219" s="212" t="s">
        <v>124</v>
      </c>
      <c r="C1219" s="31" t="str">
        <f>VLOOKUP((CONCATENATE(B1219)),ID!$A$2:$D$305,3,0)</f>
        <v>SP005</v>
      </c>
      <c r="D1219" s="21">
        <v>1</v>
      </c>
      <c r="E1219" s="21" t="s">
        <v>3960</v>
      </c>
      <c r="F1219" s="21" t="s">
        <v>3962</v>
      </c>
      <c r="G1219" s="21" t="s">
        <v>3853</v>
      </c>
      <c r="H1219" s="88">
        <v>4504</v>
      </c>
      <c r="I1219" s="43">
        <v>4573</v>
      </c>
      <c r="J1219" s="43">
        <v>4573</v>
      </c>
      <c r="K1219" s="21">
        <v>1</v>
      </c>
      <c r="L1219" s="43">
        <v>4594</v>
      </c>
      <c r="M1219" s="43">
        <v>4606</v>
      </c>
      <c r="N1219" s="43">
        <v>4592</v>
      </c>
      <c r="O1219" s="21" t="s">
        <v>3961</v>
      </c>
      <c r="P1219" s="194" t="str">
        <f t="shared" ref="P1219:P1282" si="229">IF(AJ1219=0,"?","1")</f>
        <v>1</v>
      </c>
      <c r="Q1219" s="21">
        <v>1</v>
      </c>
      <c r="R1219" s="39" t="str">
        <f t="shared" si="220"/>
        <v>-</v>
      </c>
      <c r="S1219" s="120">
        <f t="shared" si="228"/>
        <v>4680811</v>
      </c>
      <c r="T1219" s="123">
        <v>6235188</v>
      </c>
      <c r="U1219" s="123">
        <f>4229662+500000</f>
        <v>4729662</v>
      </c>
      <c r="V1219" s="123">
        <f t="shared" si="222"/>
        <v>1505526</v>
      </c>
      <c r="W1219" s="122" t="str">
        <f t="shared" si="223"/>
        <v>1</v>
      </c>
      <c r="X1219" s="123">
        <f>633697+845846+74834</f>
        <v>1554377</v>
      </c>
      <c r="Y1219" s="123">
        <v>0</v>
      </c>
      <c r="Z1219" s="123">
        <f t="shared" si="226"/>
        <v>1554377</v>
      </c>
      <c r="AA1219" s="122" t="str">
        <f t="shared" si="227"/>
        <v>1</v>
      </c>
      <c r="AB1219" s="120">
        <f t="shared" si="224"/>
        <v>0</v>
      </c>
      <c r="AC1219" s="123">
        <v>0</v>
      </c>
      <c r="AD1219" s="123">
        <v>0</v>
      </c>
      <c r="AG1219" s="151">
        <f t="shared" si="221"/>
        <v>653206</v>
      </c>
      <c r="AH1219" s="123">
        <v>653206</v>
      </c>
      <c r="AJ1219" s="123">
        <f>35310+50000</f>
        <v>85310</v>
      </c>
      <c r="AO1219" s="123">
        <f>150000+2000000</f>
        <v>2150000</v>
      </c>
    </row>
    <row r="1220" spans="1:41" s="123" customFormat="1" ht="16.2" thickBot="1" x14ac:dyDescent="0.35">
      <c r="A1220" s="21"/>
      <c r="B1220" s="212" t="s">
        <v>124</v>
      </c>
      <c r="C1220" s="31" t="str">
        <f>VLOOKUP((CONCATENATE(B1220)),ID!$A$2:$D$305,3,0)</f>
        <v>SP005</v>
      </c>
      <c r="D1220" s="21">
        <v>1</v>
      </c>
      <c r="E1220" s="21" t="s">
        <v>3960</v>
      </c>
      <c r="F1220" s="21" t="s">
        <v>3962</v>
      </c>
      <c r="G1220" s="21" t="s">
        <v>3853</v>
      </c>
      <c r="H1220" s="88">
        <v>4869</v>
      </c>
      <c r="I1220" s="43">
        <v>4941</v>
      </c>
      <c r="J1220" s="43">
        <v>4938</v>
      </c>
      <c r="K1220" s="21">
        <v>1</v>
      </c>
      <c r="L1220" s="43">
        <v>4958</v>
      </c>
      <c r="M1220" s="43">
        <v>4970</v>
      </c>
      <c r="N1220" s="43">
        <v>4956</v>
      </c>
      <c r="O1220" s="21" t="s">
        <v>3961</v>
      </c>
      <c r="P1220" s="194" t="str">
        <f t="shared" si="229"/>
        <v>1</v>
      </c>
      <c r="Q1220" s="21">
        <v>1</v>
      </c>
      <c r="R1220" s="39" t="str">
        <f t="shared" si="220"/>
        <v>-</v>
      </c>
      <c r="S1220" s="120">
        <f t="shared" si="228"/>
        <v>4716382</v>
      </c>
      <c r="T1220" s="123">
        <v>6234885</v>
      </c>
      <c r="U1220" s="123">
        <f>500000+4543868</f>
        <v>5043868</v>
      </c>
      <c r="V1220" s="123">
        <f t="shared" si="222"/>
        <v>1191017</v>
      </c>
      <c r="W1220" s="122" t="str">
        <f t="shared" si="223"/>
        <v>1</v>
      </c>
      <c r="X1220" s="123">
        <f>31725+948341+538437</f>
        <v>1518503</v>
      </c>
      <c r="Y1220" s="123">
        <v>0</v>
      </c>
      <c r="Z1220" s="123">
        <f t="shared" si="226"/>
        <v>1518503</v>
      </c>
      <c r="AA1220" s="122" t="str">
        <f t="shared" si="227"/>
        <v>1</v>
      </c>
      <c r="AB1220" s="120">
        <f t="shared" si="224"/>
        <v>0</v>
      </c>
      <c r="AC1220" s="123">
        <v>0</v>
      </c>
      <c r="AD1220" s="123">
        <v>0</v>
      </c>
      <c r="AG1220" s="151">
        <f t="shared" si="221"/>
        <v>756140</v>
      </c>
      <c r="AH1220" s="123">
        <v>756140</v>
      </c>
      <c r="AJ1220" s="123">
        <f>185310</f>
        <v>185310</v>
      </c>
      <c r="AO1220" s="123">
        <f>150000+2000000</f>
        <v>2150000</v>
      </c>
    </row>
    <row r="1221" spans="1:41" s="123" customFormat="1" ht="16.2" thickBot="1" x14ac:dyDescent="0.35">
      <c r="A1221" s="21"/>
      <c r="B1221" s="212" t="s">
        <v>124</v>
      </c>
      <c r="C1221" s="31" t="str">
        <f>VLOOKUP((CONCATENATE(B1221)),ID!$A$2:$D$305,3,0)</f>
        <v>SP005</v>
      </c>
      <c r="D1221" s="21">
        <v>1</v>
      </c>
      <c r="E1221" s="21" t="s">
        <v>3960</v>
      </c>
      <c r="F1221" s="21" t="s">
        <v>3962</v>
      </c>
      <c r="G1221" s="21" t="s">
        <v>3853</v>
      </c>
      <c r="H1221" s="88">
        <v>5234</v>
      </c>
      <c r="I1221" s="43">
        <v>5306</v>
      </c>
      <c r="J1221" s="43">
        <v>5301</v>
      </c>
      <c r="K1221" s="21">
        <v>1</v>
      </c>
      <c r="L1221" s="43">
        <v>5322</v>
      </c>
      <c r="M1221" s="43">
        <v>5334</v>
      </c>
      <c r="N1221" s="43">
        <v>5320</v>
      </c>
      <c r="O1221" s="21" t="s">
        <v>3961</v>
      </c>
      <c r="P1221" s="194" t="str">
        <f t="shared" si="229"/>
        <v>1</v>
      </c>
      <c r="Q1221" s="21">
        <v>1</v>
      </c>
      <c r="R1221" s="39" t="str">
        <f t="shared" si="220"/>
        <v>-</v>
      </c>
      <c r="S1221" s="120">
        <f t="shared" si="228"/>
        <v>4716640</v>
      </c>
      <c r="T1221" s="123">
        <v>5845572</v>
      </c>
      <c r="U1221" s="123">
        <f>4350181+500000</f>
        <v>4850181</v>
      </c>
      <c r="V1221" s="123">
        <f t="shared" si="222"/>
        <v>995391</v>
      </c>
      <c r="W1221" s="122" t="str">
        <f t="shared" si="223"/>
        <v>1</v>
      </c>
      <c r="X1221" s="123">
        <f>750722+378210</f>
        <v>1128932</v>
      </c>
      <c r="Y1221" s="123">
        <v>0</v>
      </c>
      <c r="Z1221" s="123">
        <f t="shared" si="226"/>
        <v>1128932</v>
      </c>
      <c r="AA1221" s="122" t="str">
        <f t="shared" si="227"/>
        <v>1</v>
      </c>
      <c r="AB1221" s="120">
        <f t="shared" si="224"/>
        <v>0</v>
      </c>
      <c r="AC1221" s="123">
        <v>0</v>
      </c>
      <c r="AD1221" s="123">
        <v>0</v>
      </c>
      <c r="AG1221" s="151">
        <f t="shared" si="221"/>
        <v>620928</v>
      </c>
      <c r="AH1221" s="123">
        <v>620928</v>
      </c>
      <c r="AJ1221" s="123">
        <v>185310</v>
      </c>
      <c r="AO1221" s="123">
        <f>150000+2000000</f>
        <v>2150000</v>
      </c>
    </row>
    <row r="1222" spans="1:41" s="123" customFormat="1" ht="16.2" thickBot="1" x14ac:dyDescent="0.35">
      <c r="A1222" s="21"/>
      <c r="B1222" s="212" t="s">
        <v>258</v>
      </c>
      <c r="C1222" s="31" t="str">
        <f>VLOOKUP((CONCATENATE(B1222)),ID!$A$2:$D$305,3,0)</f>
        <v>SP006</v>
      </c>
      <c r="D1222" s="21">
        <v>1</v>
      </c>
      <c r="E1222" s="21" t="s">
        <v>3960</v>
      </c>
      <c r="F1222" s="21" t="s">
        <v>1117</v>
      </c>
      <c r="G1222" s="21" t="s">
        <v>3853</v>
      </c>
      <c r="H1222" s="88">
        <v>3926</v>
      </c>
      <c r="I1222" s="43">
        <v>3990</v>
      </c>
      <c r="J1222" s="43">
        <v>3982</v>
      </c>
      <c r="K1222" s="21">
        <v>0</v>
      </c>
      <c r="L1222" s="43"/>
      <c r="M1222" s="43"/>
      <c r="N1222" s="43">
        <v>4000</v>
      </c>
      <c r="O1222" s="21" t="s">
        <v>3963</v>
      </c>
      <c r="P1222" s="194" t="str">
        <f t="shared" si="229"/>
        <v>1</v>
      </c>
      <c r="Q1222" s="21">
        <v>1</v>
      </c>
      <c r="R1222" s="39" t="str">
        <f t="shared" si="220"/>
        <v>-</v>
      </c>
      <c r="S1222" s="120">
        <f t="shared" si="228"/>
        <v>4076381</v>
      </c>
      <c r="T1222" s="123">
        <v>6924269</v>
      </c>
      <c r="U1222" s="123">
        <f>3655561+105418+33292+319643</f>
        <v>4113914</v>
      </c>
      <c r="V1222" s="123">
        <f t="shared" si="222"/>
        <v>2810355</v>
      </c>
      <c r="W1222" s="122" t="str">
        <f t="shared" si="223"/>
        <v>1</v>
      </c>
      <c r="X1222" s="123">
        <f>Y1222+1047888</f>
        <v>2847888</v>
      </c>
      <c r="Y1222" s="123">
        <f t="shared" ref="Y1222:Y1230" si="230">AB1222</f>
        <v>1800000</v>
      </c>
      <c r="Z1222" s="123">
        <f t="shared" si="226"/>
        <v>1047888</v>
      </c>
      <c r="AA1222" s="122" t="str">
        <f t="shared" si="227"/>
        <v>1</v>
      </c>
      <c r="AB1222" s="120">
        <f t="shared" si="224"/>
        <v>1800000</v>
      </c>
      <c r="AC1222" s="123">
        <v>0</v>
      </c>
      <c r="AD1222" s="123">
        <v>1800000</v>
      </c>
      <c r="AG1222" s="151">
        <f t="shared" si="221"/>
        <v>754688</v>
      </c>
      <c r="AH1222" s="123">
        <f>3441112-6648-1447906-335297-357989-194305-221-26323-186772-42001-25000</f>
        <v>818650</v>
      </c>
      <c r="AI1222" s="123">
        <v>962</v>
      </c>
      <c r="AJ1222" s="123">
        <v>69600</v>
      </c>
      <c r="AL1222" s="123">
        <v>63000</v>
      </c>
    </row>
    <row r="1223" spans="1:41" s="123" customFormat="1" ht="16.2" thickBot="1" x14ac:dyDescent="0.35">
      <c r="A1223" s="21">
        <v>210.1</v>
      </c>
      <c r="B1223" s="212" t="s">
        <v>258</v>
      </c>
      <c r="C1223" s="31" t="str">
        <f>VLOOKUP((CONCATENATE(B1223)),ID!$A$2:$D$305,3,0)</f>
        <v>SP006</v>
      </c>
      <c r="D1223" s="21">
        <v>1</v>
      </c>
      <c r="E1223" s="21" t="s">
        <v>3960</v>
      </c>
      <c r="F1223" s="21" t="s">
        <v>1117</v>
      </c>
      <c r="G1223" s="21" t="s">
        <v>3853</v>
      </c>
      <c r="H1223" s="88">
        <v>4291</v>
      </c>
      <c r="I1223" s="43">
        <v>4354</v>
      </c>
      <c r="J1223" s="43">
        <v>4350</v>
      </c>
      <c r="K1223" s="21">
        <v>0</v>
      </c>
      <c r="L1223" s="21"/>
      <c r="M1223" s="21"/>
      <c r="N1223" s="43">
        <v>4364</v>
      </c>
      <c r="O1223" s="21" t="s">
        <v>3963</v>
      </c>
      <c r="P1223" s="194" t="str">
        <f t="shared" si="229"/>
        <v>1</v>
      </c>
      <c r="Q1223" s="21">
        <v>1</v>
      </c>
      <c r="R1223" s="39" t="str">
        <f t="shared" si="220"/>
        <v>-</v>
      </c>
      <c r="S1223" s="120">
        <f t="shared" si="228"/>
        <v>4076817</v>
      </c>
      <c r="T1223" s="123">
        <v>6998792</v>
      </c>
      <c r="U1223" s="123">
        <f>3087522+107688+31726+319723</f>
        <v>3546659</v>
      </c>
      <c r="V1223" s="123">
        <f t="shared" si="222"/>
        <v>3452133</v>
      </c>
      <c r="W1223" s="122" t="str">
        <f t="shared" si="223"/>
        <v>1</v>
      </c>
      <c r="X1223" s="123">
        <f>Y1223+1121975</f>
        <v>2921975</v>
      </c>
      <c r="Y1223" s="123">
        <f t="shared" si="230"/>
        <v>1800000</v>
      </c>
      <c r="Z1223" s="123">
        <f t="shared" si="226"/>
        <v>1121975</v>
      </c>
      <c r="AA1223" s="122" t="str">
        <f t="shared" si="227"/>
        <v>1</v>
      </c>
      <c r="AB1223" s="120">
        <f t="shared" si="224"/>
        <v>1800000</v>
      </c>
      <c r="AC1223" s="123">
        <v>0</v>
      </c>
      <c r="AD1223" s="123">
        <v>1800000</v>
      </c>
      <c r="AG1223" s="151">
        <f t="shared" si="221"/>
        <v>768780</v>
      </c>
      <c r="AH1223" s="123">
        <f>3471808-67181-1435407-338633-344992-198190-30156-8975-205810-10684</f>
        <v>831780</v>
      </c>
      <c r="AJ1223" s="123">
        <v>69600</v>
      </c>
      <c r="AL1223" s="123">
        <v>63000</v>
      </c>
    </row>
    <row r="1224" spans="1:41" s="123" customFormat="1" ht="16.2" thickBot="1" x14ac:dyDescent="0.35">
      <c r="A1224" s="21">
        <v>210.2</v>
      </c>
      <c r="B1224" s="212" t="s">
        <v>258</v>
      </c>
      <c r="C1224" s="31" t="str">
        <f>VLOOKUP((CONCATENATE(B1224)),ID!$A$2:$D$305,3,0)</f>
        <v>SP006</v>
      </c>
      <c r="D1224" s="21">
        <v>1</v>
      </c>
      <c r="E1224" s="21" t="s">
        <v>3960</v>
      </c>
      <c r="F1224" s="21" t="s">
        <v>1117</v>
      </c>
      <c r="G1224" s="21" t="s">
        <v>3853</v>
      </c>
      <c r="H1224" s="88">
        <v>4657</v>
      </c>
      <c r="I1224" s="43">
        <v>4711</v>
      </c>
      <c r="J1224" s="43">
        <v>4690</v>
      </c>
      <c r="K1224" s="21">
        <v>0</v>
      </c>
      <c r="L1224" s="21"/>
      <c r="M1224" s="21"/>
      <c r="N1224" s="43">
        <v>4728</v>
      </c>
      <c r="O1224" s="21" t="s">
        <v>3963</v>
      </c>
      <c r="P1224" s="194" t="str">
        <f t="shared" si="229"/>
        <v>?</v>
      </c>
      <c r="Q1224" s="21">
        <v>1</v>
      </c>
      <c r="R1224" s="39" t="str">
        <f t="shared" si="220"/>
        <v>-</v>
      </c>
      <c r="S1224" s="120">
        <f t="shared" si="228"/>
        <v>5411266</v>
      </c>
      <c r="T1224" s="123">
        <v>8238807</v>
      </c>
      <c r="U1224" s="123">
        <f>3296592+101193+47577+339731+222119</f>
        <v>4007212</v>
      </c>
      <c r="V1224" s="123">
        <f t="shared" si="222"/>
        <v>4231595</v>
      </c>
      <c r="W1224" s="122" t="str">
        <f t="shared" si="223"/>
        <v>1</v>
      </c>
      <c r="X1224" s="123">
        <f>1800000+1027541</f>
        <v>2827541</v>
      </c>
      <c r="Y1224" s="123">
        <f t="shared" si="230"/>
        <v>1800000</v>
      </c>
      <c r="Z1224" s="123">
        <f t="shared" si="226"/>
        <v>1027541</v>
      </c>
      <c r="AA1224" s="122" t="str">
        <f t="shared" si="227"/>
        <v>1</v>
      </c>
      <c r="AB1224" s="120">
        <f t="shared" si="224"/>
        <v>1800000</v>
      </c>
      <c r="AC1224" s="123">
        <v>0</v>
      </c>
      <c r="AD1224" s="123">
        <v>1800000</v>
      </c>
      <c r="AG1224" s="151">
        <f t="shared" si="221"/>
        <v>735684</v>
      </c>
      <c r="AH1224" s="123">
        <f>307140+AI1224+AL1224-67616+496160</f>
        <v>799116</v>
      </c>
      <c r="AI1224" s="123">
        <v>432</v>
      </c>
      <c r="AL1224" s="123">
        <v>63000</v>
      </c>
    </row>
    <row r="1225" spans="1:41" s="123" customFormat="1" ht="16.2" thickBot="1" x14ac:dyDescent="0.35">
      <c r="A1225" s="21"/>
      <c r="B1225" s="212" t="s">
        <v>258</v>
      </c>
      <c r="C1225" s="31" t="str">
        <f>VLOOKUP((CONCATENATE(B1225)),ID!$A$2:$D$305,3,0)</f>
        <v>SP006</v>
      </c>
      <c r="D1225" s="21">
        <v>1</v>
      </c>
      <c r="E1225" s="21" t="s">
        <v>3960</v>
      </c>
      <c r="F1225" s="21" t="s">
        <v>1117</v>
      </c>
      <c r="G1225" s="21" t="s">
        <v>3853</v>
      </c>
      <c r="H1225" s="88">
        <v>5022</v>
      </c>
      <c r="I1225" s="43">
        <v>5082</v>
      </c>
      <c r="J1225" s="43">
        <v>5074</v>
      </c>
      <c r="K1225" s="21">
        <v>0</v>
      </c>
      <c r="L1225" s="21"/>
      <c r="M1225" s="21"/>
      <c r="N1225" s="43">
        <v>5093</v>
      </c>
      <c r="O1225" s="21" t="s">
        <v>3963</v>
      </c>
      <c r="P1225" s="194" t="str">
        <f t="shared" si="229"/>
        <v>1</v>
      </c>
      <c r="Q1225" s="21">
        <v>1</v>
      </c>
      <c r="R1225" s="39" t="str">
        <f t="shared" si="220"/>
        <v>-</v>
      </c>
      <c r="S1225" s="120">
        <f t="shared" si="228"/>
        <v>5634134</v>
      </c>
      <c r="T1225" s="123">
        <v>8469689</v>
      </c>
      <c r="U1225" s="123">
        <f>T1225-3726735-847751</f>
        <v>3895203</v>
      </c>
      <c r="V1225" s="123">
        <f t="shared" si="222"/>
        <v>4574486</v>
      </c>
      <c r="W1225" s="122" t="str">
        <f t="shared" si="223"/>
        <v>1</v>
      </c>
      <c r="X1225" s="123">
        <f>Y1225+1035555</f>
        <v>2835555</v>
      </c>
      <c r="Y1225" s="123">
        <f t="shared" si="230"/>
        <v>1800000</v>
      </c>
      <c r="Z1225" s="123">
        <f t="shared" si="226"/>
        <v>1035555</v>
      </c>
      <c r="AA1225" s="122" t="str">
        <f t="shared" si="227"/>
        <v>1</v>
      </c>
      <c r="AB1225" s="120">
        <f t="shared" si="224"/>
        <v>1800000</v>
      </c>
      <c r="AC1225" s="123">
        <v>0</v>
      </c>
      <c r="AD1225" s="123">
        <v>1800000</v>
      </c>
      <c r="AG1225" s="151">
        <f t="shared" si="221"/>
        <v>955924</v>
      </c>
      <c r="AH1225" s="123">
        <f>3936838-67765-1608560-364125-319328-211779-12401-41699-267959-24298</f>
        <v>1018924</v>
      </c>
      <c r="AJ1225" s="123">
        <v>99100</v>
      </c>
      <c r="AL1225" s="123">
        <v>63000</v>
      </c>
    </row>
    <row r="1226" spans="1:41" s="123" customFormat="1" ht="16.2" thickBot="1" x14ac:dyDescent="0.35">
      <c r="A1226" s="21"/>
      <c r="B1226" s="212" t="s">
        <v>258</v>
      </c>
      <c r="C1226" s="31" t="str">
        <f>VLOOKUP((CONCATENATE(B1226)),ID!$A$2:$D$305,3,0)</f>
        <v>SP006</v>
      </c>
      <c r="D1226" s="21">
        <v>1</v>
      </c>
      <c r="E1226" s="21" t="s">
        <v>3960</v>
      </c>
      <c r="F1226" s="21" t="s">
        <v>1117</v>
      </c>
      <c r="G1226" s="21" t="s">
        <v>3853</v>
      </c>
      <c r="H1226" s="88">
        <v>5387</v>
      </c>
      <c r="I1226" s="43">
        <v>5453</v>
      </c>
      <c r="J1226" s="43">
        <v>5442</v>
      </c>
      <c r="K1226" s="21">
        <v>0</v>
      </c>
      <c r="L1226" s="21"/>
      <c r="M1226" s="21"/>
      <c r="N1226" s="43">
        <v>5464</v>
      </c>
      <c r="O1226" s="21" t="s">
        <v>3963</v>
      </c>
      <c r="P1226" s="194" t="str">
        <f t="shared" si="229"/>
        <v>1</v>
      </c>
      <c r="Q1226" s="21">
        <v>1</v>
      </c>
      <c r="R1226" s="39" t="str">
        <f t="shared" si="220"/>
        <v>-</v>
      </c>
      <c r="S1226" s="120">
        <f t="shared" si="228"/>
        <v>5634603</v>
      </c>
      <c r="T1226" s="123">
        <v>8144573</v>
      </c>
      <c r="U1226" s="123">
        <f>T1226-1386230-2871635</f>
        <v>3886708</v>
      </c>
      <c r="V1226" s="123">
        <f t="shared" si="222"/>
        <v>4257865</v>
      </c>
      <c r="W1226" s="122" t="str">
        <f t="shared" si="223"/>
        <v>1</v>
      </c>
      <c r="X1226" s="123">
        <f>Y1226+709970</f>
        <v>2509970</v>
      </c>
      <c r="Y1226" s="123">
        <f t="shared" si="230"/>
        <v>1800000</v>
      </c>
      <c r="Z1226" s="123">
        <f t="shared" si="226"/>
        <v>709970</v>
      </c>
      <c r="AA1226" s="122" t="str">
        <f t="shared" si="227"/>
        <v>1</v>
      </c>
      <c r="AB1226" s="120">
        <f t="shared" si="224"/>
        <v>1800000</v>
      </c>
      <c r="AC1226" s="123">
        <v>0</v>
      </c>
      <c r="AD1226" s="123">
        <v>1800000</v>
      </c>
      <c r="AG1226" s="151">
        <f t="shared" si="221"/>
        <v>741507</v>
      </c>
      <c r="AH1226" s="123">
        <f>3523838-68233-2355209-218997-23506-31000-22386</f>
        <v>804507</v>
      </c>
      <c r="AJ1226" s="123">
        <v>99100</v>
      </c>
      <c r="AL1226" s="123">
        <v>63000</v>
      </c>
    </row>
    <row r="1227" spans="1:41" s="123" customFormat="1" ht="16.2" thickBot="1" x14ac:dyDescent="0.35">
      <c r="A1227" s="21"/>
      <c r="B1227" s="212" t="s">
        <v>277</v>
      </c>
      <c r="C1227" s="31" t="str">
        <f>VLOOKUP((CONCATENATE(B1227)),ID!$A$2:$D$305,3,0)</f>
        <v>SP007</v>
      </c>
      <c r="D1227" s="21">
        <v>1</v>
      </c>
      <c r="E1227" s="21" t="s">
        <v>3960</v>
      </c>
      <c r="F1227" s="21" t="s">
        <v>1117</v>
      </c>
      <c r="G1227" s="21" t="s">
        <v>3853</v>
      </c>
      <c r="H1227" s="88">
        <v>3653</v>
      </c>
      <c r="I1227" s="43">
        <v>3787</v>
      </c>
      <c r="J1227" s="43">
        <v>3792</v>
      </c>
      <c r="K1227" s="21">
        <v>1</v>
      </c>
      <c r="L1227" s="43">
        <v>3787</v>
      </c>
      <c r="M1227" s="43">
        <v>3801</v>
      </c>
      <c r="N1227" s="43">
        <v>3798</v>
      </c>
      <c r="O1227" s="21" t="s">
        <v>3964</v>
      </c>
      <c r="P1227" s="194" t="str">
        <f t="shared" si="229"/>
        <v>1</v>
      </c>
      <c r="Q1227" s="21">
        <v>1</v>
      </c>
      <c r="R1227" s="39" t="str">
        <f t="shared" si="220"/>
        <v>-</v>
      </c>
      <c r="S1227" s="120">
        <f t="shared" si="228"/>
        <v>595958</v>
      </c>
      <c r="T1227" s="123">
        <v>3462654</v>
      </c>
      <c r="U1227" s="123">
        <f>30670+44116+108032+2913422</f>
        <v>3096240</v>
      </c>
      <c r="V1227" s="123">
        <f t="shared" si="222"/>
        <v>366414</v>
      </c>
      <c r="W1227" s="122" t="str">
        <f t="shared" si="223"/>
        <v>1</v>
      </c>
      <c r="X1227" s="123">
        <f>Y1227+T1227-1500000-50000-45958</f>
        <v>2866696</v>
      </c>
      <c r="Y1227" s="123">
        <f t="shared" si="230"/>
        <v>1000000</v>
      </c>
      <c r="Z1227" s="123">
        <f t="shared" si="226"/>
        <v>1866696</v>
      </c>
      <c r="AA1227" s="122" t="str">
        <f t="shared" si="227"/>
        <v>1</v>
      </c>
      <c r="AB1227" s="120">
        <f t="shared" si="224"/>
        <v>1000000</v>
      </c>
      <c r="AC1227" s="123">
        <v>0</v>
      </c>
      <c r="AD1227" s="123">
        <v>1000000</v>
      </c>
      <c r="AG1227" s="151">
        <f t="shared" si="221"/>
        <v>129773</v>
      </c>
      <c r="AH1227" s="123">
        <f>196748-2979-AK1227</f>
        <v>177352</v>
      </c>
      <c r="AI1227" s="123">
        <v>2387</v>
      </c>
      <c r="AJ1227" s="123">
        <v>15000</v>
      </c>
      <c r="AK1227" s="123">
        <v>16417</v>
      </c>
      <c r="AL1227" s="123">
        <f>21379+23813</f>
        <v>45192</v>
      </c>
    </row>
    <row r="1228" spans="1:41" s="123" customFormat="1" ht="16.2" thickBot="1" x14ac:dyDescent="0.35">
      <c r="A1228" s="21">
        <v>211.1</v>
      </c>
      <c r="B1228" s="212" t="s">
        <v>277</v>
      </c>
      <c r="C1228" s="31" t="str">
        <f>VLOOKUP((CONCATENATE(B1228)),ID!$A$2:$D$305,3,0)</f>
        <v>SP007</v>
      </c>
      <c r="D1228" s="21">
        <v>1</v>
      </c>
      <c r="E1228" s="21" t="s">
        <v>3960</v>
      </c>
      <c r="F1228" s="21" t="s">
        <v>1117</v>
      </c>
      <c r="G1228" s="21" t="s">
        <v>3853</v>
      </c>
      <c r="H1228" s="88">
        <v>4018</v>
      </c>
      <c r="I1228" s="43">
        <v>4151</v>
      </c>
      <c r="J1228" s="43">
        <v>4155</v>
      </c>
      <c r="K1228" s="21">
        <v>1</v>
      </c>
      <c r="L1228" s="43">
        <v>4151</v>
      </c>
      <c r="M1228" s="43">
        <v>4165</v>
      </c>
      <c r="N1228" s="43">
        <v>4162</v>
      </c>
      <c r="O1228" s="21" t="s">
        <v>3964</v>
      </c>
      <c r="P1228" s="194" t="str">
        <f t="shared" si="229"/>
        <v>1</v>
      </c>
      <c r="Q1228" s="21">
        <v>1</v>
      </c>
      <c r="R1228" s="39" t="str">
        <f t="shared" si="220"/>
        <v>-</v>
      </c>
      <c r="S1228" s="120">
        <f t="shared" si="228"/>
        <v>1895042</v>
      </c>
      <c r="T1228" s="123">
        <v>4866268</v>
      </c>
      <c r="U1228" s="123">
        <f>4211029+168697+42779+22550</f>
        <v>4445055</v>
      </c>
      <c r="V1228" s="123">
        <f t="shared" si="222"/>
        <v>421213</v>
      </c>
      <c r="W1228" s="122" t="str">
        <f t="shared" si="223"/>
        <v>1</v>
      </c>
      <c r="X1228" s="123">
        <f>2250000+44495+1255+256162+419314</f>
        <v>2971226</v>
      </c>
      <c r="Y1228" s="123">
        <f t="shared" si="230"/>
        <v>2250000</v>
      </c>
      <c r="Z1228" s="123">
        <f t="shared" si="226"/>
        <v>721226</v>
      </c>
      <c r="AA1228" s="122" t="str">
        <f t="shared" si="227"/>
        <v>1</v>
      </c>
      <c r="AB1228" s="120">
        <f t="shared" si="224"/>
        <v>2250000</v>
      </c>
      <c r="AC1228" s="123">
        <v>0</v>
      </c>
      <c r="AD1228" s="123">
        <f>2250000</f>
        <v>2250000</v>
      </c>
      <c r="AG1228" s="151">
        <f t="shared" si="221"/>
        <v>96082</v>
      </c>
      <c r="AH1228" s="123">
        <f>185510-3958-16292</f>
        <v>165260</v>
      </c>
      <c r="AI1228" s="123">
        <v>2195</v>
      </c>
      <c r="AJ1228" s="123">
        <v>15000</v>
      </c>
      <c r="AK1228" s="123">
        <v>16292</v>
      </c>
      <c r="AL1228" s="123">
        <f>45000+21983</f>
        <v>66983</v>
      </c>
    </row>
    <row r="1229" spans="1:41" s="123" customFormat="1" ht="16.2" thickBot="1" x14ac:dyDescent="0.35">
      <c r="A1229" s="21">
        <v>211.2</v>
      </c>
      <c r="B1229" s="212" t="s">
        <v>277</v>
      </c>
      <c r="C1229" s="31" t="str">
        <f>VLOOKUP((CONCATENATE(B1229)),ID!$A$2:$D$305,3,0)</f>
        <v>SP007</v>
      </c>
      <c r="D1229" s="21">
        <v>1</v>
      </c>
      <c r="E1229" s="21" t="s">
        <v>3960</v>
      </c>
      <c r="F1229" s="21" t="s">
        <v>1117</v>
      </c>
      <c r="G1229" s="21" t="s">
        <v>3853</v>
      </c>
      <c r="H1229" s="88">
        <v>4383</v>
      </c>
      <c r="I1229" s="43">
        <v>4494</v>
      </c>
      <c r="J1229" s="43">
        <v>4500</v>
      </c>
      <c r="K1229" s="21">
        <v>1</v>
      </c>
      <c r="L1229" s="43">
        <v>4494</v>
      </c>
      <c r="M1229" s="43">
        <v>4508</v>
      </c>
      <c r="N1229" s="43">
        <v>4505</v>
      </c>
      <c r="O1229" s="21" t="s">
        <v>3964</v>
      </c>
      <c r="P1229" s="194" t="str">
        <f t="shared" si="229"/>
        <v>1</v>
      </c>
      <c r="Q1229" s="21">
        <v>1</v>
      </c>
      <c r="R1229" s="39" t="str">
        <f t="shared" si="220"/>
        <v>-</v>
      </c>
      <c r="S1229" s="120">
        <f t="shared" si="228"/>
        <v>2200701</v>
      </c>
      <c r="T1229" s="123">
        <v>5692637</v>
      </c>
      <c r="U1229" s="123">
        <f>4875183+205040+46915+17451</f>
        <v>5144589</v>
      </c>
      <c r="V1229" s="123">
        <f t="shared" si="222"/>
        <v>548048</v>
      </c>
      <c r="W1229" s="122" t="str">
        <f t="shared" si="223"/>
        <v>1</v>
      </c>
      <c r="X1229" s="123">
        <f>2250000+53767+1255+512015+674899</f>
        <v>3491936</v>
      </c>
      <c r="Y1229" s="123">
        <f t="shared" si="230"/>
        <v>2250000</v>
      </c>
      <c r="Z1229" s="123">
        <f t="shared" si="226"/>
        <v>1241936</v>
      </c>
      <c r="AA1229" s="122" t="str">
        <f t="shared" si="227"/>
        <v>1</v>
      </c>
      <c r="AB1229" s="120">
        <f t="shared" si="224"/>
        <v>2250000</v>
      </c>
      <c r="AC1229" s="123">
        <v>0</v>
      </c>
      <c r="AD1229" s="123">
        <f>2250000</f>
        <v>2250000</v>
      </c>
      <c r="AG1229" s="151">
        <f t="shared" si="221"/>
        <v>165673</v>
      </c>
      <c r="AH1229" s="123">
        <f>297173-4039-19961</f>
        <v>273173</v>
      </c>
      <c r="AJ1229" s="123">
        <v>15000</v>
      </c>
      <c r="AK1229" s="123">
        <v>19961</v>
      </c>
      <c r="AL1229" s="123">
        <f>45000+62500</f>
        <v>107500</v>
      </c>
    </row>
    <row r="1230" spans="1:41" s="123" customFormat="1" ht="16.2" thickBot="1" x14ac:dyDescent="0.35">
      <c r="A1230" s="21"/>
      <c r="B1230" s="212" t="s">
        <v>277</v>
      </c>
      <c r="C1230" s="31" t="str">
        <f>VLOOKUP((CONCATENATE(B1230)),ID!$A$2:$D$305,3,0)</f>
        <v>SP007</v>
      </c>
      <c r="D1230" s="21">
        <v>1</v>
      </c>
      <c r="E1230" s="21" t="s">
        <v>3960</v>
      </c>
      <c r="F1230" s="21" t="s">
        <v>1117</v>
      </c>
      <c r="G1230" s="21" t="s">
        <v>3853</v>
      </c>
      <c r="H1230" s="88">
        <v>4749</v>
      </c>
      <c r="I1230" s="43">
        <v>4865</v>
      </c>
      <c r="J1230" s="43">
        <v>4865</v>
      </c>
      <c r="K1230" s="21">
        <v>1</v>
      </c>
      <c r="L1230" s="43">
        <v>4865</v>
      </c>
      <c r="M1230" s="43">
        <v>4879</v>
      </c>
      <c r="N1230" s="43">
        <v>4876</v>
      </c>
      <c r="O1230" s="21" t="s">
        <v>3964</v>
      </c>
      <c r="P1230" s="194" t="str">
        <f t="shared" si="229"/>
        <v>1</v>
      </c>
      <c r="Q1230" s="21">
        <v>1</v>
      </c>
      <c r="R1230" s="39" t="str">
        <f t="shared" si="220"/>
        <v>-</v>
      </c>
      <c r="S1230" s="120">
        <f t="shared" si="228"/>
        <v>3684750</v>
      </c>
      <c r="T1230" s="123">
        <v>8998853</v>
      </c>
      <c r="U1230" s="123">
        <f>1017859+26523+95817+399244+6904552</f>
        <v>8443995</v>
      </c>
      <c r="V1230" s="123">
        <f t="shared" si="222"/>
        <v>554858</v>
      </c>
      <c r="W1230" s="122" t="str">
        <f t="shared" si="223"/>
        <v>1</v>
      </c>
      <c r="X1230" s="123">
        <f>Y1230+84172+1190+485323+1243418</f>
        <v>5314103</v>
      </c>
      <c r="Y1230" s="123">
        <f t="shared" si="230"/>
        <v>3500000</v>
      </c>
      <c r="Z1230" s="123">
        <f t="shared" si="226"/>
        <v>1814103</v>
      </c>
      <c r="AA1230" s="122" t="str">
        <f t="shared" si="227"/>
        <v>1</v>
      </c>
      <c r="AB1230" s="120">
        <f t="shared" si="224"/>
        <v>3500000</v>
      </c>
      <c r="AC1230" s="123">
        <v>0</v>
      </c>
      <c r="AD1230" s="123">
        <v>3500000</v>
      </c>
      <c r="AG1230" s="151">
        <f t="shared" si="221"/>
        <v>318147</v>
      </c>
      <c r="AH1230" s="123">
        <f>498294-8839-3420-12500</f>
        <v>473535</v>
      </c>
      <c r="AJ1230" s="123">
        <v>55095</v>
      </c>
      <c r="AL1230" s="123">
        <f>59482+95906</f>
        <v>155388</v>
      </c>
    </row>
    <row r="1231" spans="1:41" s="123" customFormat="1" ht="16.2" thickBot="1" x14ac:dyDescent="0.35">
      <c r="A1231" s="21"/>
      <c r="B1231" s="212" t="s">
        <v>277</v>
      </c>
      <c r="C1231" s="31" t="str">
        <f>VLOOKUP((CONCATENATE(B1231)),ID!$A$2:$D$305,3,0)</f>
        <v>SP007</v>
      </c>
      <c r="D1231" s="21">
        <v>1</v>
      </c>
      <c r="E1231" s="21" t="s">
        <v>3960</v>
      </c>
      <c r="F1231" s="21" t="s">
        <v>1117</v>
      </c>
      <c r="G1231" s="21" t="s">
        <v>3853</v>
      </c>
      <c r="H1231" s="88">
        <v>5114</v>
      </c>
      <c r="I1231" s="43">
        <v>5236</v>
      </c>
      <c r="J1231" s="43">
        <v>5235</v>
      </c>
      <c r="K1231" s="21">
        <v>1</v>
      </c>
      <c r="L1231" s="43">
        <v>5236</v>
      </c>
      <c r="M1231" s="43">
        <v>5250</v>
      </c>
      <c r="N1231" s="43">
        <v>5247</v>
      </c>
      <c r="O1231" s="21" t="s">
        <v>3964</v>
      </c>
      <c r="P1231" s="194" t="str">
        <f t="shared" si="229"/>
        <v>1</v>
      </c>
      <c r="Q1231" s="21">
        <v>1</v>
      </c>
      <c r="R1231" s="39" t="str">
        <f t="shared" si="220"/>
        <v>-</v>
      </c>
      <c r="S1231" s="120">
        <f t="shared" si="228"/>
        <v>5045401</v>
      </c>
      <c r="T1231" s="123">
        <v>10485609</v>
      </c>
      <c r="U1231" s="123">
        <f>8922578+594289+47226+65634</f>
        <v>9629727</v>
      </c>
      <c r="V1231" s="123">
        <f t="shared" si="222"/>
        <v>855882</v>
      </c>
      <c r="W1231" s="122" t="str">
        <f t="shared" si="223"/>
        <v>1</v>
      </c>
      <c r="X1231" s="123">
        <f>Y1231+84182+2566+548008+384131+921321</f>
        <v>5440208</v>
      </c>
      <c r="Y1231" s="123">
        <f>AB1231-384131</f>
        <v>3500000</v>
      </c>
      <c r="Z1231" s="123">
        <f t="shared" si="226"/>
        <v>1940208</v>
      </c>
      <c r="AA1231" s="122" t="str">
        <f t="shared" si="227"/>
        <v>1</v>
      </c>
      <c r="AB1231" s="120">
        <f t="shared" si="224"/>
        <v>3884131</v>
      </c>
      <c r="AC1231" s="123">
        <v>0</v>
      </c>
      <c r="AD1231" s="123">
        <f>3500000+384131</f>
        <v>3884131</v>
      </c>
      <c r="AG1231" s="151">
        <f t="shared" si="221"/>
        <v>269752</v>
      </c>
      <c r="AH1231" s="123">
        <f>445322-7570</f>
        <v>437752</v>
      </c>
      <c r="AJ1231" s="123">
        <v>75798</v>
      </c>
      <c r="AL1231" s="123">
        <f>63000+105000</f>
        <v>168000</v>
      </c>
    </row>
    <row r="1232" spans="1:41" s="123" customFormat="1" ht="16.2" thickBot="1" x14ac:dyDescent="0.35">
      <c r="A1232" s="21"/>
      <c r="B1232" s="212" t="s">
        <v>88</v>
      </c>
      <c r="C1232" s="31" t="str">
        <f>VLOOKUP((CONCATENATE(B1232)),ID!$A$2:$D$305,3,0)</f>
        <v>T01</v>
      </c>
      <c r="D1232" s="21">
        <v>1</v>
      </c>
      <c r="E1232" s="21" t="s">
        <v>3965</v>
      </c>
      <c r="F1232" s="21" t="s">
        <v>3789</v>
      </c>
      <c r="G1232" s="21" t="s">
        <v>3853</v>
      </c>
      <c r="H1232" s="88">
        <v>3987</v>
      </c>
      <c r="I1232" s="43">
        <v>4139</v>
      </c>
      <c r="J1232" s="43">
        <v>4136</v>
      </c>
      <c r="K1232" s="21">
        <v>1</v>
      </c>
      <c r="L1232" s="43">
        <v>4155</v>
      </c>
      <c r="M1232" s="43">
        <v>4170</v>
      </c>
      <c r="N1232" s="43">
        <v>4148</v>
      </c>
      <c r="O1232" s="21" t="s">
        <v>3966</v>
      </c>
      <c r="P1232" s="194" t="str">
        <f t="shared" si="229"/>
        <v>1</v>
      </c>
      <c r="Q1232" s="21">
        <v>1</v>
      </c>
      <c r="R1232" s="39" t="str">
        <f t="shared" si="220"/>
        <v>-</v>
      </c>
      <c r="S1232" s="120">
        <f t="shared" si="228"/>
        <v>2304021</v>
      </c>
      <c r="T1232" s="123">
        <v>3116502</v>
      </c>
      <c r="U1232" s="123">
        <f>2039844+615585</f>
        <v>2655429</v>
      </c>
      <c r="V1232" s="123">
        <f t="shared" si="222"/>
        <v>461073</v>
      </c>
      <c r="W1232" s="122" t="str">
        <f t="shared" si="223"/>
        <v>1</v>
      </c>
      <c r="X1232" s="123">
        <f>Y1232+200018+61175+1288</f>
        <v>812481</v>
      </c>
      <c r="Y1232" s="123">
        <f>AB1232</f>
        <v>550000</v>
      </c>
      <c r="Z1232" s="123">
        <f t="shared" si="226"/>
        <v>262481</v>
      </c>
      <c r="AA1232" s="122" t="str">
        <f t="shared" si="227"/>
        <v>1</v>
      </c>
      <c r="AB1232" s="120">
        <f t="shared" si="224"/>
        <v>550000</v>
      </c>
      <c r="AC1232" s="123">
        <v>0</v>
      </c>
      <c r="AD1232" s="123">
        <v>550000</v>
      </c>
      <c r="AE1232" s="123">
        <v>2827</v>
      </c>
      <c r="AG1232" s="151">
        <f t="shared" si="221"/>
        <v>170022</v>
      </c>
      <c r="AH1232" s="123">
        <f>271742-48420-11164-4602</f>
        <v>207556</v>
      </c>
      <c r="AJ1232" s="123">
        <v>25000</v>
      </c>
      <c r="AL1232" s="123">
        <f>12784+24750</f>
        <v>37534</v>
      </c>
      <c r="AO1232" s="123">
        <v>200000</v>
      </c>
    </row>
    <row r="1233" spans="1:41" s="123" customFormat="1" ht="16.2" thickBot="1" x14ac:dyDescent="0.35">
      <c r="A1233" s="21">
        <v>212.1</v>
      </c>
      <c r="B1233" s="212" t="s">
        <v>88</v>
      </c>
      <c r="C1233" s="31" t="str">
        <f>VLOOKUP((CONCATENATE(B1233)),ID!$A$2:$D$305,3,0)</f>
        <v>T01</v>
      </c>
      <c r="D1233" s="21">
        <v>1</v>
      </c>
      <c r="E1233" s="21" t="s">
        <v>3965</v>
      </c>
      <c r="F1233" s="21" t="s">
        <v>3789</v>
      </c>
      <c r="G1233" s="21" t="s">
        <v>3853</v>
      </c>
      <c r="H1233" s="88">
        <v>4352</v>
      </c>
      <c r="I1233" s="43">
        <v>4508</v>
      </c>
      <c r="J1233" s="43">
        <v>4505</v>
      </c>
      <c r="K1233" s="21">
        <v>1</v>
      </c>
      <c r="L1233" s="43">
        <v>4536</v>
      </c>
      <c r="M1233" s="43">
        <v>4550</v>
      </c>
      <c r="N1233" s="43">
        <v>4518</v>
      </c>
      <c r="O1233" s="21" t="s">
        <v>3966</v>
      </c>
      <c r="P1233" s="194" t="str">
        <f t="shared" si="229"/>
        <v>1</v>
      </c>
      <c r="Q1233" s="21">
        <v>1</v>
      </c>
      <c r="R1233" s="39" t="str">
        <f t="shared" si="220"/>
        <v>-</v>
      </c>
      <c r="S1233" s="120">
        <f t="shared" si="228"/>
        <v>2328472</v>
      </c>
      <c r="T1233" s="123">
        <v>3134380</v>
      </c>
      <c r="U1233" s="123">
        <f>615585+2039844</f>
        <v>2655429</v>
      </c>
      <c r="V1233" s="123">
        <f t="shared" si="222"/>
        <v>478951</v>
      </c>
      <c r="W1233" s="122" t="str">
        <f t="shared" si="223"/>
        <v>1</v>
      </c>
      <c r="X1233" s="123">
        <f>189087+66821+550000</f>
        <v>805908</v>
      </c>
      <c r="Y1233" s="123">
        <f>AB1233</f>
        <v>550000</v>
      </c>
      <c r="Z1233" s="123">
        <f t="shared" si="226"/>
        <v>255908</v>
      </c>
      <c r="AA1233" s="122" t="str">
        <f t="shared" si="227"/>
        <v>1</v>
      </c>
      <c r="AB1233" s="120">
        <f t="shared" si="224"/>
        <v>550000</v>
      </c>
      <c r="AC1233" s="123">
        <v>0</v>
      </c>
      <c r="AD1233" s="123">
        <v>550000</v>
      </c>
      <c r="AE1233" s="123">
        <v>228</v>
      </c>
      <c r="AG1233" s="151">
        <f t="shared" si="221"/>
        <v>186602</v>
      </c>
      <c r="AH1233" s="123">
        <f>301270-59581-10122-7077</f>
        <v>224490</v>
      </c>
      <c r="AJ1233" s="123">
        <v>39000</v>
      </c>
      <c r="AL1233" s="123">
        <f>13138+24750</f>
        <v>37888</v>
      </c>
      <c r="AO1233" s="123">
        <v>200000</v>
      </c>
    </row>
    <row r="1234" spans="1:41" s="123" customFormat="1" ht="16.2" thickBot="1" x14ac:dyDescent="0.35">
      <c r="A1234" s="21">
        <v>212.2</v>
      </c>
      <c r="B1234" s="212" t="s">
        <v>88</v>
      </c>
      <c r="C1234" s="31" t="str">
        <f>VLOOKUP((CONCATENATE(B1234)),ID!$A$2:$D$305,3,0)</f>
        <v>T01</v>
      </c>
      <c r="D1234" s="21">
        <v>1</v>
      </c>
      <c r="E1234" s="21" t="s">
        <v>3965</v>
      </c>
      <c r="F1234" s="21" t="s">
        <v>3789</v>
      </c>
      <c r="G1234" s="21" t="s">
        <v>3853</v>
      </c>
      <c r="H1234" s="88">
        <v>4718</v>
      </c>
      <c r="I1234" s="43">
        <v>4872</v>
      </c>
      <c r="J1234" s="43">
        <v>4867</v>
      </c>
      <c r="K1234" s="21">
        <v>1</v>
      </c>
      <c r="L1234" s="43">
        <v>4902</v>
      </c>
      <c r="M1234" s="43">
        <v>4914</v>
      </c>
      <c r="N1234" s="43">
        <v>4882</v>
      </c>
      <c r="O1234" s="21" t="s">
        <v>3966</v>
      </c>
      <c r="P1234" s="194" t="str">
        <f t="shared" si="229"/>
        <v>1</v>
      </c>
      <c r="Q1234" s="21">
        <v>1</v>
      </c>
      <c r="R1234" s="39" t="str">
        <f t="shared" si="220"/>
        <v>-</v>
      </c>
      <c r="S1234" s="120">
        <f t="shared" si="228"/>
        <v>2342921</v>
      </c>
      <c r="T1234" s="123">
        <v>3147415</v>
      </c>
      <c r="U1234" s="123">
        <f>615585+2039844</f>
        <v>2655429</v>
      </c>
      <c r="V1234" s="123">
        <f t="shared" si="222"/>
        <v>491986</v>
      </c>
      <c r="W1234" s="122" t="str">
        <f t="shared" si="223"/>
        <v>1</v>
      </c>
      <c r="X1234" s="123">
        <f>550000+181957+71249+1288</f>
        <v>804494</v>
      </c>
      <c r="Y1234" s="123">
        <f>AB1234</f>
        <v>550000</v>
      </c>
      <c r="Z1234" s="123">
        <f t="shared" si="226"/>
        <v>254494</v>
      </c>
      <c r="AA1234" s="122" t="str">
        <f t="shared" si="227"/>
        <v>1</v>
      </c>
      <c r="AB1234" s="120">
        <f t="shared" si="224"/>
        <v>550000</v>
      </c>
      <c r="AC1234" s="123">
        <v>0</v>
      </c>
      <c r="AD1234" s="123">
        <v>550000</v>
      </c>
      <c r="AE1234" s="123">
        <v>2270</v>
      </c>
      <c r="AG1234" s="151">
        <f t="shared" si="221"/>
        <v>183739</v>
      </c>
      <c r="AH1234" s="123">
        <f>311002-78182-6758-4338</f>
        <v>221724</v>
      </c>
      <c r="AJ1234" s="123">
        <v>39000</v>
      </c>
      <c r="AL1234" s="123">
        <f>13235+24750</f>
        <v>37985</v>
      </c>
      <c r="AO1234" s="123">
        <v>200000</v>
      </c>
    </row>
    <row r="1235" spans="1:41" s="123" customFormat="1" ht="16.2" thickBot="1" x14ac:dyDescent="0.35">
      <c r="A1235" s="21"/>
      <c r="B1235" s="212" t="s">
        <v>88</v>
      </c>
      <c r="C1235" s="31" t="str">
        <f>VLOOKUP((CONCATENATE(B1235)),ID!$A$2:$D$305,3,0)</f>
        <v>T01</v>
      </c>
      <c r="D1235" s="21">
        <v>1</v>
      </c>
      <c r="E1235" s="21" t="s">
        <v>3965</v>
      </c>
      <c r="F1235" s="21" t="s">
        <v>3789</v>
      </c>
      <c r="G1235" s="21" t="s">
        <v>3853</v>
      </c>
      <c r="H1235" s="88">
        <v>5083</v>
      </c>
      <c r="I1235" s="43">
        <v>5236</v>
      </c>
      <c r="J1235" s="43">
        <v>5231</v>
      </c>
      <c r="K1235" s="21">
        <v>1</v>
      </c>
      <c r="L1235" s="43">
        <v>5266</v>
      </c>
      <c r="M1235" s="43">
        <v>5280</v>
      </c>
      <c r="N1235" s="43">
        <v>5246</v>
      </c>
      <c r="O1235" s="21" t="s">
        <v>3966</v>
      </c>
      <c r="P1235" s="194" t="str">
        <f t="shared" si="229"/>
        <v>1</v>
      </c>
      <c r="Q1235" s="21">
        <v>1</v>
      </c>
      <c r="R1235" s="39" t="str">
        <f t="shared" si="220"/>
        <v>-</v>
      </c>
      <c r="S1235" s="120">
        <f t="shared" si="228"/>
        <v>2426814</v>
      </c>
      <c r="T1235" s="123">
        <v>3208097</v>
      </c>
      <c r="U1235" s="123">
        <f>2039844+615585</f>
        <v>2655429</v>
      </c>
      <c r="V1235" s="123">
        <f t="shared" si="222"/>
        <v>552668</v>
      </c>
      <c r="W1235" s="122" t="str">
        <f t="shared" si="223"/>
        <v>1</v>
      </c>
      <c r="X1235" s="123">
        <f>Y1235+159267+70728+1288</f>
        <v>781283</v>
      </c>
      <c r="Y1235" s="123">
        <f>AB1235</f>
        <v>550000</v>
      </c>
      <c r="Z1235" s="123">
        <f t="shared" si="226"/>
        <v>231283</v>
      </c>
      <c r="AA1235" s="122" t="str">
        <f t="shared" si="227"/>
        <v>1</v>
      </c>
      <c r="AB1235" s="120">
        <f t="shared" si="224"/>
        <v>550000</v>
      </c>
      <c r="AC1235" s="123">
        <v>0</v>
      </c>
      <c r="AD1235" s="123">
        <v>550000</v>
      </c>
      <c r="AE1235" s="123">
        <v>2207</v>
      </c>
      <c r="AG1235" s="151">
        <f t="shared" si="221"/>
        <v>694332</v>
      </c>
      <c r="AH1235" s="123">
        <f>750688-10290-7740</f>
        <v>732658</v>
      </c>
      <c r="AJ1235" s="123">
        <f>39000</f>
        <v>39000</v>
      </c>
      <c r="AL1235" s="123">
        <f>13576+24750</f>
        <v>38326</v>
      </c>
      <c r="AO1235" s="123">
        <v>200000</v>
      </c>
    </row>
    <row r="1236" spans="1:41" s="123" customFormat="1" ht="16.2" thickBot="1" x14ac:dyDescent="0.35">
      <c r="A1236" s="21"/>
      <c r="B1236" s="212" t="s">
        <v>88</v>
      </c>
      <c r="C1236" s="31" t="str">
        <f>VLOOKUP((CONCATENATE(B1236)),ID!$A$2:$D$305,3,0)</f>
        <v>T01</v>
      </c>
      <c r="D1236" s="21">
        <v>1</v>
      </c>
      <c r="E1236" s="21" t="s">
        <v>3965</v>
      </c>
      <c r="F1236" s="21" t="s">
        <v>3789</v>
      </c>
      <c r="G1236" s="21" t="s">
        <v>3853</v>
      </c>
      <c r="H1236" s="88">
        <v>5448</v>
      </c>
      <c r="I1236" s="43">
        <v>5603</v>
      </c>
      <c r="J1236" s="43">
        <v>5599</v>
      </c>
      <c r="K1236" s="21">
        <v>1</v>
      </c>
      <c r="L1236" s="43">
        <v>5617</v>
      </c>
      <c r="M1236" s="43">
        <v>5631</v>
      </c>
      <c r="N1236" s="43">
        <v>5617</v>
      </c>
      <c r="O1236" s="21" t="s">
        <v>3966</v>
      </c>
      <c r="P1236" s="194" t="str">
        <f t="shared" si="229"/>
        <v>1</v>
      </c>
      <c r="Q1236" s="21">
        <v>1</v>
      </c>
      <c r="R1236" s="39" t="str">
        <f t="shared" si="220"/>
        <v>-</v>
      </c>
      <c r="S1236" s="120">
        <f t="shared" si="228"/>
        <v>2471474</v>
      </c>
      <c r="T1236" s="123">
        <v>3303752</v>
      </c>
      <c r="U1236" s="123">
        <f>2039844+615585</f>
        <v>2655429</v>
      </c>
      <c r="V1236" s="123">
        <f t="shared" si="222"/>
        <v>648323</v>
      </c>
      <c r="W1236" s="122" t="str">
        <f t="shared" si="223"/>
        <v>1</v>
      </c>
      <c r="X1236" s="123">
        <f>Y1236+210768+70222+1288</f>
        <v>832278</v>
      </c>
      <c r="Y1236" s="123">
        <f>AB1236</f>
        <v>550000</v>
      </c>
      <c r="Z1236" s="123">
        <f t="shared" si="226"/>
        <v>282278</v>
      </c>
      <c r="AA1236" s="122" t="str">
        <f t="shared" si="227"/>
        <v>1</v>
      </c>
      <c r="AB1236" s="120">
        <f t="shared" si="224"/>
        <v>550000</v>
      </c>
      <c r="AC1236" s="123">
        <v>0</v>
      </c>
      <c r="AD1236" s="123">
        <v>550000</v>
      </c>
      <c r="AE1236" s="123">
        <v>3669</v>
      </c>
      <c r="AG1236" s="151">
        <f t="shared" si="221"/>
        <v>720490</v>
      </c>
      <c r="AH1236" s="123">
        <f>762514-9840-6395</f>
        <v>746279</v>
      </c>
      <c r="AI1236" s="123">
        <v>27</v>
      </c>
      <c r="AJ1236" s="123">
        <v>39000</v>
      </c>
      <c r="AL1236" s="123">
        <f>1012+24750</f>
        <v>25762</v>
      </c>
      <c r="AO1236" s="123">
        <v>200000</v>
      </c>
    </row>
    <row r="1237" spans="1:41" s="123" customFormat="1" ht="16.2" thickBot="1" x14ac:dyDescent="0.35">
      <c r="A1237" s="21"/>
      <c r="B1237" s="212" t="s">
        <v>9</v>
      </c>
      <c r="C1237" s="31" t="str">
        <f>VLOOKUP((CONCATENATE(B1237)),ID!$A$2:$D$305,3,0)</f>
        <v>TE001</v>
      </c>
      <c r="D1237" s="21">
        <v>0</v>
      </c>
      <c r="E1237" s="21" t="s">
        <v>3968</v>
      </c>
      <c r="F1237" s="21" t="s">
        <v>1117</v>
      </c>
      <c r="G1237" s="21" t="s">
        <v>3853</v>
      </c>
      <c r="H1237" s="88">
        <v>3653</v>
      </c>
      <c r="I1237" s="43">
        <v>3680</v>
      </c>
      <c r="J1237" s="43">
        <v>3677</v>
      </c>
      <c r="K1237" s="21">
        <v>0</v>
      </c>
      <c r="L1237" s="43"/>
      <c r="M1237" s="43"/>
      <c r="N1237" s="43">
        <v>3688</v>
      </c>
      <c r="O1237" s="21" t="s">
        <v>3967</v>
      </c>
      <c r="P1237" s="194">
        <v>1</v>
      </c>
      <c r="Q1237" s="21">
        <v>1</v>
      </c>
      <c r="R1237" s="39" t="str">
        <f t="shared" si="220"/>
        <v>-</v>
      </c>
      <c r="S1237" s="120">
        <f t="shared" si="228"/>
        <v>8036659</v>
      </c>
      <c r="T1237" s="123">
        <v>8153034</v>
      </c>
      <c r="U1237" s="123">
        <f>T1237-V1237</f>
        <v>7957581</v>
      </c>
      <c r="V1237" s="123">
        <f>89765+2259+23501+79928</f>
        <v>195453</v>
      </c>
      <c r="W1237" s="122" t="str">
        <f t="shared" si="223"/>
        <v>1</v>
      </c>
      <c r="X1237" s="123">
        <f>71698+137+4599+39941</f>
        <v>116375</v>
      </c>
      <c r="Y1237" s="123">
        <v>39941</v>
      </c>
      <c r="Z1237" s="123">
        <f t="shared" si="226"/>
        <v>76434</v>
      </c>
      <c r="AA1237" s="122" t="str">
        <f t="shared" si="227"/>
        <v>1</v>
      </c>
      <c r="AB1237" s="120">
        <f t="shared" si="224"/>
        <v>0</v>
      </c>
      <c r="AC1237" s="123">
        <v>0</v>
      </c>
      <c r="AD1237" s="123">
        <v>0</v>
      </c>
      <c r="AE1237" s="123">
        <v>79928</v>
      </c>
      <c r="AG1237" s="151">
        <f t="shared" si="221"/>
        <v>139631</v>
      </c>
      <c r="AH1237" s="123">
        <f>240993-24414-58640-66-1600-11982-2310</f>
        <v>141981</v>
      </c>
      <c r="AI1237" s="123">
        <v>2350</v>
      </c>
    </row>
    <row r="1238" spans="1:41" s="123" customFormat="1" ht="16.2" thickBot="1" x14ac:dyDescent="0.35">
      <c r="A1238" s="21"/>
      <c r="B1238" s="212" t="s">
        <v>9</v>
      </c>
      <c r="C1238" s="31" t="str">
        <f>VLOOKUP((CONCATENATE(B1238)),ID!$A$2:$D$305,3,0)</f>
        <v>TE001</v>
      </c>
      <c r="D1238" s="21">
        <v>0</v>
      </c>
      <c r="E1238" s="21" t="s">
        <v>3968</v>
      </c>
      <c r="F1238" s="21" t="s">
        <v>1117</v>
      </c>
      <c r="G1238" s="21" t="s">
        <v>3853</v>
      </c>
      <c r="H1238" s="88">
        <v>3834</v>
      </c>
      <c r="I1238" s="43">
        <v>3854</v>
      </c>
      <c r="J1238" s="43">
        <v>3853</v>
      </c>
      <c r="K1238" s="21">
        <v>0</v>
      </c>
      <c r="L1238" s="43"/>
      <c r="M1238" s="43"/>
      <c r="N1238" s="43">
        <v>3863</v>
      </c>
      <c r="O1238" s="21" t="s">
        <v>3967</v>
      </c>
      <c r="P1238" s="194">
        <v>1</v>
      </c>
      <c r="Q1238" s="21">
        <v>1</v>
      </c>
      <c r="R1238" s="39" t="str">
        <f t="shared" si="220"/>
        <v>-</v>
      </c>
      <c r="S1238" s="120">
        <f t="shared" si="228"/>
        <v>8038295</v>
      </c>
      <c r="T1238" s="123">
        <v>8150103</v>
      </c>
      <c r="U1238" s="123">
        <f>7000000+45357+926549</f>
        <v>7971906</v>
      </c>
      <c r="V1238" s="123">
        <f t="shared" si="222"/>
        <v>178197</v>
      </c>
      <c r="W1238" s="122" t="str">
        <f t="shared" si="223"/>
        <v>1</v>
      </c>
      <c r="X1238" s="123">
        <f>Y1238+4965+1325+62387</f>
        <v>111808</v>
      </c>
      <c r="Y1238" s="123">
        <v>43131</v>
      </c>
      <c r="Z1238" s="123">
        <f t="shared" si="226"/>
        <v>68677</v>
      </c>
      <c r="AA1238" s="122" t="str">
        <f t="shared" si="227"/>
        <v>1</v>
      </c>
      <c r="AB1238" s="120">
        <f t="shared" si="224"/>
        <v>0</v>
      </c>
      <c r="AC1238" s="123">
        <v>0</v>
      </c>
      <c r="AD1238" s="123">
        <v>0</v>
      </c>
      <c r="AE1238" s="123">
        <v>51128</v>
      </c>
      <c r="AG1238" s="151">
        <f t="shared" si="221"/>
        <v>134804</v>
      </c>
      <c r="AH1238" s="123">
        <f>208949-1894-59317-83-1600-8892</f>
        <v>137163</v>
      </c>
      <c r="AI1238" s="123">
        <v>2359</v>
      </c>
    </row>
    <row r="1239" spans="1:41" s="123" customFormat="1" ht="16.2" thickBot="1" x14ac:dyDescent="0.35">
      <c r="A1239" s="21"/>
      <c r="B1239" s="212" t="s">
        <v>9</v>
      </c>
      <c r="C1239" s="31" t="str">
        <f>VLOOKUP((CONCATENATE(B1239)),ID!$A$2:$D$305,3,0)</f>
        <v>TE001</v>
      </c>
      <c r="D1239" s="21">
        <v>0</v>
      </c>
      <c r="E1239" s="21" t="s">
        <v>3968</v>
      </c>
      <c r="F1239" s="21" t="s">
        <v>1117</v>
      </c>
      <c r="G1239" s="21" t="s">
        <v>3853</v>
      </c>
      <c r="H1239" s="88">
        <v>4018</v>
      </c>
      <c r="I1239" s="43">
        <v>4044</v>
      </c>
      <c r="J1239" s="43">
        <v>4042</v>
      </c>
      <c r="K1239" s="21">
        <v>1</v>
      </c>
      <c r="L1239" s="43">
        <v>4036</v>
      </c>
      <c r="M1239" s="43">
        <v>4052</v>
      </c>
      <c r="N1239" s="43">
        <v>4052</v>
      </c>
      <c r="O1239" s="21" t="s">
        <v>3967</v>
      </c>
      <c r="P1239" s="194">
        <v>1</v>
      </c>
      <c r="Q1239" s="21">
        <v>1</v>
      </c>
      <c r="R1239" s="39" t="str">
        <f t="shared" si="220"/>
        <v>-</v>
      </c>
      <c r="S1239" s="120">
        <f t="shared" si="228"/>
        <v>8088926</v>
      </c>
      <c r="T1239" s="123">
        <v>8178861</v>
      </c>
      <c r="U1239" s="123">
        <f>7000000+45357</f>
        <v>7045357</v>
      </c>
      <c r="V1239" s="123">
        <f t="shared" si="222"/>
        <v>1133504</v>
      </c>
      <c r="W1239" s="122" t="str">
        <f t="shared" si="223"/>
        <v>1</v>
      </c>
      <c r="X1239" s="123">
        <f>Y1239+4594+1470+36752</f>
        <v>89935</v>
      </c>
      <c r="Y1239" s="123">
        <v>47119</v>
      </c>
      <c r="Z1239" s="123">
        <f t="shared" si="226"/>
        <v>42816</v>
      </c>
      <c r="AA1239" s="122" t="str">
        <f t="shared" si="227"/>
        <v>1</v>
      </c>
      <c r="AB1239" s="120">
        <f t="shared" si="224"/>
        <v>0</v>
      </c>
      <c r="AC1239" s="123">
        <v>0</v>
      </c>
      <c r="AD1239" s="123">
        <v>0</v>
      </c>
      <c r="AE1239" s="123">
        <v>85941</v>
      </c>
      <c r="AG1239" s="151">
        <f t="shared" si="221"/>
        <v>155813</v>
      </c>
      <c r="AH1239" s="123">
        <f>249565-18297-61412-52-1600-10019</f>
        <v>158185</v>
      </c>
      <c r="AI1239" s="123">
        <v>2372</v>
      </c>
    </row>
    <row r="1240" spans="1:41" s="123" customFormat="1" ht="16.2" thickBot="1" x14ac:dyDescent="0.35">
      <c r="A1240" s="21">
        <v>213.1</v>
      </c>
      <c r="B1240" s="212" t="s">
        <v>9</v>
      </c>
      <c r="C1240" s="31" t="str">
        <f>VLOOKUP((CONCATENATE(B1240)),ID!$A$2:$D$305,3,0)</f>
        <v>TE001</v>
      </c>
      <c r="D1240" s="21">
        <v>0</v>
      </c>
      <c r="E1240" s="21" t="s">
        <v>3968</v>
      </c>
      <c r="F1240" s="21" t="s">
        <v>1117</v>
      </c>
      <c r="G1240" s="21" t="s">
        <v>3853</v>
      </c>
      <c r="H1240" s="88">
        <v>4199</v>
      </c>
      <c r="I1240" s="43">
        <v>4219</v>
      </c>
      <c r="J1240" s="43">
        <v>4217</v>
      </c>
      <c r="K1240" s="21">
        <v>0</v>
      </c>
      <c r="L1240" s="21"/>
      <c r="M1240" s="21"/>
      <c r="N1240" s="43">
        <v>4227</v>
      </c>
      <c r="O1240" s="21" t="s">
        <v>3967</v>
      </c>
      <c r="P1240" s="194">
        <v>1</v>
      </c>
      <c r="Q1240" s="21">
        <v>1</v>
      </c>
      <c r="R1240" s="39" t="str">
        <f t="shared" si="220"/>
        <v>-</v>
      </c>
      <c r="S1240" s="120">
        <f t="shared" si="228"/>
        <v>8036860</v>
      </c>
      <c r="T1240" s="123">
        <v>8129846</v>
      </c>
      <c r="U1240" s="123">
        <f>7000000+45357</f>
        <v>7045357</v>
      </c>
      <c r="V1240" s="123">
        <f t="shared" si="222"/>
        <v>1084489</v>
      </c>
      <c r="W1240" s="122" t="str">
        <f t="shared" si="223"/>
        <v>1</v>
      </c>
      <c r="X1240" s="123">
        <f>Y1240+36574+720+4319</f>
        <v>92986</v>
      </c>
      <c r="Y1240" s="123">
        <v>51373</v>
      </c>
      <c r="Z1240" s="123">
        <f t="shared" si="226"/>
        <v>41613</v>
      </c>
      <c r="AA1240" s="122" t="str">
        <f t="shared" si="227"/>
        <v>1</v>
      </c>
      <c r="AB1240" s="120">
        <f t="shared" si="224"/>
        <v>0</v>
      </c>
      <c r="AC1240" s="123">
        <v>0</v>
      </c>
      <c r="AD1240" s="123">
        <v>0</v>
      </c>
      <c r="AE1240" s="123">
        <v>47076</v>
      </c>
      <c r="AG1240" s="151">
        <f t="shared" si="221"/>
        <v>132368</v>
      </c>
      <c r="AH1240" s="123">
        <f>191455-2609-36390-145-1600-12451-3500</f>
        <v>134760</v>
      </c>
      <c r="AI1240" s="123">
        <v>2392</v>
      </c>
    </row>
    <row r="1241" spans="1:41" s="123" customFormat="1" ht="16.2" thickBot="1" x14ac:dyDescent="0.35">
      <c r="A1241" s="21">
        <v>213.2</v>
      </c>
      <c r="B1241" s="212" t="s">
        <v>9</v>
      </c>
      <c r="C1241" s="31" t="str">
        <f>VLOOKUP((CONCATENATE(B1241)),ID!$A$2:$D$305,3,0)</f>
        <v>TE001</v>
      </c>
      <c r="D1241" s="21">
        <v>0</v>
      </c>
      <c r="E1241" s="21" t="s">
        <v>3968</v>
      </c>
      <c r="F1241" s="21" t="s">
        <v>1117</v>
      </c>
      <c r="G1241" s="21" t="s">
        <v>3853</v>
      </c>
      <c r="H1241" s="115">
        <v>4474</v>
      </c>
      <c r="I1241" s="43">
        <v>4569</v>
      </c>
      <c r="J1241" s="43">
        <v>4561</v>
      </c>
      <c r="K1241" s="21">
        <v>0</v>
      </c>
      <c r="L1241" s="21"/>
      <c r="M1241" s="21"/>
      <c r="N1241" s="43">
        <v>4577</v>
      </c>
      <c r="O1241" s="21" t="s">
        <v>3967</v>
      </c>
      <c r="P1241" s="194">
        <v>1</v>
      </c>
      <c r="Q1241" s="21">
        <v>1</v>
      </c>
      <c r="R1241" s="39" t="str">
        <f t="shared" si="220"/>
        <v>-</v>
      </c>
      <c r="S1241" s="120">
        <f t="shared" si="228"/>
        <v>7319875</v>
      </c>
      <c r="T1241" s="123">
        <v>7430274</v>
      </c>
      <c r="U1241" s="123">
        <f>7000000+132705+10048+49228</f>
        <v>7191981</v>
      </c>
      <c r="V1241" s="123">
        <f t="shared" si="222"/>
        <v>238293</v>
      </c>
      <c r="W1241" s="122" t="str">
        <f t="shared" si="223"/>
        <v>1</v>
      </c>
      <c r="X1241" s="123">
        <f>Y1241+6674+46599</f>
        <v>110399</v>
      </c>
      <c r="Y1241" s="123">
        <v>57126</v>
      </c>
      <c r="Z1241" s="123">
        <f t="shared" si="226"/>
        <v>53273</v>
      </c>
      <c r="AA1241" s="122" t="str">
        <f t="shared" si="227"/>
        <v>1</v>
      </c>
      <c r="AB1241" s="120">
        <f t="shared" si="224"/>
        <v>0</v>
      </c>
      <c r="AC1241" s="123">
        <v>0</v>
      </c>
      <c r="AD1241" s="123">
        <v>0</v>
      </c>
      <c r="AE1241" s="123">
        <v>137042</v>
      </c>
      <c r="AG1241" s="151">
        <f t="shared" si="221"/>
        <v>275625</v>
      </c>
      <c r="AH1241" s="138">
        <f>303625-28000</f>
        <v>275625</v>
      </c>
      <c r="AI1241" s="138"/>
      <c r="AJ1241" s="138"/>
      <c r="AK1241" s="138"/>
      <c r="AL1241" s="138"/>
      <c r="AM1241" s="138"/>
      <c r="AN1241" s="138"/>
      <c r="AO1241" s="138"/>
    </row>
    <row r="1242" spans="1:41" s="123" customFormat="1" ht="16.2" thickBot="1" x14ac:dyDescent="0.35">
      <c r="A1242" s="21"/>
      <c r="B1242" s="212" t="s">
        <v>9</v>
      </c>
      <c r="C1242" s="31" t="str">
        <f>VLOOKUP((CONCATENATE(B1242)),ID!$A$2:$D$305,3,0)</f>
        <v>TE001</v>
      </c>
      <c r="D1242" s="21">
        <v>1</v>
      </c>
      <c r="E1242" s="21" t="s">
        <v>3968</v>
      </c>
      <c r="F1242" s="21" t="s">
        <v>1117</v>
      </c>
      <c r="G1242" s="21" t="s">
        <v>3853</v>
      </c>
      <c r="H1242" s="115">
        <v>4839</v>
      </c>
      <c r="I1242" s="43">
        <v>4858</v>
      </c>
      <c r="J1242" s="43">
        <v>4853</v>
      </c>
      <c r="K1242" s="21">
        <v>0</v>
      </c>
      <c r="L1242" s="21"/>
      <c r="M1242" s="21"/>
      <c r="N1242" s="43">
        <v>4868</v>
      </c>
      <c r="O1242" s="21" t="s">
        <v>3967</v>
      </c>
      <c r="P1242" s="194">
        <v>1</v>
      </c>
      <c r="Q1242" s="21">
        <v>1</v>
      </c>
      <c r="R1242" s="39" t="str">
        <f t="shared" si="220"/>
        <v>-</v>
      </c>
      <c r="S1242" s="120">
        <f t="shared" si="228"/>
        <v>7329747</v>
      </c>
      <c r="T1242" s="123">
        <v>7416909</v>
      </c>
      <c r="U1242" s="123">
        <f>7103505+10048+148945+63861</f>
        <v>7326359</v>
      </c>
      <c r="V1242" s="123">
        <f t="shared" si="222"/>
        <v>90550</v>
      </c>
      <c r="W1242" s="122" t="str">
        <f t="shared" si="223"/>
        <v>1</v>
      </c>
      <c r="X1242" s="123">
        <f>16999+6312+Y1242</f>
        <v>87162</v>
      </c>
      <c r="Y1242" s="123">
        <v>63851</v>
      </c>
      <c r="Z1242" s="123">
        <f t="shared" si="226"/>
        <v>23311</v>
      </c>
      <c r="AA1242" s="122" t="str">
        <f t="shared" si="227"/>
        <v>1</v>
      </c>
      <c r="AB1242" s="120">
        <f t="shared" si="224"/>
        <v>0</v>
      </c>
      <c r="AC1242" s="123">
        <v>0</v>
      </c>
      <c r="AD1242" s="123">
        <v>0</v>
      </c>
      <c r="AE1242" s="123">
        <v>89781</v>
      </c>
      <c r="AG1242" s="151">
        <f t="shared" si="221"/>
        <v>264121</v>
      </c>
      <c r="AH1242" s="138">
        <f>329746-65625</f>
        <v>264121</v>
      </c>
      <c r="AI1242" s="138"/>
      <c r="AJ1242" s="138"/>
      <c r="AK1242" s="138"/>
      <c r="AL1242" s="138"/>
      <c r="AM1242" s="138"/>
      <c r="AN1242" s="138"/>
      <c r="AO1242" s="138"/>
    </row>
    <row r="1243" spans="1:41" s="123" customFormat="1" ht="16.2" thickBot="1" x14ac:dyDescent="0.35">
      <c r="A1243" s="21"/>
      <c r="B1243" s="212" t="s">
        <v>9</v>
      </c>
      <c r="C1243" s="31" t="str">
        <f>VLOOKUP((CONCATENATE(B1243)),ID!$A$2:$D$305,3,0)</f>
        <v>TE001</v>
      </c>
      <c r="D1243" s="21">
        <v>1</v>
      </c>
      <c r="E1243" s="21" t="s">
        <v>3968</v>
      </c>
      <c r="F1243" s="21" t="s">
        <v>1117</v>
      </c>
      <c r="G1243" s="21" t="s">
        <v>3853</v>
      </c>
      <c r="H1243" s="115">
        <v>5204</v>
      </c>
      <c r="I1243" s="43">
        <v>5233</v>
      </c>
      <c r="J1243" s="43">
        <v>5228</v>
      </c>
      <c r="K1243" s="21">
        <v>0</v>
      </c>
      <c r="L1243" s="21"/>
      <c r="M1243" s="21"/>
      <c r="N1243" s="43">
        <v>5242</v>
      </c>
      <c r="O1243" s="21" t="s">
        <v>3967</v>
      </c>
      <c r="P1243" s="194">
        <v>1</v>
      </c>
      <c r="Q1243" s="21">
        <v>1</v>
      </c>
      <c r="R1243" s="39" t="str">
        <f t="shared" si="220"/>
        <v>-</v>
      </c>
      <c r="S1243" s="120">
        <f t="shared" si="228"/>
        <v>7313945</v>
      </c>
      <c r="T1243" s="123">
        <v>7405489</v>
      </c>
      <c r="U1243" s="123">
        <f>7103341+10048+130612+68401</f>
        <v>7312402</v>
      </c>
      <c r="V1243" s="123">
        <f t="shared" si="222"/>
        <v>93087</v>
      </c>
      <c r="W1243" s="122" t="str">
        <f t="shared" si="223"/>
        <v>1</v>
      </c>
      <c r="X1243" s="123">
        <f>17175+5968+Y1243</f>
        <v>91544</v>
      </c>
      <c r="Y1243" s="123">
        <v>68401</v>
      </c>
      <c r="Z1243" s="123">
        <f t="shared" si="226"/>
        <v>23143</v>
      </c>
      <c r="AA1243" s="122" t="str">
        <f t="shared" si="227"/>
        <v>1</v>
      </c>
      <c r="AB1243" s="120">
        <f t="shared" si="224"/>
        <v>0</v>
      </c>
      <c r="AC1243" s="123">
        <v>0</v>
      </c>
      <c r="AD1243" s="123">
        <v>0</v>
      </c>
      <c r="AE1243" s="123">
        <v>86810</v>
      </c>
      <c r="AG1243" s="151">
        <f t="shared" si="221"/>
        <v>265196</v>
      </c>
      <c r="AH1243" s="138">
        <f>332442-67246</f>
        <v>265196</v>
      </c>
      <c r="AI1243" s="138"/>
      <c r="AJ1243" s="138"/>
      <c r="AK1243" s="138"/>
      <c r="AL1243" s="138"/>
      <c r="AM1243" s="138"/>
      <c r="AN1243" s="138"/>
      <c r="AO1243" s="138"/>
    </row>
    <row r="1244" spans="1:41" s="123" customFormat="1" ht="16.2" thickBot="1" x14ac:dyDescent="0.35">
      <c r="A1244" s="21"/>
      <c r="B1244" s="212" t="s">
        <v>98</v>
      </c>
      <c r="C1244" s="31" t="str">
        <f>VLOOKUP((CONCATENATE(B1244)),ID!$A$2:$D$305,3,0)</f>
        <v>TE002</v>
      </c>
      <c r="D1244" s="21">
        <v>0</v>
      </c>
      <c r="E1244" s="21" t="s">
        <v>3968</v>
      </c>
      <c r="F1244" s="21" t="s">
        <v>1117</v>
      </c>
      <c r="G1244" s="21" t="s">
        <v>3853</v>
      </c>
      <c r="H1244" s="115">
        <v>3653</v>
      </c>
      <c r="I1244" s="43">
        <v>3664</v>
      </c>
      <c r="J1244" s="43">
        <v>3666</v>
      </c>
      <c r="K1244" s="21">
        <v>1</v>
      </c>
      <c r="L1244" s="43">
        <v>3664</v>
      </c>
      <c r="M1244" s="43">
        <v>3678</v>
      </c>
      <c r="N1244" s="43">
        <v>3678</v>
      </c>
      <c r="O1244" s="27" t="s">
        <v>4090</v>
      </c>
      <c r="P1244" s="194" t="str">
        <f t="shared" si="229"/>
        <v>1</v>
      </c>
      <c r="Q1244" s="21">
        <v>1</v>
      </c>
      <c r="R1244" s="39" t="str">
        <f t="shared" si="220"/>
        <v>-</v>
      </c>
      <c r="S1244" s="120">
        <f t="shared" si="228"/>
        <v>1742759</v>
      </c>
      <c r="T1244" s="123">
        <v>1775648</v>
      </c>
      <c r="U1244" s="123">
        <f>1214200+514489</f>
        <v>1728689</v>
      </c>
      <c r="V1244" s="123">
        <f t="shared" si="222"/>
        <v>46959</v>
      </c>
      <c r="W1244" s="122" t="str">
        <f t="shared" si="223"/>
        <v>1</v>
      </c>
      <c r="X1244" s="123">
        <f>Y1244+11505+174+12142</f>
        <v>32889</v>
      </c>
      <c r="Y1244" s="123">
        <f>9068</f>
        <v>9068</v>
      </c>
      <c r="Z1244" s="123">
        <f t="shared" si="226"/>
        <v>23821</v>
      </c>
      <c r="AA1244" s="122" t="str">
        <f t="shared" si="227"/>
        <v>1</v>
      </c>
      <c r="AB1244" s="120">
        <f t="shared" si="224"/>
        <v>0</v>
      </c>
      <c r="AC1244" s="123">
        <v>0</v>
      </c>
      <c r="AD1244" s="123">
        <v>0</v>
      </c>
      <c r="AE1244" s="123">
        <v>15142</v>
      </c>
      <c r="AG1244" s="151">
        <f t="shared" si="221"/>
        <v>36592</v>
      </c>
      <c r="AH1244" s="138">
        <f>60338-24340+1431-200</f>
        <v>37229</v>
      </c>
      <c r="AI1244" s="138">
        <v>637</v>
      </c>
      <c r="AJ1244" s="138">
        <v>12142</v>
      </c>
      <c r="AK1244" s="138">
        <v>200</v>
      </c>
      <c r="AL1244" s="138"/>
      <c r="AM1244" s="138"/>
      <c r="AN1244" s="138"/>
      <c r="AO1244" s="138">
        <v>60710</v>
      </c>
    </row>
    <row r="1245" spans="1:41" s="123" customFormat="1" ht="16.2" thickBot="1" x14ac:dyDescent="0.35">
      <c r="A1245" s="21"/>
      <c r="B1245" s="212" t="s">
        <v>98</v>
      </c>
      <c r="C1245" s="31" t="str">
        <f>VLOOKUP((CONCATENATE(B1245)),ID!$A$2:$D$305,3,0)</f>
        <v>TE002</v>
      </c>
      <c r="D1245" s="21">
        <v>0</v>
      </c>
      <c r="E1245" s="21" t="s">
        <v>3968</v>
      </c>
      <c r="F1245" s="21" t="s">
        <v>1117</v>
      </c>
      <c r="G1245" s="21" t="s">
        <v>3853</v>
      </c>
      <c r="H1245" s="115">
        <v>3834</v>
      </c>
      <c r="I1245" s="43">
        <v>3846</v>
      </c>
      <c r="J1245" s="43">
        <v>3848</v>
      </c>
      <c r="K1245" s="21">
        <v>1</v>
      </c>
      <c r="L1245" s="43">
        <v>3846</v>
      </c>
      <c r="M1245" s="43">
        <v>3860</v>
      </c>
      <c r="N1245" s="43">
        <v>3860</v>
      </c>
      <c r="O1245" s="27" t="s">
        <v>4090</v>
      </c>
      <c r="P1245" s="194" t="str">
        <f t="shared" si="229"/>
        <v>1</v>
      </c>
      <c r="Q1245" s="21">
        <v>1</v>
      </c>
      <c r="R1245" s="39" t="str">
        <f t="shared" si="220"/>
        <v>-</v>
      </c>
      <c r="S1245" s="120">
        <f t="shared" si="228"/>
        <v>1752009</v>
      </c>
      <c r="T1245" s="123">
        <v>1783993</v>
      </c>
      <c r="U1245" s="123">
        <f>1214200+323878</f>
        <v>1538078</v>
      </c>
      <c r="V1245" s="123">
        <f t="shared" si="222"/>
        <v>245915</v>
      </c>
      <c r="W1245" s="122" t="str">
        <f t="shared" si="223"/>
        <v>1</v>
      </c>
      <c r="X1245" s="123">
        <f>Y1245+3631+143+18213</f>
        <v>31984</v>
      </c>
      <c r="Y1245" s="123">
        <v>9997</v>
      </c>
      <c r="Z1245" s="123">
        <f t="shared" si="226"/>
        <v>21987</v>
      </c>
      <c r="AA1245" s="122" t="str">
        <f t="shared" si="227"/>
        <v>1</v>
      </c>
      <c r="AB1245" s="120">
        <f t="shared" si="224"/>
        <v>0</v>
      </c>
      <c r="AC1245" s="123">
        <v>0</v>
      </c>
      <c r="AD1245" s="123">
        <v>0</v>
      </c>
      <c r="AE1245" s="123">
        <v>18620</v>
      </c>
      <c r="AG1245" s="151">
        <f t="shared" si="221"/>
        <v>34770</v>
      </c>
      <c r="AH1245" s="138">
        <f>58556-24428+1450-200</f>
        <v>35378</v>
      </c>
      <c r="AI1245" s="138">
        <v>608</v>
      </c>
      <c r="AJ1245" s="138">
        <v>12142</v>
      </c>
      <c r="AK1245" s="138">
        <v>200</v>
      </c>
      <c r="AL1245" s="138"/>
      <c r="AM1245" s="138"/>
      <c r="AN1245" s="138"/>
      <c r="AO1245" s="123">
        <f>60710</f>
        <v>60710</v>
      </c>
    </row>
    <row r="1246" spans="1:41" s="123" customFormat="1" ht="16.2" thickBot="1" x14ac:dyDescent="0.35">
      <c r="A1246" s="21">
        <v>214.1</v>
      </c>
      <c r="B1246" s="212" t="s">
        <v>98</v>
      </c>
      <c r="C1246" s="31" t="str">
        <f>VLOOKUP((CONCATENATE(B1246)),ID!$A$2:$D$305,3,0)</f>
        <v>TE002</v>
      </c>
      <c r="D1246" s="21">
        <v>0</v>
      </c>
      <c r="E1246" s="21" t="s">
        <v>3968</v>
      </c>
      <c r="F1246" s="21" t="s">
        <v>1117</v>
      </c>
      <c r="G1246" s="21" t="s">
        <v>3853</v>
      </c>
      <c r="H1246" s="115">
        <v>4018</v>
      </c>
      <c r="I1246" s="43">
        <v>4028</v>
      </c>
      <c r="J1246" s="43">
        <v>4031</v>
      </c>
      <c r="K1246" s="21">
        <v>1</v>
      </c>
      <c r="L1246" s="43">
        <v>4028</v>
      </c>
      <c r="M1246" s="43">
        <v>4042</v>
      </c>
      <c r="N1246" s="43">
        <v>4042</v>
      </c>
      <c r="O1246" s="27" t="s">
        <v>4090</v>
      </c>
      <c r="P1246" s="194" t="str">
        <f t="shared" si="229"/>
        <v>1</v>
      </c>
      <c r="Q1246" s="21">
        <v>1</v>
      </c>
      <c r="R1246" s="39" t="str">
        <f t="shared" si="220"/>
        <v>-</v>
      </c>
      <c r="S1246" s="120">
        <f t="shared" si="228"/>
        <v>1732424</v>
      </c>
      <c r="T1246" s="123">
        <v>1777626</v>
      </c>
      <c r="U1246" s="123">
        <f>1214200+519530</f>
        <v>1733730</v>
      </c>
      <c r="V1246" s="123">
        <f t="shared" si="222"/>
        <v>43896</v>
      </c>
      <c r="W1246" s="122" t="str">
        <f t="shared" si="223"/>
        <v>1</v>
      </c>
      <c r="X1246" s="123">
        <f>16012+122+18213+Y1246</f>
        <v>45202</v>
      </c>
      <c r="Y1246" s="123">
        <v>10855</v>
      </c>
      <c r="Z1246" s="123">
        <f t="shared" si="226"/>
        <v>34347</v>
      </c>
      <c r="AA1246" s="122" t="str">
        <f t="shared" si="227"/>
        <v>1</v>
      </c>
      <c r="AB1246" s="120">
        <f t="shared" si="224"/>
        <v>0</v>
      </c>
      <c r="AC1246" s="123">
        <v>0</v>
      </c>
      <c r="AD1246" s="123">
        <v>0</v>
      </c>
      <c r="AE1246" s="123">
        <f>6867</f>
        <v>6867</v>
      </c>
      <c r="AG1246" s="151">
        <f t="shared" si="221"/>
        <v>36747</v>
      </c>
      <c r="AH1246" s="123">
        <f>61110-25832+1469+AI1246</f>
        <v>37325</v>
      </c>
      <c r="AI1246" s="123">
        <v>578</v>
      </c>
      <c r="AJ1246" s="123">
        <v>12142</v>
      </c>
      <c r="AK1246" s="123">
        <v>200</v>
      </c>
      <c r="AO1246" s="123">
        <f>60710</f>
        <v>60710</v>
      </c>
    </row>
    <row r="1247" spans="1:41" s="123" customFormat="1" ht="16.2" thickBot="1" x14ac:dyDescent="0.35">
      <c r="A1247" s="21"/>
      <c r="B1247" s="212" t="s">
        <v>98</v>
      </c>
      <c r="C1247" s="31" t="str">
        <f>VLOOKUP((CONCATENATE(B1247)),ID!$A$2:$D$305,3,0)</f>
        <v>TE002</v>
      </c>
      <c r="D1247" s="21">
        <v>0</v>
      </c>
      <c r="E1247" s="21" t="s">
        <v>3968</v>
      </c>
      <c r="F1247" s="21" t="s">
        <v>1117</v>
      </c>
      <c r="G1247" s="21" t="s">
        <v>3853</v>
      </c>
      <c r="H1247" s="115">
        <v>4199</v>
      </c>
      <c r="I1247" s="43">
        <v>4276</v>
      </c>
      <c r="J1247" s="43">
        <v>4269</v>
      </c>
      <c r="K1247" s="21">
        <v>0</v>
      </c>
      <c r="L1247" s="21"/>
      <c r="M1247" s="21"/>
      <c r="N1247" s="43">
        <v>4290</v>
      </c>
      <c r="O1247" s="27" t="s">
        <v>4090</v>
      </c>
      <c r="P1247" s="194" t="str">
        <f t="shared" si="229"/>
        <v>1</v>
      </c>
      <c r="Q1247" s="21">
        <v>1</v>
      </c>
      <c r="R1247" s="39" t="str">
        <f t="shared" si="220"/>
        <v>-</v>
      </c>
      <c r="S1247" s="120">
        <f t="shared" si="228"/>
        <v>1726523</v>
      </c>
      <c r="T1247" s="123">
        <v>1770840</v>
      </c>
      <c r="U1247" s="123">
        <f>1214200+527866</f>
        <v>1742066</v>
      </c>
      <c r="V1247" s="123">
        <f t="shared" si="222"/>
        <v>28774</v>
      </c>
      <c r="W1247" s="122" t="str">
        <f t="shared" si="223"/>
        <v>1</v>
      </c>
      <c r="X1247" s="123">
        <f>14505+113+18213+Y1247</f>
        <v>44317</v>
      </c>
      <c r="Y1247" s="123">
        <v>11486</v>
      </c>
      <c r="Z1247" s="123">
        <f t="shared" si="226"/>
        <v>32831</v>
      </c>
      <c r="AA1247" s="122" t="str">
        <f t="shared" si="227"/>
        <v>1</v>
      </c>
      <c r="AB1247" s="120">
        <f t="shared" si="224"/>
        <v>0</v>
      </c>
      <c r="AC1247" s="123">
        <v>0</v>
      </c>
      <c r="AD1247" s="123">
        <v>0</v>
      </c>
      <c r="AE1247" s="123">
        <v>1751</v>
      </c>
      <c r="AG1247" s="151">
        <f t="shared" ref="AG1247:AG1309" si="231">AH1247-AL1247-AI1247</f>
        <v>19966</v>
      </c>
      <c r="AH1247" s="123">
        <f>46229-27748+AI1247+1485</f>
        <v>20531</v>
      </c>
      <c r="AI1247" s="123">
        <v>565</v>
      </c>
      <c r="AJ1247" s="123">
        <v>12142</v>
      </c>
      <c r="AK1247" s="123">
        <v>200</v>
      </c>
      <c r="AO1247" s="123">
        <v>121420</v>
      </c>
    </row>
    <row r="1248" spans="1:41" s="123" customFormat="1" ht="16.2" thickBot="1" x14ac:dyDescent="0.35">
      <c r="A1248" s="21">
        <v>214.2</v>
      </c>
      <c r="B1248" s="212" t="s">
        <v>98</v>
      </c>
      <c r="C1248" s="31" t="str">
        <f>VLOOKUP((CONCATENATE(B1248)),ID!$A$2:$D$305,3,0)</f>
        <v>TE002</v>
      </c>
      <c r="D1248" s="21">
        <v>0</v>
      </c>
      <c r="E1248" s="21" t="s">
        <v>3968</v>
      </c>
      <c r="F1248" s="21" t="s">
        <v>1117</v>
      </c>
      <c r="G1248" s="21" t="s">
        <v>3853</v>
      </c>
      <c r="H1248" s="115">
        <v>4474</v>
      </c>
      <c r="I1248" s="43">
        <v>4549</v>
      </c>
      <c r="J1248" s="43">
        <v>4549</v>
      </c>
      <c r="K1248" s="21">
        <v>0</v>
      </c>
      <c r="L1248" s="21"/>
      <c r="M1248" s="21"/>
      <c r="N1248" s="43">
        <v>4560</v>
      </c>
      <c r="O1248" s="27" t="s">
        <v>4090</v>
      </c>
      <c r="P1248" s="194" t="str">
        <f t="shared" si="229"/>
        <v>1</v>
      </c>
      <c r="Q1248" s="21">
        <v>1</v>
      </c>
      <c r="R1248" s="39" t="str">
        <f t="shared" ref="R1248:R1311" si="232">IF(Q1248=0,"?","-")</f>
        <v>-</v>
      </c>
      <c r="S1248" s="120">
        <f t="shared" si="228"/>
        <v>1723330</v>
      </c>
      <c r="T1248" s="123">
        <v>1770234</v>
      </c>
      <c r="U1248" s="123">
        <f>1225566+13065+498805</f>
        <v>1737436</v>
      </c>
      <c r="V1248" s="123">
        <f t="shared" si="222"/>
        <v>32798</v>
      </c>
      <c r="W1248" s="122" t="str">
        <f t="shared" si="223"/>
        <v>1</v>
      </c>
      <c r="X1248" s="123">
        <f>Y1248+171+17150+5715</f>
        <v>46904</v>
      </c>
      <c r="Y1248" s="123">
        <f>10803+13065</f>
        <v>23868</v>
      </c>
      <c r="Z1248" s="123">
        <f t="shared" si="226"/>
        <v>23036</v>
      </c>
      <c r="AA1248" s="122" t="str">
        <f t="shared" si="227"/>
        <v>1</v>
      </c>
      <c r="AB1248" s="120">
        <f t="shared" si="224"/>
        <v>0</v>
      </c>
      <c r="AC1248" s="123">
        <v>0</v>
      </c>
      <c r="AD1248" s="123">
        <v>0</v>
      </c>
      <c r="AE1248" s="123">
        <v>7459</v>
      </c>
      <c r="AG1248" s="151">
        <f t="shared" si="231"/>
        <v>50277</v>
      </c>
      <c r="AH1248" s="123">
        <f>62436-12159+AI1248</f>
        <v>51105</v>
      </c>
      <c r="AI1248" s="123">
        <v>828</v>
      </c>
      <c r="AJ1248" s="123">
        <v>42876</v>
      </c>
      <c r="AO1248" s="123">
        <v>121420</v>
      </c>
    </row>
    <row r="1249" spans="1:41" s="123" customFormat="1" ht="16.2" thickBot="1" x14ac:dyDescent="0.35">
      <c r="A1249" s="21"/>
      <c r="B1249" s="212" t="s">
        <v>98</v>
      </c>
      <c r="C1249" s="31" t="str">
        <f>VLOOKUP((CONCATENATE(B1249)),ID!$A$2:$D$305,3,0)</f>
        <v>TE002</v>
      </c>
      <c r="D1249" s="21">
        <v>1</v>
      </c>
      <c r="E1249" s="21" t="s">
        <v>3968</v>
      </c>
      <c r="F1249" s="21" t="s">
        <v>1117</v>
      </c>
      <c r="G1249" s="21" t="s">
        <v>3853</v>
      </c>
      <c r="H1249" s="115">
        <v>4839</v>
      </c>
      <c r="I1249" s="43">
        <v>4858</v>
      </c>
      <c r="J1249" s="43">
        <v>4851</v>
      </c>
      <c r="K1249" s="21">
        <v>0</v>
      </c>
      <c r="L1249" s="21"/>
      <c r="M1249" s="21"/>
      <c r="N1249" s="43">
        <v>4868</v>
      </c>
      <c r="O1249" s="27" t="s">
        <v>3800</v>
      </c>
      <c r="P1249" s="194" t="str">
        <f t="shared" si="229"/>
        <v>1</v>
      </c>
      <c r="Q1249" s="21">
        <v>1</v>
      </c>
      <c r="R1249" s="39" t="str">
        <f t="shared" si="232"/>
        <v>-</v>
      </c>
      <c r="S1249" s="120">
        <f t="shared" si="228"/>
        <v>1701676</v>
      </c>
      <c r="T1249" s="123">
        <v>1740649</v>
      </c>
      <c r="U1249" s="123">
        <f>1225566+15207+413750</f>
        <v>1654523</v>
      </c>
      <c r="V1249" s="123">
        <f t="shared" si="222"/>
        <v>86126</v>
      </c>
      <c r="W1249" s="122" t="str">
        <f t="shared" si="223"/>
        <v>1</v>
      </c>
      <c r="X1249" s="123">
        <f>Y1249+1387+11433+143</f>
        <v>38973</v>
      </c>
      <c r="Y1249" s="123">
        <f>15207+10803</f>
        <v>26010</v>
      </c>
      <c r="Z1249" s="123">
        <f t="shared" si="226"/>
        <v>12963</v>
      </c>
      <c r="AA1249" s="122" t="str">
        <f t="shared" si="227"/>
        <v>1</v>
      </c>
      <c r="AB1249" s="120">
        <f t="shared" si="224"/>
        <v>0</v>
      </c>
      <c r="AC1249" s="123">
        <v>0</v>
      </c>
      <c r="AD1249" s="123">
        <v>0</v>
      </c>
      <c r="AE1249" s="123">
        <v>11978</v>
      </c>
      <c r="AG1249" s="151">
        <f t="shared" si="231"/>
        <v>75839</v>
      </c>
      <c r="AH1249" s="123">
        <f>80021-4182+AI1249</f>
        <v>76916</v>
      </c>
      <c r="AI1249" s="123">
        <v>1077</v>
      </c>
      <c r="AJ1249" s="123">
        <v>45734</v>
      </c>
      <c r="AO1249" s="123">
        <v>121420</v>
      </c>
    </row>
    <row r="1250" spans="1:41" s="123" customFormat="1" ht="16.2" thickBot="1" x14ac:dyDescent="0.35">
      <c r="A1250" s="21"/>
      <c r="B1250" s="212" t="s">
        <v>98</v>
      </c>
      <c r="C1250" s="31" t="str">
        <f>VLOOKUP((CONCATENATE(B1250)),ID!$A$2:$D$305,3,0)</f>
        <v>TE002</v>
      </c>
      <c r="D1250" s="21">
        <v>1</v>
      </c>
      <c r="E1250" s="21" t="s">
        <v>3968</v>
      </c>
      <c r="F1250" s="21" t="s">
        <v>1117</v>
      </c>
      <c r="G1250" s="21" t="s">
        <v>3853</v>
      </c>
      <c r="H1250" s="115">
        <v>5204</v>
      </c>
      <c r="I1250" s="43">
        <v>5213</v>
      </c>
      <c r="J1250" s="43">
        <v>5212</v>
      </c>
      <c r="K1250" s="21">
        <v>0</v>
      </c>
      <c r="L1250" s="43"/>
      <c r="M1250" s="43"/>
      <c r="N1250" s="43">
        <v>5225</v>
      </c>
      <c r="O1250" s="27" t="s">
        <v>3800</v>
      </c>
      <c r="P1250" s="194" t="str">
        <f t="shared" si="229"/>
        <v>1</v>
      </c>
      <c r="Q1250" s="21">
        <v>1</v>
      </c>
      <c r="R1250" s="39" t="str">
        <f t="shared" si="232"/>
        <v>-</v>
      </c>
      <c r="S1250" s="120">
        <f t="shared" si="228"/>
        <v>1665692</v>
      </c>
      <c r="T1250" s="123">
        <v>1711166</v>
      </c>
      <c r="U1250" s="123">
        <f>1225267+16956+365880</f>
        <v>1608103</v>
      </c>
      <c r="V1250" s="123">
        <f t="shared" si="222"/>
        <v>103063</v>
      </c>
      <c r="W1250" s="122" t="str">
        <f t="shared" si="223"/>
        <v>1</v>
      </c>
      <c r="X1250" s="123">
        <f>Y1250+171+11433+6111</f>
        <v>45474</v>
      </c>
      <c r="Y1250" s="123">
        <f>16956+10803</f>
        <v>27759</v>
      </c>
      <c r="Z1250" s="123">
        <f t="shared" si="226"/>
        <v>17715</v>
      </c>
      <c r="AA1250" s="122" t="str">
        <f t="shared" si="227"/>
        <v>1</v>
      </c>
      <c r="AB1250" s="120">
        <f t="shared" si="224"/>
        <v>0</v>
      </c>
      <c r="AC1250" s="123">
        <v>0</v>
      </c>
      <c r="AD1250" s="123">
        <v>0</v>
      </c>
      <c r="AE1250" s="123">
        <v>22254</v>
      </c>
      <c r="AG1250" s="151">
        <f t="shared" si="231"/>
        <v>73999</v>
      </c>
      <c r="AH1250" s="123">
        <f>77760-3761+AI1250</f>
        <v>74999</v>
      </c>
      <c r="AI1250" s="123">
        <v>1000</v>
      </c>
      <c r="AJ1250" s="123">
        <v>45734</v>
      </c>
      <c r="AO1250" s="123">
        <v>121420</v>
      </c>
    </row>
    <row r="1251" spans="1:41" s="123" customFormat="1" ht="16.2" thickBot="1" x14ac:dyDescent="0.35">
      <c r="A1251" s="21"/>
      <c r="B1251" s="212" t="s">
        <v>106</v>
      </c>
      <c r="C1251" s="31" t="str">
        <f>VLOOKUP((CONCATENATE(B1251)),ID!$A$2:$D$305,3,0)</f>
        <v>TE003</v>
      </c>
      <c r="D1251" s="21">
        <v>0</v>
      </c>
      <c r="E1251" s="21" t="s">
        <v>3968</v>
      </c>
      <c r="F1251" s="21" t="s">
        <v>1117</v>
      </c>
      <c r="G1251" s="21" t="s">
        <v>3853</v>
      </c>
      <c r="H1251" s="116">
        <v>3653</v>
      </c>
      <c r="I1251" s="43">
        <v>3773</v>
      </c>
      <c r="J1251" s="43">
        <v>3772</v>
      </c>
      <c r="K1251" s="21">
        <v>1</v>
      </c>
      <c r="L1251" s="43">
        <v>3776</v>
      </c>
      <c r="M1251" s="43">
        <v>3791</v>
      </c>
      <c r="N1251" s="43">
        <v>3791</v>
      </c>
      <c r="O1251" s="27" t="s">
        <v>3969</v>
      </c>
      <c r="P1251" s="194" t="str">
        <f t="shared" si="229"/>
        <v>1</v>
      </c>
      <c r="Q1251" s="21">
        <v>1</v>
      </c>
      <c r="R1251" s="39" t="str">
        <f t="shared" si="232"/>
        <v>-</v>
      </c>
      <c r="S1251" s="120">
        <f t="shared" si="228"/>
        <v>4450012</v>
      </c>
      <c r="T1251" s="123">
        <v>5726440</v>
      </c>
      <c r="U1251" s="123">
        <f>3793432+1336836</f>
        <v>5130268</v>
      </c>
      <c r="V1251" s="123">
        <f t="shared" si="222"/>
        <v>596172</v>
      </c>
      <c r="W1251" s="122" t="str">
        <f t="shared" si="223"/>
        <v>1</v>
      </c>
      <c r="X1251" s="123">
        <f>136595+12581+374852+Y1251</f>
        <v>1276428</v>
      </c>
      <c r="Y1251" s="123">
        <v>752400</v>
      </c>
      <c r="Z1251" s="123">
        <f t="shared" si="226"/>
        <v>524028</v>
      </c>
      <c r="AA1251" s="122" t="str">
        <f t="shared" si="227"/>
        <v>1</v>
      </c>
      <c r="AB1251" s="120">
        <f t="shared" si="224"/>
        <v>752400</v>
      </c>
      <c r="AC1251" s="123">
        <v>0</v>
      </c>
      <c r="AD1251" s="123">
        <f t="shared" ref="AD1251:AD1257" si="233">Y1251</f>
        <v>752400</v>
      </c>
      <c r="AE1251" s="123">
        <v>200066</v>
      </c>
      <c r="AG1251" s="151">
        <f t="shared" si="231"/>
        <v>152471</v>
      </c>
      <c r="AH1251" s="123">
        <f>315034-143674</f>
        <v>171360</v>
      </c>
      <c r="AI1251" s="123">
        <v>3841</v>
      </c>
      <c r="AJ1251" s="123">
        <v>37500</v>
      </c>
      <c r="AL1251" s="123">
        <v>15048</v>
      </c>
      <c r="AO1251" s="123">
        <v>300000</v>
      </c>
    </row>
    <row r="1252" spans="1:41" s="123" customFormat="1" ht="16.2" thickBot="1" x14ac:dyDescent="0.35">
      <c r="A1252" s="21"/>
      <c r="B1252" s="212" t="s">
        <v>106</v>
      </c>
      <c r="C1252" s="31" t="str">
        <f>VLOOKUP((CONCATENATE(B1252)),ID!$A$2:$D$305,3,0)</f>
        <v>TE003</v>
      </c>
      <c r="D1252" s="21">
        <v>0</v>
      </c>
      <c r="E1252" s="21" t="s">
        <v>3968</v>
      </c>
      <c r="F1252" s="21" t="s">
        <v>1117</v>
      </c>
      <c r="G1252" s="21" t="s">
        <v>3853</v>
      </c>
      <c r="H1252" s="116">
        <v>3834</v>
      </c>
      <c r="I1252" s="43">
        <v>3954</v>
      </c>
      <c r="J1252" s="43">
        <v>3953</v>
      </c>
      <c r="K1252" s="21">
        <v>0</v>
      </c>
      <c r="L1252" s="21"/>
      <c r="M1252" s="21"/>
      <c r="N1252" s="43">
        <v>3965</v>
      </c>
      <c r="O1252" s="27" t="s">
        <v>3969</v>
      </c>
      <c r="P1252" s="194" t="str">
        <f t="shared" si="229"/>
        <v>1</v>
      </c>
      <c r="Q1252" s="21">
        <v>1</v>
      </c>
      <c r="R1252" s="39" t="str">
        <f t="shared" si="232"/>
        <v>-</v>
      </c>
      <c r="S1252" s="120">
        <f t="shared" si="228"/>
        <v>4515078</v>
      </c>
      <c r="T1252" s="123">
        <v>5757836</v>
      </c>
      <c r="U1252" s="123">
        <f>3794783+1311394</f>
        <v>5106177</v>
      </c>
      <c r="V1252" s="123">
        <f t="shared" si="222"/>
        <v>651659</v>
      </c>
      <c r="W1252" s="122" t="str">
        <f t="shared" si="223"/>
        <v>1</v>
      </c>
      <c r="X1252" s="123">
        <f>399995+12583+77780+Y1252</f>
        <v>1242758</v>
      </c>
      <c r="Y1252" s="123">
        <v>752400</v>
      </c>
      <c r="Z1252" s="123">
        <f t="shared" si="226"/>
        <v>490358</v>
      </c>
      <c r="AA1252" s="122" t="str">
        <f t="shared" si="227"/>
        <v>1</v>
      </c>
      <c r="AB1252" s="120">
        <f t="shared" si="224"/>
        <v>752400</v>
      </c>
      <c r="AC1252" s="123">
        <v>0</v>
      </c>
      <c r="AD1252" s="123">
        <f t="shared" si="233"/>
        <v>752400</v>
      </c>
      <c r="AE1252" s="123">
        <v>202464</v>
      </c>
      <c r="AG1252" s="151">
        <f t="shared" si="231"/>
        <v>171448</v>
      </c>
      <c r="AH1252" s="123">
        <f>344960-152407-3378-25</f>
        <v>189150</v>
      </c>
      <c r="AI1252" s="123">
        <v>2654</v>
      </c>
      <c r="AJ1252" s="123">
        <v>75000</v>
      </c>
      <c r="AL1252" s="123">
        <v>15048</v>
      </c>
      <c r="AO1252" s="123">
        <v>300000</v>
      </c>
    </row>
    <row r="1253" spans="1:41" s="123" customFormat="1" ht="16.2" thickBot="1" x14ac:dyDescent="0.35">
      <c r="A1253" s="21">
        <v>215.1</v>
      </c>
      <c r="B1253" s="212" t="s">
        <v>106</v>
      </c>
      <c r="C1253" s="31" t="str">
        <f>VLOOKUP((CONCATENATE(B1253)),ID!$A$2:$D$305,3,0)</f>
        <v>TE003</v>
      </c>
      <c r="D1253" s="21">
        <v>0</v>
      </c>
      <c r="E1253" s="21" t="s">
        <v>3968</v>
      </c>
      <c r="F1253" s="21" t="s">
        <v>1117</v>
      </c>
      <c r="G1253" s="21" t="s">
        <v>3853</v>
      </c>
      <c r="H1253" s="116">
        <v>4018</v>
      </c>
      <c r="I1253" s="43">
        <v>4142</v>
      </c>
      <c r="J1253" s="43">
        <v>4141</v>
      </c>
      <c r="K1253" s="21">
        <v>1</v>
      </c>
      <c r="L1253" s="43">
        <v>4147</v>
      </c>
      <c r="M1253" s="43">
        <v>4154</v>
      </c>
      <c r="N1253" s="43">
        <v>4154</v>
      </c>
      <c r="O1253" s="27" t="s">
        <v>3969</v>
      </c>
      <c r="P1253" s="194" t="str">
        <f t="shared" si="229"/>
        <v>1</v>
      </c>
      <c r="Q1253" s="21">
        <v>1</v>
      </c>
      <c r="R1253" s="39" t="str">
        <f t="shared" si="232"/>
        <v>-</v>
      </c>
      <c r="S1253" s="120">
        <f t="shared" si="228"/>
        <v>4541063</v>
      </c>
      <c r="T1253" s="123">
        <v>5868750</v>
      </c>
      <c r="U1253" s="123">
        <f>3797644+1366059</f>
        <v>5163703</v>
      </c>
      <c r="V1253" s="123">
        <f t="shared" si="222"/>
        <v>705047</v>
      </c>
      <c r="W1253" s="122" t="str">
        <f t="shared" si="223"/>
        <v>1</v>
      </c>
      <c r="X1253" s="123">
        <f>425422+12591+137274+Y1253</f>
        <v>1327687</v>
      </c>
      <c r="Y1253" s="123">
        <v>752400</v>
      </c>
      <c r="Z1253" s="123">
        <f t="shared" si="226"/>
        <v>575287</v>
      </c>
      <c r="AA1253" s="122" t="str">
        <f t="shared" si="227"/>
        <v>1</v>
      </c>
      <c r="AB1253" s="120">
        <f t="shared" si="224"/>
        <v>752400</v>
      </c>
      <c r="AC1253" s="123">
        <v>0</v>
      </c>
      <c r="AD1253" s="123">
        <f t="shared" si="233"/>
        <v>752400</v>
      </c>
      <c r="AE1253" s="123">
        <v>258492</v>
      </c>
      <c r="AG1253" s="151">
        <f t="shared" si="231"/>
        <v>164856</v>
      </c>
      <c r="AH1253" s="123">
        <f>336976-154300-285-132</f>
        <v>182259</v>
      </c>
      <c r="AI1253" s="123">
        <v>2355</v>
      </c>
      <c r="AJ1253" s="123">
        <v>37500</v>
      </c>
      <c r="AL1253" s="123">
        <v>15048</v>
      </c>
      <c r="AO1253" s="123">
        <v>300000</v>
      </c>
    </row>
    <row r="1254" spans="1:41" s="123" customFormat="1" ht="16.2" thickBot="1" x14ac:dyDescent="0.35">
      <c r="A1254" s="21">
        <v>215.2</v>
      </c>
      <c r="B1254" s="212" t="s">
        <v>106</v>
      </c>
      <c r="C1254" s="31" t="str">
        <f>VLOOKUP((CONCATENATE(B1254)),ID!$A$2:$D$305,3,0)</f>
        <v>TE003</v>
      </c>
      <c r="D1254" s="21">
        <v>0</v>
      </c>
      <c r="E1254" s="21" t="s">
        <v>3968</v>
      </c>
      <c r="F1254" s="21" t="s">
        <v>1117</v>
      </c>
      <c r="G1254" s="21" t="s">
        <v>3853</v>
      </c>
      <c r="H1254" s="116">
        <v>4199</v>
      </c>
      <c r="I1254" s="43">
        <v>4323</v>
      </c>
      <c r="J1254" s="43">
        <v>4323</v>
      </c>
      <c r="K1254" s="21">
        <v>0</v>
      </c>
      <c r="L1254" s="21"/>
      <c r="M1254" s="21"/>
      <c r="N1254" s="43">
        <v>4336</v>
      </c>
      <c r="O1254" s="27" t="s">
        <v>3969</v>
      </c>
      <c r="P1254" s="194" t="str">
        <f t="shared" si="229"/>
        <v>1</v>
      </c>
      <c r="Q1254" s="21">
        <v>1</v>
      </c>
      <c r="R1254" s="39" t="str">
        <f t="shared" si="232"/>
        <v>-</v>
      </c>
      <c r="S1254" s="120">
        <f t="shared" si="228"/>
        <v>4613360</v>
      </c>
      <c r="T1254" s="123">
        <v>5901732</v>
      </c>
      <c r="U1254" s="123">
        <f>3799364+1483030</f>
        <v>5282394</v>
      </c>
      <c r="V1254" s="123">
        <f t="shared" si="222"/>
        <v>619338</v>
      </c>
      <c r="W1254" s="122" t="str">
        <f t="shared" si="223"/>
        <v>1</v>
      </c>
      <c r="X1254" s="123">
        <f>446142+12581+77249+Y1254</f>
        <v>1288372</v>
      </c>
      <c r="Y1254" s="123">
        <v>752400</v>
      </c>
      <c r="Z1254" s="123">
        <f t="shared" si="226"/>
        <v>535972</v>
      </c>
      <c r="AA1254" s="122" t="str">
        <f t="shared" si="227"/>
        <v>1</v>
      </c>
      <c r="AB1254" s="120">
        <f t="shared" si="224"/>
        <v>752400</v>
      </c>
      <c r="AC1254" s="123">
        <v>0</v>
      </c>
      <c r="AD1254" s="123">
        <f t="shared" si="233"/>
        <v>752400</v>
      </c>
      <c r="AE1254" s="123">
        <v>167014</v>
      </c>
      <c r="AG1254" s="151">
        <f t="shared" si="231"/>
        <v>149082</v>
      </c>
      <c r="AH1254" s="123">
        <f>329709-151618-10773-203-31-12</f>
        <v>167072</v>
      </c>
      <c r="AI1254" s="123">
        <v>2942</v>
      </c>
      <c r="AJ1254" s="123">
        <v>75000</v>
      </c>
      <c r="AL1254" s="123">
        <v>15048</v>
      </c>
      <c r="AO1254" s="123">
        <v>300000</v>
      </c>
    </row>
    <row r="1255" spans="1:41" s="123" customFormat="1" ht="16.2" thickBot="1" x14ac:dyDescent="0.35">
      <c r="A1255" s="21">
        <v>215.3</v>
      </c>
      <c r="B1255" s="212" t="s">
        <v>106</v>
      </c>
      <c r="C1255" s="31" t="str">
        <f>VLOOKUP((CONCATENATE(B1255)),ID!$A$2:$D$305,3,0)</f>
        <v>TE003</v>
      </c>
      <c r="D1255" s="21">
        <v>0</v>
      </c>
      <c r="E1255" s="21" t="s">
        <v>3968</v>
      </c>
      <c r="F1255" s="21" t="s">
        <v>1117</v>
      </c>
      <c r="G1255" s="21" t="s">
        <v>3853</v>
      </c>
      <c r="H1255" s="94">
        <v>4383</v>
      </c>
      <c r="I1255" s="43">
        <v>4507</v>
      </c>
      <c r="J1255" s="43">
        <v>4506</v>
      </c>
      <c r="K1255" s="21">
        <v>1</v>
      </c>
      <c r="L1255" s="43">
        <v>4511</v>
      </c>
      <c r="M1255" s="43">
        <v>4518</v>
      </c>
      <c r="N1255" s="43">
        <v>4518</v>
      </c>
      <c r="O1255" s="27" t="s">
        <v>3969</v>
      </c>
      <c r="P1255" s="194" t="str">
        <f t="shared" si="229"/>
        <v>1</v>
      </c>
      <c r="Q1255" s="21">
        <v>1</v>
      </c>
      <c r="R1255" s="39" t="str">
        <f t="shared" si="232"/>
        <v>-</v>
      </c>
      <c r="S1255" s="120">
        <f t="shared" si="228"/>
        <v>4662806</v>
      </c>
      <c r="T1255" s="123">
        <v>6040168</v>
      </c>
      <c r="U1255" s="123">
        <f>3802566+1584972</f>
        <v>5387538</v>
      </c>
      <c r="V1255" s="123">
        <f t="shared" si="222"/>
        <v>652630</v>
      </c>
      <c r="W1255" s="122" t="str">
        <f t="shared" si="223"/>
        <v>1</v>
      </c>
      <c r="X1255" s="123">
        <f>12579+475857+752400+136526</f>
        <v>1377362</v>
      </c>
      <c r="Y1255" s="123">
        <v>752400</v>
      </c>
      <c r="Z1255" s="123">
        <f t="shared" si="226"/>
        <v>624962</v>
      </c>
      <c r="AA1255" s="122" t="str">
        <f t="shared" si="227"/>
        <v>1</v>
      </c>
      <c r="AB1255" s="120">
        <f t="shared" si="224"/>
        <v>752400</v>
      </c>
      <c r="AC1255" s="123">
        <v>0</v>
      </c>
      <c r="AD1255" s="123">
        <f t="shared" si="233"/>
        <v>752400</v>
      </c>
      <c r="AE1255" s="123">
        <v>157458</v>
      </c>
      <c r="AG1255" s="151">
        <f t="shared" si="231"/>
        <v>182131</v>
      </c>
      <c r="AH1255" s="123">
        <f>359596-159232</f>
        <v>200364</v>
      </c>
      <c r="AI1255" s="123">
        <v>3185</v>
      </c>
      <c r="AJ1255" s="123">
        <v>37500</v>
      </c>
      <c r="AL1255" s="123">
        <v>15048</v>
      </c>
      <c r="AO1255" s="123">
        <v>300000</v>
      </c>
    </row>
    <row r="1256" spans="1:41" s="123" customFormat="1" ht="16.2" thickBot="1" x14ac:dyDescent="0.35">
      <c r="A1256" s="21">
        <v>215.4</v>
      </c>
      <c r="B1256" s="212" t="s">
        <v>106</v>
      </c>
      <c r="C1256" s="31" t="str">
        <f>VLOOKUP((CONCATENATE(B1256)),ID!$A$2:$D$305,3,0)</f>
        <v>TE003</v>
      </c>
      <c r="D1256" s="21">
        <v>0</v>
      </c>
      <c r="E1256" s="21" t="s">
        <v>3968</v>
      </c>
      <c r="F1256" s="21" t="s">
        <v>1117</v>
      </c>
      <c r="G1256" s="21" t="s">
        <v>3853</v>
      </c>
      <c r="H1256" s="116">
        <v>4565</v>
      </c>
      <c r="I1256" s="43">
        <v>4688</v>
      </c>
      <c r="J1256" s="43">
        <v>4688</v>
      </c>
      <c r="K1256" s="21">
        <v>0</v>
      </c>
      <c r="L1256" s="21"/>
      <c r="M1256" s="21"/>
      <c r="N1256" s="43">
        <v>4700</v>
      </c>
      <c r="O1256" s="27" t="s">
        <v>3969</v>
      </c>
      <c r="P1256" s="194" t="str">
        <f t="shared" si="229"/>
        <v>1</v>
      </c>
      <c r="Q1256" s="21">
        <v>1</v>
      </c>
      <c r="R1256" s="39" t="str">
        <f t="shared" si="232"/>
        <v>-</v>
      </c>
      <c r="S1256" s="120">
        <f t="shared" si="228"/>
        <v>4754033</v>
      </c>
      <c r="T1256" s="123">
        <v>6107611</v>
      </c>
      <c r="U1256" s="123">
        <f>3805794+1622774</f>
        <v>5428568</v>
      </c>
      <c r="V1256" s="123">
        <f t="shared" si="222"/>
        <v>679043</v>
      </c>
      <c r="W1256" s="122" t="str">
        <f t="shared" si="223"/>
        <v>1</v>
      </c>
      <c r="X1256" s="123">
        <f>12591+511579+752400+77008</f>
        <v>1353578</v>
      </c>
      <c r="Y1256" s="123">
        <v>752400</v>
      </c>
      <c r="Z1256" s="123">
        <f t="shared" si="226"/>
        <v>601178</v>
      </c>
      <c r="AA1256" s="122" t="str">
        <f t="shared" si="227"/>
        <v>1</v>
      </c>
      <c r="AB1256" s="120">
        <f t="shared" si="224"/>
        <v>752400</v>
      </c>
      <c r="AC1256" s="123">
        <v>0</v>
      </c>
      <c r="AD1256" s="123">
        <f t="shared" si="233"/>
        <v>752400</v>
      </c>
      <c r="AE1256" s="123">
        <v>163452</v>
      </c>
      <c r="AG1256" s="151">
        <f t="shared" si="231"/>
        <v>182857</v>
      </c>
      <c r="AH1256" s="123">
        <f>367785-166232</f>
        <v>201553</v>
      </c>
      <c r="AI1256" s="123">
        <v>3648</v>
      </c>
      <c r="AJ1256" s="123">
        <v>75000</v>
      </c>
      <c r="AL1256" s="123">
        <v>15048</v>
      </c>
      <c r="AO1256" s="123">
        <v>300000</v>
      </c>
    </row>
    <row r="1257" spans="1:41" s="123" customFormat="1" ht="16.2" thickBot="1" x14ac:dyDescent="0.35">
      <c r="A1257" s="21"/>
      <c r="B1257" s="212" t="s">
        <v>106</v>
      </c>
      <c r="C1257" s="31" t="str">
        <f>VLOOKUP((CONCATENATE(B1257)),ID!$A$2:$D$305,3,0)</f>
        <v>TE003</v>
      </c>
      <c r="D1257" s="21">
        <v>0</v>
      </c>
      <c r="E1257" s="21" t="s">
        <v>3968</v>
      </c>
      <c r="F1257" s="21" t="s">
        <v>1117</v>
      </c>
      <c r="G1257" s="21" t="s">
        <v>3853</v>
      </c>
      <c r="H1257" s="116">
        <v>4749</v>
      </c>
      <c r="I1257" s="43">
        <v>4875</v>
      </c>
      <c r="J1257" s="43">
        <v>4875</v>
      </c>
      <c r="K1257" s="21">
        <v>1</v>
      </c>
      <c r="L1257" s="43">
        <v>4882</v>
      </c>
      <c r="M1257" s="43">
        <v>4889</v>
      </c>
      <c r="N1257" s="43">
        <v>4889</v>
      </c>
      <c r="O1257" s="27" t="s">
        <v>3969</v>
      </c>
      <c r="P1257" s="194" t="str">
        <f t="shared" si="229"/>
        <v>1</v>
      </c>
      <c r="Q1257" s="21">
        <v>1</v>
      </c>
      <c r="R1257" s="39" t="str">
        <f t="shared" si="232"/>
        <v>-</v>
      </c>
      <c r="S1257" s="120">
        <f t="shared" si="228"/>
        <v>4668901</v>
      </c>
      <c r="T1257" s="123">
        <v>6101077</v>
      </c>
      <c r="U1257" s="123">
        <f>1631956+3806239</f>
        <v>5438195</v>
      </c>
      <c r="V1257" s="123">
        <f t="shared" si="222"/>
        <v>662882</v>
      </c>
      <c r="W1257" s="122" t="str">
        <f t="shared" si="223"/>
        <v>1</v>
      </c>
      <c r="X1257" s="123">
        <f>Y1257+530838+12587+136351</f>
        <v>1432176</v>
      </c>
      <c r="Y1257" s="123">
        <v>752400</v>
      </c>
      <c r="Z1257" s="123">
        <f t="shared" si="226"/>
        <v>679776</v>
      </c>
      <c r="AA1257" s="122" t="str">
        <f t="shared" si="227"/>
        <v>1</v>
      </c>
      <c r="AB1257" s="120">
        <f t="shared" si="224"/>
        <v>752400</v>
      </c>
      <c r="AC1257" s="123">
        <v>0</v>
      </c>
      <c r="AD1257" s="123">
        <f t="shared" si="233"/>
        <v>752400</v>
      </c>
      <c r="AE1257" s="123">
        <v>137094</v>
      </c>
      <c r="AG1257" s="151">
        <f t="shared" si="231"/>
        <v>210700</v>
      </c>
      <c r="AH1257" s="123">
        <f>379445-154779+4848</f>
        <v>229514</v>
      </c>
      <c r="AI1257" s="123">
        <v>3766</v>
      </c>
      <c r="AJ1257" s="123">
        <v>35700</v>
      </c>
      <c r="AL1257" s="123">
        <v>15048</v>
      </c>
      <c r="AO1257" s="123">
        <v>300000</v>
      </c>
    </row>
    <row r="1258" spans="1:41" s="123" customFormat="1" ht="16.2" thickBot="1" x14ac:dyDescent="0.35">
      <c r="A1258" s="21"/>
      <c r="B1258" s="212" t="s">
        <v>106</v>
      </c>
      <c r="C1258" s="31" t="str">
        <f>VLOOKUP((CONCATENATE(B1258)),ID!$A$2:$D$305,3,0)</f>
        <v>TE003</v>
      </c>
      <c r="D1258" s="21">
        <v>1</v>
      </c>
      <c r="E1258" s="21" t="s">
        <v>3968</v>
      </c>
      <c r="F1258" s="21" t="s">
        <v>1117</v>
      </c>
      <c r="G1258" s="21" t="s">
        <v>3853</v>
      </c>
      <c r="H1258" s="116">
        <v>5114</v>
      </c>
      <c r="I1258" s="43">
        <v>5236</v>
      </c>
      <c r="J1258" s="43">
        <v>5234</v>
      </c>
      <c r="K1258" s="21">
        <v>1</v>
      </c>
      <c r="L1258" s="43">
        <v>5239</v>
      </c>
      <c r="M1258" s="43">
        <v>5246</v>
      </c>
      <c r="N1258" s="43">
        <v>5246</v>
      </c>
      <c r="O1258" s="27" t="s">
        <v>3969</v>
      </c>
      <c r="P1258" s="194" t="str">
        <f t="shared" si="229"/>
        <v>1</v>
      </c>
      <c r="Q1258" s="21">
        <v>1</v>
      </c>
      <c r="R1258" s="39" t="str">
        <f t="shared" si="232"/>
        <v>-</v>
      </c>
      <c r="S1258" s="120">
        <f t="shared" si="228"/>
        <v>4227577</v>
      </c>
      <c r="T1258" s="123">
        <v>5652406</v>
      </c>
      <c r="U1258" s="123">
        <f>3806629+1152700</f>
        <v>4959329</v>
      </c>
      <c r="V1258" s="123">
        <f t="shared" si="222"/>
        <v>693077</v>
      </c>
      <c r="W1258" s="122" t="str">
        <f t="shared" si="223"/>
        <v>1</v>
      </c>
      <c r="X1258" s="123">
        <f>Y1258+523445+12598+136386</f>
        <v>1424829</v>
      </c>
      <c r="Y1258" s="123">
        <f t="shared" ref="Y1258:Y1267" si="234">AB1258</f>
        <v>752400</v>
      </c>
      <c r="Z1258" s="123">
        <f t="shared" si="226"/>
        <v>672429</v>
      </c>
      <c r="AA1258" s="122" t="str">
        <f t="shared" si="227"/>
        <v>1</v>
      </c>
      <c r="AB1258" s="120">
        <f t="shared" si="224"/>
        <v>752400</v>
      </c>
      <c r="AC1258" s="123">
        <v>0</v>
      </c>
      <c r="AD1258" s="123">
        <v>752400</v>
      </c>
      <c r="AE1258" s="123">
        <v>190375</v>
      </c>
      <c r="AG1258" s="151">
        <f t="shared" si="231"/>
        <v>353348</v>
      </c>
      <c r="AH1258" s="123">
        <f>738129-354864+10266</f>
        <v>393531</v>
      </c>
      <c r="AI1258" s="123">
        <v>10087</v>
      </c>
      <c r="AJ1258" s="123">
        <v>112500</v>
      </c>
      <c r="AL1258" s="123">
        <v>30096</v>
      </c>
      <c r="AO1258" s="123">
        <v>300000</v>
      </c>
    </row>
    <row r="1259" spans="1:41" s="123" customFormat="1" ht="16.2" thickBot="1" x14ac:dyDescent="0.35">
      <c r="A1259" s="21"/>
      <c r="B1259" s="212" t="s">
        <v>107</v>
      </c>
      <c r="C1259" s="31" t="str">
        <f>VLOOKUP((CONCATENATE(B1259)),ID!$A$2:$D$305,3,0)</f>
        <v>TE004</v>
      </c>
      <c r="D1259" s="21">
        <v>0</v>
      </c>
      <c r="E1259" s="21" t="s">
        <v>3968</v>
      </c>
      <c r="F1259" s="21" t="s">
        <v>1117</v>
      </c>
      <c r="G1259" s="21" t="s">
        <v>3853</v>
      </c>
      <c r="H1259" s="94">
        <v>3653</v>
      </c>
      <c r="I1259" s="43">
        <v>3772</v>
      </c>
      <c r="J1259" s="43">
        <v>3772</v>
      </c>
      <c r="K1259" s="21">
        <v>1</v>
      </c>
      <c r="L1259" s="43">
        <v>3777</v>
      </c>
      <c r="M1259" s="43">
        <v>3784</v>
      </c>
      <c r="N1259" s="43">
        <v>3784</v>
      </c>
      <c r="O1259" s="27" t="s">
        <v>3969</v>
      </c>
      <c r="P1259" s="194" t="str">
        <f t="shared" si="229"/>
        <v>1</v>
      </c>
      <c r="Q1259" s="21">
        <v>1</v>
      </c>
      <c r="R1259" s="39" t="str">
        <f t="shared" si="232"/>
        <v>-</v>
      </c>
      <c r="S1259" s="120">
        <f t="shared" si="228"/>
        <v>8285240</v>
      </c>
      <c r="T1259" s="123">
        <v>10593407</v>
      </c>
      <c r="U1259" s="123">
        <f>7883242+1716390+286463</f>
        <v>9886095</v>
      </c>
      <c r="V1259" s="123">
        <f t="shared" si="222"/>
        <v>707312</v>
      </c>
      <c r="W1259" s="122" t="str">
        <f t="shared" si="223"/>
        <v>1</v>
      </c>
      <c r="X1259" s="123">
        <f>Y1259+385365+1479+8934+12357+3326</f>
        <v>2308167</v>
      </c>
      <c r="Y1259" s="123">
        <f t="shared" si="234"/>
        <v>1896706</v>
      </c>
      <c r="Z1259" s="123">
        <f t="shared" si="226"/>
        <v>411461</v>
      </c>
      <c r="AA1259" s="122" t="str">
        <f t="shared" si="227"/>
        <v>1</v>
      </c>
      <c r="AB1259" s="120">
        <f t="shared" si="224"/>
        <v>1896706</v>
      </c>
      <c r="AC1259" s="123">
        <v>0</v>
      </c>
      <c r="AD1259" s="123">
        <v>1896706</v>
      </c>
      <c r="AE1259" s="123">
        <v>149752</v>
      </c>
      <c r="AG1259" s="151">
        <f t="shared" si="231"/>
        <v>333194</v>
      </c>
      <c r="AH1259" s="123">
        <f>620942-204871+2945+5863-42239-1999</f>
        <v>380641</v>
      </c>
      <c r="AI1259" s="123">
        <f>1428+8085</f>
        <v>9513</v>
      </c>
      <c r="AJ1259" s="123">
        <v>35000</v>
      </c>
      <c r="AL1259" s="123">
        <v>37934</v>
      </c>
    </row>
    <row r="1260" spans="1:41" s="123" customFormat="1" ht="16.2" thickBot="1" x14ac:dyDescent="0.35">
      <c r="A1260" s="21"/>
      <c r="B1260" s="212" t="s">
        <v>107</v>
      </c>
      <c r="C1260" s="31" t="str">
        <f>VLOOKUP((CONCATENATE(B1260)),ID!$A$2:$D$305,3,0)</f>
        <v>TE004</v>
      </c>
      <c r="D1260" s="21">
        <v>0</v>
      </c>
      <c r="E1260" s="21" t="s">
        <v>3968</v>
      </c>
      <c r="F1260" s="21" t="s">
        <v>1117</v>
      </c>
      <c r="G1260" s="21" t="s">
        <v>3853</v>
      </c>
      <c r="H1260" s="94">
        <v>3834</v>
      </c>
      <c r="I1260" s="43">
        <v>3953</v>
      </c>
      <c r="J1260" s="43">
        <v>3953</v>
      </c>
      <c r="K1260" s="21">
        <v>0</v>
      </c>
      <c r="L1260" s="21"/>
      <c r="M1260" s="21"/>
      <c r="N1260" s="43">
        <v>3966</v>
      </c>
      <c r="O1260" s="27" t="s">
        <v>3969</v>
      </c>
      <c r="P1260" s="194" t="str">
        <f t="shared" si="229"/>
        <v>1</v>
      </c>
      <c r="Q1260" s="21">
        <v>1</v>
      </c>
      <c r="R1260" s="39" t="str">
        <f t="shared" si="232"/>
        <v>-</v>
      </c>
      <c r="S1260" s="120">
        <f t="shared" si="228"/>
        <v>8363007</v>
      </c>
      <c r="T1260" s="123">
        <v>10661430</v>
      </c>
      <c r="U1260" s="123">
        <f>7883242+286590+1848833</f>
        <v>10018665</v>
      </c>
      <c r="V1260" s="123">
        <f t="shared" si="222"/>
        <v>642765</v>
      </c>
      <c r="W1260" s="122" t="str">
        <f t="shared" si="223"/>
        <v>1</v>
      </c>
      <c r="X1260" s="123">
        <f>Y1260+379518+787+3895+12533+4984</f>
        <v>2298423</v>
      </c>
      <c r="Y1260" s="123">
        <f t="shared" si="234"/>
        <v>1896706</v>
      </c>
      <c r="Z1260" s="123">
        <f t="shared" si="226"/>
        <v>401717</v>
      </c>
      <c r="AA1260" s="122" t="str">
        <f t="shared" si="227"/>
        <v>1</v>
      </c>
      <c r="AB1260" s="120">
        <f t="shared" si="224"/>
        <v>1896706</v>
      </c>
      <c r="AC1260" s="123">
        <v>0</v>
      </c>
      <c r="AD1260" s="123">
        <v>1896706</v>
      </c>
      <c r="AE1260" s="123">
        <v>103323</v>
      </c>
      <c r="AG1260" s="151">
        <f t="shared" si="231"/>
        <v>346799</v>
      </c>
      <c r="AH1260" s="123">
        <f>664572-223447+7198+2910-58098</f>
        <v>393135</v>
      </c>
      <c r="AI1260" s="123">
        <f>725+7677</f>
        <v>8402</v>
      </c>
      <c r="AJ1260" s="123">
        <v>35000</v>
      </c>
      <c r="AL1260" s="123">
        <v>37934</v>
      </c>
    </row>
    <row r="1261" spans="1:41" s="123" customFormat="1" ht="16.2" thickBot="1" x14ac:dyDescent="0.35">
      <c r="A1261" s="21">
        <v>216.1</v>
      </c>
      <c r="B1261" s="212" t="s">
        <v>107</v>
      </c>
      <c r="C1261" s="31" t="str">
        <f>VLOOKUP((CONCATENATE(B1261)),ID!$A$2:$D$305,3,0)</f>
        <v>TE004</v>
      </c>
      <c r="D1261" s="21">
        <v>0</v>
      </c>
      <c r="E1261" s="21" t="s">
        <v>3968</v>
      </c>
      <c r="F1261" s="21" t="s">
        <v>1117</v>
      </c>
      <c r="G1261" s="21" t="s">
        <v>3853</v>
      </c>
      <c r="H1261" s="94">
        <v>4018</v>
      </c>
      <c r="I1261" s="43">
        <v>4142</v>
      </c>
      <c r="J1261" s="43">
        <v>4142</v>
      </c>
      <c r="K1261" s="21">
        <v>1</v>
      </c>
      <c r="L1261" s="43">
        <v>4148</v>
      </c>
      <c r="M1261" s="43">
        <v>4155</v>
      </c>
      <c r="N1261" s="43">
        <v>4155</v>
      </c>
      <c r="O1261" s="27" t="s">
        <v>3969</v>
      </c>
      <c r="P1261" s="194" t="str">
        <f t="shared" si="229"/>
        <v>1</v>
      </c>
      <c r="Q1261" s="21">
        <v>1</v>
      </c>
      <c r="R1261" s="39" t="str">
        <f t="shared" si="232"/>
        <v>-</v>
      </c>
      <c r="S1261" s="120">
        <f t="shared" si="228"/>
        <v>8526506</v>
      </c>
      <c r="T1261" s="123">
        <v>10860530</v>
      </c>
      <c r="U1261" s="123">
        <f>7883783+234058+2015222</f>
        <v>10133063</v>
      </c>
      <c r="V1261" s="123">
        <f t="shared" si="222"/>
        <v>727467</v>
      </c>
      <c r="W1261" s="122" t="str">
        <f t="shared" si="223"/>
        <v>1</v>
      </c>
      <c r="X1261" s="123">
        <f>3087+12238+6735+3844+411414+1896706</f>
        <v>2334024</v>
      </c>
      <c r="Y1261" s="123">
        <f t="shared" si="234"/>
        <v>1896706</v>
      </c>
      <c r="Z1261" s="123">
        <f t="shared" si="226"/>
        <v>437318</v>
      </c>
      <c r="AA1261" s="122" t="str">
        <f t="shared" si="227"/>
        <v>1</v>
      </c>
      <c r="AB1261" s="120">
        <f t="shared" si="224"/>
        <v>1896706</v>
      </c>
      <c r="AC1261" s="123">
        <v>0</v>
      </c>
      <c r="AD1261" s="123">
        <v>1896706</v>
      </c>
      <c r="AE1261" s="123">
        <v>148597</v>
      </c>
      <c r="AG1261" s="151">
        <f t="shared" si="231"/>
        <v>368830</v>
      </c>
      <c r="AH1261" s="123">
        <f>670147-219231-42659-2136+6677+2979</f>
        <v>415777</v>
      </c>
      <c r="AI1261" s="123">
        <f>762+8251</f>
        <v>9013</v>
      </c>
      <c r="AJ1261" s="123">
        <v>35000</v>
      </c>
      <c r="AL1261" s="123">
        <v>37934</v>
      </c>
    </row>
    <row r="1262" spans="1:41" s="123" customFormat="1" ht="16.2" thickBot="1" x14ac:dyDescent="0.35">
      <c r="A1262" s="21">
        <v>216.2</v>
      </c>
      <c r="B1262" s="212" t="s">
        <v>107</v>
      </c>
      <c r="C1262" s="31" t="str">
        <f>VLOOKUP((CONCATENATE(B1262)),ID!$A$2:$D$305,3,0)</f>
        <v>TE004</v>
      </c>
      <c r="D1262" s="21">
        <v>0</v>
      </c>
      <c r="E1262" s="21" t="s">
        <v>3968</v>
      </c>
      <c r="F1262" s="21" t="s">
        <v>1117</v>
      </c>
      <c r="G1262" s="21" t="s">
        <v>3853</v>
      </c>
      <c r="H1262" s="94">
        <v>4199</v>
      </c>
      <c r="I1262" s="43">
        <v>4324</v>
      </c>
      <c r="J1262" s="43">
        <v>4324</v>
      </c>
      <c r="K1262" s="21">
        <v>0</v>
      </c>
      <c r="L1262" s="21"/>
      <c r="M1262" s="21"/>
      <c r="N1262" s="43">
        <v>4337</v>
      </c>
      <c r="O1262" s="27" t="s">
        <v>3969</v>
      </c>
      <c r="P1262" s="194" t="str">
        <f t="shared" si="229"/>
        <v>1</v>
      </c>
      <c r="Q1262" s="21">
        <v>1</v>
      </c>
      <c r="R1262" s="39" t="str">
        <f t="shared" si="232"/>
        <v>-</v>
      </c>
      <c r="S1262" s="120">
        <f t="shared" si="228"/>
        <v>8617587</v>
      </c>
      <c r="T1262" s="123">
        <v>11056765</v>
      </c>
      <c r="U1262" s="123">
        <f>7886664+30486+2089633</f>
        <v>10006783</v>
      </c>
      <c r="V1262" s="123">
        <f t="shared" si="222"/>
        <v>1049982</v>
      </c>
      <c r="W1262" s="122" t="str">
        <f t="shared" si="223"/>
        <v>1</v>
      </c>
      <c r="X1262" s="123">
        <f>1896705+515255+1815+8677+12272+4454</f>
        <v>2439178</v>
      </c>
      <c r="Y1262" s="123">
        <f t="shared" si="234"/>
        <v>1896706</v>
      </c>
      <c r="Z1262" s="123">
        <f t="shared" si="226"/>
        <v>542472</v>
      </c>
      <c r="AA1262" s="122" t="str">
        <f t="shared" si="227"/>
        <v>1</v>
      </c>
      <c r="AB1262" s="120">
        <f t="shared" si="224"/>
        <v>1896706</v>
      </c>
      <c r="AC1262" s="123">
        <v>0</v>
      </c>
      <c r="AD1262" s="123">
        <v>1896706</v>
      </c>
      <c r="AE1262" s="123">
        <v>152133</v>
      </c>
      <c r="AG1262" s="151">
        <f t="shared" si="231"/>
        <v>344606</v>
      </c>
      <c r="AH1262" s="123">
        <f>672396-232755+6816+3010-56363-1508</f>
        <v>391596</v>
      </c>
      <c r="AI1262" s="123">
        <f>730+8326</f>
        <v>9056</v>
      </c>
      <c r="AJ1262" s="123">
        <v>35000</v>
      </c>
      <c r="AL1262" s="123">
        <v>37934</v>
      </c>
    </row>
    <row r="1263" spans="1:41" s="123" customFormat="1" ht="16.2" thickBot="1" x14ac:dyDescent="0.35">
      <c r="A1263" s="21">
        <v>216.3</v>
      </c>
      <c r="B1263" s="212" t="s">
        <v>107</v>
      </c>
      <c r="C1263" s="31" t="str">
        <f>VLOOKUP((CONCATENATE(B1263)),ID!$A$2:$D$305,3,0)</f>
        <v>TE004</v>
      </c>
      <c r="D1263" s="21">
        <v>0</v>
      </c>
      <c r="E1263" s="21" t="s">
        <v>3968</v>
      </c>
      <c r="F1263" s="21" t="s">
        <v>1117</v>
      </c>
      <c r="G1263" s="21" t="s">
        <v>3853</v>
      </c>
      <c r="H1263" s="94">
        <v>4383</v>
      </c>
      <c r="I1263" s="43">
        <v>4506</v>
      </c>
      <c r="J1263" s="43">
        <v>4506</v>
      </c>
      <c r="K1263" s="21">
        <v>1</v>
      </c>
      <c r="L1263" s="43">
        <v>4511</v>
      </c>
      <c r="M1263" s="43">
        <v>4519</v>
      </c>
      <c r="N1263" s="43">
        <v>4519</v>
      </c>
      <c r="O1263" s="27" t="s">
        <v>3969</v>
      </c>
      <c r="P1263" s="194" t="str">
        <f t="shared" si="229"/>
        <v>1</v>
      </c>
      <c r="Q1263" s="21">
        <v>1</v>
      </c>
      <c r="R1263" s="39" t="str">
        <f t="shared" si="232"/>
        <v>-</v>
      </c>
      <c r="S1263" s="120">
        <f t="shared" si="228"/>
        <v>8662809</v>
      </c>
      <c r="T1263" s="123">
        <v>11081854</v>
      </c>
      <c r="U1263" s="123">
        <f>7888033+239951+2086696</f>
        <v>10214680</v>
      </c>
      <c r="V1263" s="123">
        <f t="shared" ref="V1263:V1325" si="235">T1263-U1263</f>
        <v>867174</v>
      </c>
      <c r="W1263" s="122" t="str">
        <f t="shared" ref="W1263:W1325" si="236">IF(V1263+U1263=T1263,"1","0")</f>
        <v>1</v>
      </c>
      <c r="X1263" s="123">
        <f>1896706+496808+2934+6711+12208+3678</f>
        <v>2419045</v>
      </c>
      <c r="Y1263" s="123">
        <f t="shared" si="234"/>
        <v>1896706</v>
      </c>
      <c r="Z1263" s="123">
        <f t="shared" si="226"/>
        <v>522339</v>
      </c>
      <c r="AA1263" s="122" t="str">
        <f t="shared" si="227"/>
        <v>1</v>
      </c>
      <c r="AB1263" s="120">
        <f t="shared" ref="AB1263:AB1325" si="237">SUM(AC1263+AD1263)</f>
        <v>1896706</v>
      </c>
      <c r="AC1263" s="123">
        <v>0</v>
      </c>
      <c r="AD1263" s="123">
        <v>1896706</v>
      </c>
      <c r="AE1263" s="123">
        <v>92629</v>
      </c>
      <c r="AG1263" s="151">
        <f t="shared" si="231"/>
        <v>409556</v>
      </c>
      <c r="AH1263" s="123">
        <f>729469-245386+6698+3022-35094-1593</f>
        <v>457116</v>
      </c>
      <c r="AI1263" s="123">
        <f>8853+773</f>
        <v>9626</v>
      </c>
      <c r="AJ1263" s="123">
        <v>35000</v>
      </c>
      <c r="AL1263" s="123">
        <v>37934</v>
      </c>
    </row>
    <row r="1264" spans="1:41" s="123" customFormat="1" ht="16.2" thickBot="1" x14ac:dyDescent="0.35">
      <c r="A1264" s="21">
        <v>216.4</v>
      </c>
      <c r="B1264" s="212" t="s">
        <v>107</v>
      </c>
      <c r="C1264" s="31" t="str">
        <f>VLOOKUP((CONCATENATE(B1264)),ID!$A$2:$D$305,3,0)</f>
        <v>TE004</v>
      </c>
      <c r="D1264" s="21">
        <v>0</v>
      </c>
      <c r="E1264" s="21" t="s">
        <v>3968</v>
      </c>
      <c r="F1264" s="21" t="s">
        <v>1117</v>
      </c>
      <c r="G1264" s="21" t="s">
        <v>3853</v>
      </c>
      <c r="H1264" s="94">
        <v>4565</v>
      </c>
      <c r="I1264" s="43">
        <v>4689</v>
      </c>
      <c r="J1264" s="43">
        <v>4689</v>
      </c>
      <c r="K1264" s="21">
        <v>0</v>
      </c>
      <c r="L1264" s="21"/>
      <c r="M1264" s="21"/>
      <c r="N1264" s="43">
        <v>4701</v>
      </c>
      <c r="O1264" s="27" t="s">
        <v>3969</v>
      </c>
      <c r="P1264" s="194" t="str">
        <f t="shared" si="229"/>
        <v>1</v>
      </c>
      <c r="Q1264" s="21">
        <v>1</v>
      </c>
      <c r="R1264" s="39" t="str">
        <f t="shared" si="232"/>
        <v>-</v>
      </c>
      <c r="S1264" s="120">
        <f t="shared" si="228"/>
        <v>8565537</v>
      </c>
      <c r="T1264" s="123">
        <v>11045674</v>
      </c>
      <c r="U1264" s="123">
        <f>7895868+276493+1997120</f>
        <v>10169481</v>
      </c>
      <c r="V1264" s="123">
        <f t="shared" si="235"/>
        <v>876193</v>
      </c>
      <c r="W1264" s="122" t="str">
        <f t="shared" si="236"/>
        <v>1</v>
      </c>
      <c r="X1264" s="123">
        <f>1896706+556064+1097+9415+12214+4641</f>
        <v>2480137</v>
      </c>
      <c r="Y1264" s="123">
        <f t="shared" si="234"/>
        <v>1896706</v>
      </c>
      <c r="Z1264" s="123">
        <f t="shared" si="226"/>
        <v>583431</v>
      </c>
      <c r="AA1264" s="122" t="str">
        <f t="shared" si="227"/>
        <v>1</v>
      </c>
      <c r="AB1264" s="120">
        <f t="shared" si="237"/>
        <v>1896706</v>
      </c>
      <c r="AC1264" s="123">
        <v>0</v>
      </c>
      <c r="AD1264" s="123">
        <v>1896706</v>
      </c>
      <c r="AE1264" s="123">
        <f>80000+39946</f>
        <v>119946</v>
      </c>
      <c r="AG1264" s="151">
        <f t="shared" si="231"/>
        <v>447536</v>
      </c>
      <c r="AH1264" s="123">
        <f>746710-261490+7280+3023</f>
        <v>495523</v>
      </c>
      <c r="AI1264" s="123">
        <f>9153+900</f>
        <v>10053</v>
      </c>
      <c r="AJ1264" s="123">
        <v>35000</v>
      </c>
      <c r="AL1264" s="123">
        <v>37934</v>
      </c>
    </row>
    <row r="1265" spans="1:41" s="123" customFormat="1" ht="16.2" thickBot="1" x14ac:dyDescent="0.35">
      <c r="A1265" s="21"/>
      <c r="B1265" s="212" t="s">
        <v>107</v>
      </c>
      <c r="C1265" s="31" t="str">
        <f>VLOOKUP((CONCATENATE(B1265)),ID!$A$2:$D$305,3,0)</f>
        <v>TE004</v>
      </c>
      <c r="D1265" s="21">
        <v>0</v>
      </c>
      <c r="E1265" s="21" t="s">
        <v>3968</v>
      </c>
      <c r="F1265" s="21" t="s">
        <v>1117</v>
      </c>
      <c r="G1265" s="21" t="s">
        <v>3853</v>
      </c>
      <c r="H1265" s="94">
        <v>4749</v>
      </c>
      <c r="I1265" s="43">
        <v>4875</v>
      </c>
      <c r="J1265" s="43">
        <v>4875</v>
      </c>
      <c r="K1265" s="21">
        <v>1</v>
      </c>
      <c r="L1265" s="43">
        <v>4883</v>
      </c>
      <c r="M1265" s="43">
        <v>4890</v>
      </c>
      <c r="N1265" s="43">
        <v>4890</v>
      </c>
      <c r="O1265" s="27" t="s">
        <v>3969</v>
      </c>
      <c r="P1265" s="194" t="str">
        <f t="shared" si="229"/>
        <v>1</v>
      </c>
      <c r="Q1265" s="21">
        <v>1</v>
      </c>
      <c r="R1265" s="39" t="str">
        <f t="shared" si="232"/>
        <v>-</v>
      </c>
      <c r="S1265" s="120">
        <f t="shared" si="228"/>
        <v>8681491</v>
      </c>
      <c r="T1265" s="123">
        <v>11119043</v>
      </c>
      <c r="U1265" s="123">
        <f>7932177+280472+1924010</f>
        <v>10136659</v>
      </c>
      <c r="V1265" s="123">
        <f t="shared" si="235"/>
        <v>982384</v>
      </c>
      <c r="W1265" s="122" t="str">
        <f t="shared" si="236"/>
        <v>1</v>
      </c>
      <c r="X1265" s="123">
        <f>Y1265+2739+12213+9864+1414+514616</f>
        <v>2437552</v>
      </c>
      <c r="Y1265" s="123">
        <f t="shared" si="234"/>
        <v>1896706</v>
      </c>
      <c r="Z1265" s="123">
        <f t="shared" si="226"/>
        <v>540846</v>
      </c>
      <c r="AA1265" s="122" t="str">
        <f t="shared" si="227"/>
        <v>1</v>
      </c>
      <c r="AB1265" s="120">
        <f t="shared" si="237"/>
        <v>1896706</v>
      </c>
      <c r="AC1265" s="123">
        <v>0</v>
      </c>
      <c r="AD1265" s="123">
        <v>1896706</v>
      </c>
      <c r="AE1265" s="123">
        <v>114624</v>
      </c>
      <c r="AG1265" s="151">
        <f t="shared" si="231"/>
        <v>360893</v>
      </c>
      <c r="AH1265" s="123">
        <f>753325-273246+7487+3050-80658</f>
        <v>409958</v>
      </c>
      <c r="AI1265" s="123">
        <f>854+10277</f>
        <v>11131</v>
      </c>
      <c r="AJ1265" s="123">
        <v>35000</v>
      </c>
      <c r="AL1265" s="123">
        <v>37934</v>
      </c>
    </row>
    <row r="1266" spans="1:41" s="123" customFormat="1" ht="16.2" thickBot="1" x14ac:dyDescent="0.35">
      <c r="A1266" s="21"/>
      <c r="B1266" s="212" t="s">
        <v>107</v>
      </c>
      <c r="C1266" s="31" t="str">
        <f>VLOOKUP((CONCATENATE(B1266)),ID!$A$2:$D$305,3,0)</f>
        <v>TE004</v>
      </c>
      <c r="D1266" s="21">
        <v>1</v>
      </c>
      <c r="E1266" s="21" t="s">
        <v>3968</v>
      </c>
      <c r="F1266" s="21" t="s">
        <v>1117</v>
      </c>
      <c r="G1266" s="21" t="s">
        <v>3853</v>
      </c>
      <c r="H1266" s="94">
        <v>5114</v>
      </c>
      <c r="I1266" s="43">
        <v>5235</v>
      </c>
      <c r="J1266" s="43">
        <v>5235</v>
      </c>
      <c r="K1266" s="21">
        <v>1</v>
      </c>
      <c r="L1266" s="43">
        <v>5240</v>
      </c>
      <c r="M1266" s="43">
        <v>5247</v>
      </c>
      <c r="N1266" s="43">
        <v>5247</v>
      </c>
      <c r="O1266" s="27" t="s">
        <v>3969</v>
      </c>
      <c r="P1266" s="194" t="str">
        <f t="shared" si="229"/>
        <v>1</v>
      </c>
      <c r="Q1266" s="21">
        <v>1</v>
      </c>
      <c r="R1266" s="39" t="str">
        <f t="shared" si="232"/>
        <v>-</v>
      </c>
      <c r="S1266" s="120">
        <f t="shared" si="228"/>
        <v>8906546</v>
      </c>
      <c r="T1266" s="123">
        <v>11518923</v>
      </c>
      <c r="U1266" s="123">
        <f>7959741+1820062</f>
        <v>9779803</v>
      </c>
      <c r="V1266" s="123">
        <f t="shared" si="235"/>
        <v>1739120</v>
      </c>
      <c r="W1266" s="122" t="str">
        <f t="shared" si="236"/>
        <v>1</v>
      </c>
      <c r="X1266" s="123">
        <f>Y1266+47302+538369+4557+7581+12871+1697</f>
        <v>2612377</v>
      </c>
      <c r="Y1266" s="123">
        <f t="shared" si="234"/>
        <v>2000000</v>
      </c>
      <c r="Z1266" s="123">
        <f t="shared" si="226"/>
        <v>612377</v>
      </c>
      <c r="AA1266" s="122" t="str">
        <f t="shared" si="227"/>
        <v>1</v>
      </c>
      <c r="AB1266" s="120">
        <f t="shared" si="237"/>
        <v>2000000</v>
      </c>
      <c r="AC1266" s="123">
        <v>0</v>
      </c>
      <c r="AD1266" s="123">
        <v>2000000</v>
      </c>
      <c r="AE1266" s="123">
        <v>126574</v>
      </c>
      <c r="AG1266" s="151">
        <f t="shared" si="231"/>
        <v>700531</v>
      </c>
      <c r="AH1266" s="123">
        <f>1462843-562952+15107+6117-107575-2042</f>
        <v>811498</v>
      </c>
      <c r="AI1266" s="123">
        <f>21764+1958</f>
        <v>23722</v>
      </c>
      <c r="AJ1266" s="123">
        <v>70000</v>
      </c>
      <c r="AL1266" s="123">
        <f>76556+10689</f>
        <v>87245</v>
      </c>
    </row>
    <row r="1267" spans="1:41" s="123" customFormat="1" ht="16.2" thickBot="1" x14ac:dyDescent="0.35">
      <c r="A1267" s="21"/>
      <c r="B1267" s="212" t="s">
        <v>207</v>
      </c>
      <c r="C1267" s="31" t="str">
        <f>VLOOKUP((CONCATENATE(B1267)),ID!$A$2:$D$305,3,0)</f>
        <v>TE005</v>
      </c>
      <c r="D1267" s="21">
        <v>1</v>
      </c>
      <c r="E1267" s="21" t="s">
        <v>3968</v>
      </c>
      <c r="F1267" s="21" t="s">
        <v>1117</v>
      </c>
      <c r="G1267" s="21" t="s">
        <v>3853</v>
      </c>
      <c r="H1267" s="88">
        <v>3653</v>
      </c>
      <c r="I1267" s="43">
        <v>3822</v>
      </c>
      <c r="J1267" s="43">
        <v>3821</v>
      </c>
      <c r="K1267" s="21">
        <v>1</v>
      </c>
      <c r="L1267" s="43">
        <v>3831</v>
      </c>
      <c r="M1267" s="43">
        <v>3843</v>
      </c>
      <c r="N1267" s="43">
        <v>3832</v>
      </c>
      <c r="O1267" s="21" t="s">
        <v>3843</v>
      </c>
      <c r="P1267" s="194" t="str">
        <f t="shared" si="229"/>
        <v>1</v>
      </c>
      <c r="Q1267" s="21">
        <v>1</v>
      </c>
      <c r="R1267" s="39" t="str">
        <f t="shared" si="232"/>
        <v>-</v>
      </c>
      <c r="S1267" s="120">
        <f t="shared" si="228"/>
        <v>570291</v>
      </c>
      <c r="T1267" s="123">
        <v>653475</v>
      </c>
      <c r="U1267" s="123">
        <f>208316+2063+114899+4319+21696</f>
        <v>351293</v>
      </c>
      <c r="V1267" s="123">
        <f t="shared" si="235"/>
        <v>302182</v>
      </c>
      <c r="W1267" s="122" t="str">
        <f t="shared" si="236"/>
        <v>1</v>
      </c>
      <c r="X1267" s="123">
        <f>83184</f>
        <v>83184</v>
      </c>
      <c r="Y1267" s="123">
        <f t="shared" si="234"/>
        <v>44438</v>
      </c>
      <c r="Z1267" s="123">
        <f t="shared" si="226"/>
        <v>38746</v>
      </c>
      <c r="AA1267" s="122" t="str">
        <f t="shared" si="227"/>
        <v>1</v>
      </c>
      <c r="AB1267" s="120">
        <f t="shared" si="237"/>
        <v>44438</v>
      </c>
      <c r="AC1267" s="123">
        <v>0</v>
      </c>
      <c r="AD1267" s="123">
        <v>44438</v>
      </c>
      <c r="AE1267" s="123">
        <v>3679</v>
      </c>
      <c r="AG1267" s="151">
        <f>11472</f>
        <v>11472</v>
      </c>
      <c r="AJ1267" s="123">
        <v>6226</v>
      </c>
      <c r="AM1267" s="123">
        <f>AN1267-70290</f>
        <v>2425</v>
      </c>
      <c r="AN1267" s="123">
        <v>72715</v>
      </c>
      <c r="AO1267" s="123">
        <f>394190+153149</f>
        <v>547339</v>
      </c>
    </row>
    <row r="1268" spans="1:41" s="123" customFormat="1" ht="16.2" thickBot="1" x14ac:dyDescent="0.35">
      <c r="A1268" s="21">
        <v>217.1</v>
      </c>
      <c r="B1268" s="212" t="s">
        <v>207</v>
      </c>
      <c r="C1268" s="31" t="str">
        <f>VLOOKUP((CONCATENATE(B1268)),ID!$A$2:$D$305,3,0)</f>
        <v>TE005</v>
      </c>
      <c r="D1268" s="21">
        <v>1</v>
      </c>
      <c r="E1268" s="21" t="s">
        <v>3968</v>
      </c>
      <c r="F1268" s="21" t="s">
        <v>1117</v>
      </c>
      <c r="G1268" s="21" t="s">
        <v>3853</v>
      </c>
      <c r="H1268" s="88">
        <v>4018</v>
      </c>
      <c r="I1268" s="43">
        <v>4209</v>
      </c>
      <c r="J1268" s="43">
        <v>4206</v>
      </c>
      <c r="K1268" s="21">
        <v>1</v>
      </c>
      <c r="L1268" s="43">
        <v>4218</v>
      </c>
      <c r="M1268" s="43">
        <v>4231</v>
      </c>
      <c r="N1268" s="43">
        <v>4219</v>
      </c>
      <c r="O1268" s="21" t="s">
        <v>3843</v>
      </c>
      <c r="P1268" s="194" t="str">
        <f t="shared" si="229"/>
        <v>1</v>
      </c>
      <c r="Q1268" s="21">
        <v>1</v>
      </c>
      <c r="R1268" s="39" t="str">
        <f t="shared" si="232"/>
        <v>-</v>
      </c>
      <c r="S1268" s="120">
        <f t="shared" si="228"/>
        <v>666559</v>
      </c>
      <c r="T1268" s="123">
        <v>796472</v>
      </c>
      <c r="U1268" s="123">
        <f>T1268-4824-137696-163863-30843</f>
        <v>459246</v>
      </c>
      <c r="V1268" s="123">
        <f t="shared" si="235"/>
        <v>337226</v>
      </c>
      <c r="W1268" s="122" t="str">
        <f t="shared" si="236"/>
        <v>1</v>
      </c>
      <c r="X1268" s="123">
        <f>41614+69638+18661</f>
        <v>129913</v>
      </c>
      <c r="Y1268" s="123">
        <f>AD1268</f>
        <v>41614</v>
      </c>
      <c r="Z1268" s="123">
        <f t="shared" si="226"/>
        <v>88299</v>
      </c>
      <c r="AA1268" s="122" t="str">
        <f t="shared" si="227"/>
        <v>1</v>
      </c>
      <c r="AB1268" s="120">
        <f t="shared" si="237"/>
        <v>41614</v>
      </c>
      <c r="AC1268" s="123">
        <v>0</v>
      </c>
      <c r="AD1268" s="123">
        <v>41614</v>
      </c>
      <c r="AE1268" s="123">
        <v>4824</v>
      </c>
      <c r="AG1268" s="151">
        <v>60513</v>
      </c>
      <c r="AJ1268" s="123">
        <v>60513</v>
      </c>
      <c r="AK1268" s="123">
        <v>3118</v>
      </c>
      <c r="AM1268" s="123">
        <v>127724</v>
      </c>
      <c r="AO1268" s="123">
        <f>416925+183915</f>
        <v>600840</v>
      </c>
    </row>
    <row r="1269" spans="1:41" s="123" customFormat="1" ht="16.2" thickBot="1" x14ac:dyDescent="0.35">
      <c r="A1269" s="21">
        <v>217.2</v>
      </c>
      <c r="B1269" s="212" t="s">
        <v>207</v>
      </c>
      <c r="C1269" s="31" t="str">
        <f>VLOOKUP((CONCATENATE(B1269)),ID!$A$2:$D$305,3,0)</f>
        <v>TE005</v>
      </c>
      <c r="D1269" s="21">
        <v>1</v>
      </c>
      <c r="E1269" s="21" t="s">
        <v>3968</v>
      </c>
      <c r="F1269" s="21" t="s">
        <v>1117</v>
      </c>
      <c r="G1269" s="21" t="s">
        <v>3853</v>
      </c>
      <c r="H1269" s="88">
        <v>4383</v>
      </c>
      <c r="I1269" s="43">
        <v>4543</v>
      </c>
      <c r="J1269" s="43">
        <v>4543</v>
      </c>
      <c r="K1269" s="21">
        <v>0</v>
      </c>
      <c r="L1269" s="21"/>
      <c r="M1269" s="21"/>
      <c r="N1269" s="43">
        <v>4574</v>
      </c>
      <c r="O1269" s="21" t="s">
        <v>3843</v>
      </c>
      <c r="P1269" s="194" t="str">
        <f t="shared" si="229"/>
        <v>1</v>
      </c>
      <c r="Q1269" s="21">
        <v>1</v>
      </c>
      <c r="R1269" s="39" t="str">
        <f t="shared" si="232"/>
        <v>-</v>
      </c>
      <c r="S1269" s="120">
        <f t="shared" si="228"/>
        <v>1054994</v>
      </c>
      <c r="T1269" s="123">
        <v>1132095</v>
      </c>
      <c r="U1269" s="123">
        <f>T1269-79871-198426-78588-52840</f>
        <v>722370</v>
      </c>
      <c r="V1269" s="123">
        <f t="shared" si="235"/>
        <v>409725</v>
      </c>
      <c r="W1269" s="122" t="str">
        <f t="shared" si="236"/>
        <v>1</v>
      </c>
      <c r="X1269" s="123">
        <f>59473+17628</f>
        <v>77101</v>
      </c>
      <c r="Y1269" s="123">
        <f>AD1269</f>
        <v>0</v>
      </c>
      <c r="Z1269" s="123">
        <f t="shared" ref="Z1269:Z1331" si="238">X1269-Y1269</f>
        <v>77101</v>
      </c>
      <c r="AA1269" s="122" t="str">
        <f t="shared" ref="AA1269:AA1331" si="239">IF(Z1269+Y1269=X1269,"1","0")</f>
        <v>1</v>
      </c>
      <c r="AB1269" s="120">
        <f t="shared" si="237"/>
        <v>0</v>
      </c>
      <c r="AC1269" s="123">
        <v>0</v>
      </c>
      <c r="AD1269" s="123">
        <v>0</v>
      </c>
      <c r="AE1269" s="123">
        <v>79871</v>
      </c>
      <c r="AG1269" s="151">
        <v>141717</v>
      </c>
      <c r="AJ1269" s="123">
        <v>49896</v>
      </c>
      <c r="AK1269" s="123">
        <v>3409</v>
      </c>
      <c r="AM1269" s="123">
        <v>215238</v>
      </c>
      <c r="AO1269" s="123">
        <f>508266+241734+250000</f>
        <v>1000000</v>
      </c>
    </row>
    <row r="1270" spans="1:41" s="123" customFormat="1" ht="16.2" thickBot="1" x14ac:dyDescent="0.35">
      <c r="A1270" s="21"/>
      <c r="B1270" s="212" t="s">
        <v>207</v>
      </c>
      <c r="C1270" s="31" t="str">
        <f>VLOOKUP((CONCATENATE(B1270)),ID!$A$2:$D$305,3,0)</f>
        <v>TE005</v>
      </c>
      <c r="D1270" s="21">
        <v>1</v>
      </c>
      <c r="E1270" s="21" t="s">
        <v>3968</v>
      </c>
      <c r="F1270" s="21" t="s">
        <v>1117</v>
      </c>
      <c r="G1270" s="21" t="s">
        <v>3853</v>
      </c>
      <c r="H1270" s="88">
        <v>4749</v>
      </c>
      <c r="I1270" s="43">
        <v>4974</v>
      </c>
      <c r="J1270" s="43">
        <v>4972</v>
      </c>
      <c r="K1270" s="21">
        <v>1</v>
      </c>
      <c r="L1270" s="43">
        <v>4982</v>
      </c>
      <c r="M1270" s="43">
        <v>4995</v>
      </c>
      <c r="N1270" s="43">
        <v>4983</v>
      </c>
      <c r="O1270" s="21" t="s">
        <v>3843</v>
      </c>
      <c r="P1270" s="194" t="str">
        <f t="shared" si="229"/>
        <v>1</v>
      </c>
      <c r="Q1270" s="21">
        <v>1</v>
      </c>
      <c r="R1270" s="39" t="str">
        <f t="shared" si="232"/>
        <v>-</v>
      </c>
      <c r="S1270" s="120">
        <f t="shared" si="228"/>
        <v>1602424</v>
      </c>
      <c r="T1270" s="123">
        <v>1874135</v>
      </c>
      <c r="U1270" s="123">
        <f>T1270-278320-381418-81206</f>
        <v>1133191</v>
      </c>
      <c r="V1270" s="123">
        <f t="shared" si="235"/>
        <v>740944</v>
      </c>
      <c r="W1270" s="122" t="str">
        <f t="shared" si="236"/>
        <v>1</v>
      </c>
      <c r="X1270" s="123">
        <f>15296+236843+19572</f>
        <v>271711</v>
      </c>
      <c r="Y1270" s="123">
        <v>0</v>
      </c>
      <c r="Z1270" s="123">
        <f t="shared" si="238"/>
        <v>271711</v>
      </c>
      <c r="AA1270" s="122" t="str">
        <f t="shared" si="239"/>
        <v>1</v>
      </c>
      <c r="AB1270" s="120">
        <f t="shared" si="237"/>
        <v>0</v>
      </c>
      <c r="AC1270" s="123">
        <v>0</v>
      </c>
      <c r="AD1270" s="123">
        <v>0</v>
      </c>
      <c r="AE1270" s="123">
        <v>278320</v>
      </c>
      <c r="AG1270" s="151">
        <v>413294</v>
      </c>
      <c r="AJ1270" s="123">
        <v>92420</v>
      </c>
      <c r="AK1270" s="123">
        <v>14697</v>
      </c>
      <c r="AO1270" s="123">
        <f>508266+241734+250000</f>
        <v>1000000</v>
      </c>
    </row>
    <row r="1271" spans="1:41" s="123" customFormat="1" ht="16.2" thickBot="1" x14ac:dyDescent="0.35">
      <c r="A1271" s="21"/>
      <c r="B1271" s="212" t="s">
        <v>207</v>
      </c>
      <c r="C1271" s="31" t="str">
        <f>VLOOKUP((CONCATENATE(B1271)),ID!$A$2:$D$305,3,0)</f>
        <v>TE005</v>
      </c>
      <c r="D1271" s="21">
        <v>1</v>
      </c>
      <c r="E1271" s="21" t="s">
        <v>3968</v>
      </c>
      <c r="F1271" s="21" t="s">
        <v>1117</v>
      </c>
      <c r="G1271" s="21" t="s">
        <v>3853</v>
      </c>
      <c r="H1271" s="88">
        <v>5114</v>
      </c>
      <c r="I1271" s="43">
        <v>5306</v>
      </c>
      <c r="J1271" s="43">
        <v>5304</v>
      </c>
      <c r="K1271" s="21">
        <v>1</v>
      </c>
      <c r="L1271" s="43">
        <v>5315</v>
      </c>
      <c r="M1271" s="43">
        <v>5327</v>
      </c>
      <c r="N1271" s="43">
        <v>5316</v>
      </c>
      <c r="O1271" s="21" t="s">
        <v>3843</v>
      </c>
      <c r="P1271" s="194" t="str">
        <f t="shared" si="229"/>
        <v>1</v>
      </c>
      <c r="Q1271" s="21">
        <v>1</v>
      </c>
      <c r="R1271" s="39" t="str">
        <f t="shared" si="232"/>
        <v>-</v>
      </c>
      <c r="S1271" s="120">
        <f t="shared" si="228"/>
        <v>2591904</v>
      </c>
      <c r="T1271" s="123">
        <v>2831700</v>
      </c>
      <c r="U1271" s="123">
        <f>24231+106080+141859+30359+1298743</f>
        <v>1601272</v>
      </c>
      <c r="V1271" s="123">
        <f t="shared" si="235"/>
        <v>1230428</v>
      </c>
      <c r="W1271" s="122" t="str">
        <f t="shared" si="236"/>
        <v>1</v>
      </c>
      <c r="X1271" s="123">
        <f>17962+182713+39121</f>
        <v>239796</v>
      </c>
      <c r="Y1271" s="123">
        <v>0</v>
      </c>
      <c r="Z1271" s="123">
        <f t="shared" si="238"/>
        <v>239796</v>
      </c>
      <c r="AA1271" s="122" t="str">
        <f t="shared" si="239"/>
        <v>1</v>
      </c>
      <c r="AB1271" s="120">
        <f t="shared" si="237"/>
        <v>0</v>
      </c>
      <c r="AC1271" s="123">
        <v>0</v>
      </c>
      <c r="AD1271" s="123">
        <v>0</v>
      </c>
      <c r="AE1271" s="123">
        <v>16153</v>
      </c>
      <c r="AG1271" s="151">
        <v>122323</v>
      </c>
      <c r="AJ1271" s="123">
        <v>17500</v>
      </c>
      <c r="AK1271" s="123">
        <v>19564</v>
      </c>
      <c r="AO1271" s="123">
        <f>994771+227917+250000</f>
        <v>1472688</v>
      </c>
    </row>
    <row r="1272" spans="1:41" s="123" customFormat="1" ht="16.2" thickBot="1" x14ac:dyDescent="0.35">
      <c r="A1272" s="21"/>
      <c r="B1272" s="212" t="s">
        <v>234</v>
      </c>
      <c r="C1272" s="31" t="str">
        <f>VLOOKUP((CONCATENATE(B1272)),ID!$A$2:$D$305,3,0)</f>
        <v>TE006</v>
      </c>
      <c r="D1272" s="21">
        <v>0</v>
      </c>
      <c r="E1272" s="21" t="s">
        <v>3968</v>
      </c>
      <c r="F1272" s="21" t="s">
        <v>1117</v>
      </c>
      <c r="G1272" s="21" t="s">
        <v>3853</v>
      </c>
      <c r="H1272" s="94">
        <v>3653</v>
      </c>
      <c r="I1272" s="43">
        <v>3699</v>
      </c>
      <c r="J1272" s="43">
        <v>3688</v>
      </c>
      <c r="K1272" s="21">
        <v>1</v>
      </c>
      <c r="L1272" s="43">
        <v>3695</v>
      </c>
      <c r="M1272" s="43">
        <v>3708</v>
      </c>
      <c r="N1272" s="43">
        <v>3708</v>
      </c>
      <c r="O1272" s="21" t="s">
        <v>3855</v>
      </c>
      <c r="P1272" s="194">
        <v>1</v>
      </c>
      <c r="Q1272" s="21">
        <v>1</v>
      </c>
      <c r="R1272" s="39" t="str">
        <f t="shared" si="232"/>
        <v>-</v>
      </c>
      <c r="S1272" s="120">
        <f t="shared" si="228"/>
        <v>4885661</v>
      </c>
      <c r="T1272" s="123">
        <v>5696173</v>
      </c>
      <c r="U1272" s="123">
        <f>4339397+332+65594+457000</f>
        <v>4862323</v>
      </c>
      <c r="V1272" s="123">
        <f t="shared" si="235"/>
        <v>833850</v>
      </c>
      <c r="W1272" s="122" t="str">
        <f t="shared" si="236"/>
        <v>1</v>
      </c>
      <c r="X1272" s="123">
        <f>810512</f>
        <v>810512</v>
      </c>
      <c r="Y1272" s="123">
        <v>0</v>
      </c>
      <c r="Z1272" s="123">
        <f t="shared" si="238"/>
        <v>810512</v>
      </c>
      <c r="AA1272" s="122" t="str">
        <f t="shared" si="239"/>
        <v>1</v>
      </c>
      <c r="AB1272" s="120">
        <f t="shared" si="237"/>
        <v>0</v>
      </c>
      <c r="AC1272" s="123">
        <v>0</v>
      </c>
      <c r="AD1272" s="123">
        <v>0</v>
      </c>
      <c r="AE1272" s="123">
        <v>117663</v>
      </c>
      <c r="AG1272" s="151">
        <f t="shared" si="231"/>
        <v>409002</v>
      </c>
      <c r="AH1272" s="123">
        <f>573290-11100-931</f>
        <v>561259</v>
      </c>
      <c r="AI1272" s="123">
        <v>13059</v>
      </c>
      <c r="AL1272" s="123">
        <f>64527+74671</f>
        <v>139198</v>
      </c>
      <c r="AO1272" s="123">
        <f>280000</f>
        <v>280000</v>
      </c>
    </row>
    <row r="1273" spans="1:41" s="123" customFormat="1" ht="16.2" thickBot="1" x14ac:dyDescent="0.35">
      <c r="A1273" s="21"/>
      <c r="B1273" s="212" t="s">
        <v>234</v>
      </c>
      <c r="C1273" s="31" t="str">
        <f>VLOOKUP((CONCATENATE(B1273)),ID!$A$2:$D$305,3,0)</f>
        <v>TE006</v>
      </c>
      <c r="D1273" s="21">
        <v>0</v>
      </c>
      <c r="E1273" s="21" t="s">
        <v>3968</v>
      </c>
      <c r="F1273" s="21" t="s">
        <v>1117</v>
      </c>
      <c r="G1273" s="21" t="s">
        <v>3853</v>
      </c>
      <c r="H1273" s="94">
        <v>3834</v>
      </c>
      <c r="I1273" s="43">
        <v>3847</v>
      </c>
      <c r="J1273" s="43">
        <v>3848</v>
      </c>
      <c r="K1273" s="21">
        <v>1</v>
      </c>
      <c r="L1273" s="43">
        <v>3849</v>
      </c>
      <c r="M1273" s="43">
        <v>3862</v>
      </c>
      <c r="N1273" s="43">
        <v>3862</v>
      </c>
      <c r="O1273" s="21" t="s">
        <v>3855</v>
      </c>
      <c r="P1273" s="194">
        <v>1</v>
      </c>
      <c r="Q1273" s="21">
        <v>1</v>
      </c>
      <c r="R1273" s="39" t="str">
        <f t="shared" si="232"/>
        <v>-</v>
      </c>
      <c r="S1273" s="120">
        <f t="shared" si="228"/>
        <v>5277614</v>
      </c>
      <c r="T1273" s="123">
        <v>6321269</v>
      </c>
      <c r="U1273" s="123">
        <f>4564591+781+64997+158660+50044</f>
        <v>4839073</v>
      </c>
      <c r="V1273" s="123">
        <f t="shared" si="235"/>
        <v>1482196</v>
      </c>
      <c r="W1273" s="122" t="str">
        <f t="shared" si="236"/>
        <v>1</v>
      </c>
      <c r="X1273" s="123">
        <f>1043655</f>
        <v>1043655</v>
      </c>
      <c r="Y1273" s="123">
        <v>0</v>
      </c>
      <c r="Z1273" s="123">
        <f t="shared" si="238"/>
        <v>1043655</v>
      </c>
      <c r="AA1273" s="122" t="str">
        <f t="shared" si="239"/>
        <v>1</v>
      </c>
      <c r="AB1273" s="120">
        <f t="shared" si="237"/>
        <v>0</v>
      </c>
      <c r="AC1273" s="123">
        <v>0</v>
      </c>
      <c r="AD1273" s="123">
        <v>0</v>
      </c>
      <c r="AE1273" s="123">
        <v>110687</v>
      </c>
      <c r="AG1273" s="151">
        <f t="shared" si="231"/>
        <v>417430</v>
      </c>
      <c r="AH1273" s="123">
        <f>588553-11683-306</f>
        <v>576564</v>
      </c>
      <c r="AI1273" s="123">
        <v>15245</v>
      </c>
      <c r="AL1273" s="123">
        <f>69218+74671</f>
        <v>143889</v>
      </c>
    </row>
    <row r="1274" spans="1:41" s="123" customFormat="1" ht="16.2" thickBot="1" x14ac:dyDescent="0.35">
      <c r="A1274" s="21">
        <v>218.1</v>
      </c>
      <c r="B1274" s="212" t="s">
        <v>234</v>
      </c>
      <c r="C1274" s="31" t="str">
        <f>VLOOKUP((CONCATENATE(B1274)),ID!$A$2:$D$305,3,0)</f>
        <v>TE006</v>
      </c>
      <c r="D1274" s="21">
        <v>0</v>
      </c>
      <c r="E1274" s="21" t="s">
        <v>3968</v>
      </c>
      <c r="F1274" s="21" t="s">
        <v>1117</v>
      </c>
      <c r="G1274" s="21" t="s">
        <v>3853</v>
      </c>
      <c r="H1274" s="94">
        <v>4018</v>
      </c>
      <c r="I1274" s="43">
        <v>4063</v>
      </c>
      <c r="J1274" s="43">
        <v>4058</v>
      </c>
      <c r="K1274" s="21">
        <v>1</v>
      </c>
      <c r="L1274" s="43">
        <v>4059</v>
      </c>
      <c r="M1274" s="43">
        <v>4072</v>
      </c>
      <c r="N1274" s="43">
        <v>4072</v>
      </c>
      <c r="O1274" s="21" t="s">
        <v>3855</v>
      </c>
      <c r="P1274" s="194">
        <v>1</v>
      </c>
      <c r="Q1274" s="21">
        <v>1</v>
      </c>
      <c r="R1274" s="39" t="str">
        <f t="shared" si="232"/>
        <v>-</v>
      </c>
      <c r="S1274" s="120">
        <f t="shared" si="228"/>
        <v>5486059</v>
      </c>
      <c r="T1274" s="123">
        <v>6378154</v>
      </c>
      <c r="U1274" s="123">
        <f>4700973+422+63608+357165+502000</f>
        <v>5624168</v>
      </c>
      <c r="V1274" s="123">
        <f t="shared" si="235"/>
        <v>753986</v>
      </c>
      <c r="W1274" s="122" t="str">
        <f t="shared" si="236"/>
        <v>1</v>
      </c>
      <c r="X1274" s="123">
        <f>892095</f>
        <v>892095</v>
      </c>
      <c r="Y1274" s="123">
        <v>0</v>
      </c>
      <c r="Z1274" s="123">
        <f t="shared" si="238"/>
        <v>892095</v>
      </c>
      <c r="AA1274" s="122" t="str">
        <f t="shared" si="239"/>
        <v>1</v>
      </c>
      <c r="AB1274" s="120">
        <f t="shared" si="237"/>
        <v>0</v>
      </c>
      <c r="AC1274" s="123">
        <v>0</v>
      </c>
      <c r="AD1274" s="123">
        <v>0</v>
      </c>
      <c r="AE1274" s="123">
        <v>146482</v>
      </c>
      <c r="AG1274" s="151">
        <f t="shared" si="231"/>
        <v>460515</v>
      </c>
      <c r="AH1274" s="123">
        <f>641266-15343-375</f>
        <v>625548</v>
      </c>
      <c r="AI1274" s="123">
        <v>16260</v>
      </c>
      <c r="AL1274" s="123">
        <f>74102+74671</f>
        <v>148773</v>
      </c>
      <c r="AO1274" s="123">
        <f>280000</f>
        <v>280000</v>
      </c>
    </row>
    <row r="1275" spans="1:41" s="123" customFormat="1" ht="16.2" thickBot="1" x14ac:dyDescent="0.35">
      <c r="A1275" s="21">
        <v>218.2</v>
      </c>
      <c r="B1275" s="212" t="s">
        <v>234</v>
      </c>
      <c r="C1275" s="31" t="str">
        <f>VLOOKUP((CONCATENATE(B1275)),ID!$A$2:$D$305,3,0)</f>
        <v>TE006</v>
      </c>
      <c r="D1275" s="21">
        <v>0</v>
      </c>
      <c r="E1275" s="21" t="s">
        <v>3968</v>
      </c>
      <c r="F1275" s="21" t="s">
        <v>1117</v>
      </c>
      <c r="G1275" s="21" t="s">
        <v>3853</v>
      </c>
      <c r="H1275" s="94">
        <v>4199</v>
      </c>
      <c r="I1275" s="43">
        <v>4217</v>
      </c>
      <c r="J1275" s="43">
        <v>4206</v>
      </c>
      <c r="K1275" s="21">
        <v>1</v>
      </c>
      <c r="L1275" s="43">
        <v>4213</v>
      </c>
      <c r="M1275" s="43">
        <v>4226</v>
      </c>
      <c r="N1275" s="43">
        <v>4226</v>
      </c>
      <c r="O1275" s="21" t="s">
        <v>3855</v>
      </c>
      <c r="P1275" s="194">
        <v>1</v>
      </c>
      <c r="Q1275" s="21">
        <v>1</v>
      </c>
      <c r="R1275" s="39" t="str">
        <f t="shared" si="232"/>
        <v>-</v>
      </c>
      <c r="S1275" s="120">
        <f t="shared" si="228"/>
        <v>5920646</v>
      </c>
      <c r="T1275" s="123">
        <v>7094937</v>
      </c>
      <c r="U1275" s="123">
        <f>5227438+309+61391+322669+446000</f>
        <v>6057807</v>
      </c>
      <c r="V1275" s="123">
        <f t="shared" si="235"/>
        <v>1037130</v>
      </c>
      <c r="W1275" s="122" t="str">
        <f t="shared" si="236"/>
        <v>1</v>
      </c>
      <c r="X1275" s="123">
        <f>1174291</f>
        <v>1174291</v>
      </c>
      <c r="Y1275" s="123">
        <v>0</v>
      </c>
      <c r="Z1275" s="123">
        <f t="shared" si="238"/>
        <v>1174291</v>
      </c>
      <c r="AA1275" s="122" t="str">
        <f t="shared" si="239"/>
        <v>1</v>
      </c>
      <c r="AB1275" s="120">
        <f t="shared" si="237"/>
        <v>0</v>
      </c>
      <c r="AC1275" s="123">
        <v>0</v>
      </c>
      <c r="AD1275" s="123">
        <v>0</v>
      </c>
      <c r="AE1275" s="123">
        <v>174521</v>
      </c>
      <c r="AG1275" s="151">
        <f t="shared" si="231"/>
        <v>495625</v>
      </c>
      <c r="AH1275" s="123">
        <f>678107-12090-282</f>
        <v>665735</v>
      </c>
      <c r="AI1275" s="123">
        <v>18629</v>
      </c>
      <c r="AL1275" s="123">
        <f>79590+71891</f>
        <v>151481</v>
      </c>
      <c r="AO1275" s="123">
        <f>280000</f>
        <v>280000</v>
      </c>
    </row>
    <row r="1276" spans="1:41" s="123" customFormat="1" ht="16.2" thickBot="1" x14ac:dyDescent="0.35">
      <c r="A1276" s="21">
        <v>218.3</v>
      </c>
      <c r="B1276" s="212" t="s">
        <v>234</v>
      </c>
      <c r="C1276" s="31" t="str">
        <f>VLOOKUP((CONCATENATE(B1276)),ID!$A$2:$D$305,3,0)</f>
        <v>TE006</v>
      </c>
      <c r="D1276" s="21">
        <v>0</v>
      </c>
      <c r="E1276" s="21" t="s">
        <v>3968</v>
      </c>
      <c r="F1276" s="21" t="s">
        <v>1117</v>
      </c>
      <c r="G1276" s="21" t="s">
        <v>3853</v>
      </c>
      <c r="H1276" s="94">
        <v>4383</v>
      </c>
      <c r="I1276" s="43">
        <v>4382</v>
      </c>
      <c r="J1276" s="43">
        <v>4442</v>
      </c>
      <c r="K1276" s="21">
        <v>1</v>
      </c>
      <c r="L1276" s="43">
        <v>4384</v>
      </c>
      <c r="M1276" s="43">
        <v>4392</v>
      </c>
      <c r="N1276" s="43">
        <v>4392</v>
      </c>
      <c r="O1276" s="21" t="s">
        <v>3855</v>
      </c>
      <c r="P1276" s="194">
        <v>1</v>
      </c>
      <c r="Q1276" s="21">
        <v>1</v>
      </c>
      <c r="R1276" s="39" t="str">
        <f t="shared" si="232"/>
        <v>-</v>
      </c>
      <c r="S1276" s="120">
        <f t="shared" si="228"/>
        <v>6339263</v>
      </c>
      <c r="T1276" s="123">
        <v>7274567</v>
      </c>
      <c r="U1276" s="123">
        <f>5835991+59130+105+384531+170000</f>
        <v>6449757</v>
      </c>
      <c r="V1276" s="123">
        <f t="shared" si="235"/>
        <v>824810</v>
      </c>
      <c r="W1276" s="122" t="str">
        <f t="shared" si="236"/>
        <v>1</v>
      </c>
      <c r="X1276" s="123">
        <f>935304</f>
        <v>935304</v>
      </c>
      <c r="Y1276" s="123">
        <v>0</v>
      </c>
      <c r="Z1276" s="123">
        <f t="shared" si="238"/>
        <v>935304</v>
      </c>
      <c r="AA1276" s="122" t="str">
        <f t="shared" si="239"/>
        <v>1</v>
      </c>
      <c r="AB1276" s="120">
        <f t="shared" si="237"/>
        <v>0</v>
      </c>
      <c r="AC1276" s="123">
        <v>0</v>
      </c>
      <c r="AD1276" s="123">
        <v>0</v>
      </c>
      <c r="AE1276" s="123">
        <v>316420</v>
      </c>
      <c r="AG1276" s="151">
        <f t="shared" si="231"/>
        <v>584353</v>
      </c>
      <c r="AH1276" s="123">
        <f>773963-18136-354</f>
        <v>755473</v>
      </c>
      <c r="AI1276" s="123">
        <v>20503</v>
      </c>
      <c r="AL1276" s="123">
        <f>85182+65435</f>
        <v>150617</v>
      </c>
      <c r="AO1276" s="123">
        <f>280000</f>
        <v>280000</v>
      </c>
    </row>
    <row r="1277" spans="1:41" s="123" customFormat="1" ht="16.2" thickBot="1" x14ac:dyDescent="0.35">
      <c r="A1277" s="21">
        <v>218.4</v>
      </c>
      <c r="B1277" s="212" t="s">
        <v>234</v>
      </c>
      <c r="C1277" s="31" t="str">
        <f>VLOOKUP((CONCATENATE(B1277)),ID!$A$2:$D$305,3,0)</f>
        <v>TE006</v>
      </c>
      <c r="D1277" s="21">
        <v>1</v>
      </c>
      <c r="E1277" s="21" t="s">
        <v>3968</v>
      </c>
      <c r="F1277" s="21" t="s">
        <v>1117</v>
      </c>
      <c r="G1277" s="21" t="s">
        <v>3853</v>
      </c>
      <c r="H1277" s="94">
        <v>4774</v>
      </c>
      <c r="I1277" s="43">
        <v>4864</v>
      </c>
      <c r="J1277" s="43">
        <v>4864</v>
      </c>
      <c r="K1277" s="21">
        <v>0</v>
      </c>
      <c r="L1277" s="21"/>
      <c r="M1277" s="21"/>
      <c r="N1277" s="43">
        <v>4870</v>
      </c>
      <c r="O1277" s="21" t="s">
        <v>3855</v>
      </c>
      <c r="P1277" s="194">
        <v>1</v>
      </c>
      <c r="Q1277" s="21">
        <v>1</v>
      </c>
      <c r="R1277" s="39" t="str">
        <f t="shared" si="232"/>
        <v>-</v>
      </c>
      <c r="S1277" s="120">
        <f t="shared" si="228"/>
        <v>3862470</v>
      </c>
      <c r="T1277" s="123">
        <v>5960518</v>
      </c>
      <c r="U1277" s="123">
        <f>234+226381+5515264</f>
        <v>5741879</v>
      </c>
      <c r="V1277" s="123">
        <f t="shared" si="235"/>
        <v>218639</v>
      </c>
      <c r="W1277" s="122" t="str">
        <f t="shared" si="236"/>
        <v>1</v>
      </c>
      <c r="X1277" s="123">
        <f>1748048+350000</f>
        <v>2098048</v>
      </c>
      <c r="Y1277" s="123">
        <v>0</v>
      </c>
      <c r="Z1277" s="123">
        <f t="shared" si="238"/>
        <v>2098048</v>
      </c>
      <c r="AA1277" s="122" t="str">
        <f t="shared" si="239"/>
        <v>1</v>
      </c>
      <c r="AB1277" s="120">
        <f t="shared" si="237"/>
        <v>0</v>
      </c>
      <c r="AC1277" s="123">
        <v>0</v>
      </c>
      <c r="AD1277" s="123">
        <v>0</v>
      </c>
      <c r="AE1277" s="123">
        <v>32069</v>
      </c>
      <c r="AG1277" s="151">
        <f t="shared" si="231"/>
        <v>0</v>
      </c>
    </row>
    <row r="1278" spans="1:41" s="123" customFormat="1" ht="16.2" thickBot="1" x14ac:dyDescent="0.35">
      <c r="A1278" s="21"/>
      <c r="B1278" s="212" t="s">
        <v>317</v>
      </c>
      <c r="C1278" s="31" t="str">
        <f>VLOOKUP((CONCATENATE(B1278)),ID!$A$2:$D$305,3,0)</f>
        <v>TE007</v>
      </c>
      <c r="D1278" s="21">
        <v>1</v>
      </c>
      <c r="E1278" s="21" t="s">
        <v>3968</v>
      </c>
      <c r="F1278" s="21" t="s">
        <v>1117</v>
      </c>
      <c r="G1278" s="21" t="s">
        <v>3776</v>
      </c>
      <c r="H1278" s="88">
        <v>3743</v>
      </c>
      <c r="I1278" s="43">
        <v>3845</v>
      </c>
      <c r="J1278" s="43">
        <v>3841</v>
      </c>
      <c r="K1278" s="21">
        <v>1</v>
      </c>
      <c r="L1278" s="43">
        <v>3845</v>
      </c>
      <c r="M1278" s="43">
        <v>3856</v>
      </c>
      <c r="N1278" s="43">
        <v>3853</v>
      </c>
      <c r="O1278" s="21" t="s">
        <v>3855</v>
      </c>
      <c r="P1278" s="194" t="str">
        <f t="shared" si="229"/>
        <v>1</v>
      </c>
      <c r="Q1278" s="21">
        <v>1</v>
      </c>
      <c r="R1278" s="39" t="str">
        <f t="shared" si="232"/>
        <v>-</v>
      </c>
      <c r="S1278" s="120">
        <f t="shared" si="228"/>
        <v>1287784</v>
      </c>
      <c r="T1278" s="123">
        <v>1681573</v>
      </c>
      <c r="U1278" s="123">
        <f>1198718+153418+3984</f>
        <v>1356120</v>
      </c>
      <c r="V1278" s="123">
        <f t="shared" si="235"/>
        <v>325453</v>
      </c>
      <c r="W1278" s="122" t="str">
        <f t="shared" si="236"/>
        <v>1</v>
      </c>
      <c r="X1278" s="123">
        <f>Y1278+3375+2500+76776+9138</f>
        <v>393789</v>
      </c>
      <c r="Y1278" s="123">
        <f>AB1278+2000</f>
        <v>302000</v>
      </c>
      <c r="Z1278" s="123">
        <f t="shared" si="238"/>
        <v>91789</v>
      </c>
      <c r="AA1278" s="122" t="str">
        <f t="shared" si="239"/>
        <v>1</v>
      </c>
      <c r="AB1278" s="120">
        <f t="shared" si="237"/>
        <v>300000</v>
      </c>
      <c r="AC1278" s="123">
        <v>0</v>
      </c>
      <c r="AD1278" s="123">
        <v>300000</v>
      </c>
      <c r="AE1278" s="123">
        <v>19100</v>
      </c>
      <c r="AG1278" s="151">
        <f t="shared" si="231"/>
        <v>123579</v>
      </c>
      <c r="AH1278" s="123">
        <f>343702-197964-4365-AK1278</f>
        <v>141018</v>
      </c>
      <c r="AI1278" s="123">
        <v>3939</v>
      </c>
      <c r="AJ1278" s="123">
        <v>28000</v>
      </c>
      <c r="AK1278" s="123">
        <v>355</v>
      </c>
      <c r="AL1278" s="123">
        <v>13500</v>
      </c>
      <c r="AO1278" s="123">
        <v>190000</v>
      </c>
    </row>
    <row r="1279" spans="1:41" s="123" customFormat="1" ht="16.2" thickBot="1" x14ac:dyDescent="0.35">
      <c r="A1279" s="21">
        <v>219.1</v>
      </c>
      <c r="B1279" s="212" t="s">
        <v>317</v>
      </c>
      <c r="C1279" s="31" t="str">
        <f>VLOOKUP((CONCATENATE(B1279)),ID!$A$2:$D$305,3,0)</f>
        <v>TE007</v>
      </c>
      <c r="D1279" s="21">
        <v>1</v>
      </c>
      <c r="E1279" s="21" t="s">
        <v>3968</v>
      </c>
      <c r="F1279" s="21" t="s">
        <v>1117</v>
      </c>
      <c r="G1279" s="21" t="s">
        <v>3776</v>
      </c>
      <c r="H1279" s="88">
        <v>4108</v>
      </c>
      <c r="I1279" s="117">
        <v>4209</v>
      </c>
      <c r="J1279" s="117">
        <v>4205</v>
      </c>
      <c r="K1279" s="75">
        <v>1</v>
      </c>
      <c r="L1279" s="117">
        <v>4209</v>
      </c>
      <c r="M1279" s="43">
        <v>4220</v>
      </c>
      <c r="N1279" s="43">
        <v>4217</v>
      </c>
      <c r="O1279" s="21" t="s">
        <v>3855</v>
      </c>
      <c r="P1279" s="194" t="str">
        <f t="shared" si="229"/>
        <v>1</v>
      </c>
      <c r="Q1279" s="21">
        <v>1</v>
      </c>
      <c r="R1279" s="39" t="str">
        <f t="shared" si="232"/>
        <v>-</v>
      </c>
      <c r="S1279" s="120">
        <f t="shared" si="228"/>
        <v>1588326</v>
      </c>
      <c r="T1279" s="123">
        <v>1960170</v>
      </c>
      <c r="U1279" s="123">
        <f>1376539+23011+179348+6001+30000</f>
        <v>1614899</v>
      </c>
      <c r="V1279" s="123">
        <f t="shared" si="235"/>
        <v>345271</v>
      </c>
      <c r="W1279" s="122" t="str">
        <f t="shared" si="236"/>
        <v>1</v>
      </c>
      <c r="X1279" s="123">
        <f>Y1279+3375+2500+56130+9839</f>
        <v>371844</v>
      </c>
      <c r="Y1279" s="123">
        <f t="shared" ref="Y1279:Y1284" si="240">AB1279</f>
        <v>300000</v>
      </c>
      <c r="Z1279" s="123">
        <f t="shared" si="238"/>
        <v>71844</v>
      </c>
      <c r="AA1279" s="122" t="str">
        <f t="shared" si="239"/>
        <v>1</v>
      </c>
      <c r="AB1279" s="120">
        <f t="shared" si="237"/>
        <v>300000</v>
      </c>
      <c r="AC1279" s="123">
        <v>0</v>
      </c>
      <c r="AD1279" s="123">
        <v>300000</v>
      </c>
      <c r="AE1279" s="123">
        <v>21778</v>
      </c>
      <c r="AG1279" s="151">
        <f t="shared" si="231"/>
        <v>129855</v>
      </c>
      <c r="AH1279" s="123">
        <f>411758-258622-5294</f>
        <v>147842</v>
      </c>
      <c r="AI1279" s="123">
        <v>4487</v>
      </c>
      <c r="AJ1279" s="123">
        <v>33250</v>
      </c>
      <c r="AL1279" s="123">
        <v>13500</v>
      </c>
      <c r="AO1279" s="123">
        <v>230000</v>
      </c>
    </row>
    <row r="1280" spans="1:41" s="123" customFormat="1" ht="16.2" thickBot="1" x14ac:dyDescent="0.35">
      <c r="A1280" s="21">
        <v>219.2</v>
      </c>
      <c r="B1280" s="212" t="s">
        <v>317</v>
      </c>
      <c r="C1280" s="31" t="str">
        <f>VLOOKUP((CONCATENATE(B1280)),ID!$A$2:$D$305,3,0)</f>
        <v>TE007</v>
      </c>
      <c r="D1280" s="21">
        <v>1</v>
      </c>
      <c r="E1280" s="21" t="s">
        <v>3968</v>
      </c>
      <c r="F1280" s="21" t="s">
        <v>1117</v>
      </c>
      <c r="G1280" s="21" t="s">
        <v>3776</v>
      </c>
      <c r="H1280" s="88">
        <v>4474</v>
      </c>
      <c r="I1280" s="117">
        <v>4580</v>
      </c>
      <c r="J1280" s="117">
        <v>4577</v>
      </c>
      <c r="K1280" s="75">
        <v>1</v>
      </c>
      <c r="L1280" s="117">
        <v>4580</v>
      </c>
      <c r="M1280" s="43">
        <v>4591</v>
      </c>
      <c r="N1280" s="43">
        <v>4588</v>
      </c>
      <c r="O1280" s="21" t="s">
        <v>3855</v>
      </c>
      <c r="P1280" s="194" t="str">
        <f t="shared" si="229"/>
        <v>1</v>
      </c>
      <c r="Q1280" s="21">
        <v>1</v>
      </c>
      <c r="R1280" s="39" t="str">
        <f t="shared" si="232"/>
        <v>-</v>
      </c>
      <c r="S1280" s="120">
        <f t="shared" si="228"/>
        <v>1872932</v>
      </c>
      <c r="T1280" s="123">
        <v>2242454</v>
      </c>
      <c r="U1280" s="123">
        <f>1590133+198055+7740+141667+80000</f>
        <v>2017595</v>
      </c>
      <c r="V1280" s="123">
        <f t="shared" si="235"/>
        <v>224859</v>
      </c>
      <c r="W1280" s="122" t="str">
        <f t="shared" si="236"/>
        <v>1</v>
      </c>
      <c r="X1280" s="123">
        <f>300000+3375+2500+52823+10824</f>
        <v>369522</v>
      </c>
      <c r="Y1280" s="123">
        <f t="shared" si="240"/>
        <v>300000</v>
      </c>
      <c r="Z1280" s="123">
        <f t="shared" si="238"/>
        <v>69522</v>
      </c>
      <c r="AA1280" s="122" t="str">
        <f t="shared" si="239"/>
        <v>1</v>
      </c>
      <c r="AB1280" s="120">
        <f t="shared" si="237"/>
        <v>300000</v>
      </c>
      <c r="AC1280" s="123">
        <v>0</v>
      </c>
      <c r="AD1280" s="123">
        <v>300000</v>
      </c>
      <c r="AE1280" s="123">
        <v>20728</v>
      </c>
      <c r="AG1280" s="151">
        <f t="shared" si="231"/>
        <v>136512</v>
      </c>
      <c r="AH1280" s="123">
        <f>481483-318867-6518</f>
        <v>156098</v>
      </c>
      <c r="AI1280" s="123">
        <v>6086</v>
      </c>
      <c r="AJ1280" s="123">
        <v>39061</v>
      </c>
      <c r="AL1280" s="123">
        <v>13500</v>
      </c>
      <c r="AO1280" s="123">
        <v>270000</v>
      </c>
    </row>
    <row r="1281" spans="1:41" s="123" customFormat="1" ht="16.2" thickBot="1" x14ac:dyDescent="0.35">
      <c r="A1281" s="21"/>
      <c r="B1281" s="212" t="s">
        <v>317</v>
      </c>
      <c r="C1281" s="31" t="str">
        <f>VLOOKUP((CONCATENATE(B1281)),ID!$A$2:$D$305,3,0)</f>
        <v>TE007</v>
      </c>
      <c r="D1281" s="21">
        <v>0</v>
      </c>
      <c r="E1281" s="21" t="s">
        <v>3968</v>
      </c>
      <c r="F1281" s="21" t="s">
        <v>1117</v>
      </c>
      <c r="G1281" s="21" t="s">
        <v>3776</v>
      </c>
      <c r="H1281" s="88">
        <v>4749</v>
      </c>
      <c r="I1281" s="117">
        <v>4858</v>
      </c>
      <c r="J1281" s="117">
        <v>4848</v>
      </c>
      <c r="K1281" s="75">
        <v>1</v>
      </c>
      <c r="L1281" s="117">
        <v>4858</v>
      </c>
      <c r="M1281" s="43">
        <v>4871</v>
      </c>
      <c r="N1281" s="43">
        <v>4868</v>
      </c>
      <c r="O1281" s="21" t="s">
        <v>3855</v>
      </c>
      <c r="P1281" s="194" t="str">
        <f t="shared" si="229"/>
        <v>1</v>
      </c>
      <c r="Q1281" s="21">
        <v>1</v>
      </c>
      <c r="R1281" s="39" t="str">
        <f t="shared" si="232"/>
        <v>-</v>
      </c>
      <c r="S1281" s="120">
        <f t="shared" si="228"/>
        <v>2181117</v>
      </c>
      <c r="T1281" s="123">
        <v>2584175</v>
      </c>
      <c r="U1281" s="123">
        <f>1846459+218497+9735+138477+70000</f>
        <v>2283168</v>
      </c>
      <c r="V1281" s="123">
        <f t="shared" si="235"/>
        <v>301007</v>
      </c>
      <c r="W1281" s="122" t="str">
        <f t="shared" si="236"/>
        <v>1</v>
      </c>
      <c r="X1281" s="123">
        <f>Y1281+6750+5000+81716+9592</f>
        <v>403058</v>
      </c>
      <c r="Y1281" s="123">
        <f t="shared" si="240"/>
        <v>300000</v>
      </c>
      <c r="Z1281" s="123">
        <f t="shared" si="238"/>
        <v>103058</v>
      </c>
      <c r="AA1281" s="122" t="str">
        <f t="shared" si="239"/>
        <v>1</v>
      </c>
      <c r="AB1281" s="120">
        <f t="shared" si="237"/>
        <v>300000</v>
      </c>
      <c r="AC1281" s="123">
        <v>0</v>
      </c>
      <c r="AD1281" s="123">
        <v>300000</v>
      </c>
      <c r="AE1281" s="123">
        <v>24717</v>
      </c>
      <c r="AG1281" s="151">
        <f t="shared" si="231"/>
        <v>112582</v>
      </c>
      <c r="AH1281" s="123">
        <f>409637-276180-5285</f>
        <v>128172</v>
      </c>
      <c r="AI1281" s="123">
        <v>5465</v>
      </c>
      <c r="AJ1281" s="123">
        <v>7500</v>
      </c>
      <c r="AL1281" s="123">
        <v>10125</v>
      </c>
      <c r="AO1281" s="123">
        <v>310000</v>
      </c>
    </row>
    <row r="1282" spans="1:41" s="123" customFormat="1" ht="16.2" thickBot="1" x14ac:dyDescent="0.35">
      <c r="A1282" s="21"/>
      <c r="B1282" s="212" t="s">
        <v>317</v>
      </c>
      <c r="C1282" s="31" t="str">
        <f>VLOOKUP((CONCATENATE(B1282)),ID!$A$2:$D$305,3,0)</f>
        <v>TE007</v>
      </c>
      <c r="D1282" s="21">
        <v>1</v>
      </c>
      <c r="E1282" s="21" t="s">
        <v>3968</v>
      </c>
      <c r="F1282" s="21" t="s">
        <v>1117</v>
      </c>
      <c r="G1282" s="21" t="s">
        <v>3776</v>
      </c>
      <c r="H1282" s="88">
        <v>5114</v>
      </c>
      <c r="I1282" s="117">
        <v>5224</v>
      </c>
      <c r="J1282" s="117">
        <v>5225</v>
      </c>
      <c r="K1282" s="75">
        <v>1</v>
      </c>
      <c r="L1282" s="117">
        <v>5224</v>
      </c>
      <c r="M1282" s="43">
        <v>5242</v>
      </c>
      <c r="N1282" s="43">
        <v>5241</v>
      </c>
      <c r="O1282" s="21" t="s">
        <v>3855</v>
      </c>
      <c r="P1282" s="194" t="str">
        <f t="shared" si="229"/>
        <v>1</v>
      </c>
      <c r="Q1282" s="21">
        <v>1</v>
      </c>
      <c r="R1282" s="39" t="str">
        <f t="shared" si="232"/>
        <v>-</v>
      </c>
      <c r="S1282" s="120">
        <f t="shared" ref="S1282:S1344" si="241">T1282-X1282</f>
        <v>2608642</v>
      </c>
      <c r="T1282" s="123">
        <v>2980111</v>
      </c>
      <c r="U1282" s="123">
        <f>2204763+243169+11580+134977+60000</f>
        <v>2654489</v>
      </c>
      <c r="V1282" s="123">
        <f t="shared" si="235"/>
        <v>325622</v>
      </c>
      <c r="W1282" s="122" t="str">
        <f t="shared" si="236"/>
        <v>1</v>
      </c>
      <c r="X1282" s="123">
        <f>Y1282+6750+5000+49612+10107</f>
        <v>371469</v>
      </c>
      <c r="Y1282" s="123">
        <f t="shared" si="240"/>
        <v>300000</v>
      </c>
      <c r="Z1282" s="123">
        <f t="shared" si="238"/>
        <v>71469</v>
      </c>
      <c r="AA1282" s="122" t="str">
        <f t="shared" si="239"/>
        <v>1</v>
      </c>
      <c r="AB1282" s="120">
        <f t="shared" si="237"/>
        <v>300000</v>
      </c>
      <c r="AC1282" s="123">
        <v>0</v>
      </c>
      <c r="AD1282" s="123">
        <v>300000</v>
      </c>
      <c r="AE1282" s="123">
        <v>43279</v>
      </c>
      <c r="AG1282" s="151">
        <f t="shared" si="231"/>
        <v>164054</v>
      </c>
      <c r="AH1282" s="123">
        <f>611657-416273-8929</f>
        <v>186455</v>
      </c>
      <c r="AI1282" s="123">
        <v>8901</v>
      </c>
      <c r="AJ1282" s="123">
        <v>50500</v>
      </c>
      <c r="AL1282" s="123">
        <v>13500</v>
      </c>
      <c r="AO1282" s="123">
        <f>324000+40000</f>
        <v>364000</v>
      </c>
    </row>
    <row r="1283" spans="1:41" s="123" customFormat="1" ht="16.2" thickBot="1" x14ac:dyDescent="0.35">
      <c r="A1283" s="21"/>
      <c r="B1283" s="212" t="s">
        <v>325</v>
      </c>
      <c r="C1283" s="31" t="str">
        <f>VLOOKUP((CONCATENATE(B1283)),ID!$A$2:$D$305,3,0)</f>
        <v>TE008</v>
      </c>
      <c r="D1283" s="21">
        <v>0</v>
      </c>
      <c r="E1283" s="21" t="s">
        <v>3968</v>
      </c>
      <c r="F1283" s="21" t="s">
        <v>1117</v>
      </c>
      <c r="G1283" s="21" t="s">
        <v>3971</v>
      </c>
      <c r="H1283" s="94">
        <v>3653</v>
      </c>
      <c r="I1283" s="117">
        <v>3770</v>
      </c>
      <c r="J1283" s="117">
        <v>3770</v>
      </c>
      <c r="K1283" s="75">
        <v>1</v>
      </c>
      <c r="L1283" s="117">
        <v>3771</v>
      </c>
      <c r="M1283" s="43">
        <v>3784</v>
      </c>
      <c r="N1283" s="43">
        <v>3784</v>
      </c>
      <c r="O1283" s="27" t="s">
        <v>3970</v>
      </c>
      <c r="P1283" s="194" t="str">
        <f>IF(AJ1283=0,"?","1")</f>
        <v>1</v>
      </c>
      <c r="Q1283" s="21">
        <v>1</v>
      </c>
      <c r="R1283" s="39" t="str">
        <f t="shared" si="232"/>
        <v>-</v>
      </c>
      <c r="S1283" s="120">
        <f t="shared" si="241"/>
        <v>1383255</v>
      </c>
      <c r="T1283" s="123">
        <v>1481439</v>
      </c>
      <c r="U1283" s="123">
        <f>80867+1314756+36688+497+252</f>
        <v>1433060</v>
      </c>
      <c r="V1283" s="123">
        <f t="shared" si="235"/>
        <v>48379</v>
      </c>
      <c r="W1283" s="122" t="str">
        <f t="shared" si="236"/>
        <v>1</v>
      </c>
      <c r="X1283" s="123">
        <f>Y1283+793+4268+654+12469</f>
        <v>98184</v>
      </c>
      <c r="Y1283" s="123">
        <f t="shared" si="240"/>
        <v>80000</v>
      </c>
      <c r="Z1283" s="123">
        <f t="shared" si="238"/>
        <v>18184</v>
      </c>
      <c r="AA1283" s="122" t="str">
        <f t="shared" si="239"/>
        <v>1</v>
      </c>
      <c r="AB1283" s="120">
        <f t="shared" si="237"/>
        <v>80000</v>
      </c>
      <c r="AC1283" s="123">
        <v>0</v>
      </c>
      <c r="AD1283" s="123">
        <v>80000</v>
      </c>
      <c r="AE1283" s="123">
        <v>12829</v>
      </c>
      <c r="AG1283" s="151">
        <f t="shared" si="231"/>
        <v>12650</v>
      </c>
      <c r="AH1283" s="123">
        <f>12650+AL1283</f>
        <v>14650</v>
      </c>
      <c r="AJ1283" s="123">
        <v>12469</v>
      </c>
      <c r="AK1283" s="123">
        <f>905+13</f>
        <v>918</v>
      </c>
      <c r="AL1283" s="123">
        <v>2000</v>
      </c>
      <c r="AO1283" s="123">
        <f t="shared" ref="AO1283:AO1292" si="242">88321+34563+4669</f>
        <v>127553</v>
      </c>
    </row>
    <row r="1284" spans="1:41" s="123" customFormat="1" ht="16.2" thickBot="1" x14ac:dyDescent="0.35">
      <c r="A1284" s="21"/>
      <c r="B1284" s="212" t="s">
        <v>325</v>
      </c>
      <c r="C1284" s="31" t="str">
        <f>VLOOKUP((CONCATENATE(B1284)),ID!$A$2:$D$305,3,0)</f>
        <v>TE008</v>
      </c>
      <c r="D1284" s="21">
        <v>0</v>
      </c>
      <c r="E1284" s="21" t="s">
        <v>3968</v>
      </c>
      <c r="F1284" s="21" t="s">
        <v>1117</v>
      </c>
      <c r="G1284" s="21" t="s">
        <v>3971</v>
      </c>
      <c r="H1284" s="94">
        <v>3834</v>
      </c>
      <c r="I1284" s="117">
        <v>3959</v>
      </c>
      <c r="J1284" s="117">
        <v>3959</v>
      </c>
      <c r="K1284" s="75">
        <v>1</v>
      </c>
      <c r="L1284" s="117">
        <v>3960</v>
      </c>
      <c r="M1284" s="43">
        <v>3973</v>
      </c>
      <c r="N1284" s="43">
        <v>3973</v>
      </c>
      <c r="O1284" s="27" t="s">
        <v>3970</v>
      </c>
      <c r="P1284" s="194">
        <v>1</v>
      </c>
      <c r="Q1284" s="21">
        <v>1</v>
      </c>
      <c r="R1284" s="39" t="str">
        <f t="shared" si="232"/>
        <v>-</v>
      </c>
      <c r="S1284" s="120">
        <f t="shared" si="241"/>
        <v>1386227</v>
      </c>
      <c r="T1284" s="123">
        <v>1492405</v>
      </c>
      <c r="U1284" s="123">
        <f>1314756+36619+497+239+80867</f>
        <v>1432978</v>
      </c>
      <c r="V1284" s="123">
        <f t="shared" si="235"/>
        <v>59427</v>
      </c>
      <c r="W1284" s="122" t="str">
        <f t="shared" si="236"/>
        <v>1</v>
      </c>
      <c r="X1284" s="123">
        <f>Y1284+885+6458+18835</f>
        <v>106178</v>
      </c>
      <c r="Y1284" s="123">
        <f t="shared" si="240"/>
        <v>80000</v>
      </c>
      <c r="Z1284" s="123">
        <f t="shared" si="238"/>
        <v>26178</v>
      </c>
      <c r="AA1284" s="122" t="str">
        <f t="shared" si="239"/>
        <v>1</v>
      </c>
      <c r="AB1284" s="120">
        <f t="shared" si="237"/>
        <v>80000</v>
      </c>
      <c r="AC1284" s="123">
        <v>0</v>
      </c>
      <c r="AD1284" s="123">
        <v>80000</v>
      </c>
      <c r="AE1284" s="123">
        <v>16263</v>
      </c>
      <c r="AG1284" s="151">
        <f t="shared" si="231"/>
        <v>20399</v>
      </c>
      <c r="AH1284" s="123">
        <f>20399+AI1284+AL1284</f>
        <v>22666</v>
      </c>
      <c r="AI1284" s="123">
        <v>267</v>
      </c>
      <c r="AK1284" s="123">
        <f>12+869</f>
        <v>881</v>
      </c>
      <c r="AL1284" s="123">
        <v>2000</v>
      </c>
      <c r="AO1284" s="123">
        <f t="shared" si="242"/>
        <v>127553</v>
      </c>
    </row>
    <row r="1285" spans="1:41" s="123" customFormat="1" ht="16.2" thickBot="1" x14ac:dyDescent="0.35">
      <c r="A1285" s="21">
        <v>220.1</v>
      </c>
      <c r="B1285" s="212" t="s">
        <v>325</v>
      </c>
      <c r="C1285" s="31" t="str">
        <f>VLOOKUP((CONCATENATE(B1285)),ID!$A$2:$D$305,3,0)</f>
        <v>TE008</v>
      </c>
      <c r="D1285" s="21">
        <v>0</v>
      </c>
      <c r="E1285" s="21" t="s">
        <v>3968</v>
      </c>
      <c r="F1285" s="21" t="s">
        <v>1117</v>
      </c>
      <c r="G1285" s="21" t="s">
        <v>3971</v>
      </c>
      <c r="H1285" s="94">
        <v>4018</v>
      </c>
      <c r="I1285" s="43">
        <v>4141</v>
      </c>
      <c r="J1285" s="43">
        <v>4141</v>
      </c>
      <c r="K1285" s="21">
        <v>1</v>
      </c>
      <c r="L1285" s="43">
        <v>4142</v>
      </c>
      <c r="M1285" s="43">
        <v>4155</v>
      </c>
      <c r="N1285" s="43">
        <v>4155</v>
      </c>
      <c r="O1285" s="27" t="s">
        <v>3970</v>
      </c>
      <c r="P1285" s="194">
        <v>1</v>
      </c>
      <c r="Q1285" s="21">
        <v>1</v>
      </c>
      <c r="R1285" s="39" t="str">
        <f t="shared" si="232"/>
        <v>-</v>
      </c>
      <c r="S1285" s="120">
        <f t="shared" si="241"/>
        <v>1404632</v>
      </c>
      <c r="T1285" s="123">
        <v>1491394</v>
      </c>
      <c r="U1285" s="123">
        <f>80867+1321353+36598+497</f>
        <v>1439315</v>
      </c>
      <c r="V1285" s="123">
        <f t="shared" si="235"/>
        <v>52079</v>
      </c>
      <c r="W1285" s="122" t="str">
        <f t="shared" si="236"/>
        <v>1</v>
      </c>
      <c r="X1285" s="123">
        <f>80000+762+5285+715</f>
        <v>86762</v>
      </c>
      <c r="Y1285" s="123">
        <f t="shared" ref="Y1285:Y1290" si="243">AB1285</f>
        <v>80000</v>
      </c>
      <c r="Z1285" s="123">
        <f t="shared" si="238"/>
        <v>6762</v>
      </c>
      <c r="AA1285" s="122" t="str">
        <f t="shared" si="239"/>
        <v>1</v>
      </c>
      <c r="AB1285" s="120">
        <f t="shared" si="237"/>
        <v>80000</v>
      </c>
      <c r="AC1285" s="123">
        <v>0</v>
      </c>
      <c r="AD1285" s="123">
        <v>80000</v>
      </c>
      <c r="AE1285" s="123">
        <v>20794</v>
      </c>
      <c r="AG1285" s="151">
        <f t="shared" si="231"/>
        <v>15987</v>
      </c>
      <c r="AH1285" s="123">
        <f>15987+AI1285+AL1285</f>
        <v>18373</v>
      </c>
      <c r="AI1285" s="123">
        <v>386</v>
      </c>
      <c r="AK1285" s="123">
        <f>817+11</f>
        <v>828</v>
      </c>
      <c r="AL1285" s="123">
        <v>2000</v>
      </c>
      <c r="AO1285" s="123">
        <f t="shared" si="242"/>
        <v>127553</v>
      </c>
    </row>
    <row r="1286" spans="1:41" s="123" customFormat="1" ht="16.2" thickBot="1" x14ac:dyDescent="0.35">
      <c r="A1286" s="21">
        <v>220.2</v>
      </c>
      <c r="B1286" s="212" t="s">
        <v>325</v>
      </c>
      <c r="C1286" s="31" t="str">
        <f>VLOOKUP((CONCATENATE(B1286)),ID!$A$2:$D$305,3,0)</f>
        <v>TE008</v>
      </c>
      <c r="D1286" s="21">
        <v>0</v>
      </c>
      <c r="E1286" s="21" t="s">
        <v>3968</v>
      </c>
      <c r="F1286" s="21" t="s">
        <v>1117</v>
      </c>
      <c r="G1286" s="21" t="s">
        <v>3971</v>
      </c>
      <c r="H1286" s="94">
        <v>4199</v>
      </c>
      <c r="I1286" s="43">
        <v>4323</v>
      </c>
      <c r="J1286" s="43">
        <v>4323</v>
      </c>
      <c r="K1286" s="21">
        <v>1</v>
      </c>
      <c r="L1286" s="43">
        <v>4324</v>
      </c>
      <c r="M1286" s="43">
        <v>4337</v>
      </c>
      <c r="N1286" s="43">
        <v>4337</v>
      </c>
      <c r="O1286" s="27" t="s">
        <v>3970</v>
      </c>
      <c r="P1286" s="194">
        <v>1</v>
      </c>
      <c r="Q1286" s="21">
        <v>1</v>
      </c>
      <c r="R1286" s="39" t="str">
        <f t="shared" si="232"/>
        <v>-</v>
      </c>
      <c r="S1286" s="120">
        <f t="shared" si="241"/>
        <v>1410587</v>
      </c>
      <c r="T1286" s="123">
        <v>1499833</v>
      </c>
      <c r="U1286" s="123">
        <f>80867+216+497+36749+1321416</f>
        <v>1439745</v>
      </c>
      <c r="V1286" s="123">
        <f t="shared" si="235"/>
        <v>60088</v>
      </c>
      <c r="W1286" s="122" t="str">
        <f t="shared" si="236"/>
        <v>1</v>
      </c>
      <c r="X1286" s="123">
        <f>80000+1323+7114+809</f>
        <v>89246</v>
      </c>
      <c r="Y1286" s="123">
        <f t="shared" si="243"/>
        <v>80000</v>
      </c>
      <c r="Z1286" s="123">
        <f t="shared" si="238"/>
        <v>9246</v>
      </c>
      <c r="AA1286" s="122" t="str">
        <f t="shared" si="239"/>
        <v>1</v>
      </c>
      <c r="AB1286" s="120">
        <f t="shared" si="237"/>
        <v>80000</v>
      </c>
      <c r="AC1286" s="123">
        <v>0</v>
      </c>
      <c r="AD1286" s="123">
        <v>80000</v>
      </c>
      <c r="AE1286" s="123">
        <v>28314</v>
      </c>
      <c r="AG1286" s="151">
        <f t="shared" si="231"/>
        <v>23572</v>
      </c>
      <c r="AH1286" s="123">
        <f>23572+AI1286+AL1286</f>
        <v>25958</v>
      </c>
      <c r="AI1286" s="123">
        <v>386</v>
      </c>
      <c r="AK1286" s="123">
        <f>776+11</f>
        <v>787</v>
      </c>
      <c r="AL1286" s="123">
        <v>2000</v>
      </c>
      <c r="AO1286" s="123">
        <f t="shared" si="242"/>
        <v>127553</v>
      </c>
    </row>
    <row r="1287" spans="1:41" s="123" customFormat="1" ht="16.2" thickBot="1" x14ac:dyDescent="0.35">
      <c r="A1287" s="21">
        <v>220.3</v>
      </c>
      <c r="B1287" s="212" t="s">
        <v>325</v>
      </c>
      <c r="C1287" s="31" t="str">
        <f>VLOOKUP((CONCATENATE(B1287)),ID!$A$2:$D$305,3,0)</f>
        <v>TE008</v>
      </c>
      <c r="D1287" s="21">
        <v>0</v>
      </c>
      <c r="E1287" s="21" t="s">
        <v>3968</v>
      </c>
      <c r="F1287" s="21" t="s">
        <v>1117</v>
      </c>
      <c r="G1287" s="21" t="s">
        <v>3971</v>
      </c>
      <c r="H1287" s="94">
        <v>4383</v>
      </c>
      <c r="I1287" s="43">
        <v>4505</v>
      </c>
      <c r="J1287" s="43">
        <v>4505</v>
      </c>
      <c r="K1287" s="21">
        <v>1</v>
      </c>
      <c r="L1287" s="43">
        <v>4506</v>
      </c>
      <c r="M1287" s="43">
        <v>4519</v>
      </c>
      <c r="N1287" s="43">
        <v>4519</v>
      </c>
      <c r="O1287" s="27" t="s">
        <v>3970</v>
      </c>
      <c r="P1287" s="194">
        <v>1</v>
      </c>
      <c r="Q1287" s="21">
        <v>1</v>
      </c>
      <c r="R1287" s="39" t="str">
        <f t="shared" si="232"/>
        <v>-</v>
      </c>
      <c r="S1287" s="120">
        <f t="shared" si="241"/>
        <v>1406950</v>
      </c>
      <c r="T1287" s="123">
        <v>1495608</v>
      </c>
      <c r="U1287" s="123">
        <f>1321431+36369+497+205+87672</f>
        <v>1446174</v>
      </c>
      <c r="V1287" s="123">
        <f t="shared" si="235"/>
        <v>49434</v>
      </c>
      <c r="W1287" s="122" t="str">
        <f t="shared" si="236"/>
        <v>1</v>
      </c>
      <c r="X1287" s="123">
        <f>80000+1883+5903+872</f>
        <v>88658</v>
      </c>
      <c r="Y1287" s="123">
        <f t="shared" si="243"/>
        <v>80000</v>
      </c>
      <c r="Z1287" s="123">
        <f t="shared" si="238"/>
        <v>8658</v>
      </c>
      <c r="AA1287" s="122" t="str">
        <f t="shared" si="239"/>
        <v>1</v>
      </c>
      <c r="AB1287" s="120">
        <f t="shared" si="237"/>
        <v>80000</v>
      </c>
      <c r="AC1287" s="123">
        <v>0</v>
      </c>
      <c r="AD1287" s="123">
        <v>80000</v>
      </c>
      <c r="AE1287" s="123">
        <v>26542</v>
      </c>
      <c r="AG1287" s="151">
        <f t="shared" si="231"/>
        <v>15378</v>
      </c>
      <c r="AH1287" s="123">
        <f>15378+AI1287+AL1287</f>
        <v>17635</v>
      </c>
      <c r="AI1287" s="123">
        <v>257</v>
      </c>
      <c r="AK1287" s="123">
        <f>748</f>
        <v>748</v>
      </c>
      <c r="AL1287" s="123">
        <v>2000</v>
      </c>
      <c r="AO1287" s="123">
        <f t="shared" si="242"/>
        <v>127553</v>
      </c>
    </row>
    <row r="1288" spans="1:41" s="123" customFormat="1" ht="16.2" thickBot="1" x14ac:dyDescent="0.35">
      <c r="A1288" s="21">
        <v>220.4</v>
      </c>
      <c r="B1288" s="212" t="s">
        <v>325</v>
      </c>
      <c r="C1288" s="31" t="str">
        <f>VLOOKUP((CONCATENATE(B1288)),ID!$A$2:$D$305,3,0)</f>
        <v>TE008</v>
      </c>
      <c r="D1288" s="21">
        <v>0</v>
      </c>
      <c r="E1288" s="21" t="s">
        <v>3968</v>
      </c>
      <c r="F1288" s="21" t="s">
        <v>1117</v>
      </c>
      <c r="G1288" s="21" t="s">
        <v>3971</v>
      </c>
      <c r="H1288" s="94">
        <v>4565</v>
      </c>
      <c r="I1288" s="43">
        <v>4680</v>
      </c>
      <c r="J1288" s="43">
        <v>4680</v>
      </c>
      <c r="K1288" s="21">
        <v>1</v>
      </c>
      <c r="L1288" s="43">
        <v>4681</v>
      </c>
      <c r="M1288" s="43">
        <v>4694</v>
      </c>
      <c r="N1288" s="43">
        <v>4693</v>
      </c>
      <c r="O1288" s="27" t="s">
        <v>3970</v>
      </c>
      <c r="P1288" s="194">
        <v>1</v>
      </c>
      <c r="Q1288" s="21">
        <v>1</v>
      </c>
      <c r="R1288" s="39" t="str">
        <f t="shared" si="232"/>
        <v>-</v>
      </c>
      <c r="S1288" s="120">
        <f t="shared" si="241"/>
        <v>1409611</v>
      </c>
      <c r="T1288" s="123">
        <v>1499975</v>
      </c>
      <c r="U1288" s="123">
        <f>87672+1321431+36149+497</f>
        <v>1445749</v>
      </c>
      <c r="V1288" s="123">
        <f t="shared" si="235"/>
        <v>54226</v>
      </c>
      <c r="W1288" s="122" t="str">
        <f t="shared" si="236"/>
        <v>1</v>
      </c>
      <c r="X1288" s="123">
        <f>80000+1883+7626+855</f>
        <v>90364</v>
      </c>
      <c r="Y1288" s="123">
        <f t="shared" si="243"/>
        <v>80000</v>
      </c>
      <c r="Z1288" s="123">
        <f t="shared" si="238"/>
        <v>10364</v>
      </c>
      <c r="AA1288" s="122" t="str">
        <f t="shared" si="239"/>
        <v>1</v>
      </c>
      <c r="AB1288" s="120">
        <f t="shared" si="237"/>
        <v>80000</v>
      </c>
      <c r="AC1288" s="123">
        <v>0</v>
      </c>
      <c r="AD1288" s="123">
        <v>80000</v>
      </c>
      <c r="AE1288" s="123">
        <v>22359</v>
      </c>
      <c r="AG1288" s="151">
        <f t="shared" si="231"/>
        <v>21167</v>
      </c>
      <c r="AH1288" s="123">
        <f>21167+AI1288+AL1288</f>
        <v>23553</v>
      </c>
      <c r="AI1288" s="123">
        <v>386</v>
      </c>
      <c r="AK1288" s="123">
        <f>701+10</f>
        <v>711</v>
      </c>
      <c r="AL1288" s="123">
        <v>2000</v>
      </c>
      <c r="AO1288" s="123">
        <f t="shared" si="242"/>
        <v>127553</v>
      </c>
    </row>
    <row r="1289" spans="1:41" s="123" customFormat="1" ht="16.2" thickBot="1" x14ac:dyDescent="0.35">
      <c r="A1289" s="21"/>
      <c r="B1289" s="212" t="s">
        <v>325</v>
      </c>
      <c r="C1289" s="31" t="str">
        <f>VLOOKUP((CONCATENATE(B1289)),ID!$A$2:$D$305,3,0)</f>
        <v>TE008</v>
      </c>
      <c r="D1289" s="21">
        <v>0</v>
      </c>
      <c r="E1289" s="21" t="s">
        <v>3968</v>
      </c>
      <c r="F1289" s="21" t="s">
        <v>1117</v>
      </c>
      <c r="G1289" s="21" t="s">
        <v>3971</v>
      </c>
      <c r="H1289" s="94">
        <v>4749</v>
      </c>
      <c r="I1289" s="43">
        <v>4863</v>
      </c>
      <c r="J1289" s="43">
        <v>4862</v>
      </c>
      <c r="K1289" s="21">
        <v>1</v>
      </c>
      <c r="L1289" s="43">
        <v>4863</v>
      </c>
      <c r="M1289" s="43">
        <v>4876</v>
      </c>
      <c r="N1289" s="43">
        <v>4876</v>
      </c>
      <c r="O1289" s="27" t="s">
        <v>3970</v>
      </c>
      <c r="P1289" s="194">
        <v>1</v>
      </c>
      <c r="Q1289" s="21">
        <v>1</v>
      </c>
      <c r="R1289" s="39" t="str">
        <f t="shared" si="232"/>
        <v>-</v>
      </c>
      <c r="S1289" s="120">
        <f t="shared" si="241"/>
        <v>1407723</v>
      </c>
      <c r="T1289" s="123">
        <v>1498042</v>
      </c>
      <c r="U1289" s="123">
        <f>94601+214+497+36367+1321432</f>
        <v>1453111</v>
      </c>
      <c r="V1289" s="123">
        <f t="shared" si="235"/>
        <v>44931</v>
      </c>
      <c r="W1289" s="122" t="str">
        <f t="shared" si="236"/>
        <v>1</v>
      </c>
      <c r="X1289" s="123">
        <f>Y1289+769+8656+894</f>
        <v>90319</v>
      </c>
      <c r="Y1289" s="123">
        <f t="shared" si="243"/>
        <v>80000</v>
      </c>
      <c r="Z1289" s="123">
        <f t="shared" si="238"/>
        <v>10319</v>
      </c>
      <c r="AA1289" s="122" t="str">
        <f t="shared" si="239"/>
        <v>1</v>
      </c>
      <c r="AB1289" s="120">
        <f t="shared" si="237"/>
        <v>80000</v>
      </c>
      <c r="AC1289" s="123">
        <v>0</v>
      </c>
      <c r="AD1289" s="123">
        <v>80000</v>
      </c>
      <c r="AE1289" s="123">
        <v>19317</v>
      </c>
      <c r="AG1289" s="151">
        <f t="shared" si="231"/>
        <v>15829</v>
      </c>
      <c r="AH1289" s="123">
        <f>15829+AI1289+AL1289</f>
        <v>18086</v>
      </c>
      <c r="AI1289" s="123">
        <v>257</v>
      </c>
      <c r="AK1289" s="123">
        <f>666+11</f>
        <v>677</v>
      </c>
      <c r="AL1289" s="123">
        <v>2000</v>
      </c>
      <c r="AO1289" s="123">
        <f t="shared" si="242"/>
        <v>127553</v>
      </c>
    </row>
    <row r="1290" spans="1:41" s="123" customFormat="1" ht="16.2" thickBot="1" x14ac:dyDescent="0.35">
      <c r="A1290" s="21"/>
      <c r="B1290" s="212" t="s">
        <v>325</v>
      </c>
      <c r="C1290" s="31" t="str">
        <f>VLOOKUP((CONCATENATE(B1290)),ID!$A$2:$D$305,3,0)</f>
        <v>TE008</v>
      </c>
      <c r="D1290" s="21">
        <v>0</v>
      </c>
      <c r="E1290" s="21" t="s">
        <v>3968</v>
      </c>
      <c r="F1290" s="21" t="s">
        <v>1117</v>
      </c>
      <c r="G1290" s="21" t="s">
        <v>3971</v>
      </c>
      <c r="H1290" s="94">
        <v>4930</v>
      </c>
      <c r="I1290" s="43">
        <v>5051</v>
      </c>
      <c r="J1290" s="43">
        <v>5051</v>
      </c>
      <c r="K1290" s="21">
        <v>1</v>
      </c>
      <c r="L1290" s="43">
        <v>5052</v>
      </c>
      <c r="M1290" s="43">
        <v>5065</v>
      </c>
      <c r="N1290" s="43">
        <v>5065</v>
      </c>
      <c r="O1290" s="27" t="s">
        <v>3970</v>
      </c>
      <c r="P1290" s="194">
        <v>1</v>
      </c>
      <c r="Q1290" s="21">
        <v>1</v>
      </c>
      <c r="R1290" s="39" t="str">
        <f t="shared" si="232"/>
        <v>-</v>
      </c>
      <c r="S1290" s="120">
        <f t="shared" si="241"/>
        <v>1412892</v>
      </c>
      <c r="T1290" s="123">
        <v>1504650</v>
      </c>
      <c r="U1290" s="123">
        <f>94601+1321432+36235+497+203</f>
        <v>1452968</v>
      </c>
      <c r="V1290" s="123">
        <f t="shared" si="235"/>
        <v>51682</v>
      </c>
      <c r="W1290" s="122" t="str">
        <f t="shared" si="236"/>
        <v>1</v>
      </c>
      <c r="X1290" s="123">
        <f>Y1290+783+10091+884</f>
        <v>91758</v>
      </c>
      <c r="Y1290" s="123">
        <f t="shared" si="243"/>
        <v>80000</v>
      </c>
      <c r="Z1290" s="123">
        <f t="shared" si="238"/>
        <v>11758</v>
      </c>
      <c r="AA1290" s="122" t="str">
        <f t="shared" si="239"/>
        <v>1</v>
      </c>
      <c r="AB1290" s="120">
        <f t="shared" si="237"/>
        <v>80000</v>
      </c>
      <c r="AC1290" s="123">
        <v>0</v>
      </c>
      <c r="AD1290" s="123">
        <v>80000</v>
      </c>
      <c r="AE1290" s="123">
        <v>22372</v>
      </c>
      <c r="AG1290" s="151">
        <f t="shared" si="231"/>
        <v>21143</v>
      </c>
      <c r="AH1290" s="123">
        <f>21143+AI1290+AL1290</f>
        <v>23529</v>
      </c>
      <c r="AI1290" s="123">
        <v>386</v>
      </c>
      <c r="AK1290" s="123">
        <f>648</f>
        <v>648</v>
      </c>
      <c r="AL1290" s="123">
        <v>2000</v>
      </c>
      <c r="AO1290" s="123">
        <f t="shared" si="242"/>
        <v>127553</v>
      </c>
    </row>
    <row r="1291" spans="1:41" s="123" customFormat="1" ht="16.2" thickBot="1" x14ac:dyDescent="0.35">
      <c r="A1291" s="21"/>
      <c r="B1291" s="212" t="s">
        <v>325</v>
      </c>
      <c r="C1291" s="31" t="str">
        <f>VLOOKUP((CONCATENATE(B1291)),ID!$A$2:$D$305,3,0)</f>
        <v>TE008</v>
      </c>
      <c r="D1291" s="21">
        <v>0</v>
      </c>
      <c r="E1291" s="21" t="s">
        <v>3968</v>
      </c>
      <c r="F1291" s="21" t="s">
        <v>1117</v>
      </c>
      <c r="G1291" s="21" t="s">
        <v>3971</v>
      </c>
      <c r="H1291" s="94">
        <v>5114</v>
      </c>
      <c r="I1291" s="43">
        <v>5248</v>
      </c>
      <c r="J1291" s="43">
        <v>5248</v>
      </c>
      <c r="K1291" s="21">
        <v>1</v>
      </c>
      <c r="L1291" s="43">
        <v>5249</v>
      </c>
      <c r="M1291" s="43">
        <v>5262</v>
      </c>
      <c r="N1291" s="43">
        <v>5262</v>
      </c>
      <c r="O1291" s="27" t="s">
        <v>3970</v>
      </c>
      <c r="P1291" s="194">
        <v>1</v>
      </c>
      <c r="Q1291" s="21">
        <v>1</v>
      </c>
      <c r="R1291" s="39" t="str">
        <f t="shared" si="232"/>
        <v>-</v>
      </c>
      <c r="S1291" s="120">
        <f t="shared" si="241"/>
        <v>1393825</v>
      </c>
      <c r="T1291" s="123">
        <v>1501608</v>
      </c>
      <c r="U1291" s="123">
        <f>94601+497+1321432+193+37012</f>
        <v>1453735</v>
      </c>
      <c r="V1291" s="123">
        <f t="shared" si="235"/>
        <v>47873</v>
      </c>
      <c r="W1291" s="122" t="str">
        <f t="shared" si="236"/>
        <v>1</v>
      </c>
      <c r="X1291" s="123">
        <f>Y1291+1012+9469+17302</f>
        <v>107783</v>
      </c>
      <c r="Y1291" s="123">
        <f t="shared" ref="Y1291:Y1296" si="244">AB1291</f>
        <v>80000</v>
      </c>
      <c r="Z1291" s="123">
        <f t="shared" si="238"/>
        <v>27783</v>
      </c>
      <c r="AA1291" s="122" t="str">
        <f t="shared" si="239"/>
        <v>1</v>
      </c>
      <c r="AB1291" s="120">
        <f t="shared" si="237"/>
        <v>80000</v>
      </c>
      <c r="AC1291" s="123">
        <v>0</v>
      </c>
      <c r="AD1291" s="123">
        <v>80000</v>
      </c>
      <c r="AE1291" s="123">
        <v>11039</v>
      </c>
      <c r="AG1291" s="151">
        <f t="shared" si="231"/>
        <v>27975</v>
      </c>
      <c r="AH1291" s="123">
        <f>14906+13069+AI1291+AL1291</f>
        <v>30232</v>
      </c>
      <c r="AI1291" s="123">
        <v>257</v>
      </c>
      <c r="AK1291" s="123">
        <f>616</f>
        <v>616</v>
      </c>
      <c r="AL1291" s="123">
        <v>2000</v>
      </c>
      <c r="AO1291" s="123">
        <f t="shared" si="242"/>
        <v>127553</v>
      </c>
    </row>
    <row r="1292" spans="1:41" s="123" customFormat="1" ht="16.2" thickBot="1" x14ac:dyDescent="0.35">
      <c r="A1292" s="21"/>
      <c r="B1292" s="212" t="s">
        <v>325</v>
      </c>
      <c r="C1292" s="31" t="str">
        <f>VLOOKUP((CONCATENATE(B1292)),ID!$A$2:$D$305,3,0)</f>
        <v>TE008</v>
      </c>
      <c r="D1292" s="21">
        <v>0</v>
      </c>
      <c r="E1292" s="21" t="s">
        <v>3968</v>
      </c>
      <c r="F1292" s="21" t="s">
        <v>1117</v>
      </c>
      <c r="G1292" s="21" t="s">
        <v>3971</v>
      </c>
      <c r="H1292" s="94">
        <v>5295</v>
      </c>
      <c r="I1292" s="43">
        <v>5429</v>
      </c>
      <c r="J1292" s="43">
        <v>5429</v>
      </c>
      <c r="K1292" s="21">
        <v>1</v>
      </c>
      <c r="L1292" s="43">
        <v>5430</v>
      </c>
      <c r="M1292" s="43">
        <v>5443</v>
      </c>
      <c r="N1292" s="43">
        <v>5443</v>
      </c>
      <c r="O1292" s="27" t="s">
        <v>3970</v>
      </c>
      <c r="P1292" s="194">
        <v>1</v>
      </c>
      <c r="Q1292" s="21">
        <v>1</v>
      </c>
      <c r="R1292" s="39" t="str">
        <f t="shared" si="232"/>
        <v>-</v>
      </c>
      <c r="S1292" s="120">
        <f t="shared" si="241"/>
        <v>1410708</v>
      </c>
      <c r="T1292" s="123">
        <v>1502226</v>
      </c>
      <c r="U1292" s="123">
        <f>94601+1321432+36738+1076</f>
        <v>1453847</v>
      </c>
      <c r="V1292" s="123">
        <f t="shared" si="235"/>
        <v>48379</v>
      </c>
      <c r="W1292" s="122" t="str">
        <f t="shared" si="236"/>
        <v>1</v>
      </c>
      <c r="X1292" s="123">
        <f>Y1292+848+9498+1172</f>
        <v>91518</v>
      </c>
      <c r="Y1292" s="123">
        <f t="shared" si="244"/>
        <v>80000</v>
      </c>
      <c r="Z1292" s="123">
        <f t="shared" si="238"/>
        <v>11518</v>
      </c>
      <c r="AA1292" s="122" t="str">
        <f t="shared" si="239"/>
        <v>1</v>
      </c>
      <c r="AB1292" s="120">
        <f t="shared" si="237"/>
        <v>80000</v>
      </c>
      <c r="AC1292" s="123">
        <v>0</v>
      </c>
      <c r="AD1292" s="123">
        <v>80000</v>
      </c>
      <c r="AE1292" s="123">
        <v>9876</v>
      </c>
      <c r="AG1292" s="151">
        <f t="shared" si="231"/>
        <v>14582</v>
      </c>
      <c r="AH1292" s="123">
        <f>41482-26900</f>
        <v>14582</v>
      </c>
      <c r="AI1292" s="199"/>
      <c r="AJ1292" s="199"/>
      <c r="AK1292" s="199"/>
      <c r="AL1292" s="199"/>
      <c r="AO1292" s="123">
        <f t="shared" si="242"/>
        <v>127553</v>
      </c>
    </row>
    <row r="1293" spans="1:41" s="123" customFormat="1" ht="16.2" thickBot="1" x14ac:dyDescent="0.35">
      <c r="A1293" s="21"/>
      <c r="B1293" s="212" t="s">
        <v>327</v>
      </c>
      <c r="C1293" s="31" t="str">
        <f>VLOOKUP((CONCATENATE(B1293)),ID!$A$2:$D$305,3,0)</f>
        <v>TE009</v>
      </c>
      <c r="D1293" s="21">
        <v>0</v>
      </c>
      <c r="E1293" s="21" t="s">
        <v>3968</v>
      </c>
      <c r="F1293" s="21" t="s">
        <v>1117</v>
      </c>
      <c r="G1293" s="21" t="s">
        <v>3853</v>
      </c>
      <c r="H1293" s="94">
        <v>3653</v>
      </c>
      <c r="I1293" s="43">
        <v>3776</v>
      </c>
      <c r="J1293" s="43">
        <v>3772</v>
      </c>
      <c r="K1293" s="21">
        <v>0</v>
      </c>
      <c r="L1293" s="43"/>
      <c r="M1293" s="43"/>
      <c r="N1293" s="43">
        <v>3784</v>
      </c>
      <c r="O1293" s="27" t="s">
        <v>3796</v>
      </c>
      <c r="P1293" s="194" t="str">
        <f>IF(AJ1293=0,"?","1")</f>
        <v>1</v>
      </c>
      <c r="Q1293" s="21">
        <v>1</v>
      </c>
      <c r="R1293" s="39" t="str">
        <f t="shared" si="232"/>
        <v>-</v>
      </c>
      <c r="S1293" s="120">
        <f t="shared" si="241"/>
        <v>3812167</v>
      </c>
      <c r="T1293" s="123">
        <v>4765747</v>
      </c>
      <c r="U1293" s="123">
        <f>2876968+1438771</f>
        <v>4315739</v>
      </c>
      <c r="V1293" s="123">
        <f t="shared" si="235"/>
        <v>450008</v>
      </c>
      <c r="W1293" s="122" t="str">
        <f t="shared" si="236"/>
        <v>1</v>
      </c>
      <c r="X1293" s="123">
        <f>Y1293+118280+35300</f>
        <v>953580</v>
      </c>
      <c r="Y1293" s="123">
        <f t="shared" si="244"/>
        <v>800000</v>
      </c>
      <c r="Z1293" s="123">
        <f t="shared" si="238"/>
        <v>153580</v>
      </c>
      <c r="AA1293" s="122" t="str">
        <f t="shared" si="239"/>
        <v>1</v>
      </c>
      <c r="AB1293" s="120">
        <f t="shared" si="237"/>
        <v>800000</v>
      </c>
      <c r="AC1293" s="123">
        <v>0</v>
      </c>
      <c r="AD1293" s="123">
        <v>800000</v>
      </c>
      <c r="AE1293" s="123">
        <v>87324</v>
      </c>
      <c r="AG1293" s="151">
        <f t="shared" si="231"/>
        <v>298958</v>
      </c>
      <c r="AH1293" s="123">
        <f>298958+AI1293+AL1293</f>
        <v>322567</v>
      </c>
      <c r="AI1293" s="123">
        <v>7609</v>
      </c>
      <c r="AJ1293" s="123">
        <v>31189</v>
      </c>
      <c r="AL1293" s="123">
        <v>16000</v>
      </c>
      <c r="AO1293" s="123">
        <v>207930</v>
      </c>
    </row>
    <row r="1294" spans="1:41" s="123" customFormat="1" ht="16.2" thickBot="1" x14ac:dyDescent="0.35">
      <c r="A1294" s="21"/>
      <c r="B1294" s="212" t="s">
        <v>327</v>
      </c>
      <c r="C1294" s="31" t="str">
        <f>VLOOKUP((CONCATENATE(B1294)),ID!$A$2:$D$305,3,0)</f>
        <v>TE009</v>
      </c>
      <c r="D1294" s="21">
        <v>0</v>
      </c>
      <c r="E1294" s="21" t="s">
        <v>3968</v>
      </c>
      <c r="F1294" s="21" t="s">
        <v>1117</v>
      </c>
      <c r="G1294" s="21" t="s">
        <v>3853</v>
      </c>
      <c r="H1294" s="94">
        <v>3834</v>
      </c>
      <c r="I1294" s="43">
        <v>3958</v>
      </c>
      <c r="J1294" s="43">
        <v>3953</v>
      </c>
      <c r="K1294" s="21">
        <v>1</v>
      </c>
      <c r="L1294" s="43">
        <v>3958</v>
      </c>
      <c r="M1294" s="43">
        <v>3966</v>
      </c>
      <c r="N1294" s="43">
        <v>3966</v>
      </c>
      <c r="O1294" s="27" t="s">
        <v>3796</v>
      </c>
      <c r="P1294" s="194" t="str">
        <f>IF(AJ1294=0,"?","1")</f>
        <v>1</v>
      </c>
      <c r="Q1294" s="21">
        <v>1</v>
      </c>
      <c r="R1294" s="39" t="str">
        <f t="shared" si="232"/>
        <v>-</v>
      </c>
      <c r="S1294" s="120">
        <f t="shared" si="241"/>
        <v>3535047</v>
      </c>
      <c r="T1294" s="123">
        <v>4528459</v>
      </c>
      <c r="U1294" s="123">
        <f>1141432+2874434</f>
        <v>4015866</v>
      </c>
      <c r="V1294" s="123">
        <f t="shared" si="235"/>
        <v>512593</v>
      </c>
      <c r="W1294" s="122" t="str">
        <f t="shared" si="236"/>
        <v>1</v>
      </c>
      <c r="X1294" s="123">
        <f>Y1294+159241+540+8553+6403</f>
        <v>993412</v>
      </c>
      <c r="Y1294" s="123">
        <f t="shared" si="244"/>
        <v>818675</v>
      </c>
      <c r="Z1294" s="123">
        <f t="shared" si="238"/>
        <v>174737</v>
      </c>
      <c r="AA1294" s="122" t="str">
        <f t="shared" si="239"/>
        <v>1</v>
      </c>
      <c r="AB1294" s="120">
        <f t="shared" si="237"/>
        <v>818675</v>
      </c>
      <c r="AC1294" s="123">
        <v>0</v>
      </c>
      <c r="AD1294" s="123">
        <v>818675</v>
      </c>
      <c r="AE1294" s="123">
        <v>140398</v>
      </c>
      <c r="AG1294" s="151">
        <f t="shared" si="231"/>
        <v>230036</v>
      </c>
      <c r="AH1294" s="123">
        <f>402433-148392</f>
        <v>254041</v>
      </c>
      <c r="AI1294" s="123">
        <v>7773</v>
      </c>
      <c r="AJ1294" s="123">
        <v>31189</v>
      </c>
      <c r="AL1294" s="123">
        <v>16232</v>
      </c>
      <c r="AO1294" s="123">
        <v>207930</v>
      </c>
    </row>
    <row r="1295" spans="1:41" s="123" customFormat="1" ht="16.2" thickBot="1" x14ac:dyDescent="0.35">
      <c r="A1295" s="21">
        <v>221.1</v>
      </c>
      <c r="B1295" s="212" t="s">
        <v>327</v>
      </c>
      <c r="C1295" s="31" t="str">
        <f>VLOOKUP((CONCATENATE(B1295)),ID!$A$2:$D$305,3,0)</f>
        <v>TE009</v>
      </c>
      <c r="D1295" s="21">
        <v>0</v>
      </c>
      <c r="E1295" s="21" t="s">
        <v>3968</v>
      </c>
      <c r="F1295" s="21" t="s">
        <v>1117</v>
      </c>
      <c r="G1295" s="21" t="s">
        <v>3853</v>
      </c>
      <c r="H1295" s="94">
        <v>4018</v>
      </c>
      <c r="I1295" s="43">
        <v>4147</v>
      </c>
      <c r="J1295" s="43">
        <v>4142</v>
      </c>
      <c r="K1295" s="21">
        <v>0</v>
      </c>
      <c r="L1295" s="21"/>
      <c r="M1295" s="21"/>
      <c r="N1295" s="43">
        <v>4155</v>
      </c>
      <c r="O1295" s="27" t="s">
        <v>3796</v>
      </c>
      <c r="P1295" s="194" t="str">
        <f>IF(AJ1295=0,"?","1")</f>
        <v>1</v>
      </c>
      <c r="Q1295" s="21">
        <v>1</v>
      </c>
      <c r="R1295" s="39" t="str">
        <f t="shared" si="232"/>
        <v>-</v>
      </c>
      <c r="S1295" s="120">
        <f t="shared" si="241"/>
        <v>3407785</v>
      </c>
      <c r="T1295" s="123">
        <v>4417581</v>
      </c>
      <c r="U1295" s="123">
        <f>2924014+1091142</f>
        <v>4015156</v>
      </c>
      <c r="V1295" s="123">
        <f t="shared" si="235"/>
        <v>402425</v>
      </c>
      <c r="W1295" s="122" t="str">
        <f t="shared" si="236"/>
        <v>1</v>
      </c>
      <c r="X1295" s="123">
        <f>Y1295+177321+9631+4169</f>
        <v>1009796</v>
      </c>
      <c r="Y1295" s="123">
        <f t="shared" si="244"/>
        <v>818675</v>
      </c>
      <c r="Z1295" s="123">
        <f t="shared" si="238"/>
        <v>191121</v>
      </c>
      <c r="AA1295" s="122" t="str">
        <f t="shared" si="239"/>
        <v>1</v>
      </c>
      <c r="AB1295" s="120">
        <f t="shared" si="237"/>
        <v>818675</v>
      </c>
      <c r="AC1295" s="123">
        <v>0</v>
      </c>
      <c r="AD1295" s="123">
        <v>818675</v>
      </c>
      <c r="AE1295" s="123">
        <v>47717</v>
      </c>
      <c r="AG1295" s="151">
        <f t="shared" si="231"/>
        <v>245143</v>
      </c>
      <c r="AH1295" s="123">
        <f>431966-162753</f>
        <v>269213</v>
      </c>
      <c r="AI1295" s="123">
        <v>7697</v>
      </c>
      <c r="AJ1295" s="123">
        <v>31189</v>
      </c>
      <c r="AL1295" s="123">
        <v>16373</v>
      </c>
      <c r="AO1295" s="123">
        <v>207930</v>
      </c>
    </row>
    <row r="1296" spans="1:41" s="123" customFormat="1" ht="16.2" thickBot="1" x14ac:dyDescent="0.35">
      <c r="A1296" s="21">
        <v>221.2</v>
      </c>
      <c r="B1296" s="212" t="s">
        <v>327</v>
      </c>
      <c r="C1296" s="31" t="str">
        <f>VLOOKUP((CONCATENATE(B1296)),ID!$A$2:$D$305,3,0)</f>
        <v>TE009</v>
      </c>
      <c r="D1296" s="21">
        <v>0</v>
      </c>
      <c r="E1296" s="21" t="s">
        <v>3968</v>
      </c>
      <c r="F1296" s="21" t="s">
        <v>1117</v>
      </c>
      <c r="G1296" s="21" t="s">
        <v>3853</v>
      </c>
      <c r="H1296" s="94">
        <v>4199</v>
      </c>
      <c r="I1296" s="43">
        <v>4329</v>
      </c>
      <c r="J1296" s="43">
        <v>4324</v>
      </c>
      <c r="K1296" s="21">
        <v>1</v>
      </c>
      <c r="L1296" s="43">
        <v>4329</v>
      </c>
      <c r="M1296" s="43">
        <v>4337</v>
      </c>
      <c r="N1296" s="43">
        <v>4337</v>
      </c>
      <c r="O1296" s="27" t="s">
        <v>3796</v>
      </c>
      <c r="P1296" s="194" t="str">
        <f>IF(AJ1296=0,"?","1")</f>
        <v>1</v>
      </c>
      <c r="Q1296" s="21">
        <v>1</v>
      </c>
      <c r="R1296" s="39" t="str">
        <f t="shared" si="232"/>
        <v>-</v>
      </c>
      <c r="S1296" s="120">
        <f t="shared" si="241"/>
        <v>3531811</v>
      </c>
      <c r="T1296" s="123">
        <v>4480264</v>
      </c>
      <c r="U1296" s="123">
        <f>2927419+1103650</f>
        <v>4031069</v>
      </c>
      <c r="V1296" s="123">
        <f t="shared" si="235"/>
        <v>449195</v>
      </c>
      <c r="W1296" s="122" t="str">
        <f t="shared" si="236"/>
        <v>1</v>
      </c>
      <c r="X1296" s="123">
        <f>818675+116678+7945+5155</f>
        <v>948453</v>
      </c>
      <c r="Y1296" s="123">
        <f t="shared" si="244"/>
        <v>818675</v>
      </c>
      <c r="Z1296" s="123">
        <f t="shared" si="238"/>
        <v>129778</v>
      </c>
      <c r="AA1296" s="122" t="str">
        <f t="shared" si="239"/>
        <v>1</v>
      </c>
      <c r="AB1296" s="120">
        <f t="shared" si="237"/>
        <v>818675</v>
      </c>
      <c r="AC1296" s="123">
        <v>0</v>
      </c>
      <c r="AD1296" s="123">
        <v>818675</v>
      </c>
      <c r="AE1296" s="123">
        <v>154447</v>
      </c>
      <c r="AG1296" s="151">
        <f t="shared" si="231"/>
        <v>215899</v>
      </c>
      <c r="AH1296" s="123">
        <f>405010-164808</f>
        <v>240202</v>
      </c>
      <c r="AI1296" s="123">
        <v>7930</v>
      </c>
      <c r="AJ1296" s="123">
        <v>31189</v>
      </c>
      <c r="AL1296" s="123">
        <v>16373</v>
      </c>
      <c r="AO1296" s="123">
        <v>207930</v>
      </c>
    </row>
    <row r="1297" spans="1:41" s="123" customFormat="1" ht="16.2" thickBot="1" x14ac:dyDescent="0.35">
      <c r="A1297" s="21">
        <v>221.3</v>
      </c>
      <c r="B1297" s="212" t="s">
        <v>327</v>
      </c>
      <c r="C1297" s="31" t="str">
        <f>VLOOKUP((CONCATENATE(B1297)),ID!$A$2:$D$305,3,0)</f>
        <v>TE009</v>
      </c>
      <c r="D1297" s="21">
        <v>0</v>
      </c>
      <c r="E1297" s="21" t="s">
        <v>3968</v>
      </c>
      <c r="F1297" s="21" t="s">
        <v>1117</v>
      </c>
      <c r="G1297" s="21" t="s">
        <v>3853</v>
      </c>
      <c r="H1297" s="94">
        <v>4383</v>
      </c>
      <c r="I1297" s="43">
        <v>4511</v>
      </c>
      <c r="J1297" s="43">
        <v>4506</v>
      </c>
      <c r="K1297" s="21">
        <v>0</v>
      </c>
      <c r="L1297" s="43"/>
      <c r="M1297" s="43"/>
      <c r="N1297" s="43">
        <v>4519</v>
      </c>
      <c r="O1297" s="27" t="s">
        <v>3796</v>
      </c>
      <c r="P1297" s="194" t="str">
        <f>IF(AJ1297=0,"?","1")</f>
        <v>1</v>
      </c>
      <c r="Q1297" s="21">
        <v>1</v>
      </c>
      <c r="R1297" s="39" t="str">
        <f t="shared" si="232"/>
        <v>-</v>
      </c>
      <c r="S1297" s="120">
        <f t="shared" si="241"/>
        <v>3627656</v>
      </c>
      <c r="T1297" s="123">
        <v>4605870</v>
      </c>
      <c r="U1297" s="123">
        <f>2929884+1251491</f>
        <v>4181375</v>
      </c>
      <c r="V1297" s="123">
        <f t="shared" si="235"/>
        <v>424495</v>
      </c>
      <c r="W1297" s="122" t="str">
        <f t="shared" si="236"/>
        <v>1</v>
      </c>
      <c r="X1297" s="123">
        <f>Y1297+108477+15418+35644</f>
        <v>978214</v>
      </c>
      <c r="Y1297" s="123">
        <f>AB1297</f>
        <v>818675</v>
      </c>
      <c r="Z1297" s="123">
        <f t="shared" si="238"/>
        <v>159539</v>
      </c>
      <c r="AA1297" s="122" t="str">
        <f t="shared" si="239"/>
        <v>1</v>
      </c>
      <c r="AB1297" s="120">
        <f t="shared" si="237"/>
        <v>818675</v>
      </c>
      <c r="AC1297" s="123">
        <v>0</v>
      </c>
      <c r="AD1297" s="123">
        <f>818675</f>
        <v>818675</v>
      </c>
      <c r="AE1297" s="123">
        <v>47893</v>
      </c>
      <c r="AG1297" s="151">
        <f t="shared" si="231"/>
        <v>248302</v>
      </c>
      <c r="AH1297" s="123">
        <f>430571-158022</f>
        <v>272549</v>
      </c>
      <c r="AI1297" s="123">
        <v>7874</v>
      </c>
      <c r="AJ1297" s="123">
        <v>31189</v>
      </c>
      <c r="AL1297" s="123">
        <v>16373</v>
      </c>
      <c r="AO1297" s="123">
        <v>207930</v>
      </c>
    </row>
    <row r="1298" spans="1:41" s="123" customFormat="1" ht="16.2" thickBot="1" x14ac:dyDescent="0.35">
      <c r="A1298" s="21">
        <v>221.4</v>
      </c>
      <c r="B1298" s="212" t="s">
        <v>327</v>
      </c>
      <c r="C1298" s="31" t="str">
        <f>VLOOKUP((CONCATENATE(B1298)),ID!$A$2:$D$305,3,0)</f>
        <v>TE009</v>
      </c>
      <c r="D1298" s="21">
        <v>0</v>
      </c>
      <c r="E1298" s="21" t="s">
        <v>3968</v>
      </c>
      <c r="F1298" s="21" t="s">
        <v>1117</v>
      </c>
      <c r="G1298" s="21" t="s">
        <v>3853</v>
      </c>
      <c r="H1298" s="94">
        <v>4565</v>
      </c>
      <c r="I1298" s="43">
        <v>4693</v>
      </c>
      <c r="J1298" s="43">
        <v>4689</v>
      </c>
      <c r="K1298" s="21">
        <v>1</v>
      </c>
      <c r="L1298" s="43">
        <v>4693</v>
      </c>
      <c r="M1298" s="43">
        <v>4701</v>
      </c>
      <c r="N1298" s="43">
        <v>4701</v>
      </c>
      <c r="O1298" s="27" t="s">
        <v>3796</v>
      </c>
      <c r="P1298" s="194">
        <v>1</v>
      </c>
      <c r="Q1298" s="21">
        <v>1</v>
      </c>
      <c r="R1298" s="39" t="str">
        <f t="shared" si="232"/>
        <v>-</v>
      </c>
      <c r="S1298" s="120">
        <f t="shared" si="241"/>
        <v>3830187</v>
      </c>
      <c r="T1298" s="123">
        <v>4773270</v>
      </c>
      <c r="U1298" s="123">
        <f>2942073+1312034</f>
        <v>4254107</v>
      </c>
      <c r="V1298" s="123">
        <f t="shared" si="235"/>
        <v>519163</v>
      </c>
      <c r="W1298" s="122" t="str">
        <f t="shared" si="236"/>
        <v>1</v>
      </c>
      <c r="X1298" s="123">
        <f>Y1298+103952+15418+5038</f>
        <v>943083</v>
      </c>
      <c r="Y1298" s="123">
        <f t="shared" ref="Y1298:Y1306" si="245">AB1298</f>
        <v>818675</v>
      </c>
      <c r="Z1298" s="123">
        <f t="shared" si="238"/>
        <v>124408</v>
      </c>
      <c r="AA1298" s="122" t="str">
        <f t="shared" si="239"/>
        <v>1</v>
      </c>
      <c r="AB1298" s="120">
        <f t="shared" si="237"/>
        <v>818675</v>
      </c>
      <c r="AC1298" s="123">
        <v>0</v>
      </c>
      <c r="AD1298" s="123">
        <v>818675</v>
      </c>
      <c r="AE1298" s="123">
        <v>160515</v>
      </c>
      <c r="AG1298" s="151">
        <f t="shared" si="231"/>
        <v>256378</v>
      </c>
      <c r="AH1298" s="123">
        <f>450814-169769</f>
        <v>281045</v>
      </c>
      <c r="AI1298" s="123">
        <v>8294</v>
      </c>
      <c r="AJ1298" s="123">
        <v>31189</v>
      </c>
      <c r="AL1298" s="123">
        <v>16373</v>
      </c>
      <c r="AO1298" s="123">
        <v>207930</v>
      </c>
    </row>
    <row r="1299" spans="1:41" s="123" customFormat="1" ht="16.2" thickBot="1" x14ac:dyDescent="0.35">
      <c r="A1299" s="21"/>
      <c r="B1299" s="212" t="s">
        <v>327</v>
      </c>
      <c r="C1299" s="31" t="str">
        <f>VLOOKUP((CONCATENATE(B1299)),ID!$A$2:$D$305,3,0)</f>
        <v>TE009</v>
      </c>
      <c r="D1299" s="21">
        <v>0</v>
      </c>
      <c r="E1299" s="21" t="s">
        <v>3968</v>
      </c>
      <c r="F1299" s="21" t="s">
        <v>1117</v>
      </c>
      <c r="G1299" s="21" t="s">
        <v>3853</v>
      </c>
      <c r="H1299" s="94">
        <v>4749</v>
      </c>
      <c r="I1299" s="43">
        <v>4882</v>
      </c>
      <c r="J1299" s="43">
        <v>4875</v>
      </c>
      <c r="K1299" s="21">
        <v>0</v>
      </c>
      <c r="L1299" s="43"/>
      <c r="M1299" s="43"/>
      <c r="N1299" s="43">
        <v>4890</v>
      </c>
      <c r="O1299" s="27" t="s">
        <v>3796</v>
      </c>
      <c r="P1299" s="194" t="str">
        <f t="shared" ref="P1299:P1316" si="246">IF(AJ1299=0,"?","1")</f>
        <v>1</v>
      </c>
      <c r="Q1299" s="21">
        <v>1</v>
      </c>
      <c r="R1299" s="39" t="str">
        <f t="shared" si="232"/>
        <v>-</v>
      </c>
      <c r="S1299" s="120">
        <f t="shared" si="241"/>
        <v>3957438</v>
      </c>
      <c r="T1299" s="123">
        <v>4922640</v>
      </c>
      <c r="U1299" s="123">
        <f>2968869+1455496</f>
        <v>4424365</v>
      </c>
      <c r="V1299" s="123">
        <f t="shared" si="235"/>
        <v>498275</v>
      </c>
      <c r="W1299" s="122" t="str">
        <f t="shared" si="236"/>
        <v>1</v>
      </c>
      <c r="X1299" s="123">
        <f>Y1299+131006+11168+4353</f>
        <v>965202</v>
      </c>
      <c r="Y1299" s="123">
        <f t="shared" si="245"/>
        <v>818675</v>
      </c>
      <c r="Z1299" s="123">
        <f t="shared" si="238"/>
        <v>146527</v>
      </c>
      <c r="AA1299" s="122" t="str">
        <f t="shared" si="239"/>
        <v>1</v>
      </c>
      <c r="AB1299" s="120">
        <f t="shared" si="237"/>
        <v>818675</v>
      </c>
      <c r="AC1299" s="123">
        <v>0</v>
      </c>
      <c r="AD1299" s="123">
        <v>818675</v>
      </c>
      <c r="AE1299" s="123">
        <v>129220</v>
      </c>
      <c r="AG1299" s="151">
        <f t="shared" si="231"/>
        <v>237679</v>
      </c>
      <c r="AH1299" s="123">
        <f>438887-176474</f>
        <v>262413</v>
      </c>
      <c r="AI1299" s="123">
        <v>8361</v>
      </c>
      <c r="AJ1299" s="123">
        <v>31189</v>
      </c>
      <c r="AL1299" s="123">
        <v>16373</v>
      </c>
      <c r="AO1299" s="123">
        <v>207930</v>
      </c>
    </row>
    <row r="1300" spans="1:41" s="123" customFormat="1" ht="16.2" thickBot="1" x14ac:dyDescent="0.35">
      <c r="A1300" s="21"/>
      <c r="B1300" s="212" t="s">
        <v>327</v>
      </c>
      <c r="C1300" s="31" t="str">
        <f>VLOOKUP((CONCATENATE(B1300)),ID!$A$2:$D$305,3,0)</f>
        <v>TE009</v>
      </c>
      <c r="D1300" s="21">
        <v>0</v>
      </c>
      <c r="E1300" s="21" t="s">
        <v>3968</v>
      </c>
      <c r="F1300" s="21" t="s">
        <v>1117</v>
      </c>
      <c r="G1300" s="21" t="s">
        <v>3853</v>
      </c>
      <c r="H1300" s="94">
        <v>4930</v>
      </c>
      <c r="I1300" s="43">
        <v>5057</v>
      </c>
      <c r="J1300" s="43">
        <v>5052</v>
      </c>
      <c r="K1300" s="21">
        <v>1</v>
      </c>
      <c r="L1300" s="43">
        <v>5057</v>
      </c>
      <c r="M1300" s="43">
        <v>5065</v>
      </c>
      <c r="N1300" s="43">
        <v>5065</v>
      </c>
      <c r="O1300" s="27" t="s">
        <v>3796</v>
      </c>
      <c r="P1300" s="194" t="str">
        <f t="shared" si="246"/>
        <v>1</v>
      </c>
      <c r="Q1300" s="21">
        <v>1</v>
      </c>
      <c r="R1300" s="39" t="str">
        <f t="shared" si="232"/>
        <v>-</v>
      </c>
      <c r="S1300" s="120">
        <f t="shared" si="241"/>
        <v>4019605</v>
      </c>
      <c r="T1300" s="123">
        <v>4953030</v>
      </c>
      <c r="U1300" s="123">
        <f>3016613+1512934</f>
        <v>4529547</v>
      </c>
      <c r="V1300" s="123">
        <f t="shared" si="235"/>
        <v>423483</v>
      </c>
      <c r="W1300" s="122" t="str">
        <f t="shared" si="236"/>
        <v>1</v>
      </c>
      <c r="X1300" s="123">
        <f>Y1300+101939+7705+5106</f>
        <v>933425</v>
      </c>
      <c r="Y1300" s="123">
        <f t="shared" si="245"/>
        <v>818675</v>
      </c>
      <c r="Z1300" s="123">
        <f t="shared" si="238"/>
        <v>114750</v>
      </c>
      <c r="AA1300" s="122" t="str">
        <f t="shared" si="239"/>
        <v>1</v>
      </c>
      <c r="AB1300" s="120">
        <f t="shared" si="237"/>
        <v>818675</v>
      </c>
      <c r="AC1300" s="123">
        <v>0</v>
      </c>
      <c r="AD1300" s="123">
        <v>818675</v>
      </c>
      <c r="AE1300" s="123">
        <v>118425</v>
      </c>
      <c r="AG1300" s="151">
        <f t="shared" si="231"/>
        <v>241363</v>
      </c>
      <c r="AH1300" s="123">
        <f>450822-184264</f>
        <v>266558</v>
      </c>
      <c r="AI1300" s="123">
        <v>8822</v>
      </c>
      <c r="AJ1300" s="123">
        <v>31189</v>
      </c>
      <c r="AL1300" s="123">
        <v>16373</v>
      </c>
      <c r="AO1300" s="123">
        <v>207930</v>
      </c>
    </row>
    <row r="1301" spans="1:41" s="123" customFormat="1" ht="16.2" thickBot="1" x14ac:dyDescent="0.35">
      <c r="A1301" s="21"/>
      <c r="B1301" s="212" t="s">
        <v>327</v>
      </c>
      <c r="C1301" s="31" t="str">
        <f>VLOOKUP((CONCATENATE(B1301)),ID!$A$2:$D$305,3,0)</f>
        <v>TE009</v>
      </c>
      <c r="D1301" s="21">
        <v>1</v>
      </c>
      <c r="E1301" s="21" t="s">
        <v>3968</v>
      </c>
      <c r="F1301" s="21" t="s">
        <v>1117</v>
      </c>
      <c r="G1301" s="21" t="s">
        <v>3853</v>
      </c>
      <c r="H1301" s="94">
        <v>5295</v>
      </c>
      <c r="I1301" s="43">
        <v>5421</v>
      </c>
      <c r="J1301" s="43">
        <v>5416</v>
      </c>
      <c r="K1301" s="21">
        <v>1</v>
      </c>
      <c r="L1301" s="43">
        <v>5421</v>
      </c>
      <c r="M1301" s="43">
        <v>5429</v>
      </c>
      <c r="N1301" s="43">
        <v>5429</v>
      </c>
      <c r="O1301" s="27" t="s">
        <v>3796</v>
      </c>
      <c r="P1301" s="194" t="str">
        <f t="shared" si="246"/>
        <v>1</v>
      </c>
      <c r="Q1301" s="21">
        <v>1</v>
      </c>
      <c r="R1301" s="39" t="str">
        <f t="shared" si="232"/>
        <v>-</v>
      </c>
      <c r="S1301" s="120">
        <f t="shared" si="241"/>
        <v>4181643</v>
      </c>
      <c r="T1301" s="123">
        <v>5168859</v>
      </c>
      <c r="U1301" s="123">
        <f>1596276+3109201</f>
        <v>4705477</v>
      </c>
      <c r="V1301" s="123">
        <f t="shared" si="235"/>
        <v>463382</v>
      </c>
      <c r="W1301" s="122" t="str">
        <f t="shared" si="236"/>
        <v>1</v>
      </c>
      <c r="X1301" s="123">
        <f>Y1301+155448+7840+5253</f>
        <v>987216</v>
      </c>
      <c r="Y1301" s="123">
        <f t="shared" si="245"/>
        <v>818675</v>
      </c>
      <c r="Z1301" s="123">
        <f t="shared" si="238"/>
        <v>168541</v>
      </c>
      <c r="AA1301" s="122" t="str">
        <f t="shared" si="239"/>
        <v>1</v>
      </c>
      <c r="AB1301" s="120">
        <f t="shared" si="237"/>
        <v>818675</v>
      </c>
      <c r="AC1301" s="123">
        <v>0</v>
      </c>
      <c r="AD1301" s="123">
        <v>818675</v>
      </c>
      <c r="AE1301" s="123">
        <v>134743</v>
      </c>
      <c r="AG1301" s="151">
        <f t="shared" si="231"/>
        <v>461702</v>
      </c>
      <c r="AH1301" s="123">
        <f>902837-389942</f>
        <v>512895</v>
      </c>
      <c r="AI1301" s="123">
        <v>18446</v>
      </c>
      <c r="AJ1301" s="123">
        <f>AJ1300*3</f>
        <v>93567</v>
      </c>
      <c r="AL1301" s="123">
        <v>32747</v>
      </c>
      <c r="AO1301" s="123">
        <v>207930</v>
      </c>
    </row>
    <row r="1302" spans="1:41" s="123" customFormat="1" ht="16.2" thickBot="1" x14ac:dyDescent="0.35">
      <c r="A1302" s="21"/>
      <c r="B1302" s="212" t="s">
        <v>10</v>
      </c>
      <c r="C1302" s="31" t="str">
        <f>VLOOKUP((CONCATENATE(B1302)),ID!$A$2:$D$305,3,0)</f>
        <v>TR001</v>
      </c>
      <c r="D1302" s="21">
        <v>1</v>
      </c>
      <c r="E1302" s="21" t="s">
        <v>3972</v>
      </c>
      <c r="F1302" s="21" t="s">
        <v>1117</v>
      </c>
      <c r="G1302" s="21" t="s">
        <v>3776</v>
      </c>
      <c r="H1302" s="88">
        <v>3653</v>
      </c>
      <c r="I1302" s="43">
        <v>3786</v>
      </c>
      <c r="J1302" s="43">
        <v>3749</v>
      </c>
      <c r="K1302" s="21">
        <v>0</v>
      </c>
      <c r="L1302" s="43"/>
      <c r="M1302" s="43"/>
      <c r="N1302" s="43">
        <v>3805</v>
      </c>
      <c r="O1302" s="21" t="s">
        <v>3973</v>
      </c>
      <c r="P1302" s="194" t="str">
        <f t="shared" si="246"/>
        <v>1</v>
      </c>
      <c r="Q1302" s="21">
        <v>1</v>
      </c>
      <c r="R1302" s="39" t="str">
        <f t="shared" si="232"/>
        <v>-</v>
      </c>
      <c r="S1302" s="120">
        <f t="shared" si="241"/>
        <v>8600910</v>
      </c>
      <c r="T1302" s="123">
        <v>15216804</v>
      </c>
      <c r="U1302" s="123">
        <f>317900+4010+13914492</f>
        <v>14236402</v>
      </c>
      <c r="V1302" s="123">
        <f t="shared" si="235"/>
        <v>980402</v>
      </c>
      <c r="W1302" s="122" t="str">
        <f t="shared" si="236"/>
        <v>1</v>
      </c>
      <c r="X1302" s="123">
        <f>145279+144848+4533159+1772381+20227</f>
        <v>6615894</v>
      </c>
      <c r="Y1302" s="123">
        <f t="shared" si="245"/>
        <v>6218782</v>
      </c>
      <c r="Z1302" s="123">
        <f t="shared" si="238"/>
        <v>397112</v>
      </c>
      <c r="AA1302" s="122" t="str">
        <f t="shared" si="239"/>
        <v>1</v>
      </c>
      <c r="AB1302" s="120">
        <f t="shared" si="237"/>
        <v>6218782</v>
      </c>
      <c r="AC1302" s="123">
        <v>0</v>
      </c>
      <c r="AD1302" s="123">
        <f>4465674+1733380+19728</f>
        <v>6218782</v>
      </c>
      <c r="AE1302" s="123">
        <v>79522</v>
      </c>
      <c r="AG1302" s="151">
        <f t="shared" si="231"/>
        <v>397316</v>
      </c>
      <c r="AH1302" s="123">
        <f>754875-12839+4192+22500+2000-70660-20250</f>
        <v>679818</v>
      </c>
      <c r="AJ1302" s="123">
        <v>60000</v>
      </c>
      <c r="AL1302" s="123">
        <f>4192+78092+19728+180490</f>
        <v>282502</v>
      </c>
      <c r="AO1302" s="123">
        <f>640000+1000000</f>
        <v>1640000</v>
      </c>
    </row>
    <row r="1303" spans="1:41" s="123" customFormat="1" ht="16.2" thickBot="1" x14ac:dyDescent="0.35">
      <c r="A1303" s="21">
        <v>222.1</v>
      </c>
      <c r="B1303" s="212" t="s">
        <v>10</v>
      </c>
      <c r="C1303" s="31" t="str">
        <f>VLOOKUP((CONCATENATE(B1303)),ID!$A$2:$D$305,3,0)</f>
        <v>TR001</v>
      </c>
      <c r="D1303" s="21">
        <v>1</v>
      </c>
      <c r="E1303" s="21" t="s">
        <v>3972</v>
      </c>
      <c r="F1303" s="21" t="s">
        <v>1117</v>
      </c>
      <c r="G1303" s="21" t="s">
        <v>3776</v>
      </c>
      <c r="H1303" s="88">
        <v>4018</v>
      </c>
      <c r="I1303" s="43">
        <v>4108</v>
      </c>
      <c r="J1303" s="43">
        <v>4101</v>
      </c>
      <c r="K1303" s="21">
        <v>0</v>
      </c>
      <c r="L1303" s="21"/>
      <c r="M1303" s="21"/>
      <c r="N1303" s="43">
        <v>4120</v>
      </c>
      <c r="O1303" s="21" t="s">
        <v>3973</v>
      </c>
      <c r="P1303" s="194" t="str">
        <f t="shared" si="246"/>
        <v>1</v>
      </c>
      <c r="Q1303" s="21">
        <v>1</v>
      </c>
      <c r="R1303" s="39" t="str">
        <f t="shared" si="232"/>
        <v>-</v>
      </c>
      <c r="S1303" s="120">
        <f t="shared" si="241"/>
        <v>8609465</v>
      </c>
      <c r="T1303" s="123">
        <v>16761099</v>
      </c>
      <c r="U1303" s="123">
        <f>317900+3900+14634055</f>
        <v>14955855</v>
      </c>
      <c r="V1303" s="123">
        <f t="shared" si="235"/>
        <v>1805244</v>
      </c>
      <c r="W1303" s="122" t="str">
        <f t="shared" si="236"/>
        <v>1</v>
      </c>
      <c r="X1303" s="123">
        <f>4510056+1769177+1506250+79819+144598+141734</f>
        <v>8151634</v>
      </c>
      <c r="Y1303" s="123">
        <f t="shared" si="245"/>
        <v>7672098</v>
      </c>
      <c r="Z1303" s="123">
        <f t="shared" si="238"/>
        <v>479536</v>
      </c>
      <c r="AA1303" s="122" t="str">
        <f t="shared" si="239"/>
        <v>1</v>
      </c>
      <c r="AB1303" s="120">
        <f t="shared" si="237"/>
        <v>7672098</v>
      </c>
      <c r="AC1303" s="123">
        <v>0</v>
      </c>
      <c r="AD1303" s="123">
        <f>4421624+1730247+1500000+20227</f>
        <v>7672098</v>
      </c>
      <c r="AE1303" s="123">
        <v>667765</v>
      </c>
      <c r="AG1303" s="151">
        <f t="shared" si="231"/>
        <v>565113</v>
      </c>
      <c r="AH1303" s="123">
        <f>2419185-1564093+6366+60000+1500+2000-70660-18525+3430</f>
        <v>839203</v>
      </c>
      <c r="AJ1303" s="123">
        <v>82395</v>
      </c>
      <c r="AL1303" s="123">
        <f>178626+78002+17462</f>
        <v>274090</v>
      </c>
      <c r="AO1303" s="123">
        <f>1640000</f>
        <v>1640000</v>
      </c>
    </row>
    <row r="1304" spans="1:41" s="123" customFormat="1" ht="16.2" thickBot="1" x14ac:dyDescent="0.35">
      <c r="A1304" s="21">
        <v>222.2</v>
      </c>
      <c r="B1304" s="212" t="s">
        <v>10</v>
      </c>
      <c r="C1304" s="31" t="str">
        <f>VLOOKUP((CONCATENATE(B1304)),ID!$A$2:$D$305,3,0)</f>
        <v>TR001</v>
      </c>
      <c r="D1304" s="21">
        <v>1</v>
      </c>
      <c r="E1304" s="21" t="s">
        <v>3972</v>
      </c>
      <c r="F1304" s="21" t="s">
        <v>1117</v>
      </c>
      <c r="G1304" s="21" t="s">
        <v>3776</v>
      </c>
      <c r="H1304" s="88">
        <v>4383</v>
      </c>
      <c r="I1304" s="43">
        <v>4476</v>
      </c>
      <c r="J1304" s="43">
        <v>4470</v>
      </c>
      <c r="K1304" s="21">
        <v>0</v>
      </c>
      <c r="L1304" s="21"/>
      <c r="M1304" s="21"/>
      <c r="N1304" s="43">
        <v>4486</v>
      </c>
      <c r="O1304" s="21" t="s">
        <v>3973</v>
      </c>
      <c r="P1304" s="194" t="str">
        <f t="shared" si="246"/>
        <v>1</v>
      </c>
      <c r="Q1304" s="21">
        <v>1</v>
      </c>
      <c r="R1304" s="39" t="str">
        <f t="shared" si="232"/>
        <v>-</v>
      </c>
      <c r="S1304" s="120">
        <f t="shared" si="241"/>
        <v>8634726</v>
      </c>
      <c r="T1304" s="123">
        <v>18185962</v>
      </c>
      <c r="U1304" s="123">
        <f>15757346+3933+316593</f>
        <v>16077872</v>
      </c>
      <c r="V1304" s="123">
        <f t="shared" si="235"/>
        <v>2108090</v>
      </c>
      <c r="W1304" s="122" t="str">
        <f t="shared" si="236"/>
        <v>1</v>
      </c>
      <c r="X1304" s="123">
        <f>160852+263344+204631+8922409</f>
        <v>9551236</v>
      </c>
      <c r="Y1304" s="123">
        <f t="shared" si="245"/>
        <v>8785154</v>
      </c>
      <c r="Z1304" s="123">
        <f t="shared" si="238"/>
        <v>766082</v>
      </c>
      <c r="AA1304" s="122" t="str">
        <f t="shared" si="239"/>
        <v>1</v>
      </c>
      <c r="AB1304" s="120">
        <f t="shared" si="237"/>
        <v>8785154</v>
      </c>
      <c r="AC1304" s="123">
        <v>0</v>
      </c>
      <c r="AD1304" s="123">
        <f>8785154</f>
        <v>8785154</v>
      </c>
      <c r="AE1304" s="123">
        <v>756207</v>
      </c>
      <c r="AG1304" s="151">
        <f t="shared" si="231"/>
        <v>638954</v>
      </c>
      <c r="AH1304" s="123">
        <f>2631836-1723928+3805+25000+43500+4000+43500+4000-70660</f>
        <v>961053</v>
      </c>
      <c r="AJ1304" s="123">
        <v>94166</v>
      </c>
      <c r="AL1304" s="123">
        <f>3805+178626+78002+61666</f>
        <v>322099</v>
      </c>
      <c r="AO1304" s="123">
        <f>AO1303</f>
        <v>1640000</v>
      </c>
    </row>
    <row r="1305" spans="1:41" s="123" customFormat="1" ht="16.2" thickBot="1" x14ac:dyDescent="0.35">
      <c r="A1305" s="21"/>
      <c r="B1305" s="212" t="s">
        <v>10</v>
      </c>
      <c r="C1305" s="31" t="str">
        <f>VLOOKUP((CONCATENATE(B1305)),ID!$A$2:$D$305,3,0)</f>
        <v>TR001</v>
      </c>
      <c r="D1305" s="21">
        <v>1</v>
      </c>
      <c r="E1305" s="21" t="s">
        <v>3972</v>
      </c>
      <c r="F1305" s="21" t="s">
        <v>1117</v>
      </c>
      <c r="G1305" s="21" t="s">
        <v>3776</v>
      </c>
      <c r="H1305" s="88">
        <v>4749</v>
      </c>
      <c r="I1305" s="43">
        <v>4850</v>
      </c>
      <c r="J1305" s="43">
        <v>4848</v>
      </c>
      <c r="K1305" s="21">
        <v>0</v>
      </c>
      <c r="L1305" s="21"/>
      <c r="M1305" s="21"/>
      <c r="N1305" s="43">
        <v>4860</v>
      </c>
      <c r="O1305" s="21" t="s">
        <v>3973</v>
      </c>
      <c r="P1305" s="194" t="str">
        <f t="shared" si="246"/>
        <v>1</v>
      </c>
      <c r="Q1305" s="21">
        <v>1</v>
      </c>
      <c r="R1305" s="39" t="str">
        <f t="shared" si="232"/>
        <v>-</v>
      </c>
      <c r="S1305" s="120">
        <f t="shared" si="241"/>
        <v>8640133</v>
      </c>
      <c r="T1305" s="123">
        <v>19281203</v>
      </c>
      <c r="U1305" s="123">
        <f>17081645+3909+316279</f>
        <v>17401833</v>
      </c>
      <c r="V1305" s="123">
        <f t="shared" si="235"/>
        <v>1879370</v>
      </c>
      <c r="W1305" s="122" t="str">
        <f t="shared" si="236"/>
        <v>1</v>
      </c>
      <c r="X1305" s="123">
        <f>10147617+90020+242217+161216</f>
        <v>10641070</v>
      </c>
      <c r="Y1305" s="123">
        <f t="shared" si="245"/>
        <v>10005731</v>
      </c>
      <c r="Z1305" s="123">
        <f t="shared" si="238"/>
        <v>635339</v>
      </c>
      <c r="AA1305" s="122" t="str">
        <f t="shared" si="239"/>
        <v>1</v>
      </c>
      <c r="AB1305" s="120">
        <f t="shared" si="237"/>
        <v>10005731</v>
      </c>
      <c r="AC1305" s="123">
        <v>0</v>
      </c>
      <c r="AD1305" s="123">
        <v>10005731</v>
      </c>
      <c r="AE1305" s="123">
        <v>495639</v>
      </c>
      <c r="AG1305" s="151">
        <f t="shared" si="231"/>
        <v>671962</v>
      </c>
      <c r="AH1305" s="123">
        <f>2778302-1824021-70660+4964+11000+52000+500+63000+8500</f>
        <v>1023585</v>
      </c>
      <c r="AJ1305" s="123">
        <v>100000</v>
      </c>
      <c r="AL1305" s="123">
        <f>4964+178626+78002+90031</f>
        <v>351623</v>
      </c>
      <c r="AO1305" s="123">
        <f>AO1304</f>
        <v>1640000</v>
      </c>
    </row>
    <row r="1306" spans="1:41" s="123" customFormat="1" ht="16.2" thickBot="1" x14ac:dyDescent="0.35">
      <c r="A1306" s="21"/>
      <c r="B1306" s="212" t="s">
        <v>10</v>
      </c>
      <c r="C1306" s="31" t="str">
        <f>VLOOKUP((CONCATENATE(B1306)),ID!$A$2:$D$305,3,0)</f>
        <v>TR001</v>
      </c>
      <c r="D1306" s="21">
        <v>1</v>
      </c>
      <c r="E1306" s="21" t="s">
        <v>3972</v>
      </c>
      <c r="F1306" s="21" t="s">
        <v>1117</v>
      </c>
      <c r="G1306" s="21" t="s">
        <v>3776</v>
      </c>
      <c r="H1306" s="88">
        <v>5114</v>
      </c>
      <c r="I1306" s="43">
        <v>5221</v>
      </c>
      <c r="J1306" s="43">
        <v>5220</v>
      </c>
      <c r="K1306" s="21">
        <v>0</v>
      </c>
      <c r="L1306" s="21"/>
      <c r="M1306" s="21"/>
      <c r="N1306" s="43">
        <v>5231</v>
      </c>
      <c r="O1306" s="27" t="s">
        <v>4128</v>
      </c>
      <c r="P1306" s="194" t="str">
        <f t="shared" si="246"/>
        <v>1</v>
      </c>
      <c r="Q1306" s="21">
        <v>1</v>
      </c>
      <c r="R1306" s="39" t="str">
        <f t="shared" si="232"/>
        <v>-</v>
      </c>
      <c r="S1306" s="120">
        <f t="shared" si="241"/>
        <v>9229031</v>
      </c>
      <c r="T1306" s="123">
        <v>20474131</v>
      </c>
      <c r="U1306" s="123">
        <f>329004+4143+18554214</f>
        <v>18887361</v>
      </c>
      <c r="V1306" s="123">
        <f t="shared" si="235"/>
        <v>1586770</v>
      </c>
      <c r="W1306" s="122" t="str">
        <f t="shared" si="236"/>
        <v>1</v>
      </c>
      <c r="X1306" s="123">
        <f>10715961+366802+5587+156750</f>
        <v>11245100</v>
      </c>
      <c r="Y1306" s="123">
        <f t="shared" si="245"/>
        <v>10571482</v>
      </c>
      <c r="Z1306" s="123">
        <f t="shared" si="238"/>
        <v>673618</v>
      </c>
      <c r="AA1306" s="122" t="str">
        <f t="shared" si="239"/>
        <v>1</v>
      </c>
      <c r="AB1306" s="120">
        <f t="shared" si="237"/>
        <v>10571482</v>
      </c>
      <c r="AC1306" s="123">
        <v>0</v>
      </c>
      <c r="AD1306" s="123">
        <v>10571482</v>
      </c>
      <c r="AE1306" s="123">
        <v>244592</v>
      </c>
      <c r="AG1306" s="151">
        <f t="shared" si="231"/>
        <v>718929</v>
      </c>
      <c r="AH1306" s="123">
        <f>2963191-1969160+150000+557+20083-70660</f>
        <v>1094011</v>
      </c>
      <c r="AJ1306" s="123">
        <v>100000</v>
      </c>
      <c r="AL1306" s="123">
        <v>375082</v>
      </c>
      <c r="AO1306" s="123">
        <f>AO1305</f>
        <v>1640000</v>
      </c>
    </row>
    <row r="1307" spans="1:41" s="123" customFormat="1" ht="16.2" thickBot="1" x14ac:dyDescent="0.35">
      <c r="A1307" s="21"/>
      <c r="B1307" s="212" t="s">
        <v>39</v>
      </c>
      <c r="C1307" s="31" t="str">
        <f>VLOOKUP((CONCATENATE(B1307)),ID!$A$2:$D$305,3,0)</f>
        <v>TR002</v>
      </c>
      <c r="D1307" s="21">
        <v>1</v>
      </c>
      <c r="E1307" s="21" t="s">
        <v>3972</v>
      </c>
      <c r="F1307" s="21" t="s">
        <v>1117</v>
      </c>
      <c r="G1307" s="21" t="s">
        <v>3777</v>
      </c>
      <c r="H1307" s="88">
        <v>3653</v>
      </c>
      <c r="I1307" s="43">
        <v>3828</v>
      </c>
      <c r="J1307" s="43">
        <v>3805</v>
      </c>
      <c r="K1307" s="21">
        <v>0</v>
      </c>
      <c r="L1307" s="21"/>
      <c r="M1307" s="21"/>
      <c r="N1307" s="43">
        <v>3855</v>
      </c>
      <c r="O1307" s="21" t="s">
        <v>3974</v>
      </c>
      <c r="P1307" s="194" t="str">
        <f t="shared" si="246"/>
        <v>1</v>
      </c>
      <c r="Q1307" s="21">
        <v>1</v>
      </c>
      <c r="R1307" s="39" t="str">
        <f t="shared" si="232"/>
        <v>-</v>
      </c>
      <c r="S1307" s="120">
        <f t="shared" si="241"/>
        <v>1238782</v>
      </c>
      <c r="T1307" s="123">
        <v>2025237</v>
      </c>
      <c r="U1307" s="123">
        <f>115342+1530774+37139+157625</f>
        <v>1840880</v>
      </c>
      <c r="V1307" s="123">
        <f t="shared" si="235"/>
        <v>184357</v>
      </c>
      <c r="W1307" s="122" t="str">
        <f t="shared" si="236"/>
        <v>1</v>
      </c>
      <c r="X1307" s="123">
        <f>25690+153750+606979+36</f>
        <v>786455</v>
      </c>
      <c r="Y1307" s="123">
        <f t="shared" ref="Y1307:Y1320" si="247">AB1307</f>
        <v>743623</v>
      </c>
      <c r="Z1307" s="123">
        <f t="shared" si="238"/>
        <v>42832</v>
      </c>
      <c r="AA1307" s="122" t="str">
        <f t="shared" si="239"/>
        <v>1</v>
      </c>
      <c r="AB1307" s="120">
        <f t="shared" si="237"/>
        <v>743623</v>
      </c>
      <c r="AC1307" s="123">
        <v>0</v>
      </c>
      <c r="AD1307" s="123">
        <f>593623+150000</f>
        <v>743623</v>
      </c>
      <c r="AE1307" s="123">
        <v>131344</v>
      </c>
      <c r="AG1307" s="151">
        <f t="shared" si="231"/>
        <v>52167</v>
      </c>
      <c r="AH1307" s="123">
        <f>86296-700-2874-25</f>
        <v>82697</v>
      </c>
      <c r="AJ1307" s="123">
        <v>22489</v>
      </c>
      <c r="AL1307" s="123">
        <v>30530</v>
      </c>
      <c r="AO1307" s="123">
        <f>59920+60000</f>
        <v>119920</v>
      </c>
    </row>
    <row r="1308" spans="1:41" s="123" customFormat="1" ht="16.2" thickBot="1" x14ac:dyDescent="0.35">
      <c r="A1308" s="21">
        <v>223.1</v>
      </c>
      <c r="B1308" s="212" t="s">
        <v>39</v>
      </c>
      <c r="C1308" s="31" t="str">
        <f>VLOOKUP((CONCATENATE(B1308)),ID!$A$2:$D$305,3,0)</f>
        <v>TR002</v>
      </c>
      <c r="D1308" s="21">
        <v>1</v>
      </c>
      <c r="E1308" s="21" t="s">
        <v>3972</v>
      </c>
      <c r="F1308" s="21" t="s">
        <v>1117</v>
      </c>
      <c r="G1308" s="21" t="s">
        <v>3777</v>
      </c>
      <c r="H1308" s="88">
        <v>4018</v>
      </c>
      <c r="I1308" s="43">
        <v>4192</v>
      </c>
      <c r="J1308" s="43">
        <v>4164</v>
      </c>
      <c r="K1308" s="21">
        <v>0</v>
      </c>
      <c r="L1308" s="21"/>
      <c r="M1308" s="21"/>
      <c r="N1308" s="43">
        <v>4218</v>
      </c>
      <c r="O1308" s="21" t="s">
        <v>3974</v>
      </c>
      <c r="P1308" s="194" t="str">
        <f t="shared" si="246"/>
        <v>1</v>
      </c>
      <c r="Q1308" s="21">
        <v>1</v>
      </c>
      <c r="R1308" s="39" t="str">
        <f t="shared" si="232"/>
        <v>-</v>
      </c>
      <c r="S1308" s="120">
        <f t="shared" si="241"/>
        <v>1267945</v>
      </c>
      <c r="T1308" s="123">
        <v>2063345</v>
      </c>
      <c r="U1308" s="123">
        <f>115342+1660656+78396+157075</f>
        <v>2011469</v>
      </c>
      <c r="V1308" s="123">
        <f t="shared" si="235"/>
        <v>51876</v>
      </c>
      <c r="W1308" s="122" t="str">
        <f t="shared" si="236"/>
        <v>1</v>
      </c>
      <c r="X1308" s="123">
        <f>588323+150000+57041+36</f>
        <v>795400</v>
      </c>
      <c r="Y1308" s="123">
        <f t="shared" si="247"/>
        <v>738323</v>
      </c>
      <c r="Z1308" s="123">
        <f t="shared" si="238"/>
        <v>57077</v>
      </c>
      <c r="AA1308" s="122" t="str">
        <f t="shared" si="239"/>
        <v>1</v>
      </c>
      <c r="AB1308" s="120">
        <f t="shared" si="237"/>
        <v>738323</v>
      </c>
      <c r="AC1308" s="123">
        <v>0</v>
      </c>
      <c r="AD1308" s="123">
        <f>588323+150000</f>
        <v>738323</v>
      </c>
      <c r="AE1308" s="123">
        <v>15921</v>
      </c>
      <c r="AG1308" s="151">
        <f t="shared" si="231"/>
        <v>64164</v>
      </c>
      <c r="AH1308" s="123">
        <f>64164+AL1308</f>
        <v>97177</v>
      </c>
      <c r="AJ1308" s="123">
        <v>22489</v>
      </c>
      <c r="AL1308" s="123">
        <v>33013</v>
      </c>
      <c r="AO1308" s="123">
        <f>59920+60000</f>
        <v>119920</v>
      </c>
    </row>
    <row r="1309" spans="1:41" s="123" customFormat="1" ht="16.2" thickBot="1" x14ac:dyDescent="0.35">
      <c r="A1309" s="21">
        <v>223.1</v>
      </c>
      <c r="B1309" s="212" t="s">
        <v>39</v>
      </c>
      <c r="C1309" s="31" t="str">
        <f>VLOOKUP((CONCATENATE(B1309)),ID!$A$2:$D$305,3,0)</f>
        <v>TR002</v>
      </c>
      <c r="D1309" s="21">
        <v>1</v>
      </c>
      <c r="E1309" s="21" t="s">
        <v>3972</v>
      </c>
      <c r="F1309" s="21" t="s">
        <v>1117</v>
      </c>
      <c r="G1309" s="21" t="s">
        <v>3777</v>
      </c>
      <c r="H1309" s="88">
        <v>4383</v>
      </c>
      <c r="I1309" s="43">
        <v>4544</v>
      </c>
      <c r="J1309" s="43">
        <v>4513</v>
      </c>
      <c r="K1309" s="21">
        <v>1</v>
      </c>
      <c r="L1309" s="43">
        <v>4547</v>
      </c>
      <c r="M1309" s="43">
        <v>4560</v>
      </c>
      <c r="N1309" s="43">
        <v>4560</v>
      </c>
      <c r="O1309" s="21" t="s">
        <v>3974</v>
      </c>
      <c r="P1309" s="194" t="str">
        <f t="shared" si="246"/>
        <v>1</v>
      </c>
      <c r="Q1309" s="21">
        <v>1</v>
      </c>
      <c r="R1309" s="39" t="str">
        <f t="shared" si="232"/>
        <v>-</v>
      </c>
      <c r="S1309" s="120">
        <f t="shared" si="241"/>
        <v>1310735</v>
      </c>
      <c r="T1309" s="123">
        <v>2146155</v>
      </c>
      <c r="U1309" s="123">
        <f>42480+159070+1747354+115342</f>
        <v>2064246</v>
      </c>
      <c r="V1309" s="123">
        <f t="shared" si="235"/>
        <v>81909</v>
      </c>
      <c r="W1309" s="122" t="str">
        <f t="shared" si="236"/>
        <v>1</v>
      </c>
      <c r="X1309" s="123">
        <f>588073+200000+47311+36</f>
        <v>835420</v>
      </c>
      <c r="Y1309" s="123">
        <f t="shared" si="247"/>
        <v>788073</v>
      </c>
      <c r="Z1309" s="123">
        <f t="shared" si="238"/>
        <v>47347</v>
      </c>
      <c r="AA1309" s="122" t="str">
        <f t="shared" si="239"/>
        <v>1</v>
      </c>
      <c r="AB1309" s="120">
        <f t="shared" si="237"/>
        <v>788073</v>
      </c>
      <c r="AC1309" s="123">
        <v>0</v>
      </c>
      <c r="AD1309" s="123">
        <f>588073+200000</f>
        <v>788073</v>
      </c>
      <c r="AE1309" s="123">
        <v>33884</v>
      </c>
      <c r="AG1309" s="151">
        <f t="shared" si="231"/>
        <v>77861</v>
      </c>
      <c r="AH1309" s="123">
        <f>114340+445+1577+228-3011</f>
        <v>113579</v>
      </c>
      <c r="AJ1309" s="123">
        <v>22495</v>
      </c>
      <c r="AL1309" s="123">
        <v>35718</v>
      </c>
      <c r="AO1309" s="123">
        <f>59920+60000</f>
        <v>119920</v>
      </c>
    </row>
    <row r="1310" spans="1:41" s="123" customFormat="1" ht="16.2" thickBot="1" x14ac:dyDescent="0.35">
      <c r="A1310" s="21"/>
      <c r="B1310" s="212" t="s">
        <v>39</v>
      </c>
      <c r="C1310" s="31" t="str">
        <f>VLOOKUP((CONCATENATE(B1310)),ID!$A$2:$D$305,3,0)</f>
        <v>TR002</v>
      </c>
      <c r="D1310" s="21">
        <v>1</v>
      </c>
      <c r="E1310" s="21" t="s">
        <v>3972</v>
      </c>
      <c r="F1310" s="21" t="s">
        <v>1117</v>
      </c>
      <c r="G1310" s="21" t="s">
        <v>3777</v>
      </c>
      <c r="H1310" s="88">
        <v>4749</v>
      </c>
      <c r="I1310" s="43">
        <v>4878</v>
      </c>
      <c r="J1310" s="43">
        <v>4878</v>
      </c>
      <c r="K1310" s="21">
        <v>0</v>
      </c>
      <c r="L1310" s="43"/>
      <c r="M1310" s="43"/>
      <c r="N1310" s="43">
        <v>4924</v>
      </c>
      <c r="O1310" s="21" t="s">
        <v>3974</v>
      </c>
      <c r="P1310" s="194" t="str">
        <f t="shared" si="246"/>
        <v>1</v>
      </c>
      <c r="Q1310" s="21">
        <v>1</v>
      </c>
      <c r="R1310" s="39" t="str">
        <f t="shared" si="232"/>
        <v>-</v>
      </c>
      <c r="S1310" s="120">
        <f t="shared" si="241"/>
        <v>1349308</v>
      </c>
      <c r="T1310" s="123">
        <v>2188979</v>
      </c>
      <c r="U1310" s="123">
        <f>115342+1780699+159069+46552</f>
        <v>2101662</v>
      </c>
      <c r="V1310" s="123">
        <f t="shared" si="235"/>
        <v>87317</v>
      </c>
      <c r="W1310" s="122" t="str">
        <f t="shared" si="236"/>
        <v>1</v>
      </c>
      <c r="X1310" s="123">
        <f>Y1310+52062+36</f>
        <v>839671</v>
      </c>
      <c r="Y1310" s="123">
        <f t="shared" si="247"/>
        <v>787573</v>
      </c>
      <c r="Z1310" s="123">
        <f t="shared" si="238"/>
        <v>52098</v>
      </c>
      <c r="AA1310" s="122" t="str">
        <f t="shared" si="239"/>
        <v>1</v>
      </c>
      <c r="AB1310" s="120">
        <f t="shared" si="237"/>
        <v>787573</v>
      </c>
      <c r="AC1310" s="123">
        <v>0</v>
      </c>
      <c r="AD1310" s="123">
        <f>587573+200000</f>
        <v>787573</v>
      </c>
      <c r="AE1310" s="123">
        <v>39710</v>
      </c>
      <c r="AG1310" s="151">
        <f t="shared" ref="AG1310:AG1373" si="248">AH1310-AL1310-AI1310</f>
        <v>92230</v>
      </c>
      <c r="AH1310" s="123">
        <f>132174-3492</f>
        <v>128682</v>
      </c>
      <c r="AJ1310" s="123">
        <v>22497</v>
      </c>
      <c r="AL1310" s="123">
        <v>36452</v>
      </c>
      <c r="AO1310" s="123">
        <f>59920+60000</f>
        <v>119920</v>
      </c>
    </row>
    <row r="1311" spans="1:41" s="123" customFormat="1" ht="16.2" thickBot="1" x14ac:dyDescent="0.35">
      <c r="A1311" s="21"/>
      <c r="B1311" s="212" t="s">
        <v>39</v>
      </c>
      <c r="C1311" s="31" t="str">
        <f>VLOOKUP((CONCATENATE(B1311)),ID!$A$2:$D$305,3,0)</f>
        <v>TR002</v>
      </c>
      <c r="D1311" s="21">
        <v>1</v>
      </c>
      <c r="E1311" s="21" t="s">
        <v>3972</v>
      </c>
      <c r="F1311" s="21" t="s">
        <v>1117</v>
      </c>
      <c r="G1311" s="21" t="s">
        <v>3777</v>
      </c>
      <c r="H1311" s="88">
        <v>5114</v>
      </c>
      <c r="I1311" s="43">
        <v>5241</v>
      </c>
      <c r="J1311" s="43">
        <v>5241</v>
      </c>
      <c r="K1311" s="21">
        <v>0</v>
      </c>
      <c r="L1311" s="43"/>
      <c r="M1311" s="43"/>
      <c r="N1311" s="43">
        <v>5288</v>
      </c>
      <c r="O1311" s="21" t="s">
        <v>3974</v>
      </c>
      <c r="P1311" s="194" t="str">
        <f t="shared" si="246"/>
        <v>1</v>
      </c>
      <c r="Q1311" s="21">
        <v>1</v>
      </c>
      <c r="R1311" s="39" t="str">
        <f t="shared" si="232"/>
        <v>-</v>
      </c>
      <c r="S1311" s="120">
        <f t="shared" si="241"/>
        <v>1390723</v>
      </c>
      <c r="T1311" s="123">
        <v>2244473</v>
      </c>
      <c r="U1311" s="123">
        <f>62656+158911+1839015+115342</f>
        <v>2175924</v>
      </c>
      <c r="V1311" s="123">
        <f t="shared" si="235"/>
        <v>68549</v>
      </c>
      <c r="W1311" s="122" t="str">
        <f t="shared" si="236"/>
        <v>1</v>
      </c>
      <c r="X1311" s="123">
        <f>36+583730+192000+9583+68401</f>
        <v>853750</v>
      </c>
      <c r="Y1311" s="123">
        <f t="shared" si="247"/>
        <v>775730</v>
      </c>
      <c r="Z1311" s="123">
        <f t="shared" si="238"/>
        <v>78020</v>
      </c>
      <c r="AA1311" s="122" t="str">
        <f t="shared" si="239"/>
        <v>1</v>
      </c>
      <c r="AB1311" s="120">
        <f t="shared" si="237"/>
        <v>775730</v>
      </c>
      <c r="AC1311" s="123">
        <v>0</v>
      </c>
      <c r="AD1311" s="123">
        <f>583730+192000</f>
        <v>775730</v>
      </c>
      <c r="AE1311" s="123">
        <v>6068</v>
      </c>
      <c r="AG1311" s="151">
        <f t="shared" si="248"/>
        <v>109442</v>
      </c>
      <c r="AH1311" s="123">
        <f>149060-3332-56-99</f>
        <v>145573</v>
      </c>
      <c r="AJ1311" s="123">
        <f>36000+22497</f>
        <v>58497</v>
      </c>
      <c r="AL1311" s="123">
        <v>36131</v>
      </c>
      <c r="AO1311" s="123">
        <f>59920+60000</f>
        <v>119920</v>
      </c>
    </row>
    <row r="1312" spans="1:41" s="123" customFormat="1" ht="16.2" thickBot="1" x14ac:dyDescent="0.35">
      <c r="A1312" s="21"/>
      <c r="B1312" s="212" t="s">
        <v>44</v>
      </c>
      <c r="C1312" s="31" t="str">
        <f>VLOOKUP((CONCATENATE(B1312)),ID!$A$2:$D$305,3,0)</f>
        <v>TR003</v>
      </c>
      <c r="D1312" s="21">
        <v>1</v>
      </c>
      <c r="E1312" s="21" t="s">
        <v>3972</v>
      </c>
      <c r="F1312" s="21" t="s">
        <v>3849</v>
      </c>
      <c r="G1312" s="21" t="s">
        <v>3853</v>
      </c>
      <c r="H1312" s="88">
        <v>3653</v>
      </c>
      <c r="I1312" s="43">
        <v>3691</v>
      </c>
      <c r="J1312" s="43">
        <v>3691</v>
      </c>
      <c r="K1312" s="21">
        <v>1</v>
      </c>
      <c r="L1312" s="43">
        <v>3700</v>
      </c>
      <c r="M1312" s="43">
        <v>3706</v>
      </c>
      <c r="N1312" s="43">
        <v>3700</v>
      </c>
      <c r="O1312" s="21" t="s">
        <v>3975</v>
      </c>
      <c r="P1312" s="194" t="str">
        <f t="shared" si="246"/>
        <v>1</v>
      </c>
      <c r="Q1312" s="21">
        <v>1</v>
      </c>
      <c r="R1312" s="39" t="str">
        <f t="shared" ref="R1312:R1376" si="249">IF(Q1312=0,"?","-")</f>
        <v>-</v>
      </c>
      <c r="S1312" s="120">
        <f t="shared" si="241"/>
        <v>1214957</v>
      </c>
      <c r="T1312" s="123">
        <v>1800959</v>
      </c>
      <c r="U1312" s="123">
        <f>1530549+200832</f>
        <v>1731381</v>
      </c>
      <c r="V1312" s="123">
        <f t="shared" si="235"/>
        <v>69578</v>
      </c>
      <c r="W1312" s="122" t="str">
        <f t="shared" si="236"/>
        <v>1</v>
      </c>
      <c r="X1312" s="123">
        <f>Y1312+36110+49892</f>
        <v>586002</v>
      </c>
      <c r="Y1312" s="123">
        <f t="shared" si="247"/>
        <v>500000</v>
      </c>
      <c r="Z1312" s="123">
        <f t="shared" si="238"/>
        <v>86002</v>
      </c>
      <c r="AA1312" s="122" t="str">
        <f t="shared" si="239"/>
        <v>1</v>
      </c>
      <c r="AB1312" s="120">
        <f t="shared" si="237"/>
        <v>500000</v>
      </c>
      <c r="AC1312" s="123">
        <v>0</v>
      </c>
      <c r="AD1312" s="123">
        <v>500000</v>
      </c>
      <c r="AE1312" s="123">
        <f>3873+1863</f>
        <v>5736</v>
      </c>
      <c r="AG1312" s="151">
        <f t="shared" si="248"/>
        <v>65266</v>
      </c>
      <c r="AH1312" s="123">
        <f>18079+68113</f>
        <v>86192</v>
      </c>
      <c r="AJ1312" s="123">
        <f>14187+18875</f>
        <v>33062</v>
      </c>
      <c r="AL1312" s="123">
        <v>20926</v>
      </c>
      <c r="AM1312" s="123">
        <v>285564</v>
      </c>
      <c r="AO1312" s="123">
        <v>100000</v>
      </c>
    </row>
    <row r="1313" spans="1:41" s="123" customFormat="1" ht="16.2" thickBot="1" x14ac:dyDescent="0.35">
      <c r="A1313" s="21">
        <v>224.1</v>
      </c>
      <c r="B1313" s="212" t="s">
        <v>44</v>
      </c>
      <c r="C1313" s="31" t="str">
        <f>VLOOKUP((CONCATENATE(B1313)),ID!$A$2:$D$305,3,0)</f>
        <v>TR003</v>
      </c>
      <c r="D1313" s="21">
        <v>1</v>
      </c>
      <c r="E1313" s="21" t="s">
        <v>3972</v>
      </c>
      <c r="F1313" s="21" t="s">
        <v>3849</v>
      </c>
      <c r="G1313" s="21" t="s">
        <v>3853</v>
      </c>
      <c r="H1313" s="88">
        <v>4018</v>
      </c>
      <c r="I1313" s="43">
        <v>4063</v>
      </c>
      <c r="J1313" s="43">
        <v>4063</v>
      </c>
      <c r="K1313" s="21">
        <v>1</v>
      </c>
      <c r="L1313" s="43">
        <v>4064</v>
      </c>
      <c r="M1313" s="43">
        <v>4077</v>
      </c>
      <c r="N1313" s="43">
        <v>4072</v>
      </c>
      <c r="O1313" s="21" t="s">
        <v>3975</v>
      </c>
      <c r="P1313" s="194" t="str">
        <f t="shared" si="246"/>
        <v>1</v>
      </c>
      <c r="Q1313" s="21">
        <v>1</v>
      </c>
      <c r="R1313" s="39" t="str">
        <f t="shared" si="249"/>
        <v>-</v>
      </c>
      <c r="S1313" s="120">
        <f t="shared" si="241"/>
        <v>1217547</v>
      </c>
      <c r="T1313" s="123">
        <v>1827449</v>
      </c>
      <c r="U1313" s="123">
        <f>1558468+200757</f>
        <v>1759225</v>
      </c>
      <c r="V1313" s="123">
        <f t="shared" si="235"/>
        <v>68224</v>
      </c>
      <c r="W1313" s="122" t="str">
        <f t="shared" si="236"/>
        <v>1</v>
      </c>
      <c r="X1313" s="123">
        <f>500000+23950+63593+22359</f>
        <v>609902</v>
      </c>
      <c r="Y1313" s="123">
        <f t="shared" si="247"/>
        <v>522359</v>
      </c>
      <c r="Z1313" s="123">
        <f t="shared" si="238"/>
        <v>87543</v>
      </c>
      <c r="AA1313" s="122" t="str">
        <f t="shared" si="239"/>
        <v>1</v>
      </c>
      <c r="AB1313" s="120">
        <f t="shared" si="237"/>
        <v>522359</v>
      </c>
      <c r="AC1313" s="123">
        <v>0</v>
      </c>
      <c r="AD1313" s="123">
        <f>22359+500000</f>
        <v>522359</v>
      </c>
      <c r="AE1313" s="123">
        <v>1815</v>
      </c>
      <c r="AG1313" s="151">
        <f t="shared" si="248"/>
        <v>39926</v>
      </c>
      <c r="AH1313" s="123">
        <f>62163</f>
        <v>62163</v>
      </c>
      <c r="AJ1313" s="123">
        <f>18833+9416</f>
        <v>28249</v>
      </c>
      <c r="AL1313" s="123">
        <v>22237</v>
      </c>
      <c r="AM1313" s="123">
        <v>311121</v>
      </c>
      <c r="AO1313" s="123">
        <v>100000</v>
      </c>
    </row>
    <row r="1314" spans="1:41" s="123" customFormat="1" ht="16.2" thickBot="1" x14ac:dyDescent="0.35">
      <c r="A1314" s="21">
        <v>224.2</v>
      </c>
      <c r="B1314" s="212" t="s">
        <v>44</v>
      </c>
      <c r="C1314" s="31" t="str">
        <f>VLOOKUP((CONCATENATE(B1314)),ID!$A$2:$D$305,3,0)</f>
        <v>TR003</v>
      </c>
      <c r="D1314" s="21">
        <v>1</v>
      </c>
      <c r="E1314" s="21" t="s">
        <v>3972</v>
      </c>
      <c r="F1314" s="21" t="s">
        <v>3849</v>
      </c>
      <c r="G1314" s="21" t="s">
        <v>3853</v>
      </c>
      <c r="H1314" s="88">
        <v>4383</v>
      </c>
      <c r="I1314" s="43">
        <v>4420</v>
      </c>
      <c r="J1314" s="43">
        <v>4420</v>
      </c>
      <c r="K1314" s="21">
        <v>1</v>
      </c>
      <c r="L1314" s="43">
        <v>4420</v>
      </c>
      <c r="M1314" s="43">
        <v>4434</v>
      </c>
      <c r="N1314" s="43">
        <v>4428</v>
      </c>
      <c r="O1314" s="21" t="s">
        <v>3975</v>
      </c>
      <c r="P1314" s="194" t="str">
        <f t="shared" si="246"/>
        <v>1</v>
      </c>
      <c r="Q1314" s="21">
        <v>1</v>
      </c>
      <c r="R1314" s="39" t="str">
        <f t="shared" si="249"/>
        <v>-</v>
      </c>
      <c r="S1314" s="120">
        <f t="shared" si="241"/>
        <v>1230648</v>
      </c>
      <c r="T1314" s="123">
        <v>1883818</v>
      </c>
      <c r="U1314" s="123">
        <f>1599947+204790</f>
        <v>1804737</v>
      </c>
      <c r="V1314" s="123">
        <f t="shared" si="235"/>
        <v>79081</v>
      </c>
      <c r="W1314" s="122" t="str">
        <f t="shared" si="236"/>
        <v>1</v>
      </c>
      <c r="X1314" s="123">
        <f>45463+86457+21250+500000</f>
        <v>653170</v>
      </c>
      <c r="Y1314" s="123">
        <f t="shared" si="247"/>
        <v>545463</v>
      </c>
      <c r="Z1314" s="123">
        <f t="shared" si="238"/>
        <v>107707</v>
      </c>
      <c r="AA1314" s="122" t="str">
        <f t="shared" si="239"/>
        <v>1</v>
      </c>
      <c r="AB1314" s="120">
        <f t="shared" si="237"/>
        <v>545463</v>
      </c>
      <c r="AC1314" s="123">
        <v>0</v>
      </c>
      <c r="AD1314" s="123">
        <f>45463+500000</f>
        <v>545463</v>
      </c>
      <c r="AE1314" s="123">
        <v>3299</v>
      </c>
      <c r="AG1314" s="151">
        <f t="shared" si="248"/>
        <v>42664</v>
      </c>
      <c r="AH1314" s="123">
        <v>65164</v>
      </c>
      <c r="AJ1314" s="123">
        <f>18833+9416</f>
        <v>28249</v>
      </c>
      <c r="AL1314" s="123">
        <v>22500</v>
      </c>
      <c r="AM1314" s="123">
        <v>335738</v>
      </c>
      <c r="AO1314" s="123">
        <v>100000</v>
      </c>
    </row>
    <row r="1315" spans="1:41" s="123" customFormat="1" ht="16.2" thickBot="1" x14ac:dyDescent="0.35">
      <c r="A1315" s="21"/>
      <c r="B1315" s="212" t="s">
        <v>44</v>
      </c>
      <c r="C1315" s="31" t="str">
        <f>VLOOKUP((CONCATENATE(B1315)),ID!$A$2:$D$305,3,0)</f>
        <v>TR003</v>
      </c>
      <c r="D1315" s="21">
        <v>1</v>
      </c>
      <c r="E1315" s="21" t="s">
        <v>3972</v>
      </c>
      <c r="F1315" s="21" t="s">
        <v>3849</v>
      </c>
      <c r="G1315" s="21" t="s">
        <v>3853</v>
      </c>
      <c r="H1315" s="88">
        <v>4749</v>
      </c>
      <c r="I1315" s="43">
        <v>4790</v>
      </c>
      <c r="J1315" s="43">
        <v>4790</v>
      </c>
      <c r="K1315" s="21">
        <v>1</v>
      </c>
      <c r="L1315" s="43">
        <v>4790</v>
      </c>
      <c r="M1315" s="43">
        <v>4804</v>
      </c>
      <c r="N1315" s="43">
        <v>4799</v>
      </c>
      <c r="O1315" s="21" t="s">
        <v>3975</v>
      </c>
      <c r="P1315" s="194" t="str">
        <f t="shared" si="246"/>
        <v>1</v>
      </c>
      <c r="Q1315" s="21">
        <v>1</v>
      </c>
      <c r="R1315" s="39" t="str">
        <f t="shared" si="249"/>
        <v>-</v>
      </c>
      <c r="S1315" s="120">
        <f t="shared" si="241"/>
        <v>1276143</v>
      </c>
      <c r="T1315" s="123">
        <v>1928723</v>
      </c>
      <c r="U1315" s="123">
        <f>1705785+139670</f>
        <v>1845455</v>
      </c>
      <c r="V1315" s="123">
        <f t="shared" si="235"/>
        <v>83268</v>
      </c>
      <c r="W1315" s="122" t="str">
        <f t="shared" si="236"/>
        <v>1</v>
      </c>
      <c r="X1315" s="123">
        <f>Y1315+74171</f>
        <v>652580</v>
      </c>
      <c r="Y1315" s="123">
        <f t="shared" si="247"/>
        <v>578409</v>
      </c>
      <c r="Z1315" s="123">
        <f t="shared" si="238"/>
        <v>74171</v>
      </c>
      <c r="AA1315" s="122" t="str">
        <f t="shared" si="239"/>
        <v>1</v>
      </c>
      <c r="AB1315" s="120">
        <f t="shared" si="237"/>
        <v>578409</v>
      </c>
      <c r="AC1315" s="123">
        <v>0</v>
      </c>
      <c r="AD1315" s="123">
        <f>500000+78409</f>
        <v>578409</v>
      </c>
      <c r="AE1315" s="123">
        <v>904</v>
      </c>
      <c r="AG1315" s="151">
        <f t="shared" si="248"/>
        <v>41750</v>
      </c>
      <c r="AH1315" s="123">
        <v>68202</v>
      </c>
      <c r="AJ1315" s="123">
        <f>18833+9416</f>
        <v>28249</v>
      </c>
      <c r="AL1315" s="123">
        <f>23859+2593</f>
        <v>26452</v>
      </c>
      <c r="AM1315" s="123">
        <v>369614</v>
      </c>
      <c r="AO1315" s="123">
        <v>100000</v>
      </c>
    </row>
    <row r="1316" spans="1:41" s="123" customFormat="1" ht="16.2" thickBot="1" x14ac:dyDescent="0.35">
      <c r="A1316" s="21"/>
      <c r="B1316" s="212" t="s">
        <v>44</v>
      </c>
      <c r="C1316" s="31" t="str">
        <f>VLOOKUP((CONCATENATE(B1316)),ID!$A$2:$D$305,3,0)</f>
        <v>TR003</v>
      </c>
      <c r="D1316" s="21">
        <v>1</v>
      </c>
      <c r="E1316" s="21" t="s">
        <v>3972</v>
      </c>
      <c r="F1316" s="21" t="s">
        <v>3849</v>
      </c>
      <c r="G1316" s="21" t="s">
        <v>3853</v>
      </c>
      <c r="H1316" s="88">
        <v>5114</v>
      </c>
      <c r="I1316" s="43">
        <v>5154</v>
      </c>
      <c r="J1316" s="43">
        <v>5154</v>
      </c>
      <c r="K1316" s="21">
        <v>1</v>
      </c>
      <c r="L1316" s="43">
        <v>5154</v>
      </c>
      <c r="M1316" s="43">
        <v>5170</v>
      </c>
      <c r="N1316" s="43">
        <v>5163</v>
      </c>
      <c r="O1316" s="21" t="s">
        <v>3975</v>
      </c>
      <c r="P1316" s="194" t="str">
        <f t="shared" si="246"/>
        <v>1</v>
      </c>
      <c r="Q1316" s="21">
        <v>1</v>
      </c>
      <c r="R1316" s="39" t="str">
        <f t="shared" si="249"/>
        <v>-</v>
      </c>
      <c r="S1316" s="120">
        <f t="shared" si="241"/>
        <v>1259337</v>
      </c>
      <c r="T1316" s="123">
        <v>2037142</v>
      </c>
      <c r="U1316" s="123">
        <f>129685+1814205</f>
        <v>1943890</v>
      </c>
      <c r="V1316" s="123">
        <f t="shared" si="235"/>
        <v>93252</v>
      </c>
      <c r="W1316" s="122" t="str">
        <f t="shared" si="236"/>
        <v>1</v>
      </c>
      <c r="X1316" s="123">
        <f>Y1316+20205+87720</f>
        <v>777805</v>
      </c>
      <c r="Y1316" s="123">
        <f t="shared" si="247"/>
        <v>669880</v>
      </c>
      <c r="Z1316" s="123">
        <f t="shared" si="238"/>
        <v>107925</v>
      </c>
      <c r="AA1316" s="122" t="str">
        <f t="shared" si="239"/>
        <v>1</v>
      </c>
      <c r="AB1316" s="120">
        <f t="shared" si="237"/>
        <v>669880</v>
      </c>
      <c r="AC1316" s="123">
        <v>0</v>
      </c>
      <c r="AD1316" s="123">
        <f>622020+47860</f>
        <v>669880</v>
      </c>
      <c r="AE1316" s="123">
        <v>2658</v>
      </c>
      <c r="AG1316" s="151">
        <f t="shared" si="248"/>
        <v>48382</v>
      </c>
      <c r="AH1316" s="123">
        <v>80233</v>
      </c>
      <c r="AJ1316" s="123">
        <f>18833+9416</f>
        <v>28249</v>
      </c>
      <c r="AL1316" s="123">
        <f>27443+4408</f>
        <v>31851</v>
      </c>
      <c r="AM1316" s="123">
        <v>423816</v>
      </c>
      <c r="AO1316" s="123">
        <v>100000</v>
      </c>
    </row>
    <row r="1317" spans="1:41" s="123" customFormat="1" ht="16.2" thickBot="1" x14ac:dyDescent="0.35">
      <c r="A1317" s="21"/>
      <c r="B1317" s="212" t="s">
        <v>48</v>
      </c>
      <c r="C1317" s="31" t="str">
        <f>VLOOKUP((CONCATENATE(B1317)),ID!$A$2:$D$305,3,0)</f>
        <v>TR004</v>
      </c>
      <c r="D1317" s="21">
        <v>1</v>
      </c>
      <c r="E1317" s="21" t="s">
        <v>3972</v>
      </c>
      <c r="F1317" s="21" t="s">
        <v>1117</v>
      </c>
      <c r="G1317" s="21" t="s">
        <v>3853</v>
      </c>
      <c r="H1317" s="88">
        <v>3743</v>
      </c>
      <c r="I1317" s="43">
        <v>3811</v>
      </c>
      <c r="J1317" s="43">
        <v>3807</v>
      </c>
      <c r="K1317" s="21">
        <v>0</v>
      </c>
      <c r="L1317" s="43"/>
      <c r="M1317" s="43"/>
      <c r="N1317" s="43">
        <v>3821</v>
      </c>
      <c r="O1317" s="21" t="s">
        <v>3976</v>
      </c>
      <c r="P1317" s="194">
        <v>1</v>
      </c>
      <c r="Q1317" s="21">
        <v>1</v>
      </c>
      <c r="R1317" s="39" t="str">
        <f t="shared" si="249"/>
        <v>-</v>
      </c>
      <c r="S1317" s="120">
        <f t="shared" si="241"/>
        <v>3619245</v>
      </c>
      <c r="T1317" s="123">
        <v>5623138</v>
      </c>
      <c r="U1317" s="123">
        <f>4260+1000+44812+4997845</f>
        <v>5047917</v>
      </c>
      <c r="V1317" s="123">
        <f t="shared" si="235"/>
        <v>575221</v>
      </c>
      <c r="W1317" s="122" t="str">
        <f t="shared" si="236"/>
        <v>1</v>
      </c>
      <c r="X1317" s="123">
        <f>Y1317+10887+46623</f>
        <v>2003893</v>
      </c>
      <c r="Y1317" s="123">
        <f t="shared" si="247"/>
        <v>1946383</v>
      </c>
      <c r="Z1317" s="123">
        <f t="shared" si="238"/>
        <v>57510</v>
      </c>
      <c r="AA1317" s="122" t="str">
        <f t="shared" si="239"/>
        <v>1</v>
      </c>
      <c r="AB1317" s="120">
        <f t="shared" si="237"/>
        <v>1946383</v>
      </c>
      <c r="AC1317" s="123">
        <v>0</v>
      </c>
      <c r="AD1317" s="123">
        <f>1470653+475730</f>
        <v>1946383</v>
      </c>
      <c r="AE1317" s="123">
        <v>91360</v>
      </c>
      <c r="AG1317" s="151">
        <f t="shared" si="248"/>
        <v>45661</v>
      </c>
      <c r="AH1317" s="123">
        <f>160738-15144-1976-473</f>
        <v>143145</v>
      </c>
      <c r="AL1317" s="123">
        <f>73682+23802</f>
        <v>97484</v>
      </c>
      <c r="AO1317" s="123">
        <f>161437+133301</f>
        <v>294738</v>
      </c>
    </row>
    <row r="1318" spans="1:41" s="123" customFormat="1" ht="16.2" thickBot="1" x14ac:dyDescent="0.35">
      <c r="A1318" s="21">
        <v>225.1</v>
      </c>
      <c r="B1318" s="212" t="s">
        <v>48</v>
      </c>
      <c r="C1318" s="31" t="str">
        <f>VLOOKUP((CONCATENATE(B1318)),ID!$A$2:$D$305,3,0)</f>
        <v>TR004</v>
      </c>
      <c r="D1318" s="21">
        <v>1</v>
      </c>
      <c r="E1318" s="21" t="s">
        <v>3972</v>
      </c>
      <c r="F1318" s="21" t="s">
        <v>1117</v>
      </c>
      <c r="G1318" s="21" t="s">
        <v>3853</v>
      </c>
      <c r="H1318" s="88">
        <v>4108</v>
      </c>
      <c r="I1318" s="43">
        <v>4171</v>
      </c>
      <c r="J1318" s="43">
        <v>4171</v>
      </c>
      <c r="K1318" s="21">
        <v>0</v>
      </c>
      <c r="L1318" s="21"/>
      <c r="M1318" s="21"/>
      <c r="N1318" s="43">
        <v>4184</v>
      </c>
      <c r="O1318" s="21" t="s">
        <v>3976</v>
      </c>
      <c r="P1318" s="194">
        <v>1</v>
      </c>
      <c r="Q1318" s="21">
        <v>1</v>
      </c>
      <c r="R1318" s="39" t="str">
        <f t="shared" si="249"/>
        <v>-</v>
      </c>
      <c r="S1318" s="120">
        <f t="shared" si="241"/>
        <v>3648759</v>
      </c>
      <c r="T1318" s="123">
        <v>5610602</v>
      </c>
      <c r="U1318" s="123">
        <f>3962+1000+44363+5204667</f>
        <v>5253992</v>
      </c>
      <c r="V1318" s="123">
        <f t="shared" si="235"/>
        <v>356610</v>
      </c>
      <c r="W1318" s="122" t="str">
        <f t="shared" si="236"/>
        <v>1</v>
      </c>
      <c r="X1318" s="123">
        <f>1464245+439596+13267+44735</f>
        <v>1961843</v>
      </c>
      <c r="Y1318" s="123">
        <f t="shared" si="247"/>
        <v>1903841</v>
      </c>
      <c r="Z1318" s="123">
        <f t="shared" si="238"/>
        <v>58002</v>
      </c>
      <c r="AA1318" s="122" t="str">
        <f t="shared" si="239"/>
        <v>1</v>
      </c>
      <c r="AB1318" s="120">
        <f t="shared" si="237"/>
        <v>1903841</v>
      </c>
      <c r="AC1318" s="123">
        <v>0</v>
      </c>
      <c r="AD1318" s="123">
        <f>1464245+439596</f>
        <v>1903841</v>
      </c>
      <c r="AE1318" s="123">
        <v>76198</v>
      </c>
      <c r="AG1318" s="151">
        <f t="shared" si="248"/>
        <v>56053</v>
      </c>
      <c r="AH1318" s="123">
        <f>139512+10000+74</f>
        <v>149586</v>
      </c>
      <c r="AL1318" s="123">
        <f>73374+20159</f>
        <v>93533</v>
      </c>
      <c r="AO1318" s="123">
        <f>161437+133301</f>
        <v>294738</v>
      </c>
    </row>
    <row r="1319" spans="1:41" s="123" customFormat="1" ht="16.2" thickBot="1" x14ac:dyDescent="0.35">
      <c r="A1319" s="21">
        <v>225.1</v>
      </c>
      <c r="B1319" s="212" t="s">
        <v>48</v>
      </c>
      <c r="C1319" s="31" t="str">
        <f>VLOOKUP((CONCATENATE(B1319)),ID!$A$2:$D$305,3,0)</f>
        <v>TR004</v>
      </c>
      <c r="D1319" s="21">
        <v>1</v>
      </c>
      <c r="E1319" s="21" t="s">
        <v>3972</v>
      </c>
      <c r="F1319" s="21" t="s">
        <v>1117</v>
      </c>
      <c r="G1319" s="21" t="s">
        <v>3853</v>
      </c>
      <c r="H1319" s="88">
        <v>4474</v>
      </c>
      <c r="I1319" s="43">
        <v>4545</v>
      </c>
      <c r="J1319" s="43">
        <v>4542</v>
      </c>
      <c r="K1319" s="21">
        <v>0</v>
      </c>
      <c r="L1319" s="21"/>
      <c r="M1319" s="21"/>
      <c r="N1319" s="43">
        <v>4555</v>
      </c>
      <c r="O1319" s="21" t="s">
        <v>3976</v>
      </c>
      <c r="P1319" s="194" t="str">
        <f>IF(AJ1319=0,"?","1")</f>
        <v>1</v>
      </c>
      <c r="Q1319" s="21">
        <v>1</v>
      </c>
      <c r="R1319" s="39" t="str">
        <f t="shared" si="249"/>
        <v>-</v>
      </c>
      <c r="S1319" s="120">
        <f t="shared" si="241"/>
        <v>2982347</v>
      </c>
      <c r="T1319" s="123">
        <v>4985302</v>
      </c>
      <c r="U1319" s="123">
        <f>1000+3660+43246+4695103</f>
        <v>4743009</v>
      </c>
      <c r="V1319" s="123">
        <f t="shared" si="235"/>
        <v>242293</v>
      </c>
      <c r="W1319" s="122" t="str">
        <f t="shared" si="236"/>
        <v>1</v>
      </c>
      <c r="X1319" s="123">
        <f>1461575+434057+62757+44566</f>
        <v>2002955</v>
      </c>
      <c r="Y1319" s="123">
        <f t="shared" si="247"/>
        <v>1895632</v>
      </c>
      <c r="Z1319" s="123">
        <f t="shared" si="238"/>
        <v>107323</v>
      </c>
      <c r="AA1319" s="122" t="str">
        <f t="shared" si="239"/>
        <v>1</v>
      </c>
      <c r="AB1319" s="120">
        <f t="shared" si="237"/>
        <v>1895632</v>
      </c>
      <c r="AC1319" s="123">
        <v>0</v>
      </c>
      <c r="AD1319" s="123">
        <f>1461575+434057</f>
        <v>1895632</v>
      </c>
      <c r="AE1319" s="123">
        <f>23347</f>
        <v>23347</v>
      </c>
      <c r="AG1319" s="151">
        <f t="shared" si="248"/>
        <v>83316</v>
      </c>
      <c r="AH1319" s="123">
        <f>205872-10781-16996</f>
        <v>178095</v>
      </c>
      <c r="AI1319" s="123">
        <v>1980</v>
      </c>
      <c r="AJ1319" s="123">
        <v>24215</v>
      </c>
      <c r="AL1319" s="123">
        <v>92799</v>
      </c>
      <c r="AO1319" s="123">
        <f>161437+133301</f>
        <v>294738</v>
      </c>
    </row>
    <row r="1320" spans="1:41" s="123" customFormat="1" ht="16.2" thickBot="1" x14ac:dyDescent="0.35">
      <c r="A1320" s="21"/>
      <c r="B1320" s="212" t="s">
        <v>48</v>
      </c>
      <c r="C1320" s="31" t="str">
        <f>VLOOKUP((CONCATENATE(B1320)),ID!$A$2:$D$305,3,0)</f>
        <v>TR004</v>
      </c>
      <c r="D1320" s="21">
        <v>1</v>
      </c>
      <c r="E1320" s="21" t="s">
        <v>3972</v>
      </c>
      <c r="F1320" s="21" t="s">
        <v>1117</v>
      </c>
      <c r="G1320" s="21" t="s">
        <v>3853</v>
      </c>
      <c r="H1320" s="88">
        <v>4839</v>
      </c>
      <c r="I1320" s="43">
        <v>4900</v>
      </c>
      <c r="J1320" s="43">
        <v>4900</v>
      </c>
      <c r="K1320" s="21">
        <v>0</v>
      </c>
      <c r="L1320" s="21"/>
      <c r="M1320" s="21"/>
      <c r="N1320" s="43">
        <v>4916</v>
      </c>
      <c r="O1320" s="21" t="s">
        <v>4129</v>
      </c>
      <c r="P1320" s="194" t="str">
        <f>IF(AJ1320=0,"?","1")</f>
        <v>1</v>
      </c>
      <c r="Q1320" s="21">
        <v>1</v>
      </c>
      <c r="R1320" s="39" t="str">
        <f t="shared" si="249"/>
        <v>-</v>
      </c>
      <c r="S1320" s="120">
        <f t="shared" si="241"/>
        <v>2996197</v>
      </c>
      <c r="T1320" s="123">
        <v>4936864</v>
      </c>
      <c r="U1320" s="123">
        <f>4696052+46300+3521</f>
        <v>4745873</v>
      </c>
      <c r="V1320" s="123">
        <f t="shared" si="235"/>
        <v>190991</v>
      </c>
      <c r="W1320" s="122" t="str">
        <f t="shared" si="236"/>
        <v>1</v>
      </c>
      <c r="X1320" s="123">
        <f>Y1320+4299+44101</f>
        <v>1940667</v>
      </c>
      <c r="Y1320" s="123">
        <f t="shared" si="247"/>
        <v>1892267</v>
      </c>
      <c r="Z1320" s="123">
        <f t="shared" si="238"/>
        <v>48400</v>
      </c>
      <c r="AA1320" s="122" t="str">
        <f t="shared" si="239"/>
        <v>1</v>
      </c>
      <c r="AB1320" s="120">
        <f t="shared" si="237"/>
        <v>1892267</v>
      </c>
      <c r="AC1320" s="123">
        <v>0</v>
      </c>
      <c r="AD1320" s="123">
        <f>20000+1456475+415792</f>
        <v>1892267</v>
      </c>
      <c r="AE1320" s="123">
        <v>25598</v>
      </c>
      <c r="AG1320" s="151">
        <f t="shared" si="248"/>
        <v>98085</v>
      </c>
      <c r="AH1320" s="123">
        <f>221631-10751-17446-1796</f>
        <v>191638</v>
      </c>
      <c r="AI1320" s="123">
        <v>1747</v>
      </c>
      <c r="AJ1320" s="123">
        <v>12107</v>
      </c>
      <c r="AL1320" s="123">
        <v>91806</v>
      </c>
      <c r="AO1320" s="123">
        <f>161437+133301</f>
        <v>294738</v>
      </c>
    </row>
    <row r="1321" spans="1:41" s="123" customFormat="1" ht="16.2" thickBot="1" x14ac:dyDescent="0.35">
      <c r="A1321" s="21"/>
      <c r="B1321" s="212" t="s">
        <v>48</v>
      </c>
      <c r="C1321" s="31" t="str">
        <f>VLOOKUP((CONCATENATE(B1321)),ID!$A$2:$D$305,3,0)</f>
        <v>TR004</v>
      </c>
      <c r="D1321" s="21">
        <v>1</v>
      </c>
      <c r="E1321" s="21" t="s">
        <v>3972</v>
      </c>
      <c r="F1321" s="21" t="s">
        <v>1117</v>
      </c>
      <c r="G1321" s="21" t="s">
        <v>3853</v>
      </c>
      <c r="H1321" s="88">
        <v>5204</v>
      </c>
      <c r="I1321" s="43">
        <v>5269</v>
      </c>
      <c r="J1321" s="43">
        <v>5269</v>
      </c>
      <c r="K1321" s="21">
        <v>0</v>
      </c>
      <c r="L1321" s="21"/>
      <c r="M1321" s="21"/>
      <c r="N1321" s="43">
        <v>5283</v>
      </c>
      <c r="O1321" s="21" t="s">
        <v>4129</v>
      </c>
      <c r="P1321" s="194">
        <v>1</v>
      </c>
      <c r="Q1321" s="21">
        <v>1</v>
      </c>
      <c r="R1321" s="39" t="str">
        <f t="shared" si="249"/>
        <v>-</v>
      </c>
      <c r="S1321" s="120">
        <f t="shared" si="241"/>
        <v>3004869</v>
      </c>
      <c r="T1321" s="123">
        <v>4954479</v>
      </c>
      <c r="U1321" s="123">
        <f>4722817</f>
        <v>4722817</v>
      </c>
      <c r="V1321" s="123">
        <f t="shared" si="235"/>
        <v>231662</v>
      </c>
      <c r="W1321" s="122" t="str">
        <f t="shared" si="236"/>
        <v>1</v>
      </c>
      <c r="X1321" s="123">
        <f>Y1321+17715+44028</f>
        <v>1949610</v>
      </c>
      <c r="Y1321" s="123">
        <f>AB1321</f>
        <v>1887867</v>
      </c>
      <c r="Z1321" s="123">
        <f>X1321-Y1321</f>
        <v>61743</v>
      </c>
      <c r="AA1321" s="122" t="str">
        <f>IF(Z1321+Y1321=X1321,"1","0")</f>
        <v>1</v>
      </c>
      <c r="AB1321" s="120">
        <f>SUM(AC1321+AD1321)</f>
        <v>1887867</v>
      </c>
      <c r="AC1321" s="123">
        <v>0</v>
      </c>
      <c r="AD1321" s="123">
        <f>1455475+413192+19200</f>
        <v>1887867</v>
      </c>
      <c r="AE1321" s="123">
        <v>29975</v>
      </c>
      <c r="AG1321" s="151">
        <f t="shared" si="248"/>
        <v>115365</v>
      </c>
      <c r="AH1321" s="123">
        <f>225754-16908</f>
        <v>208846</v>
      </c>
      <c r="AI1321" s="123">
        <v>2098</v>
      </c>
      <c r="AJ1321" s="123">
        <v>28251</v>
      </c>
      <c r="AL1321" s="123">
        <v>91383</v>
      </c>
      <c r="AO1321" s="123">
        <f>161437+133301</f>
        <v>294738</v>
      </c>
    </row>
    <row r="1322" spans="1:41" s="123" customFormat="1" ht="16.2" thickBot="1" x14ac:dyDescent="0.35">
      <c r="A1322" s="21"/>
      <c r="B1322" s="212" t="s">
        <v>102</v>
      </c>
      <c r="C1322" s="31" t="str">
        <f>VLOOKUP((CONCATENATE(B1322)),ID!$A$2:$D$305,3,0)</f>
        <v>TR005</v>
      </c>
      <c r="D1322" s="21">
        <v>0</v>
      </c>
      <c r="E1322" s="21" t="s">
        <v>3972</v>
      </c>
      <c r="F1322" s="21" t="s">
        <v>3802</v>
      </c>
      <c r="G1322" s="21" t="s">
        <v>3853</v>
      </c>
      <c r="H1322" s="94">
        <v>3653</v>
      </c>
      <c r="I1322" s="43">
        <v>3674</v>
      </c>
      <c r="J1322" s="43">
        <v>3663</v>
      </c>
      <c r="K1322" s="21">
        <v>0</v>
      </c>
      <c r="L1322" s="21"/>
      <c r="M1322" s="21"/>
      <c r="N1322" s="43">
        <v>3685</v>
      </c>
      <c r="O1322" s="21" t="s">
        <v>3977</v>
      </c>
      <c r="P1322" s="194">
        <v>1</v>
      </c>
      <c r="Q1322" s="21">
        <v>1</v>
      </c>
      <c r="R1322" s="39" t="str">
        <f t="shared" si="249"/>
        <v>-</v>
      </c>
      <c r="S1322" s="120">
        <f>T1322-X1322</f>
        <v>99168</v>
      </c>
      <c r="T1322" s="123">
        <v>110985</v>
      </c>
      <c r="U1322" s="123">
        <f>1900+34916+23154</f>
        <v>59970</v>
      </c>
      <c r="V1322" s="123">
        <f>T1322-U1322</f>
        <v>51015</v>
      </c>
      <c r="W1322" s="122" t="str">
        <f>IF(V1322+U1322=T1322,"1","0")</f>
        <v>1</v>
      </c>
      <c r="X1322" s="123">
        <f>5092+813+5912</f>
        <v>11817</v>
      </c>
      <c r="AA1322" s="122" t="str">
        <f>IF(Z1322+Y1322=X1322,"1","0")</f>
        <v>0</v>
      </c>
      <c r="AB1322" s="120">
        <f>SUM(AC1322+AD1322)</f>
        <v>0</v>
      </c>
      <c r="AE1322" s="123">
        <v>529</v>
      </c>
      <c r="AG1322" s="151">
        <f t="shared" si="248"/>
        <v>43560</v>
      </c>
      <c r="AH1322" s="123">
        <f>68062-197-660-2672-150-7322</f>
        <v>57061</v>
      </c>
      <c r="AL1322" s="123">
        <f>2421+1166+4943+4943+28</f>
        <v>13501</v>
      </c>
      <c r="AM1322" s="123">
        <v>152952</v>
      </c>
      <c r="AN1322" s="123">
        <v>144827</v>
      </c>
    </row>
    <row r="1323" spans="1:41" s="123" customFormat="1" ht="16.2" thickBot="1" x14ac:dyDescent="0.35">
      <c r="A1323" s="21"/>
      <c r="B1323" s="212" t="s">
        <v>102</v>
      </c>
      <c r="C1323" s="31" t="str">
        <f>VLOOKUP((CONCATENATE(B1323)),ID!$A$2:$D$305,3,0)</f>
        <v>TR005</v>
      </c>
      <c r="D1323" s="21">
        <v>0</v>
      </c>
      <c r="E1323" s="21" t="s">
        <v>3972</v>
      </c>
      <c r="F1323" s="21" t="s">
        <v>3802</v>
      </c>
      <c r="G1323" s="21" t="s">
        <v>3853</v>
      </c>
      <c r="H1323" s="94">
        <v>3834</v>
      </c>
      <c r="I1323" s="43">
        <v>3857</v>
      </c>
      <c r="J1323" s="43">
        <v>3852</v>
      </c>
      <c r="K1323" s="21">
        <v>0</v>
      </c>
      <c r="L1323" s="21"/>
      <c r="M1323" s="21"/>
      <c r="N1323" s="43">
        <v>3867</v>
      </c>
      <c r="O1323" s="21" t="s">
        <v>3977</v>
      </c>
      <c r="P1323" s="194">
        <v>1</v>
      </c>
      <c r="Q1323" s="21">
        <v>1</v>
      </c>
      <c r="R1323" s="39" t="str">
        <f t="shared" si="249"/>
        <v>-</v>
      </c>
      <c r="S1323" s="120">
        <f t="shared" si="241"/>
        <v>95216</v>
      </c>
      <c r="T1323" s="123">
        <v>109526</v>
      </c>
      <c r="U1323" s="123">
        <f>1900+29765+37344</f>
        <v>69009</v>
      </c>
      <c r="V1323" s="123">
        <f t="shared" si="235"/>
        <v>40517</v>
      </c>
      <c r="W1323" s="122" t="str">
        <f t="shared" si="236"/>
        <v>1</v>
      </c>
      <c r="X1323" s="123">
        <f>6295+517+1586+5912</f>
        <v>14310</v>
      </c>
      <c r="AA1323" s="122" t="str">
        <f t="shared" si="239"/>
        <v>0</v>
      </c>
      <c r="AB1323" s="120">
        <f t="shared" si="237"/>
        <v>0</v>
      </c>
      <c r="AE1323" s="123">
        <v>672</v>
      </c>
      <c r="AG1323" s="151">
        <f t="shared" si="248"/>
        <v>35892</v>
      </c>
      <c r="AH1323" s="123">
        <f>60581-7299-1500-1161-309-653</f>
        <v>49659</v>
      </c>
      <c r="AL1323" s="123">
        <f>2417+1167+4942+4943+197+101</f>
        <v>13767</v>
      </c>
      <c r="AM1323" s="123">
        <v>144916</v>
      </c>
      <c r="AN1323" s="123">
        <v>137958</v>
      </c>
    </row>
    <row r="1324" spans="1:41" s="123" customFormat="1" ht="16.2" thickBot="1" x14ac:dyDescent="0.35">
      <c r="A1324" s="21">
        <v>226.1</v>
      </c>
      <c r="B1324" s="212" t="s">
        <v>102</v>
      </c>
      <c r="C1324" s="31" t="str">
        <f>VLOOKUP((CONCATENATE(B1324)),ID!$A$2:$D$305,3,0)</f>
        <v>TR005</v>
      </c>
      <c r="D1324" s="21">
        <v>0</v>
      </c>
      <c r="E1324" s="21" t="s">
        <v>3972</v>
      </c>
      <c r="F1324" s="21" t="s">
        <v>3802</v>
      </c>
      <c r="G1324" s="21" t="s">
        <v>3853</v>
      </c>
      <c r="H1324" s="94">
        <v>4018</v>
      </c>
      <c r="I1324" s="43">
        <v>4041</v>
      </c>
      <c r="J1324" s="43">
        <v>4024</v>
      </c>
      <c r="K1324" s="21">
        <v>0</v>
      </c>
      <c r="L1324" s="21"/>
      <c r="M1324" s="21"/>
      <c r="N1324" s="43">
        <v>4049</v>
      </c>
      <c r="O1324" s="21" t="s">
        <v>3977</v>
      </c>
      <c r="P1324" s="194">
        <v>1</v>
      </c>
      <c r="Q1324" s="21">
        <v>1</v>
      </c>
      <c r="R1324" s="39" t="str">
        <f t="shared" si="249"/>
        <v>-</v>
      </c>
      <c r="S1324" s="120">
        <f t="shared" si="241"/>
        <v>104478</v>
      </c>
      <c r="T1324" s="123">
        <v>115903</v>
      </c>
      <c r="U1324" s="123">
        <f>1900+21725+18294</f>
        <v>41919</v>
      </c>
      <c r="V1324" s="123">
        <f t="shared" si="235"/>
        <v>73984</v>
      </c>
      <c r="W1324" s="122" t="str">
        <f t="shared" si="236"/>
        <v>1</v>
      </c>
      <c r="X1324" s="123">
        <f>5912+5066+447</f>
        <v>11425</v>
      </c>
      <c r="AA1324" s="122" t="str">
        <f t="shared" si="239"/>
        <v>0</v>
      </c>
      <c r="AB1324" s="120">
        <f t="shared" si="237"/>
        <v>0</v>
      </c>
      <c r="AE1324" s="123">
        <v>17387</v>
      </c>
      <c r="AG1324" s="151">
        <f t="shared" si="248"/>
        <v>49194</v>
      </c>
      <c r="AH1324" s="123">
        <f>71660-1500-7298</f>
        <v>62862</v>
      </c>
      <c r="AL1324" s="123">
        <f>2417+1167+4944+4943+197</f>
        <v>13668</v>
      </c>
      <c r="AM1324" s="123">
        <v>157254</v>
      </c>
      <c r="AN1324" s="123">
        <v>148819</v>
      </c>
    </row>
    <row r="1325" spans="1:41" s="123" customFormat="1" ht="16.2" thickBot="1" x14ac:dyDescent="0.35">
      <c r="A1325" s="21">
        <v>226.2</v>
      </c>
      <c r="B1325" s="212" t="s">
        <v>102</v>
      </c>
      <c r="C1325" s="31" t="str">
        <f>VLOOKUP((CONCATENATE(B1325)),ID!$A$2:$D$305,3,0)</f>
        <v>TR005</v>
      </c>
      <c r="D1325" s="21">
        <v>0</v>
      </c>
      <c r="E1325" s="21" t="s">
        <v>3972</v>
      </c>
      <c r="F1325" s="21" t="s">
        <v>3802</v>
      </c>
      <c r="G1325" s="21" t="s">
        <v>3853</v>
      </c>
      <c r="H1325" s="94">
        <v>4199</v>
      </c>
      <c r="I1325" s="43">
        <v>4221</v>
      </c>
      <c r="J1325" s="43">
        <v>4206</v>
      </c>
      <c r="K1325" s="21">
        <v>0</v>
      </c>
      <c r="L1325" s="21"/>
      <c r="M1325" s="21"/>
      <c r="N1325" s="43">
        <v>4231</v>
      </c>
      <c r="O1325" s="21" t="s">
        <v>3977</v>
      </c>
      <c r="P1325" s="194">
        <v>1</v>
      </c>
      <c r="Q1325" s="21">
        <v>1</v>
      </c>
      <c r="R1325" s="39" t="str">
        <f t="shared" si="249"/>
        <v>-</v>
      </c>
      <c r="S1325" s="120">
        <f t="shared" si="241"/>
        <v>125351</v>
      </c>
      <c r="T1325" s="123">
        <v>138633</v>
      </c>
      <c r="U1325" s="123">
        <f>46855+25650</f>
        <v>72505</v>
      </c>
      <c r="V1325" s="123">
        <f t="shared" si="235"/>
        <v>66128</v>
      </c>
      <c r="W1325" s="122" t="str">
        <f t="shared" si="236"/>
        <v>1</v>
      </c>
      <c r="X1325" s="123">
        <f>5907+6397+978</f>
        <v>13282</v>
      </c>
      <c r="AA1325" s="122" t="str">
        <f t="shared" si="239"/>
        <v>0</v>
      </c>
      <c r="AB1325" s="120">
        <f t="shared" si="237"/>
        <v>0</v>
      </c>
      <c r="AE1325" s="123">
        <v>23313</v>
      </c>
      <c r="AG1325" s="151">
        <f t="shared" si="248"/>
        <v>39843</v>
      </c>
      <c r="AH1325" s="123">
        <f>62303-1500-7298</f>
        <v>53505</v>
      </c>
      <c r="AL1325" s="123">
        <f>197+4943+4943+1167+2412</f>
        <v>13662</v>
      </c>
      <c r="AM1325" s="123">
        <v>149415</v>
      </c>
      <c r="AN1325" s="123">
        <v>142001</v>
      </c>
    </row>
    <row r="1326" spans="1:41" s="123" customFormat="1" ht="16.2" thickBot="1" x14ac:dyDescent="0.35">
      <c r="A1326" s="21">
        <v>226.3</v>
      </c>
      <c r="B1326" s="212" t="s">
        <v>102</v>
      </c>
      <c r="C1326" s="31" t="str">
        <f>VLOOKUP((CONCATENATE(B1326)),ID!$A$2:$D$305,3,0)</f>
        <v>TR005</v>
      </c>
      <c r="D1326" s="21">
        <v>0</v>
      </c>
      <c r="E1326" s="21" t="s">
        <v>3972</v>
      </c>
      <c r="F1326" s="21" t="s">
        <v>3802</v>
      </c>
      <c r="G1326" s="21" t="s">
        <v>3853</v>
      </c>
      <c r="H1326" s="94">
        <v>4383</v>
      </c>
      <c r="I1326" s="43">
        <v>4410</v>
      </c>
      <c r="J1326" s="43">
        <v>4398</v>
      </c>
      <c r="K1326" s="21">
        <v>0</v>
      </c>
      <c r="L1326" s="21"/>
      <c r="M1326" s="21"/>
      <c r="N1326" s="43">
        <v>4420</v>
      </c>
      <c r="O1326" s="21" t="s">
        <v>3977</v>
      </c>
      <c r="P1326" s="194">
        <v>1</v>
      </c>
      <c r="Q1326" s="21">
        <v>1</v>
      </c>
      <c r="R1326" s="39" t="str">
        <f t="shared" si="249"/>
        <v>-</v>
      </c>
      <c r="S1326" s="120">
        <f t="shared" si="241"/>
        <v>135033</v>
      </c>
      <c r="T1326" s="123">
        <v>147607</v>
      </c>
      <c r="U1326" s="123">
        <f>46855+26110</f>
        <v>72965</v>
      </c>
      <c r="V1326" s="123">
        <f t="shared" ref="V1326:V1344" si="250">T1326-U1326</f>
        <v>74642</v>
      </c>
      <c r="W1326" s="122" t="str">
        <f t="shared" ref="W1326:W1343" si="251">IF(V1326+U1326=T1326,"1","0")</f>
        <v>1</v>
      </c>
      <c r="X1326" s="123">
        <f>5907+5749+918</f>
        <v>12574</v>
      </c>
      <c r="AA1326" s="122" t="str">
        <f t="shared" si="239"/>
        <v>0</v>
      </c>
      <c r="AB1326" s="120">
        <f t="shared" ref="AB1326:AB1342" si="252">SUM(AC1326+AD1326)</f>
        <v>0</v>
      </c>
      <c r="AE1326" s="123">
        <v>33919</v>
      </c>
      <c r="AG1326" s="151">
        <f t="shared" si="248"/>
        <v>57296</v>
      </c>
      <c r="AH1326" s="123">
        <f>81308-7298-1500-283-1273</f>
        <v>70954</v>
      </c>
      <c r="AL1326" s="123">
        <f>2408+1167+4943+4943+197</f>
        <v>13658</v>
      </c>
      <c r="AM1326" s="123">
        <v>169249</v>
      </c>
      <c r="AN1326" s="123">
        <v>160841</v>
      </c>
    </row>
    <row r="1327" spans="1:41" s="123" customFormat="1" ht="16.2" thickBot="1" x14ac:dyDescent="0.35">
      <c r="A1327" s="21">
        <v>226.4</v>
      </c>
      <c r="B1327" s="212" t="s">
        <v>102</v>
      </c>
      <c r="C1327" s="31" t="str">
        <f>VLOOKUP((CONCATENATE(B1327)),ID!$A$2:$D$305,3,0)</f>
        <v>TR005</v>
      </c>
      <c r="D1327" s="21">
        <v>0</v>
      </c>
      <c r="E1327" s="21" t="s">
        <v>3972</v>
      </c>
      <c r="F1327" s="21" t="s">
        <v>3802</v>
      </c>
      <c r="G1327" s="21" t="s">
        <v>3853</v>
      </c>
      <c r="H1327" s="94">
        <v>4565</v>
      </c>
      <c r="I1327" s="43">
        <v>4581</v>
      </c>
      <c r="J1327" s="43">
        <v>4570</v>
      </c>
      <c r="K1327" s="21">
        <v>0</v>
      </c>
      <c r="L1327" s="21"/>
      <c r="M1327" s="21"/>
      <c r="N1327" s="43">
        <v>4590</v>
      </c>
      <c r="O1327" s="21" t="s">
        <v>3977</v>
      </c>
      <c r="P1327" s="194">
        <v>1</v>
      </c>
      <c r="Q1327" s="21">
        <v>1</v>
      </c>
      <c r="R1327" s="39" t="str">
        <f t="shared" si="249"/>
        <v>-</v>
      </c>
      <c r="S1327" s="120">
        <f t="shared" si="241"/>
        <v>139510</v>
      </c>
      <c r="T1327" s="123">
        <v>152374</v>
      </c>
      <c r="U1327" s="123">
        <f>52837+31371+25239</f>
        <v>109447</v>
      </c>
      <c r="V1327" s="123">
        <f t="shared" si="250"/>
        <v>42927</v>
      </c>
      <c r="W1327" s="122" t="str">
        <f t="shared" si="251"/>
        <v>1</v>
      </c>
      <c r="X1327" s="123">
        <f>5667+5702+1495</f>
        <v>12864</v>
      </c>
      <c r="AA1327" s="122" t="str">
        <f t="shared" si="239"/>
        <v>0</v>
      </c>
      <c r="AB1327" s="120">
        <f t="shared" si="252"/>
        <v>0</v>
      </c>
      <c r="AE1327" s="123">
        <v>3376</v>
      </c>
      <c r="AG1327" s="151">
        <f t="shared" si="248"/>
        <v>46419</v>
      </c>
      <c r="AH1327" s="123">
        <f>68835-7298-1700</f>
        <v>59837</v>
      </c>
      <c r="AL1327" s="123">
        <f>2168+1167+4943+4943+197</f>
        <v>13418</v>
      </c>
      <c r="AM1327" s="123">
        <v>156811</v>
      </c>
      <c r="AN1327" s="123">
        <v>149291</v>
      </c>
    </row>
    <row r="1328" spans="1:41" s="123" customFormat="1" ht="16.2" thickBot="1" x14ac:dyDescent="0.35">
      <c r="A1328" s="21"/>
      <c r="B1328" s="212" t="s">
        <v>102</v>
      </c>
      <c r="C1328" s="31" t="str">
        <f>VLOOKUP((CONCATENATE(B1328)),ID!$A$2:$D$305,3,0)</f>
        <v>TR005</v>
      </c>
      <c r="D1328" s="21">
        <v>0</v>
      </c>
      <c r="E1328" s="21" t="s">
        <v>3972</v>
      </c>
      <c r="F1328" s="21" t="s">
        <v>3802</v>
      </c>
      <c r="G1328" s="21" t="s">
        <v>3853</v>
      </c>
      <c r="H1328" s="94">
        <v>4749</v>
      </c>
      <c r="I1328" s="43">
        <v>4764</v>
      </c>
      <c r="J1328" s="43">
        <v>4762</v>
      </c>
      <c r="K1328" s="21">
        <v>0</v>
      </c>
      <c r="L1328" s="21"/>
      <c r="M1328" s="21"/>
      <c r="N1328" s="43">
        <v>4784</v>
      </c>
      <c r="O1328" s="21" t="s">
        <v>3977</v>
      </c>
      <c r="P1328" s="194">
        <v>1</v>
      </c>
      <c r="Q1328" s="21">
        <v>1</v>
      </c>
      <c r="R1328" s="39" t="str">
        <f t="shared" si="249"/>
        <v>-</v>
      </c>
      <c r="S1328" s="120">
        <f t="shared" si="241"/>
        <v>146190</v>
      </c>
      <c r="T1328" s="123">
        <v>160681</v>
      </c>
      <c r="U1328" s="123">
        <f>28403+33227+52837</f>
        <v>114467</v>
      </c>
      <c r="V1328" s="123">
        <f t="shared" si="250"/>
        <v>46214</v>
      </c>
      <c r="W1328" s="122" t="str">
        <f t="shared" si="251"/>
        <v>1</v>
      </c>
      <c r="X1328" s="123">
        <f>5676+8002+813</f>
        <v>14491</v>
      </c>
      <c r="AA1328" s="122" t="str">
        <f t="shared" si="239"/>
        <v>0</v>
      </c>
      <c r="AB1328" s="120">
        <f t="shared" si="252"/>
        <v>0</v>
      </c>
      <c r="AE1328" s="123">
        <v>11701</v>
      </c>
      <c r="AG1328" s="151">
        <f t="shared" si="248"/>
        <v>51656</v>
      </c>
      <c r="AH1328" s="123">
        <f>74546-7298-1500-429-465</f>
        <v>64854</v>
      </c>
      <c r="AL1328" s="123">
        <f>1948+1167+4943+4943+197</f>
        <v>13198</v>
      </c>
      <c r="AM1328" s="123">
        <v>162018</v>
      </c>
      <c r="AN1328" s="123">
        <v>153528</v>
      </c>
    </row>
    <row r="1329" spans="1:41" s="123" customFormat="1" ht="16.2" thickBot="1" x14ac:dyDescent="0.35">
      <c r="A1329" s="21"/>
      <c r="B1329" s="212" t="s">
        <v>102</v>
      </c>
      <c r="C1329" s="31" t="str">
        <f>VLOOKUP((CONCATENATE(B1329)),ID!$A$2:$D$305,3,0)</f>
        <v>TR005</v>
      </c>
      <c r="D1329" s="21">
        <v>1</v>
      </c>
      <c r="E1329" s="21" t="s">
        <v>3972</v>
      </c>
      <c r="F1329" s="21" t="s">
        <v>3802</v>
      </c>
      <c r="G1329" s="21" t="s">
        <v>3853</v>
      </c>
      <c r="H1329" s="94">
        <v>5114</v>
      </c>
      <c r="I1329" s="43">
        <v>5138</v>
      </c>
      <c r="J1329" s="43">
        <v>5127</v>
      </c>
      <c r="K1329" s="21">
        <v>0</v>
      </c>
      <c r="L1329" s="21"/>
      <c r="M1329" s="21"/>
      <c r="N1329" s="43">
        <v>5148</v>
      </c>
      <c r="O1329" s="21" t="s">
        <v>3977</v>
      </c>
      <c r="P1329" s="194">
        <v>1</v>
      </c>
      <c r="Q1329" s="21">
        <v>1</v>
      </c>
      <c r="R1329" s="39" t="str">
        <f t="shared" si="249"/>
        <v>-</v>
      </c>
      <c r="S1329" s="120">
        <f t="shared" si="241"/>
        <v>141896</v>
      </c>
      <c r="T1329" s="123">
        <v>164622</v>
      </c>
      <c r="U1329" s="123">
        <f>37630+36823+52837</f>
        <v>127290</v>
      </c>
      <c r="V1329" s="123">
        <f t="shared" si="250"/>
        <v>37332</v>
      </c>
      <c r="W1329" s="122" t="str">
        <f t="shared" si="251"/>
        <v>1</v>
      </c>
      <c r="X1329" s="123">
        <f>5672+219+7787+8105+943</f>
        <v>22726</v>
      </c>
      <c r="AA1329" s="122" t="str">
        <f t="shared" si="239"/>
        <v>0</v>
      </c>
      <c r="AB1329" s="120">
        <f t="shared" si="252"/>
        <v>0</v>
      </c>
      <c r="AE1329" s="123">
        <v>449</v>
      </c>
      <c r="AG1329" s="151">
        <f t="shared" si="248"/>
        <v>74802</v>
      </c>
      <c r="AH1329" s="123">
        <f>119871-15241-3000-457</f>
        <v>101173</v>
      </c>
      <c r="AL1329" s="123">
        <f>3868+2335+9887+9887+394</f>
        <v>26371</v>
      </c>
      <c r="AM1329" s="123">
        <v>297730</v>
      </c>
      <c r="AN1329" s="123">
        <v>284815</v>
      </c>
    </row>
    <row r="1330" spans="1:41" s="123" customFormat="1" ht="16.2" thickBot="1" x14ac:dyDescent="0.35">
      <c r="A1330" s="21"/>
      <c r="B1330" s="212" t="s">
        <v>177</v>
      </c>
      <c r="C1330" s="31" t="str">
        <f>VLOOKUP((CONCATENATE(B1330)),ID!$A$2:$D$305,3,0)</f>
        <v>TR006</v>
      </c>
      <c r="D1330" s="21">
        <v>1</v>
      </c>
      <c r="E1330" s="21" t="s">
        <v>3972</v>
      </c>
      <c r="F1330" s="21" t="s">
        <v>1117</v>
      </c>
      <c r="G1330" s="21" t="s">
        <v>3978</v>
      </c>
      <c r="H1330" s="88">
        <v>3653</v>
      </c>
      <c r="I1330" s="43">
        <v>3756</v>
      </c>
      <c r="J1330" s="43">
        <v>3756</v>
      </c>
      <c r="K1330" s="21">
        <v>1</v>
      </c>
      <c r="L1330" s="43">
        <v>3764</v>
      </c>
      <c r="M1330" s="43">
        <v>3770</v>
      </c>
      <c r="N1330" s="43">
        <v>3770</v>
      </c>
      <c r="O1330" s="21" t="s">
        <v>3970</v>
      </c>
      <c r="P1330" s="194" t="str">
        <f>IF(AJ1330=0,"?","1")</f>
        <v>1</v>
      </c>
      <c r="Q1330" s="21">
        <v>1</v>
      </c>
      <c r="R1330" s="39" t="str">
        <f t="shared" si="249"/>
        <v>-</v>
      </c>
      <c r="S1330" s="120">
        <f t="shared" si="241"/>
        <v>1203816</v>
      </c>
      <c r="T1330" s="123">
        <v>1845647</v>
      </c>
      <c r="U1330" s="123">
        <f>1606690+260+10790</f>
        <v>1617740</v>
      </c>
      <c r="V1330" s="123">
        <f t="shared" si="250"/>
        <v>227907</v>
      </c>
      <c r="W1330" s="122" t="str">
        <f t="shared" si="251"/>
        <v>1</v>
      </c>
      <c r="X1330" s="123">
        <f>AB1330+11756+5000+109366+4288+12021</f>
        <v>641831</v>
      </c>
      <c r="Y1330" s="123">
        <f>AB1330</f>
        <v>499400</v>
      </c>
      <c r="Z1330" s="123">
        <f t="shared" si="238"/>
        <v>142431</v>
      </c>
      <c r="AA1330" s="122" t="str">
        <f t="shared" si="239"/>
        <v>1</v>
      </c>
      <c r="AB1330" s="120">
        <f t="shared" si="252"/>
        <v>499400</v>
      </c>
      <c r="AC1330" s="123">
        <v>0</v>
      </c>
      <c r="AD1330" s="123">
        <v>499400</v>
      </c>
      <c r="AE1330" s="123">
        <f>58088</f>
        <v>58088</v>
      </c>
      <c r="AG1330" s="151">
        <f t="shared" si="248"/>
        <v>104366</v>
      </c>
      <c r="AH1330" s="123">
        <f>129351</f>
        <v>129351</v>
      </c>
      <c r="AJ1330" s="123">
        <v>41383</v>
      </c>
      <c r="AL1330" s="123">
        <v>24985</v>
      </c>
      <c r="AO1330" s="134">
        <v>1059579</v>
      </c>
    </row>
    <row r="1331" spans="1:41" s="123" customFormat="1" ht="16.2" thickBot="1" x14ac:dyDescent="0.35">
      <c r="A1331" s="21">
        <v>227.1</v>
      </c>
      <c r="B1331" s="212" t="s">
        <v>177</v>
      </c>
      <c r="C1331" s="31" t="str">
        <f>VLOOKUP((CONCATENATE(B1331)),ID!$A$2:$D$305,3,0)</f>
        <v>TR006</v>
      </c>
      <c r="D1331" s="21">
        <v>1</v>
      </c>
      <c r="E1331" s="21" t="s">
        <v>3972</v>
      </c>
      <c r="F1331" s="21" t="s">
        <v>1117</v>
      </c>
      <c r="G1331" s="21" t="s">
        <v>3978</v>
      </c>
      <c r="H1331" s="88">
        <v>4018</v>
      </c>
      <c r="I1331" s="43">
        <v>4148</v>
      </c>
      <c r="J1331" s="43">
        <v>4135</v>
      </c>
      <c r="K1331" s="21">
        <v>1</v>
      </c>
      <c r="L1331" s="43">
        <v>4156</v>
      </c>
      <c r="M1331" s="43">
        <v>4162</v>
      </c>
      <c r="N1331" s="43">
        <v>4162</v>
      </c>
      <c r="O1331" s="27" t="s">
        <v>3970</v>
      </c>
      <c r="P1331" s="194" t="str">
        <f>IF(AJ1331=0,"?","1")</f>
        <v>1</v>
      </c>
      <c r="Q1331" s="21">
        <v>1</v>
      </c>
      <c r="R1331" s="39" t="str">
        <f t="shared" si="249"/>
        <v>-</v>
      </c>
      <c r="S1331" s="120">
        <f t="shared" si="241"/>
        <v>1174668</v>
      </c>
      <c r="T1331" s="123">
        <v>1843773</v>
      </c>
      <c r="U1331" s="123">
        <f>1543213+260+171539</f>
        <v>1715012</v>
      </c>
      <c r="V1331" s="123">
        <f t="shared" si="250"/>
        <v>128761</v>
      </c>
      <c r="W1331" s="122" t="str">
        <f t="shared" si="251"/>
        <v>1</v>
      </c>
      <c r="X1331" s="123">
        <f>498800+11742+137724+12021+3677+5141</f>
        <v>669105</v>
      </c>
      <c r="Y1331" s="123">
        <f>AB1331+5141</f>
        <v>503941</v>
      </c>
      <c r="Z1331" s="123">
        <f t="shared" si="238"/>
        <v>165164</v>
      </c>
      <c r="AA1331" s="122" t="str">
        <f t="shared" si="239"/>
        <v>1</v>
      </c>
      <c r="AB1331" s="120">
        <f t="shared" si="252"/>
        <v>498800</v>
      </c>
      <c r="AC1331" s="123">
        <v>0</v>
      </c>
      <c r="AD1331" s="123">
        <v>498800</v>
      </c>
      <c r="AE1331" s="123">
        <v>74825</v>
      </c>
      <c r="AG1331" s="151">
        <f t="shared" si="248"/>
        <v>108025</v>
      </c>
      <c r="AH1331" s="123">
        <v>132980</v>
      </c>
      <c r="AJ1331" s="123">
        <v>44553</v>
      </c>
      <c r="AL1331" s="123">
        <v>24955</v>
      </c>
      <c r="AN1331" s="132"/>
      <c r="AO1331" s="134">
        <v>1059579</v>
      </c>
    </row>
    <row r="1332" spans="1:41" s="123" customFormat="1" ht="16.2" thickBot="1" x14ac:dyDescent="0.35">
      <c r="A1332" s="21">
        <v>227.2</v>
      </c>
      <c r="B1332" s="212" t="s">
        <v>177</v>
      </c>
      <c r="C1332" s="31" t="str">
        <f>VLOOKUP((CONCATENATE(B1332)),ID!$A$2:$D$305,3,0)</f>
        <v>TR006</v>
      </c>
      <c r="D1332" s="21">
        <v>1</v>
      </c>
      <c r="E1332" s="21" t="s">
        <v>3972</v>
      </c>
      <c r="F1332" s="21" t="s">
        <v>1117</v>
      </c>
      <c r="G1332" s="21" t="s">
        <v>3978</v>
      </c>
      <c r="H1332" s="88">
        <v>4383</v>
      </c>
      <c r="I1332" s="43">
        <v>4498</v>
      </c>
      <c r="J1332" s="43">
        <v>4491</v>
      </c>
      <c r="K1332" s="21">
        <v>1</v>
      </c>
      <c r="L1332" s="43">
        <v>4506</v>
      </c>
      <c r="M1332" s="43">
        <v>4512</v>
      </c>
      <c r="N1332" s="43">
        <v>4512</v>
      </c>
      <c r="O1332" s="27" t="s">
        <v>3970</v>
      </c>
      <c r="P1332" s="194" t="str">
        <f>IF(AJ1332=0,"?","1")</f>
        <v>1</v>
      </c>
      <c r="Q1332" s="21">
        <v>1</v>
      </c>
      <c r="R1332" s="39" t="str">
        <f t="shared" si="249"/>
        <v>-</v>
      </c>
      <c r="S1332" s="120">
        <f t="shared" si="241"/>
        <v>1208655</v>
      </c>
      <c r="T1332" s="123">
        <v>1856755</v>
      </c>
      <c r="U1332" s="123">
        <f>233967+260+1543213</f>
        <v>1777440</v>
      </c>
      <c r="V1332" s="123">
        <f t="shared" si="250"/>
        <v>79315</v>
      </c>
      <c r="W1332" s="122" t="str">
        <f t="shared" si="251"/>
        <v>1</v>
      </c>
      <c r="X1332" s="123">
        <f>4568+12021+116385+11740+498100+5286</f>
        <v>648100</v>
      </c>
      <c r="Y1332" s="123">
        <f>AB1332+5286</f>
        <v>503386</v>
      </c>
      <c r="Z1332" s="123">
        <f t="shared" ref="Z1332:Z1342" si="253">X1332-Y1332</f>
        <v>144714</v>
      </c>
      <c r="AA1332" s="122" t="str">
        <f t="shared" ref="AA1332:AA1342" si="254">IF(Z1332+Y1332=X1332,"1","0")</f>
        <v>1</v>
      </c>
      <c r="AB1332" s="120">
        <f t="shared" si="252"/>
        <v>498100</v>
      </c>
      <c r="AC1332" s="123">
        <v>0</v>
      </c>
      <c r="AD1332" s="123">
        <v>498100</v>
      </c>
      <c r="AE1332" s="123">
        <v>32749</v>
      </c>
      <c r="AG1332" s="151">
        <f t="shared" si="248"/>
        <v>104074</v>
      </c>
      <c r="AH1332" s="123">
        <v>128996</v>
      </c>
      <c r="AJ1332" s="123">
        <v>17110</v>
      </c>
      <c r="AL1332" s="123">
        <v>24922</v>
      </c>
      <c r="AO1332" s="123">
        <v>1059579</v>
      </c>
    </row>
    <row r="1333" spans="1:41" s="123" customFormat="1" ht="16.2" thickBot="1" x14ac:dyDescent="0.35">
      <c r="A1333" s="21"/>
      <c r="B1333" s="212" t="s">
        <v>177</v>
      </c>
      <c r="C1333" s="31" t="str">
        <f>VLOOKUP((CONCATENATE(B1333)),ID!$A$2:$D$305,3,0)</f>
        <v>TR006</v>
      </c>
      <c r="D1333" s="21">
        <v>1</v>
      </c>
      <c r="E1333" s="21" t="s">
        <v>3972</v>
      </c>
      <c r="F1333" s="21" t="s">
        <v>1117</v>
      </c>
      <c r="G1333" s="21" t="s">
        <v>3978</v>
      </c>
      <c r="H1333" s="88">
        <v>4749</v>
      </c>
      <c r="I1333" s="43">
        <v>4869</v>
      </c>
      <c r="J1333" s="43">
        <v>4857</v>
      </c>
      <c r="K1333" s="21">
        <v>1</v>
      </c>
      <c r="L1333" s="43">
        <v>4877</v>
      </c>
      <c r="M1333" s="43">
        <v>4883</v>
      </c>
      <c r="N1333" s="43">
        <v>4883</v>
      </c>
      <c r="O1333" s="27" t="s">
        <v>3970</v>
      </c>
      <c r="P1333" s="194" t="str">
        <f>IF(AJ1333=0,"?","1")</f>
        <v>1</v>
      </c>
      <c r="Q1333" s="21">
        <v>1</v>
      </c>
      <c r="R1333" s="39" t="str">
        <f t="shared" si="249"/>
        <v>-</v>
      </c>
      <c r="S1333" s="120">
        <f t="shared" si="241"/>
        <v>1258686</v>
      </c>
      <c r="T1333" s="123">
        <v>1900169</v>
      </c>
      <c r="U1333" s="123">
        <f>1545780+260+243452</f>
        <v>1789492</v>
      </c>
      <c r="V1333" s="123">
        <f t="shared" si="250"/>
        <v>110677</v>
      </c>
      <c r="W1333" s="122" t="str">
        <f t="shared" si="251"/>
        <v>1</v>
      </c>
      <c r="X1333" s="123">
        <f>Y1333+120384+12021+6143+100</f>
        <v>641483</v>
      </c>
      <c r="Y1333" s="123">
        <f>AB1333+5435</f>
        <v>502835</v>
      </c>
      <c r="Z1333" s="123">
        <f t="shared" si="253"/>
        <v>138648</v>
      </c>
      <c r="AA1333" s="122" t="str">
        <f t="shared" si="254"/>
        <v>1</v>
      </c>
      <c r="AB1333" s="120">
        <f t="shared" si="252"/>
        <v>497400</v>
      </c>
      <c r="AC1333" s="123">
        <v>0</v>
      </c>
      <c r="AD1333" s="123">
        <v>497400</v>
      </c>
      <c r="AE1333" s="123">
        <v>35112</v>
      </c>
      <c r="AG1333" s="151">
        <f t="shared" si="248"/>
        <v>103446</v>
      </c>
      <c r="AH1333" s="123">
        <v>128333</v>
      </c>
      <c r="AJ1333" s="123">
        <v>20595</v>
      </c>
      <c r="AL1333" s="123">
        <v>24887</v>
      </c>
      <c r="AO1333" s="123">
        <v>1059579</v>
      </c>
    </row>
    <row r="1334" spans="1:41" s="123" customFormat="1" ht="16.2" thickBot="1" x14ac:dyDescent="0.35">
      <c r="A1334" s="21"/>
      <c r="B1334" s="212" t="s">
        <v>177</v>
      </c>
      <c r="C1334" s="31" t="str">
        <f>VLOOKUP((CONCATENATE(B1334)),ID!$A$2:$D$305,3,0)</f>
        <v>TR006</v>
      </c>
      <c r="D1334" s="21">
        <v>1</v>
      </c>
      <c r="E1334" s="21" t="s">
        <v>3972</v>
      </c>
      <c r="F1334" s="21" t="s">
        <v>1117</v>
      </c>
      <c r="G1334" s="21" t="s">
        <v>3978</v>
      </c>
      <c r="H1334" s="88">
        <v>5114</v>
      </c>
      <c r="I1334" s="43">
        <v>5233</v>
      </c>
      <c r="J1334" s="43">
        <v>5227</v>
      </c>
      <c r="K1334" s="21">
        <v>1</v>
      </c>
      <c r="L1334" s="43">
        <v>5241</v>
      </c>
      <c r="M1334" s="43">
        <v>5247</v>
      </c>
      <c r="N1334" s="43">
        <v>5247</v>
      </c>
      <c r="O1334" s="27" t="s">
        <v>3970</v>
      </c>
      <c r="P1334" s="194" t="str">
        <f>IF(AJ1334=0,"?","1")</f>
        <v>1</v>
      </c>
      <c r="Q1334" s="21">
        <v>1</v>
      </c>
      <c r="R1334" s="39" t="str">
        <f t="shared" si="249"/>
        <v>-</v>
      </c>
      <c r="S1334" s="120">
        <f t="shared" si="241"/>
        <v>1282235</v>
      </c>
      <c r="T1334" s="123">
        <v>1979085</v>
      </c>
      <c r="U1334" s="123">
        <f>1571247+260+253298</f>
        <v>1824805</v>
      </c>
      <c r="V1334" s="123">
        <f t="shared" si="250"/>
        <v>154280</v>
      </c>
      <c r="W1334" s="122" t="str">
        <f t="shared" si="251"/>
        <v>1</v>
      </c>
      <c r="X1334" s="123">
        <f>Y1334+128339+50539+12021+3762</f>
        <v>696850</v>
      </c>
      <c r="Y1334" s="123">
        <f>AB1334+5589</f>
        <v>502189</v>
      </c>
      <c r="Z1334" s="123">
        <f t="shared" si="253"/>
        <v>194661</v>
      </c>
      <c r="AA1334" s="122" t="str">
        <f t="shared" si="254"/>
        <v>1</v>
      </c>
      <c r="AB1334" s="120">
        <f t="shared" si="252"/>
        <v>496600</v>
      </c>
      <c r="AC1334" s="123">
        <v>0</v>
      </c>
      <c r="AD1334" s="123">
        <v>496600</v>
      </c>
      <c r="AE1334" s="123">
        <v>44447</v>
      </c>
      <c r="AG1334" s="151">
        <f t="shared" si="248"/>
        <v>104486</v>
      </c>
      <c r="AH1334" s="123">
        <v>129336</v>
      </c>
      <c r="AJ1334" s="123">
        <v>21020</v>
      </c>
      <c r="AL1334" s="123">
        <v>24850</v>
      </c>
      <c r="AO1334" s="123">
        <v>1059579</v>
      </c>
    </row>
    <row r="1335" spans="1:41" s="228" customFormat="1" ht="16.2" thickBot="1" x14ac:dyDescent="0.35">
      <c r="A1335" s="221"/>
      <c r="B1335" s="222" t="s">
        <v>195</v>
      </c>
      <c r="C1335" s="223" t="str">
        <f>VLOOKUP((CONCATENATE(B1335)),ID!$A$2:$D$305,3,0)</f>
        <v>TR007</v>
      </c>
      <c r="D1335" s="221">
        <v>1</v>
      </c>
      <c r="E1335" s="221" t="s">
        <v>3972</v>
      </c>
      <c r="F1335" s="221" t="s">
        <v>1117</v>
      </c>
      <c r="G1335" s="221" t="s">
        <v>3853</v>
      </c>
      <c r="H1335" s="224">
        <v>3926</v>
      </c>
      <c r="I1335" s="225">
        <v>3979</v>
      </c>
      <c r="J1335" s="225">
        <v>3979</v>
      </c>
      <c r="K1335" s="221">
        <v>1</v>
      </c>
      <c r="L1335" s="225">
        <v>3978</v>
      </c>
      <c r="M1335" s="225">
        <v>3994</v>
      </c>
      <c r="N1335" s="225">
        <v>3994</v>
      </c>
      <c r="O1335" s="231" t="s">
        <v>3733</v>
      </c>
      <c r="P1335" s="226">
        <v>1</v>
      </c>
      <c r="Q1335" s="221">
        <v>1</v>
      </c>
      <c r="R1335" s="226" t="str">
        <f t="shared" si="249"/>
        <v>-</v>
      </c>
      <c r="S1335" s="227">
        <f t="shared" si="241"/>
        <v>1668783</v>
      </c>
      <c r="T1335" s="228">
        <v>2417240</v>
      </c>
      <c r="U1335" s="228">
        <f>178732+1260010+833439</f>
        <v>2272181</v>
      </c>
      <c r="V1335" s="228">
        <f t="shared" si="250"/>
        <v>145059</v>
      </c>
      <c r="W1335" s="229" t="str">
        <f t="shared" si="251"/>
        <v>1</v>
      </c>
      <c r="X1335" s="228">
        <f>Y1335+94407</f>
        <v>748457</v>
      </c>
      <c r="Y1335" s="228">
        <f>AB1335</f>
        <v>654050</v>
      </c>
      <c r="Z1335" s="228">
        <f t="shared" si="253"/>
        <v>94407</v>
      </c>
      <c r="AA1335" s="229" t="str">
        <f t="shared" si="254"/>
        <v>1</v>
      </c>
      <c r="AB1335" s="227">
        <f t="shared" si="252"/>
        <v>654050</v>
      </c>
      <c r="AC1335" s="228">
        <v>0</v>
      </c>
      <c r="AD1335" s="228">
        <v>654050</v>
      </c>
      <c r="AE1335" s="228">
        <f>4861+65774</f>
        <v>70635</v>
      </c>
      <c r="AG1335" s="230">
        <f t="shared" si="248"/>
        <v>89147</v>
      </c>
      <c r="AH1335" s="228">
        <v>125132</v>
      </c>
      <c r="AL1335" s="228">
        <f>6283+29702</f>
        <v>35985</v>
      </c>
      <c r="AM1335" s="228">
        <v>1717176</v>
      </c>
      <c r="AO1335" s="228">
        <f>1036592+33200</f>
        <v>1069792</v>
      </c>
    </row>
    <row r="1336" spans="1:41" s="228" customFormat="1" ht="16.2" thickBot="1" x14ac:dyDescent="0.35">
      <c r="A1336" s="221">
        <v>228.1</v>
      </c>
      <c r="B1336" s="222" t="s">
        <v>195</v>
      </c>
      <c r="C1336" s="223" t="str">
        <f>VLOOKUP((CONCATENATE(B1336)),ID!$A$2:$D$305,3,0)</f>
        <v>TR007</v>
      </c>
      <c r="D1336" s="221">
        <v>1</v>
      </c>
      <c r="E1336" s="221" t="s">
        <v>3972</v>
      </c>
      <c r="F1336" s="221" t="s">
        <v>1117</v>
      </c>
      <c r="G1336" s="221" t="s">
        <v>3853</v>
      </c>
      <c r="H1336" s="224">
        <v>4291</v>
      </c>
      <c r="I1336" s="225">
        <v>4350</v>
      </c>
      <c r="J1336" s="225">
        <v>4352</v>
      </c>
      <c r="K1336" s="221">
        <v>1</v>
      </c>
      <c r="L1336" s="225">
        <v>4351</v>
      </c>
      <c r="M1336" s="225">
        <v>4367</v>
      </c>
      <c r="N1336" s="225">
        <v>4367</v>
      </c>
      <c r="O1336" s="231" t="s">
        <v>3733</v>
      </c>
      <c r="P1336" s="226" t="str">
        <f>IF(AJ1336=0,"?","1")</f>
        <v>1</v>
      </c>
      <c r="Q1336" s="221">
        <v>1</v>
      </c>
      <c r="R1336" s="226" t="str">
        <f t="shared" si="249"/>
        <v>-</v>
      </c>
      <c r="S1336" s="227">
        <f t="shared" si="241"/>
        <v>1903998</v>
      </c>
      <c r="T1336" s="228">
        <v>2739872</v>
      </c>
      <c r="U1336" s="228">
        <f>172432+1456909+891271</f>
        <v>2520612</v>
      </c>
      <c r="V1336" s="228">
        <f t="shared" si="250"/>
        <v>219260</v>
      </c>
      <c r="W1336" s="229" t="str">
        <f t="shared" si="251"/>
        <v>1</v>
      </c>
      <c r="X1336" s="228">
        <f>654050+161824+20000</f>
        <v>835874</v>
      </c>
      <c r="Y1336" s="228">
        <f>AB1336</f>
        <v>674050</v>
      </c>
      <c r="Z1336" s="228">
        <f t="shared" si="253"/>
        <v>161824</v>
      </c>
      <c r="AA1336" s="229" t="str">
        <f t="shared" si="254"/>
        <v>1</v>
      </c>
      <c r="AB1336" s="227">
        <f t="shared" si="252"/>
        <v>674050</v>
      </c>
      <c r="AC1336" s="228">
        <v>0</v>
      </c>
      <c r="AD1336" s="228">
        <f>20000+654050</f>
        <v>674050</v>
      </c>
      <c r="AE1336" s="228">
        <f>6030+153574</f>
        <v>159604</v>
      </c>
      <c r="AG1336" s="230">
        <f t="shared" si="248"/>
        <v>199753</v>
      </c>
      <c r="AH1336" s="228">
        <f>213568+15887</f>
        <v>229455</v>
      </c>
      <c r="AJ1336" s="228">
        <v>18092</v>
      </c>
      <c r="AK1336" s="228">
        <f>95579+11325</f>
        <v>106904</v>
      </c>
      <c r="AL1336" s="228">
        <v>29702</v>
      </c>
      <c r="AM1336" s="228">
        <v>1890512</v>
      </c>
      <c r="AO1336" s="228">
        <f>1200696+39168</f>
        <v>1239864</v>
      </c>
    </row>
    <row r="1337" spans="1:41" s="228" customFormat="1" ht="16.2" thickBot="1" x14ac:dyDescent="0.35">
      <c r="A1337" s="221">
        <v>228.2</v>
      </c>
      <c r="B1337" s="222" t="s">
        <v>195</v>
      </c>
      <c r="C1337" s="223" t="str">
        <f>VLOOKUP((CONCATENATE(B1337)),ID!$A$2:$D$305,3,0)</f>
        <v>TR007</v>
      </c>
      <c r="D1337" s="221">
        <v>1</v>
      </c>
      <c r="E1337" s="221" t="s">
        <v>3972</v>
      </c>
      <c r="F1337" s="221" t="s">
        <v>1117</v>
      </c>
      <c r="G1337" s="221" t="s">
        <v>3853</v>
      </c>
      <c r="H1337" s="224">
        <v>4749</v>
      </c>
      <c r="I1337" s="225">
        <v>4780</v>
      </c>
      <c r="J1337" s="225">
        <v>4786</v>
      </c>
      <c r="K1337" s="221">
        <v>0</v>
      </c>
      <c r="L1337" s="221"/>
      <c r="M1337" s="221"/>
      <c r="N1337" s="225">
        <v>4798</v>
      </c>
      <c r="O1337" s="231" t="s">
        <v>3733</v>
      </c>
      <c r="P1337" s="226">
        <v>1</v>
      </c>
      <c r="Q1337" s="221">
        <v>1</v>
      </c>
      <c r="R1337" s="226" t="str">
        <f t="shared" si="249"/>
        <v>-</v>
      </c>
      <c r="S1337" s="227">
        <f t="shared" si="241"/>
        <v>1338579</v>
      </c>
      <c r="T1337" s="228">
        <v>3725026</v>
      </c>
      <c r="U1337" s="228">
        <f>968314+1336568+284849+AF1337</f>
        <v>3189250</v>
      </c>
      <c r="V1337" s="228">
        <f t="shared" si="250"/>
        <v>535776</v>
      </c>
      <c r="W1337" s="229" t="str">
        <f t="shared" si="251"/>
        <v>1</v>
      </c>
      <c r="X1337" s="228">
        <f>Y1337+386447</f>
        <v>2386447</v>
      </c>
      <c r="Y1337" s="228">
        <f>AB1337</f>
        <v>2000000</v>
      </c>
      <c r="Z1337" s="228">
        <f t="shared" si="253"/>
        <v>386447</v>
      </c>
      <c r="AA1337" s="229" t="str">
        <f t="shared" si="254"/>
        <v>1</v>
      </c>
      <c r="AB1337" s="227">
        <f t="shared" si="252"/>
        <v>2000000</v>
      </c>
      <c r="AC1337" s="228">
        <v>0</v>
      </c>
      <c r="AD1337" s="228">
        <v>2000000</v>
      </c>
      <c r="AE1337" s="228">
        <f>441424+51969</f>
        <v>493393</v>
      </c>
      <c r="AF1337" s="228">
        <f>417067+27452+155000</f>
        <v>599519</v>
      </c>
      <c r="AG1337" s="230">
        <f t="shared" si="248"/>
        <v>103099</v>
      </c>
      <c r="AH1337" s="228">
        <v>142682</v>
      </c>
      <c r="AK1337" s="228">
        <v>94086</v>
      </c>
      <c r="AL1337" s="228">
        <f>18750+20833</f>
        <v>39583</v>
      </c>
      <c r="AM1337" s="228">
        <v>1583032</v>
      </c>
      <c r="AO1337" s="228">
        <v>115048</v>
      </c>
    </row>
    <row r="1338" spans="1:41" s="228" customFormat="1" ht="16.2" thickBot="1" x14ac:dyDescent="0.35">
      <c r="A1338" s="221"/>
      <c r="B1338" s="222" t="s">
        <v>195</v>
      </c>
      <c r="C1338" s="223" t="str">
        <f>VLOOKUP((CONCATENATE(B1338)),ID!$A$2:$D$305,3,0)</f>
        <v>TR007</v>
      </c>
      <c r="D1338" s="221">
        <v>1</v>
      </c>
      <c r="E1338" s="221" t="s">
        <v>3972</v>
      </c>
      <c r="F1338" s="221" t="s">
        <v>1117</v>
      </c>
      <c r="G1338" s="221" t="s">
        <v>3853</v>
      </c>
      <c r="H1338" s="224">
        <v>5114</v>
      </c>
      <c r="I1338" s="225">
        <v>5150</v>
      </c>
      <c r="J1338" s="225">
        <v>5155</v>
      </c>
      <c r="K1338" s="221">
        <v>0</v>
      </c>
      <c r="L1338" s="221"/>
      <c r="M1338" s="221"/>
      <c r="N1338" s="225">
        <v>5114</v>
      </c>
      <c r="O1338" s="231" t="s">
        <v>3733</v>
      </c>
      <c r="P1338" s="226">
        <v>1</v>
      </c>
      <c r="Q1338" s="221">
        <v>1</v>
      </c>
      <c r="R1338" s="226" t="str">
        <f t="shared" si="249"/>
        <v>-</v>
      </c>
      <c r="S1338" s="227">
        <f t="shared" si="241"/>
        <v>1569726</v>
      </c>
      <c r="T1338" s="228">
        <v>4149778</v>
      </c>
      <c r="U1338" s="228">
        <f>AF1338+305970+1584274+1147794</f>
        <v>3637418</v>
      </c>
      <c r="V1338" s="228">
        <f t="shared" si="250"/>
        <v>512360</v>
      </c>
      <c r="W1338" s="229" t="str">
        <f t="shared" si="251"/>
        <v>1</v>
      </c>
      <c r="X1338" s="228">
        <f>Y1338+580052</f>
        <v>2580052</v>
      </c>
      <c r="Y1338" s="228">
        <f>AB1338</f>
        <v>2000000</v>
      </c>
      <c r="Z1338" s="228">
        <f t="shared" si="253"/>
        <v>580052</v>
      </c>
      <c r="AA1338" s="229" t="str">
        <f t="shared" si="254"/>
        <v>1</v>
      </c>
      <c r="AB1338" s="227">
        <f t="shared" si="252"/>
        <v>2000000</v>
      </c>
      <c r="AC1338" s="228">
        <v>0</v>
      </c>
      <c r="AD1338" s="228">
        <v>2000000</v>
      </c>
      <c r="AE1338" s="228">
        <v>429372</v>
      </c>
      <c r="AF1338" s="228">
        <f>417067+27313+155000</f>
        <v>599380</v>
      </c>
      <c r="AG1338" s="230">
        <f t="shared" si="248"/>
        <v>240223</v>
      </c>
      <c r="AH1338" s="228">
        <f>346729-11060-446</f>
        <v>335223</v>
      </c>
      <c r="AJ1338" s="228">
        <v>92038</v>
      </c>
      <c r="AK1338" s="228">
        <v>16613</v>
      </c>
      <c r="AL1338" s="228">
        <f>45000+50000</f>
        <v>95000</v>
      </c>
      <c r="AM1338" s="228">
        <v>3258197</v>
      </c>
      <c r="AO1338" s="228">
        <v>115048</v>
      </c>
    </row>
    <row r="1339" spans="1:41" s="123" customFormat="1" ht="16.2" thickBot="1" x14ac:dyDescent="0.35">
      <c r="A1339" s="21"/>
      <c r="B1339" s="212" t="s">
        <v>198</v>
      </c>
      <c r="C1339" s="31" t="str">
        <f>VLOOKUP((CONCATENATE(B1339)),ID!$A$2:$D$305,3,0)</f>
        <v>TR008</v>
      </c>
      <c r="D1339" s="21">
        <v>1</v>
      </c>
      <c r="E1339" s="21" t="s">
        <v>3972</v>
      </c>
      <c r="F1339" s="21" t="s">
        <v>1117</v>
      </c>
      <c r="G1339" s="21" t="s">
        <v>3853</v>
      </c>
      <c r="H1339" s="88">
        <v>3653</v>
      </c>
      <c r="I1339" s="43">
        <v>3759</v>
      </c>
      <c r="J1339" s="43">
        <v>3758</v>
      </c>
      <c r="K1339" s="21">
        <v>0</v>
      </c>
      <c r="L1339" s="21"/>
      <c r="M1339" s="21"/>
      <c r="N1339" s="43">
        <v>3765</v>
      </c>
      <c r="O1339" s="27" t="s">
        <v>3970</v>
      </c>
      <c r="P1339" s="194">
        <v>0</v>
      </c>
      <c r="Q1339" s="21">
        <v>1</v>
      </c>
      <c r="R1339" s="39" t="str">
        <f t="shared" si="249"/>
        <v>-</v>
      </c>
      <c r="S1339" s="120">
        <f t="shared" si="241"/>
        <v>2303319</v>
      </c>
      <c r="T1339" s="123">
        <v>4108310</v>
      </c>
      <c r="U1339" s="123">
        <v>3955296</v>
      </c>
      <c r="V1339" s="123">
        <f t="shared" si="250"/>
        <v>153014</v>
      </c>
      <c r="W1339" s="122" t="str">
        <f t="shared" si="251"/>
        <v>1</v>
      </c>
      <c r="X1339" s="123">
        <f>Y1339+80000+100+43888+31073</f>
        <v>1804991</v>
      </c>
      <c r="Y1339" s="123">
        <f>AB1339-80000</f>
        <v>1649930</v>
      </c>
      <c r="Z1339" s="123">
        <f t="shared" si="253"/>
        <v>155061</v>
      </c>
      <c r="AA1339" s="122" t="str">
        <f t="shared" si="254"/>
        <v>1</v>
      </c>
      <c r="AB1339" s="120">
        <f t="shared" si="252"/>
        <v>1729930</v>
      </c>
      <c r="AC1339" s="123">
        <v>0</v>
      </c>
      <c r="AD1339" s="123">
        <f>1649930+80000</f>
        <v>1729930</v>
      </c>
      <c r="AE1339" s="123">
        <v>33463</v>
      </c>
      <c r="AG1339" s="151">
        <f t="shared" si="248"/>
        <v>25123</v>
      </c>
      <c r="AH1339" s="123">
        <f>91659</f>
        <v>91659</v>
      </c>
      <c r="AL1339" s="123">
        <v>66536</v>
      </c>
      <c r="AM1339" s="123">
        <v>318226</v>
      </c>
      <c r="AO1339" s="123">
        <v>225000</v>
      </c>
    </row>
    <row r="1340" spans="1:41" s="123" customFormat="1" ht="16.2" thickBot="1" x14ac:dyDescent="0.35">
      <c r="A1340" s="21">
        <v>229.1</v>
      </c>
      <c r="B1340" s="212" t="s">
        <v>198</v>
      </c>
      <c r="C1340" s="31" t="str">
        <f>VLOOKUP((CONCATENATE(B1340)),ID!$A$2:$D$305,3,0)</f>
        <v>TR008</v>
      </c>
      <c r="D1340" s="21">
        <v>1</v>
      </c>
      <c r="E1340" s="21" t="s">
        <v>3972</v>
      </c>
      <c r="F1340" s="21" t="s">
        <v>1117</v>
      </c>
      <c r="G1340" s="21" t="s">
        <v>3853</v>
      </c>
      <c r="H1340" s="88">
        <v>4018</v>
      </c>
      <c r="I1340" s="43">
        <v>4059</v>
      </c>
      <c r="J1340" s="43">
        <v>4059</v>
      </c>
      <c r="K1340" s="21">
        <v>0</v>
      </c>
      <c r="L1340" s="21"/>
      <c r="M1340" s="21"/>
      <c r="N1340" s="43">
        <v>4066</v>
      </c>
      <c r="O1340" s="27" t="s">
        <v>3970</v>
      </c>
      <c r="P1340" s="194">
        <v>0</v>
      </c>
      <c r="Q1340" s="21">
        <v>1</v>
      </c>
      <c r="R1340" s="39" t="str">
        <f t="shared" si="249"/>
        <v>-</v>
      </c>
      <c r="S1340" s="120">
        <f t="shared" si="241"/>
        <v>2318349</v>
      </c>
      <c r="T1340" s="123">
        <v>4125134</v>
      </c>
      <c r="U1340" s="123">
        <f>3955296+13669</f>
        <v>3968965</v>
      </c>
      <c r="V1340" s="123">
        <f t="shared" si="250"/>
        <v>156169</v>
      </c>
      <c r="W1340" s="122" t="str">
        <f t="shared" si="251"/>
        <v>1</v>
      </c>
      <c r="X1340" s="123">
        <f>1649930+90000+70+35712+31073</f>
        <v>1806785</v>
      </c>
      <c r="Y1340" s="123">
        <f>AB1340-90000</f>
        <v>1649930</v>
      </c>
      <c r="Z1340" s="123">
        <f t="shared" si="253"/>
        <v>156855</v>
      </c>
      <c r="AA1340" s="122" t="str">
        <f t="shared" si="254"/>
        <v>1</v>
      </c>
      <c r="AB1340" s="120">
        <f t="shared" si="252"/>
        <v>1739930</v>
      </c>
      <c r="AC1340" s="123">
        <v>0</v>
      </c>
      <c r="AD1340" s="123">
        <f>1649930+90000</f>
        <v>1739930</v>
      </c>
      <c r="AE1340" s="123">
        <v>47082</v>
      </c>
      <c r="AG1340" s="151">
        <f t="shared" si="248"/>
        <v>33464</v>
      </c>
      <c r="AH1340" s="123">
        <v>99447</v>
      </c>
      <c r="AL1340" s="123">
        <v>65983</v>
      </c>
      <c r="AM1340" s="123">
        <v>333659</v>
      </c>
      <c r="AO1340" s="123">
        <v>225000</v>
      </c>
    </row>
    <row r="1341" spans="1:41" s="123" customFormat="1" ht="16.2" thickBot="1" x14ac:dyDescent="0.35">
      <c r="A1341" s="21">
        <v>229.2</v>
      </c>
      <c r="B1341" s="212" t="s">
        <v>198</v>
      </c>
      <c r="C1341" s="31" t="str">
        <f>VLOOKUP((CONCATENATE(B1341)),ID!$A$2:$D$305,3,0)</f>
        <v>TR008</v>
      </c>
      <c r="D1341" s="21">
        <v>1</v>
      </c>
      <c r="E1341" s="21" t="s">
        <v>3972</v>
      </c>
      <c r="F1341" s="21" t="s">
        <v>1117</v>
      </c>
      <c r="G1341" s="21" t="s">
        <v>3853</v>
      </c>
      <c r="H1341" s="88">
        <v>4383</v>
      </c>
      <c r="I1341" s="43">
        <v>4406</v>
      </c>
      <c r="J1341" s="43">
        <v>40931</v>
      </c>
      <c r="K1341" s="21">
        <v>0</v>
      </c>
      <c r="L1341" s="21"/>
      <c r="M1341" s="21"/>
      <c r="N1341" s="43">
        <v>4413</v>
      </c>
      <c r="O1341" s="27" t="s">
        <v>3970</v>
      </c>
      <c r="P1341" s="194">
        <v>0</v>
      </c>
      <c r="Q1341" s="21">
        <v>1</v>
      </c>
      <c r="R1341" s="39" t="str">
        <f t="shared" si="249"/>
        <v>-</v>
      </c>
      <c r="S1341" s="183">
        <f t="shared" si="241"/>
        <v>2359466</v>
      </c>
      <c r="T1341" s="134">
        <v>4153870</v>
      </c>
      <c r="U1341" s="134">
        <f>3970965+8819</f>
        <v>3979784</v>
      </c>
      <c r="V1341" s="134">
        <f t="shared" si="250"/>
        <v>174086</v>
      </c>
      <c r="W1341" s="184" t="str">
        <f t="shared" si="251"/>
        <v>1</v>
      </c>
      <c r="X1341" s="134">
        <f>31073+30331+70+83000+1649930</f>
        <v>1794404</v>
      </c>
      <c r="Y1341" s="134">
        <f>AB1341-83000</f>
        <v>1649930</v>
      </c>
      <c r="Z1341" s="134">
        <f t="shared" si="253"/>
        <v>144474</v>
      </c>
      <c r="AA1341" s="184" t="str">
        <f t="shared" si="254"/>
        <v>1</v>
      </c>
      <c r="AB1341" s="183">
        <f t="shared" si="252"/>
        <v>1732930</v>
      </c>
      <c r="AC1341" s="134">
        <v>0</v>
      </c>
      <c r="AD1341" s="134">
        <f>1649930+83000</f>
        <v>1732930</v>
      </c>
      <c r="AE1341" s="134">
        <v>64403</v>
      </c>
      <c r="AF1341" s="134"/>
      <c r="AG1341" s="152">
        <f t="shared" si="248"/>
        <v>61218</v>
      </c>
      <c r="AH1341" s="134">
        <v>124954</v>
      </c>
      <c r="AI1341" s="134"/>
      <c r="AJ1341" s="134"/>
      <c r="AK1341" s="134"/>
      <c r="AL1341" s="134">
        <v>63736</v>
      </c>
      <c r="AM1341" s="134">
        <v>343987</v>
      </c>
      <c r="AO1341" s="123">
        <v>225000</v>
      </c>
    </row>
    <row r="1342" spans="1:41" s="123" customFormat="1" ht="16.2" thickBot="1" x14ac:dyDescent="0.35">
      <c r="A1342" s="21"/>
      <c r="B1342" s="212" t="s">
        <v>198</v>
      </c>
      <c r="C1342" s="31" t="str">
        <f>VLOOKUP((CONCATENATE(B1342)),ID!$A$2:$D$305,3,0)</f>
        <v>TR008</v>
      </c>
      <c r="D1342" s="21">
        <v>1</v>
      </c>
      <c r="E1342" s="21" t="s">
        <v>3972</v>
      </c>
      <c r="F1342" s="21" t="s">
        <v>1117</v>
      </c>
      <c r="G1342" s="21" t="s">
        <v>3853</v>
      </c>
      <c r="H1342" s="88">
        <v>4749</v>
      </c>
      <c r="I1342" s="43">
        <v>4812</v>
      </c>
      <c r="J1342" s="43">
        <v>4812</v>
      </c>
      <c r="K1342" s="21">
        <v>0</v>
      </c>
      <c r="L1342" s="21"/>
      <c r="M1342" s="21"/>
      <c r="N1342" s="43">
        <v>4820</v>
      </c>
      <c r="O1342" s="27" t="s">
        <v>3970</v>
      </c>
      <c r="P1342" s="194">
        <v>0</v>
      </c>
      <c r="Q1342" s="21">
        <v>1</v>
      </c>
      <c r="R1342" s="39" t="str">
        <f t="shared" si="249"/>
        <v>-</v>
      </c>
      <c r="S1342" s="183">
        <f t="shared" si="241"/>
        <v>2445323</v>
      </c>
      <c r="T1342" s="134">
        <v>4155805</v>
      </c>
      <c r="U1342" s="134">
        <f>3979785+11488</f>
        <v>3991273</v>
      </c>
      <c r="V1342" s="134">
        <f t="shared" si="250"/>
        <v>164532</v>
      </c>
      <c r="W1342" s="184" t="str">
        <f t="shared" si="251"/>
        <v>1</v>
      </c>
      <c r="X1342" s="134">
        <f>Y1342+31073+29409+70</f>
        <v>1710482</v>
      </c>
      <c r="Y1342" s="134">
        <f>AB1342-70000</f>
        <v>1649930</v>
      </c>
      <c r="Z1342" s="134">
        <f t="shared" si="253"/>
        <v>60552</v>
      </c>
      <c r="AA1342" s="184" t="str">
        <f t="shared" si="254"/>
        <v>1</v>
      </c>
      <c r="AB1342" s="183">
        <f t="shared" si="252"/>
        <v>1719930</v>
      </c>
      <c r="AC1342" s="134">
        <v>0</v>
      </c>
      <c r="AD1342" s="134">
        <f>1649930+70000</f>
        <v>1719930</v>
      </c>
      <c r="AE1342" s="134">
        <v>47145</v>
      </c>
      <c r="AF1342" s="134"/>
      <c r="AG1342" s="152">
        <f t="shared" si="248"/>
        <v>43547</v>
      </c>
      <c r="AH1342" s="134">
        <v>108361</v>
      </c>
      <c r="AI1342" s="134"/>
      <c r="AJ1342" s="134"/>
      <c r="AK1342" s="134"/>
      <c r="AL1342" s="134">
        <v>64814</v>
      </c>
      <c r="AM1342" s="134">
        <v>332016</v>
      </c>
      <c r="AO1342" s="123">
        <v>225000</v>
      </c>
    </row>
    <row r="1343" spans="1:41" s="123" customFormat="1" ht="16.2" thickBot="1" x14ac:dyDescent="0.35">
      <c r="A1343" s="21"/>
      <c r="B1343" s="212" t="s">
        <v>198</v>
      </c>
      <c r="C1343" s="31" t="str">
        <f>VLOOKUP((CONCATENATE(B1343)),ID!$A$2:$D$305,3,0)</f>
        <v>TR008</v>
      </c>
      <c r="D1343" s="21">
        <v>1</v>
      </c>
      <c r="E1343" s="21" t="s">
        <v>3972</v>
      </c>
      <c r="F1343" s="21" t="s">
        <v>1117</v>
      </c>
      <c r="G1343" s="21" t="s">
        <v>3853</v>
      </c>
      <c r="H1343" s="88">
        <v>5114</v>
      </c>
      <c r="I1343" s="43">
        <v>5190</v>
      </c>
      <c r="J1343" s="43">
        <v>5187</v>
      </c>
      <c r="K1343" s="21">
        <v>0</v>
      </c>
      <c r="L1343" s="21"/>
      <c r="M1343" s="21"/>
      <c r="N1343" s="43">
        <v>5198</v>
      </c>
      <c r="O1343" s="27" t="s">
        <v>3970</v>
      </c>
      <c r="P1343" s="194" t="str">
        <f>IF(AJ1343=0,"?","1")</f>
        <v>1</v>
      </c>
      <c r="Q1343" s="21">
        <v>1</v>
      </c>
      <c r="R1343" s="39" t="str">
        <f t="shared" si="249"/>
        <v>-</v>
      </c>
      <c r="S1343" s="183">
        <f t="shared" si="241"/>
        <v>2407109</v>
      </c>
      <c r="T1343" s="134">
        <v>4273131</v>
      </c>
      <c r="U1343" s="134">
        <f>1900+3996840</f>
        <v>3998740</v>
      </c>
      <c r="V1343" s="134">
        <f t="shared" si="250"/>
        <v>274391</v>
      </c>
      <c r="W1343" s="184" t="str">
        <f t="shared" si="251"/>
        <v>1</v>
      </c>
      <c r="X1343" s="134">
        <f>Y1343+110000+34094+32998+39000</f>
        <v>1866022</v>
      </c>
      <c r="Y1343" s="134">
        <f>AB1343-110000</f>
        <v>1649930</v>
      </c>
      <c r="Z1343" s="134">
        <f>X1343-Y1343</f>
        <v>216092</v>
      </c>
      <c r="AA1343" s="184" t="str">
        <f>IF(Z1343+Y1343=X1343,"1","0")</f>
        <v>1</v>
      </c>
      <c r="AB1343" s="183">
        <f>SUM(AC1343+AD1343)</f>
        <v>1759930</v>
      </c>
      <c r="AC1343" s="134">
        <v>0</v>
      </c>
      <c r="AD1343" s="134">
        <f>1649930+110000</f>
        <v>1759930</v>
      </c>
      <c r="AE1343" s="134">
        <v>41237</v>
      </c>
      <c r="AF1343" s="134"/>
      <c r="AG1343" s="152">
        <f t="shared" si="248"/>
        <v>13372</v>
      </c>
      <c r="AH1343" s="134">
        <f>AM1343-323821+AL1343</f>
        <v>81498</v>
      </c>
      <c r="AI1343" s="134"/>
      <c r="AJ1343" s="134">
        <v>12500</v>
      </c>
      <c r="AK1343" s="134"/>
      <c r="AL1343" s="134">
        <v>68126</v>
      </c>
      <c r="AM1343" s="134">
        <v>337193</v>
      </c>
      <c r="AO1343" s="123">
        <v>225000</v>
      </c>
    </row>
    <row r="1344" spans="1:41" s="123" customFormat="1" ht="16.2" thickBot="1" x14ac:dyDescent="0.35">
      <c r="A1344" s="21"/>
      <c r="B1344" s="212" t="s">
        <v>45</v>
      </c>
      <c r="C1344" s="31" t="str">
        <f>VLOOKUP((CONCATENATE(B1344)),ID!$A$2:$D$305,3,0)</f>
        <v>WW01</v>
      </c>
      <c r="D1344" s="21">
        <v>1</v>
      </c>
      <c r="E1344" s="21" t="s">
        <v>3979</v>
      </c>
      <c r="F1344" s="21" t="s">
        <v>3849</v>
      </c>
      <c r="G1344" s="21" t="s">
        <v>3853</v>
      </c>
      <c r="H1344" s="88">
        <v>3653</v>
      </c>
      <c r="I1344" s="43">
        <v>3693</v>
      </c>
      <c r="J1344" s="43">
        <v>3699</v>
      </c>
      <c r="K1344" s="21">
        <v>1</v>
      </c>
      <c r="L1344" s="43">
        <v>3702</v>
      </c>
      <c r="M1344" s="43">
        <v>3717</v>
      </c>
      <c r="N1344" s="43">
        <v>3717</v>
      </c>
      <c r="O1344" s="21" t="s">
        <v>3980</v>
      </c>
      <c r="P1344" s="194" t="str">
        <f>IF(AJ1344=0,"?","1")</f>
        <v>1</v>
      </c>
      <c r="Q1344" s="21">
        <v>1</v>
      </c>
      <c r="R1344" s="39" t="str">
        <f t="shared" si="249"/>
        <v>-</v>
      </c>
      <c r="S1344" s="183">
        <f t="shared" si="241"/>
        <v>67290</v>
      </c>
      <c r="T1344" s="134">
        <v>86819</v>
      </c>
      <c r="U1344" s="134">
        <f>29270+15825</f>
        <v>45095</v>
      </c>
      <c r="V1344" s="134">
        <f t="shared" si="250"/>
        <v>41724</v>
      </c>
      <c r="W1344" s="184" t="str">
        <f t="shared" ref="W1344:W1384" si="255">IF(V1344+U1344=T1344,"1","0")</f>
        <v>1</v>
      </c>
      <c r="X1344" s="134">
        <f t="shared" ref="X1344:X1351" si="256">Y1344+Z1344</f>
        <v>19529</v>
      </c>
      <c r="Y1344" s="134">
        <v>0</v>
      </c>
      <c r="Z1344" s="134">
        <f>9887+9642</f>
        <v>19529</v>
      </c>
      <c r="AA1344" s="184" t="str">
        <f t="shared" ref="AA1344:AA1387" si="257">IF(Z1344+Y1344=X1344,"1","0")</f>
        <v>1</v>
      </c>
      <c r="AB1344" s="183">
        <f t="shared" ref="AB1344:AB1427" si="258">SUM(AC1344+AD1344)</f>
        <v>0</v>
      </c>
      <c r="AC1344" s="134">
        <v>0</v>
      </c>
      <c r="AD1344" s="134">
        <v>0</v>
      </c>
      <c r="AE1344" s="134">
        <v>7780</v>
      </c>
      <c r="AF1344" s="134"/>
      <c r="AG1344" s="152">
        <f t="shared" si="248"/>
        <v>102957</v>
      </c>
      <c r="AH1344" s="134">
        <f>38019+33708+AJ1344-2478+AL1344</f>
        <v>121062</v>
      </c>
      <c r="AI1344" s="134"/>
      <c r="AJ1344" s="134">
        <v>33708</v>
      </c>
      <c r="AK1344" s="134"/>
      <c r="AL1344" s="134">
        <f>1367+16738</f>
        <v>18105</v>
      </c>
      <c r="AM1344" s="134"/>
    </row>
    <row r="1345" spans="1:41" s="123" customFormat="1" ht="16.2" thickBot="1" x14ac:dyDescent="0.35">
      <c r="A1345" s="21">
        <v>230.1</v>
      </c>
      <c r="B1345" s="212" t="s">
        <v>45</v>
      </c>
      <c r="C1345" s="31" t="str">
        <f>VLOOKUP((CONCATENATE(B1345)),ID!$A$2:$D$305,3,0)</f>
        <v>WW01</v>
      </c>
      <c r="D1345" s="21">
        <v>1</v>
      </c>
      <c r="E1345" s="21" t="s">
        <v>3979</v>
      </c>
      <c r="F1345" s="21" t="s">
        <v>3849</v>
      </c>
      <c r="G1345" s="21" t="s">
        <v>3853</v>
      </c>
      <c r="H1345" s="88">
        <v>4018</v>
      </c>
      <c r="I1345" s="43">
        <v>4057</v>
      </c>
      <c r="J1345" s="43">
        <v>4062</v>
      </c>
      <c r="K1345" s="21">
        <v>1</v>
      </c>
      <c r="L1345" s="43">
        <v>4066</v>
      </c>
      <c r="M1345" s="43">
        <v>4081</v>
      </c>
      <c r="N1345" s="43">
        <v>4081</v>
      </c>
      <c r="O1345" s="21" t="s">
        <v>3980</v>
      </c>
      <c r="P1345" s="194" t="str">
        <f>IF(AJ1345=0,"?","1")</f>
        <v>1</v>
      </c>
      <c r="Q1345" s="21">
        <v>1</v>
      </c>
      <c r="R1345" s="39" t="str">
        <f t="shared" si="249"/>
        <v>-</v>
      </c>
      <c r="S1345" s="120">
        <f t="shared" ref="S1345:S1409" si="259">T1345-X1345</f>
        <v>63920</v>
      </c>
      <c r="T1345" s="123">
        <v>82805</v>
      </c>
      <c r="U1345" s="123">
        <f>12629+26728</f>
        <v>39357</v>
      </c>
      <c r="V1345" s="123">
        <f t="shared" ref="V1345:V1411" si="260">T1345-U1345</f>
        <v>43448</v>
      </c>
      <c r="W1345" s="122" t="str">
        <f t="shared" si="255"/>
        <v>1</v>
      </c>
      <c r="X1345" s="123">
        <f t="shared" si="256"/>
        <v>18885</v>
      </c>
      <c r="Y1345" s="123">
        <v>0</v>
      </c>
      <c r="Z1345" s="123">
        <f>8998+9887</f>
        <v>18885</v>
      </c>
      <c r="AA1345" s="122" t="str">
        <f t="shared" si="257"/>
        <v>1</v>
      </c>
      <c r="AB1345" s="120">
        <f t="shared" si="258"/>
        <v>0</v>
      </c>
      <c r="AC1345" s="123">
        <v>0</v>
      </c>
      <c r="AD1345" s="123">
        <v>0</v>
      </c>
      <c r="AE1345" s="123">
        <v>12142</v>
      </c>
      <c r="AG1345" s="151">
        <f t="shared" si="248"/>
        <v>92685</v>
      </c>
      <c r="AH1345" s="123">
        <f>161868-4310-46327</f>
        <v>111231</v>
      </c>
      <c r="AJ1345" s="123">
        <v>33848</v>
      </c>
      <c r="AL1345" s="123">
        <f>16823+1723</f>
        <v>18546</v>
      </c>
    </row>
    <row r="1346" spans="1:41" s="123" customFormat="1" ht="16.2" thickBot="1" x14ac:dyDescent="0.35">
      <c r="A1346" s="21">
        <v>230.2</v>
      </c>
      <c r="B1346" s="212" t="s">
        <v>45</v>
      </c>
      <c r="C1346" s="31" t="str">
        <f>VLOOKUP((CONCATENATE(B1346)),ID!$A$2:$D$305,3,0)</f>
        <v>WW01</v>
      </c>
      <c r="D1346" s="21">
        <v>1</v>
      </c>
      <c r="E1346" s="21" t="s">
        <v>3979</v>
      </c>
      <c r="F1346" s="21" t="s">
        <v>3849</v>
      </c>
      <c r="G1346" s="21" t="s">
        <v>3853</v>
      </c>
      <c r="H1346" s="88">
        <v>4383</v>
      </c>
      <c r="I1346" s="43">
        <v>4421</v>
      </c>
      <c r="J1346" s="43">
        <v>4427</v>
      </c>
      <c r="K1346" s="21">
        <v>1</v>
      </c>
      <c r="L1346" s="43">
        <v>4430</v>
      </c>
      <c r="M1346" s="43">
        <v>4445</v>
      </c>
      <c r="N1346" s="43">
        <v>4445</v>
      </c>
      <c r="O1346" s="21" t="s">
        <v>3980</v>
      </c>
      <c r="P1346" s="194" t="str">
        <f>IF(AJ1346=0,"?","1")</f>
        <v>1</v>
      </c>
      <c r="Q1346" s="21">
        <v>1</v>
      </c>
      <c r="R1346" s="39" t="str">
        <f t="shared" si="249"/>
        <v>-</v>
      </c>
      <c r="S1346" s="120">
        <f t="shared" si="259"/>
        <v>66928</v>
      </c>
      <c r="T1346" s="123">
        <v>86519</v>
      </c>
      <c r="U1346" s="123">
        <f>26728+17205</f>
        <v>43933</v>
      </c>
      <c r="V1346" s="123">
        <f>T1346-U1346</f>
        <v>42586</v>
      </c>
      <c r="W1346" s="122" t="str">
        <f t="shared" si="255"/>
        <v>1</v>
      </c>
      <c r="X1346" s="123">
        <f t="shared" si="256"/>
        <v>19591</v>
      </c>
      <c r="Y1346" s="123">
        <v>0</v>
      </c>
      <c r="Z1346" s="123">
        <f>9704+9887</f>
        <v>19591</v>
      </c>
      <c r="AA1346" s="122" t="str">
        <f t="shared" si="257"/>
        <v>1</v>
      </c>
      <c r="AB1346" s="120">
        <f t="shared" si="258"/>
        <v>0</v>
      </c>
      <c r="AC1346" s="123">
        <v>0</v>
      </c>
      <c r="AD1346" s="123">
        <v>0</v>
      </c>
      <c r="AE1346" s="123">
        <v>14442</v>
      </c>
      <c r="AG1346" s="151">
        <f t="shared" si="248"/>
        <v>97053</v>
      </c>
      <c r="AH1346" s="123">
        <f>166470-3342-47728</f>
        <v>115400</v>
      </c>
      <c r="AJ1346" s="123">
        <v>34125</v>
      </c>
      <c r="AL1346" s="123">
        <f>16823+1524</f>
        <v>18347</v>
      </c>
    </row>
    <row r="1347" spans="1:41" s="123" customFormat="1" ht="16.2" thickBot="1" x14ac:dyDescent="0.35">
      <c r="A1347" s="21"/>
      <c r="B1347" s="212" t="s">
        <v>45</v>
      </c>
      <c r="C1347" s="31" t="str">
        <f>VLOOKUP((CONCATENATE(B1347)),ID!$A$2:$D$305,3,0)</f>
        <v>WW01</v>
      </c>
      <c r="D1347" s="21">
        <v>1</v>
      </c>
      <c r="E1347" s="21" t="s">
        <v>3979</v>
      </c>
      <c r="F1347" s="21" t="s">
        <v>3849</v>
      </c>
      <c r="G1347" s="21" t="s">
        <v>3853</v>
      </c>
      <c r="H1347" s="88">
        <v>4749</v>
      </c>
      <c r="I1347" s="43">
        <v>4785</v>
      </c>
      <c r="J1347" s="43">
        <v>4792</v>
      </c>
      <c r="K1347" s="21">
        <v>1</v>
      </c>
      <c r="L1347" s="43">
        <v>4794</v>
      </c>
      <c r="M1347" s="43">
        <v>4809</v>
      </c>
      <c r="N1347" s="43">
        <v>4809</v>
      </c>
      <c r="O1347" s="21" t="s">
        <v>3980</v>
      </c>
      <c r="P1347" s="194" t="str">
        <f t="shared" ref="P1347:P1412" si="261">IF(AJ1347=0,"?","1")</f>
        <v>1</v>
      </c>
      <c r="Q1347" s="21">
        <v>1</v>
      </c>
      <c r="R1347" s="39" t="str">
        <f t="shared" si="249"/>
        <v>-</v>
      </c>
      <c r="S1347" s="120">
        <f t="shared" si="259"/>
        <v>69621</v>
      </c>
      <c r="T1347" s="123">
        <v>89827</v>
      </c>
      <c r="U1347" s="123">
        <f>2996+26728</f>
        <v>29724</v>
      </c>
      <c r="V1347" s="123">
        <f>T1347-U1347</f>
        <v>60103</v>
      </c>
      <c r="W1347" s="122" t="str">
        <f t="shared" si="255"/>
        <v>1</v>
      </c>
      <c r="X1347" s="123">
        <f t="shared" si="256"/>
        <v>20206</v>
      </c>
      <c r="Y1347" s="123">
        <v>0</v>
      </c>
      <c r="Z1347" s="123">
        <f>10319+9887</f>
        <v>20206</v>
      </c>
      <c r="AA1347" s="122" t="str">
        <f t="shared" si="257"/>
        <v>1</v>
      </c>
      <c r="AB1347" s="120">
        <f t="shared" si="258"/>
        <v>0</v>
      </c>
      <c r="AC1347" s="123">
        <v>0</v>
      </c>
      <c r="AD1347" s="123">
        <v>0</v>
      </c>
      <c r="AE1347" s="123">
        <v>33196</v>
      </c>
      <c r="AG1347" s="151">
        <f t="shared" si="248"/>
        <v>87024</v>
      </c>
      <c r="AH1347" s="123">
        <f>158349-6069-47339</f>
        <v>104941</v>
      </c>
      <c r="AJ1347" s="123">
        <v>35628</v>
      </c>
      <c r="AL1347" s="123">
        <f>1094+16823</f>
        <v>17917</v>
      </c>
    </row>
    <row r="1348" spans="1:41" s="123" customFormat="1" ht="16.2" thickBot="1" x14ac:dyDescent="0.35">
      <c r="A1348" s="21"/>
      <c r="B1348" s="212" t="s">
        <v>45</v>
      </c>
      <c r="C1348" s="31" t="str">
        <f>VLOOKUP((CONCATENATE(B1348)),ID!$A$2:$D$305,3,0)</f>
        <v>WW01</v>
      </c>
      <c r="D1348" s="21">
        <v>1</v>
      </c>
      <c r="E1348" s="21" t="s">
        <v>3979</v>
      </c>
      <c r="F1348" s="21" t="s">
        <v>3849</v>
      </c>
      <c r="G1348" s="21" t="s">
        <v>3853</v>
      </c>
      <c r="H1348" s="88">
        <v>5114</v>
      </c>
      <c r="I1348" s="43">
        <v>5156</v>
      </c>
      <c r="J1348" s="43">
        <v>5156</v>
      </c>
      <c r="K1348" s="21">
        <v>1</v>
      </c>
      <c r="L1348" s="43">
        <v>5165</v>
      </c>
      <c r="M1348" s="43">
        <v>5180</v>
      </c>
      <c r="N1348" s="43">
        <v>5180</v>
      </c>
      <c r="O1348" s="21" t="s">
        <v>3980</v>
      </c>
      <c r="P1348" s="194" t="str">
        <f t="shared" si="261"/>
        <v>1</v>
      </c>
      <c r="Q1348" s="21">
        <v>1</v>
      </c>
      <c r="R1348" s="39" t="str">
        <f t="shared" si="249"/>
        <v>-</v>
      </c>
      <c r="S1348" s="120">
        <f t="shared" si="259"/>
        <v>70076</v>
      </c>
      <c r="T1348" s="123">
        <v>91128</v>
      </c>
      <c r="U1348" s="123">
        <f>27669+26728</f>
        <v>54397</v>
      </c>
      <c r="V1348" s="123">
        <f>T1348-U1348</f>
        <v>36731</v>
      </c>
      <c r="W1348" s="122" t="str">
        <f t="shared" si="255"/>
        <v>1</v>
      </c>
      <c r="X1348" s="123">
        <f t="shared" si="256"/>
        <v>21052</v>
      </c>
      <c r="Y1348" s="123">
        <v>0</v>
      </c>
      <c r="Z1348" s="123">
        <f>11165+9887</f>
        <v>21052</v>
      </c>
      <c r="AA1348" s="122" t="str">
        <f t="shared" si="257"/>
        <v>1</v>
      </c>
      <c r="AB1348" s="120">
        <f t="shared" si="258"/>
        <v>0</v>
      </c>
      <c r="AC1348" s="123">
        <v>0</v>
      </c>
      <c r="AD1348" s="123">
        <v>0</v>
      </c>
      <c r="AE1348" s="123">
        <v>7672</v>
      </c>
      <c r="AG1348" s="151">
        <f t="shared" si="248"/>
        <v>97755</v>
      </c>
      <c r="AH1348" s="123">
        <f>172759-7263-49758</f>
        <v>115738</v>
      </c>
      <c r="AJ1348" s="123">
        <v>33469</v>
      </c>
      <c r="AL1348" s="123">
        <f>1160+16823</f>
        <v>17983</v>
      </c>
    </row>
    <row r="1349" spans="1:41" s="123" customFormat="1" ht="16.2" thickBot="1" x14ac:dyDescent="0.35">
      <c r="A1349" s="21"/>
      <c r="B1349" s="212" t="s">
        <v>236</v>
      </c>
      <c r="C1349" s="31" t="str">
        <f>VLOOKUP((CONCATENATE(B1349)),ID!$A$2:$D$305,3,0)</f>
        <v>WW02</v>
      </c>
      <c r="D1349" s="21">
        <v>1</v>
      </c>
      <c r="E1349" s="21" t="s">
        <v>3979</v>
      </c>
      <c r="F1349" s="21" t="s">
        <v>3878</v>
      </c>
      <c r="G1349" s="21" t="s">
        <v>3853</v>
      </c>
      <c r="H1349" s="88">
        <v>3685</v>
      </c>
      <c r="I1349" s="43">
        <v>3692</v>
      </c>
      <c r="J1349" s="43">
        <v>3692</v>
      </c>
      <c r="K1349" s="21">
        <v>0</v>
      </c>
      <c r="L1349" s="43"/>
      <c r="M1349" s="43"/>
      <c r="N1349" s="43">
        <v>3706</v>
      </c>
      <c r="O1349" s="21" t="s">
        <v>3981</v>
      </c>
      <c r="P1349" s="194" t="str">
        <f t="shared" si="261"/>
        <v>1</v>
      </c>
      <c r="Q1349" s="21">
        <v>1</v>
      </c>
      <c r="R1349" s="39" t="str">
        <f t="shared" si="249"/>
        <v>-</v>
      </c>
      <c r="S1349" s="183">
        <f t="shared" si="259"/>
        <v>27052</v>
      </c>
      <c r="T1349" s="134">
        <v>195791</v>
      </c>
      <c r="U1349" s="134">
        <f>99338+10000+54251</f>
        <v>163589</v>
      </c>
      <c r="V1349" s="134">
        <f>T1349-U1349</f>
        <v>32202</v>
      </c>
      <c r="W1349" s="184" t="str">
        <f t="shared" si="255"/>
        <v>1</v>
      </c>
      <c r="X1349" s="134">
        <f t="shared" si="256"/>
        <v>168739</v>
      </c>
      <c r="Y1349" s="134">
        <v>97898</v>
      </c>
      <c r="Z1349" s="134">
        <f>414+7331+63096</f>
        <v>70841</v>
      </c>
      <c r="AA1349" s="184" t="str">
        <f t="shared" si="257"/>
        <v>1</v>
      </c>
      <c r="AB1349" s="183">
        <f t="shared" si="258"/>
        <v>97898</v>
      </c>
      <c r="AC1349" s="134">
        <v>0</v>
      </c>
      <c r="AD1349" s="134">
        <f>Y1349</f>
        <v>97898</v>
      </c>
      <c r="AE1349" s="134">
        <v>5647</v>
      </c>
      <c r="AF1349" s="134"/>
      <c r="AG1349" s="152">
        <f t="shared" si="248"/>
        <v>114287</v>
      </c>
      <c r="AH1349" s="134">
        <v>142808</v>
      </c>
      <c r="AI1349" s="134"/>
      <c r="AJ1349" s="134">
        <v>54009</v>
      </c>
      <c r="AK1349" s="134"/>
      <c r="AL1349" s="134">
        <v>28521</v>
      </c>
      <c r="AM1349" s="134">
        <f>186216+1324</f>
        <v>187540</v>
      </c>
      <c r="AN1349" s="134"/>
      <c r="AO1349" s="134"/>
    </row>
    <row r="1350" spans="1:41" s="123" customFormat="1" ht="16.2" thickBot="1" x14ac:dyDescent="0.35">
      <c r="A1350" s="21">
        <v>231.1</v>
      </c>
      <c r="B1350" s="212" t="s">
        <v>236</v>
      </c>
      <c r="C1350" s="31" t="str">
        <f>VLOOKUP((CONCATENATE(B1350)),ID!$A$2:$D$305,3,0)</f>
        <v>WW02</v>
      </c>
      <c r="D1350" s="21">
        <v>1</v>
      </c>
      <c r="E1350" s="21" t="s">
        <v>3979</v>
      </c>
      <c r="F1350" s="21" t="s">
        <v>3878</v>
      </c>
      <c r="G1350" s="21" t="s">
        <v>3853</v>
      </c>
      <c r="H1350" s="88">
        <v>4050</v>
      </c>
      <c r="I1350" s="43">
        <v>4056</v>
      </c>
      <c r="J1350" s="43">
        <v>4056</v>
      </c>
      <c r="K1350" s="21">
        <v>0</v>
      </c>
      <c r="L1350" s="21"/>
      <c r="M1350" s="21"/>
      <c r="N1350" s="43">
        <v>4077</v>
      </c>
      <c r="O1350" s="21" t="s">
        <v>3981</v>
      </c>
      <c r="P1350" s="194" t="str">
        <f t="shared" si="261"/>
        <v>1</v>
      </c>
      <c r="Q1350" s="21">
        <v>1</v>
      </c>
      <c r="R1350" s="39" t="str">
        <f t="shared" si="249"/>
        <v>-</v>
      </c>
      <c r="S1350" s="183">
        <f t="shared" si="259"/>
        <v>21980</v>
      </c>
      <c r="T1350" s="134">
        <v>221142</v>
      </c>
      <c r="U1350" s="134">
        <f>121253+54251+10000</f>
        <v>185504</v>
      </c>
      <c r="V1350" s="134">
        <f t="shared" si="260"/>
        <v>35638</v>
      </c>
      <c r="W1350" s="184" t="str">
        <f t="shared" si="255"/>
        <v>1</v>
      </c>
      <c r="X1350" s="134">
        <f t="shared" si="256"/>
        <v>199162</v>
      </c>
      <c r="Y1350" s="134">
        <v>126448</v>
      </c>
      <c r="Z1350" s="134">
        <f>221142-21980-Y1350</f>
        <v>72714</v>
      </c>
      <c r="AA1350" s="184" t="str">
        <f t="shared" si="257"/>
        <v>1</v>
      </c>
      <c r="AB1350" s="183">
        <f>AC1350+AD1350</f>
        <v>126448</v>
      </c>
      <c r="AC1350" s="134">
        <v>0</v>
      </c>
      <c r="AD1350" s="134">
        <f>Y1350</f>
        <v>126448</v>
      </c>
      <c r="AE1350" s="134">
        <v>7095</v>
      </c>
      <c r="AF1350" s="134"/>
      <c r="AG1350" s="152">
        <f t="shared" si="248"/>
        <v>116985</v>
      </c>
      <c r="AH1350" s="134">
        <v>146539</v>
      </c>
      <c r="AI1350" s="134"/>
      <c r="AJ1350" s="134">
        <v>55132</v>
      </c>
      <c r="AK1350" s="134"/>
      <c r="AL1350" s="134">
        <v>29554</v>
      </c>
      <c r="AM1350" s="134">
        <f>193634-487-27</f>
        <v>193120</v>
      </c>
      <c r="AN1350" s="134"/>
      <c r="AO1350" s="134"/>
    </row>
    <row r="1351" spans="1:41" s="123" customFormat="1" ht="16.2" thickBot="1" x14ac:dyDescent="0.35">
      <c r="A1351" s="21">
        <v>231.2</v>
      </c>
      <c r="B1351" s="212" t="s">
        <v>236</v>
      </c>
      <c r="C1351" s="31" t="str">
        <f>VLOOKUP((CONCATENATE(B1351)),ID!$A$2:$D$305,3,0)</f>
        <v>WW02</v>
      </c>
      <c r="D1351" s="21">
        <v>1</v>
      </c>
      <c r="E1351" s="21" t="s">
        <v>3979</v>
      </c>
      <c r="F1351" s="21" t="s">
        <v>3878</v>
      </c>
      <c r="G1351" s="21" t="s">
        <v>3853</v>
      </c>
      <c r="H1351" s="88">
        <v>4415</v>
      </c>
      <c r="I1351" s="43">
        <v>4420</v>
      </c>
      <c r="J1351" s="43">
        <v>4420</v>
      </c>
      <c r="K1351" s="21">
        <v>0</v>
      </c>
      <c r="L1351" s="21"/>
      <c r="M1351" s="21"/>
      <c r="N1351" s="43">
        <v>4441</v>
      </c>
      <c r="O1351" s="21" t="s">
        <v>3981</v>
      </c>
      <c r="P1351" s="194" t="str">
        <f t="shared" si="261"/>
        <v>1</v>
      </c>
      <c r="Q1351" s="21">
        <v>1</v>
      </c>
      <c r="R1351" s="39" t="str">
        <f t="shared" si="249"/>
        <v>-</v>
      </c>
      <c r="S1351" s="183">
        <f t="shared" si="259"/>
        <v>19372</v>
      </c>
      <c r="T1351" s="134">
        <v>247573</v>
      </c>
      <c r="U1351" s="134">
        <f>150136+54251+10000</f>
        <v>214387</v>
      </c>
      <c r="V1351" s="134">
        <f t="shared" si="260"/>
        <v>33186</v>
      </c>
      <c r="W1351" s="184" t="str">
        <f t="shared" si="255"/>
        <v>1</v>
      </c>
      <c r="X1351" s="134">
        <f t="shared" si="256"/>
        <v>228201</v>
      </c>
      <c r="Y1351" s="134">
        <v>151325</v>
      </c>
      <c r="Z1351" s="134">
        <f>510+7593+68773</f>
        <v>76876</v>
      </c>
      <c r="AA1351" s="184" t="str">
        <f t="shared" si="257"/>
        <v>1</v>
      </c>
      <c r="AB1351" s="183">
        <f t="shared" si="258"/>
        <v>151325</v>
      </c>
      <c r="AC1351" s="134">
        <v>0</v>
      </c>
      <c r="AD1351" s="134">
        <f>Y1351</f>
        <v>151325</v>
      </c>
      <c r="AE1351" s="134">
        <f>5569+230</f>
        <v>5799</v>
      </c>
      <c r="AF1351" s="134"/>
      <c r="AG1351" s="152">
        <f t="shared" si="248"/>
        <v>121916</v>
      </c>
      <c r="AH1351" s="134">
        <f>153846</f>
        <v>153846</v>
      </c>
      <c r="AI1351" s="134"/>
      <c r="AJ1351" s="134">
        <v>55132</v>
      </c>
      <c r="AK1351" s="134"/>
      <c r="AL1351" s="134">
        <v>31930</v>
      </c>
      <c r="AM1351" s="134">
        <f>201875-475-22</f>
        <v>201378</v>
      </c>
      <c r="AN1351" s="134"/>
      <c r="AO1351" s="134"/>
    </row>
    <row r="1352" spans="1:41" s="123" customFormat="1" ht="16.2" thickBot="1" x14ac:dyDescent="0.35">
      <c r="A1352" s="21"/>
      <c r="B1352" s="212" t="s">
        <v>236</v>
      </c>
      <c r="C1352" s="31" t="str">
        <f>VLOOKUP((CONCATENATE(B1352)),ID!$A$2:$D$305,3,0)</f>
        <v>WW02</v>
      </c>
      <c r="D1352" s="21">
        <v>1</v>
      </c>
      <c r="E1352" s="21" t="s">
        <v>3979</v>
      </c>
      <c r="F1352" s="21" t="s">
        <v>3878</v>
      </c>
      <c r="G1352" s="21" t="s">
        <v>3853</v>
      </c>
      <c r="H1352" s="88">
        <v>4781</v>
      </c>
      <c r="I1352" s="43">
        <v>4791</v>
      </c>
      <c r="J1352" s="43">
        <v>4791</v>
      </c>
      <c r="K1352" s="21">
        <v>0</v>
      </c>
      <c r="L1352" s="21"/>
      <c r="M1352" s="21"/>
      <c r="N1352" s="43">
        <v>4803</v>
      </c>
      <c r="O1352" s="21" t="s">
        <v>3981</v>
      </c>
      <c r="P1352" s="194" t="str">
        <f t="shared" si="261"/>
        <v>1</v>
      </c>
      <c r="Q1352" s="21">
        <v>1</v>
      </c>
      <c r="R1352" s="39" t="str">
        <f t="shared" si="249"/>
        <v>-</v>
      </c>
      <c r="S1352" s="183">
        <f t="shared" si="259"/>
        <v>17024</v>
      </c>
      <c r="T1352" s="134">
        <f>263297</f>
        <v>263297</v>
      </c>
      <c r="U1352" s="134">
        <f>163816+54251+10000</f>
        <v>228067</v>
      </c>
      <c r="V1352" s="134">
        <f>T1352-U1352</f>
        <v>35230</v>
      </c>
      <c r="W1352" s="184" t="str">
        <f t="shared" si="255"/>
        <v>1</v>
      </c>
      <c r="X1352" s="134">
        <f>Y1352+576+7158+69014</f>
        <v>246273</v>
      </c>
      <c r="Y1352" s="134">
        <f>AB1352</f>
        <v>169525</v>
      </c>
      <c r="Z1352" s="134">
        <f>X1352-Y1352</f>
        <v>76748</v>
      </c>
      <c r="AA1352" s="184" t="str">
        <f>IF(Z1352+Y1352=X1352,"1","0")</f>
        <v>1</v>
      </c>
      <c r="AB1352" s="183">
        <f t="shared" si="258"/>
        <v>169525</v>
      </c>
      <c r="AC1352" s="134">
        <v>0</v>
      </c>
      <c r="AD1352" s="134">
        <v>169525</v>
      </c>
      <c r="AE1352" s="134">
        <v>6656</v>
      </c>
      <c r="AF1352" s="134"/>
      <c r="AG1352" s="152">
        <f t="shared" si="248"/>
        <v>118969</v>
      </c>
      <c r="AH1352" s="134">
        <v>152365</v>
      </c>
      <c r="AI1352" s="134"/>
      <c r="AJ1352" s="134">
        <v>55132</v>
      </c>
      <c r="AK1352" s="134"/>
      <c r="AL1352" s="134">
        <v>33396</v>
      </c>
      <c r="AM1352" s="134">
        <f>1380+201783</f>
        <v>203163</v>
      </c>
      <c r="AN1352" s="134"/>
      <c r="AO1352" s="134"/>
    </row>
    <row r="1353" spans="1:41" s="123" customFormat="1" ht="16.2" thickBot="1" x14ac:dyDescent="0.35">
      <c r="A1353" s="21"/>
      <c r="B1353" s="212" t="s">
        <v>236</v>
      </c>
      <c r="C1353" s="31" t="str">
        <f>VLOOKUP((CONCATENATE(B1353)),ID!$A$2:$D$305,3,0)</f>
        <v>WW02</v>
      </c>
      <c r="D1353" s="21">
        <v>1</v>
      </c>
      <c r="E1353" s="21" t="s">
        <v>3979</v>
      </c>
      <c r="F1353" s="21" t="s">
        <v>3878</v>
      </c>
      <c r="G1353" s="21" t="s">
        <v>3853</v>
      </c>
      <c r="H1353" s="88">
        <v>5146</v>
      </c>
      <c r="I1353" s="43">
        <v>5158</v>
      </c>
      <c r="J1353" s="43">
        <v>5158</v>
      </c>
      <c r="K1353" s="21">
        <v>1</v>
      </c>
      <c r="L1353" s="43">
        <v>5158</v>
      </c>
      <c r="M1353" s="43">
        <v>5169</v>
      </c>
      <c r="N1353" s="43">
        <v>5169</v>
      </c>
      <c r="O1353" s="21" t="s">
        <v>3981</v>
      </c>
      <c r="P1353" s="194" t="str">
        <f t="shared" si="261"/>
        <v>1</v>
      </c>
      <c r="Q1353" s="21">
        <v>1</v>
      </c>
      <c r="R1353" s="39" t="str">
        <f t="shared" si="249"/>
        <v>-</v>
      </c>
      <c r="S1353" s="183">
        <f t="shared" si="259"/>
        <v>15175</v>
      </c>
      <c r="T1353" s="134">
        <v>279720</v>
      </c>
      <c r="U1353" s="134">
        <f>179519+64251</f>
        <v>243770</v>
      </c>
      <c r="V1353" s="134">
        <f>T1353-U1353</f>
        <v>35950</v>
      </c>
      <c r="W1353" s="184" t="str">
        <f t="shared" si="255"/>
        <v>1</v>
      </c>
      <c r="X1353" s="134">
        <f>Y1353+Z1353</f>
        <v>264545</v>
      </c>
      <c r="Y1353" s="134">
        <v>182795</v>
      </c>
      <c r="Z1353" s="134">
        <f>483+8852+72415</f>
        <v>81750</v>
      </c>
      <c r="AA1353" s="122" t="str">
        <f t="shared" ref="AA1353:AA1360" si="262">IF(Z1353+Y1353=X1353,"1","0")</f>
        <v>1</v>
      </c>
      <c r="AB1353" s="183">
        <f t="shared" si="258"/>
        <v>182795</v>
      </c>
      <c r="AC1353" s="134">
        <v>0</v>
      </c>
      <c r="AD1353" s="134">
        <f>Y1353</f>
        <v>182795</v>
      </c>
      <c r="AE1353" s="134">
        <v>8614</v>
      </c>
      <c r="AF1353" s="134"/>
      <c r="AG1353" s="152">
        <f t="shared" si="248"/>
        <v>125302</v>
      </c>
      <c r="AH1353" s="134">
        <v>161207</v>
      </c>
      <c r="AI1353" s="134"/>
      <c r="AJ1353" s="134">
        <v>57248</v>
      </c>
      <c r="AK1353" s="134"/>
      <c r="AL1353" s="134">
        <v>35905</v>
      </c>
      <c r="AM1353" s="134">
        <f>211732+1363</f>
        <v>213095</v>
      </c>
      <c r="AN1353" s="134"/>
      <c r="AO1353" s="134"/>
    </row>
    <row r="1354" spans="1:41" s="123" customFormat="1" ht="16.2" thickBot="1" x14ac:dyDescent="0.35">
      <c r="A1354" s="21"/>
      <c r="B1354" s="212" t="s">
        <v>292</v>
      </c>
      <c r="C1354" s="31" t="str">
        <f>VLOOKUP((CONCATENATE(B1354)),ID!$A$2:$D$305,3,0)</f>
        <v>WW03</v>
      </c>
      <c r="D1354" s="21">
        <v>0</v>
      </c>
      <c r="E1354" s="21" t="s">
        <v>3979</v>
      </c>
      <c r="F1354" s="21" t="s">
        <v>3885</v>
      </c>
      <c r="G1354" s="21" t="s">
        <v>3853</v>
      </c>
      <c r="H1354" s="94">
        <v>3653</v>
      </c>
      <c r="I1354" s="43">
        <v>3689</v>
      </c>
      <c r="J1354" s="43">
        <v>3689</v>
      </c>
      <c r="K1354" s="21">
        <v>1</v>
      </c>
      <c r="L1354" s="43">
        <v>3695</v>
      </c>
      <c r="M1354" s="43">
        <v>3708</v>
      </c>
      <c r="N1354" s="43">
        <v>3708</v>
      </c>
      <c r="O1354" s="21" t="s">
        <v>3982</v>
      </c>
      <c r="P1354" s="194" t="str">
        <f t="shared" si="261"/>
        <v>1</v>
      </c>
      <c r="Q1354" s="21">
        <v>1</v>
      </c>
      <c r="R1354" s="39" t="str">
        <f t="shared" si="249"/>
        <v>-</v>
      </c>
      <c r="S1354" s="120">
        <f t="shared" si="259"/>
        <v>29023</v>
      </c>
      <c r="T1354" s="123">
        <v>53956</v>
      </c>
      <c r="V1354" s="134">
        <f t="shared" ref="V1354:V1361" si="263">T1354-U1354</f>
        <v>53956</v>
      </c>
      <c r="W1354" s="122" t="str">
        <f t="shared" ref="W1354:W1361" si="264">IF(V1354+U1354=T1354,"1","0")</f>
        <v>1</v>
      </c>
      <c r="X1354" s="132">
        <f>T1354-29023</f>
        <v>24933</v>
      </c>
      <c r="Y1354" s="132"/>
      <c r="Z1354" s="123">
        <f t="shared" ref="Z1354:Z1360" si="265">X1354-Y1354</f>
        <v>24933</v>
      </c>
      <c r="AA1354" s="122" t="str">
        <f t="shared" si="262"/>
        <v>1</v>
      </c>
      <c r="AB1354" s="120">
        <f t="shared" ref="AB1354:AB1360" si="266">SUM(AC1354+AD1354)</f>
        <v>0</v>
      </c>
      <c r="AC1354" s="132">
        <v>0</v>
      </c>
      <c r="AD1354" s="132">
        <v>0</v>
      </c>
      <c r="AE1354" s="123">
        <v>38104</v>
      </c>
      <c r="AG1354" s="151">
        <f t="shared" si="248"/>
        <v>30649</v>
      </c>
      <c r="AH1354" s="123">
        <f>AM1354-36170-1831</f>
        <v>35451</v>
      </c>
      <c r="AJ1354" s="123">
        <v>7680</v>
      </c>
      <c r="AL1354" s="123">
        <v>4802</v>
      </c>
      <c r="AM1354" s="123">
        <f>81508-8056</f>
        <v>73452</v>
      </c>
    </row>
    <row r="1355" spans="1:41" s="123" customFormat="1" ht="16.2" thickBot="1" x14ac:dyDescent="0.35">
      <c r="A1355" s="21"/>
      <c r="B1355" s="212" t="s">
        <v>292</v>
      </c>
      <c r="C1355" s="31" t="str">
        <f>VLOOKUP((CONCATENATE(B1355)),ID!$A$2:$D$305,3,0)</f>
        <v>WW03</v>
      </c>
      <c r="D1355" s="21">
        <v>0</v>
      </c>
      <c r="E1355" s="21" t="s">
        <v>3979</v>
      </c>
      <c r="F1355" s="21" t="s">
        <v>3885</v>
      </c>
      <c r="G1355" s="21" t="s">
        <v>3853</v>
      </c>
      <c r="H1355" s="94">
        <v>3834</v>
      </c>
      <c r="I1355" s="43">
        <v>3871</v>
      </c>
      <c r="J1355" s="43">
        <v>3871</v>
      </c>
      <c r="K1355" s="21">
        <v>1</v>
      </c>
      <c r="L1355" s="43">
        <v>3883</v>
      </c>
      <c r="M1355" s="43">
        <v>3896</v>
      </c>
      <c r="N1355" s="43">
        <v>3896</v>
      </c>
      <c r="O1355" s="21" t="s">
        <v>3982</v>
      </c>
      <c r="P1355" s="194" t="str">
        <f t="shared" si="261"/>
        <v>1</v>
      </c>
      <c r="Q1355" s="21">
        <v>1</v>
      </c>
      <c r="R1355" s="39" t="str">
        <f t="shared" si="249"/>
        <v>-</v>
      </c>
      <c r="S1355" s="120">
        <f t="shared" si="259"/>
        <v>29364</v>
      </c>
      <c r="T1355" s="123">
        <v>56876</v>
      </c>
      <c r="V1355" s="134">
        <f t="shared" si="263"/>
        <v>56876</v>
      </c>
      <c r="W1355" s="122" t="str">
        <f t="shared" si="264"/>
        <v>1</v>
      </c>
      <c r="X1355" s="132">
        <f>T1355-29364</f>
        <v>27512</v>
      </c>
      <c r="Y1355" s="132"/>
      <c r="Z1355" s="123">
        <f t="shared" si="265"/>
        <v>27512</v>
      </c>
      <c r="AA1355" s="122" t="str">
        <f t="shared" si="262"/>
        <v>1</v>
      </c>
      <c r="AB1355" s="120">
        <f t="shared" si="266"/>
        <v>0</v>
      </c>
      <c r="AC1355" s="132">
        <v>0</v>
      </c>
      <c r="AD1355" s="132">
        <v>0</v>
      </c>
      <c r="AE1355" s="123">
        <v>39818</v>
      </c>
      <c r="AG1355" s="151">
        <f t="shared" si="248"/>
        <v>29918</v>
      </c>
      <c r="AH1355" s="123">
        <f>AM1355-36865-1606</f>
        <v>34720</v>
      </c>
      <c r="AJ1355" s="123">
        <v>7680</v>
      </c>
      <c r="AL1355" s="123">
        <v>4802</v>
      </c>
      <c r="AM1355" s="123">
        <f>81319-8128</f>
        <v>73191</v>
      </c>
    </row>
    <row r="1356" spans="1:41" s="123" customFormat="1" ht="16.2" thickBot="1" x14ac:dyDescent="0.35">
      <c r="A1356" s="21">
        <v>232.1</v>
      </c>
      <c r="B1356" s="212" t="s">
        <v>292</v>
      </c>
      <c r="C1356" s="31" t="str">
        <f>VLOOKUP((CONCATENATE(B1356)),ID!$A$2:$D$305,3,0)</f>
        <v>WW03</v>
      </c>
      <c r="D1356" s="21">
        <v>0</v>
      </c>
      <c r="E1356" s="21" t="s">
        <v>3979</v>
      </c>
      <c r="F1356" s="21" t="s">
        <v>3885</v>
      </c>
      <c r="G1356" s="21" t="s">
        <v>3853</v>
      </c>
      <c r="H1356" s="94">
        <v>4018</v>
      </c>
      <c r="I1356" s="43">
        <v>4053</v>
      </c>
      <c r="J1356" s="43">
        <v>4053</v>
      </c>
      <c r="K1356" s="21">
        <v>1</v>
      </c>
      <c r="L1356" s="43">
        <v>4059</v>
      </c>
      <c r="M1356" s="43">
        <v>4072</v>
      </c>
      <c r="N1356" s="43">
        <v>4072</v>
      </c>
      <c r="O1356" s="21" t="s">
        <v>3982</v>
      </c>
      <c r="P1356" s="194" t="str">
        <f t="shared" si="261"/>
        <v>1</v>
      </c>
      <c r="Q1356" s="21">
        <v>1</v>
      </c>
      <c r="R1356" s="39" t="str">
        <f t="shared" si="249"/>
        <v>-</v>
      </c>
      <c r="S1356" s="120">
        <f t="shared" si="259"/>
        <v>29742</v>
      </c>
      <c r="T1356" s="123">
        <v>53836</v>
      </c>
      <c r="V1356" s="134">
        <f t="shared" si="263"/>
        <v>53836</v>
      </c>
      <c r="W1356" s="122" t="str">
        <f t="shared" si="264"/>
        <v>1</v>
      </c>
      <c r="X1356" s="123">
        <f>T1356-29742</f>
        <v>24094</v>
      </c>
      <c r="Z1356" s="123">
        <f t="shared" si="265"/>
        <v>24094</v>
      </c>
      <c r="AA1356" s="122" t="str">
        <f t="shared" si="262"/>
        <v>1</v>
      </c>
      <c r="AB1356" s="120">
        <f t="shared" si="266"/>
        <v>0</v>
      </c>
      <c r="AC1356" s="123">
        <v>0</v>
      </c>
      <c r="AD1356" s="123">
        <v>0</v>
      </c>
      <c r="AE1356" s="123">
        <v>36713</v>
      </c>
      <c r="AG1356" s="151">
        <f t="shared" si="248"/>
        <v>31010</v>
      </c>
      <c r="AH1356" s="123">
        <f>AM1356-1960-37414</f>
        <v>35820</v>
      </c>
      <c r="AJ1356" s="123">
        <v>7735</v>
      </c>
      <c r="AL1356" s="123">
        <v>4810</v>
      </c>
      <c r="AM1356" s="123">
        <f>83663-8469</f>
        <v>75194</v>
      </c>
    </row>
    <row r="1357" spans="1:41" s="123" customFormat="1" ht="16.2" thickBot="1" x14ac:dyDescent="0.35">
      <c r="A1357" s="21">
        <v>232.2</v>
      </c>
      <c r="B1357" s="212" t="s">
        <v>292</v>
      </c>
      <c r="C1357" s="31" t="str">
        <f>VLOOKUP((CONCATENATE(B1357)),ID!$A$2:$D$305,3,0)</f>
        <v>WW03</v>
      </c>
      <c r="D1357" s="21">
        <v>0</v>
      </c>
      <c r="E1357" s="21" t="s">
        <v>3979</v>
      </c>
      <c r="F1357" s="21" t="s">
        <v>3885</v>
      </c>
      <c r="G1357" s="21" t="s">
        <v>3853</v>
      </c>
      <c r="H1357" s="94">
        <v>4199</v>
      </c>
      <c r="I1357" s="43">
        <v>4235</v>
      </c>
      <c r="J1357" s="43">
        <v>4235</v>
      </c>
      <c r="K1357" s="21">
        <v>1</v>
      </c>
      <c r="L1357" s="43">
        <v>4248</v>
      </c>
      <c r="M1357" s="43">
        <v>4261</v>
      </c>
      <c r="N1357" s="43">
        <v>4261</v>
      </c>
      <c r="O1357" s="21" t="s">
        <v>3982</v>
      </c>
      <c r="P1357" s="194" t="str">
        <f t="shared" si="261"/>
        <v>1</v>
      </c>
      <c r="Q1357" s="21">
        <v>1</v>
      </c>
      <c r="R1357" s="39" t="str">
        <f t="shared" si="249"/>
        <v>-</v>
      </c>
      <c r="S1357" s="120">
        <f t="shared" si="259"/>
        <v>30254</v>
      </c>
      <c r="T1357" s="123">
        <v>60276</v>
      </c>
      <c r="V1357" s="134">
        <f t="shared" si="263"/>
        <v>60276</v>
      </c>
      <c r="W1357" s="122" t="str">
        <f t="shared" si="264"/>
        <v>1</v>
      </c>
      <c r="X1357" s="123">
        <f>T1357-30254</f>
        <v>30022</v>
      </c>
      <c r="Z1357" s="123">
        <f t="shared" si="265"/>
        <v>30022</v>
      </c>
      <c r="AA1357" s="122" t="str">
        <f t="shared" si="262"/>
        <v>1</v>
      </c>
      <c r="AB1357" s="120">
        <f t="shared" si="266"/>
        <v>0</v>
      </c>
      <c r="AC1357" s="123">
        <v>0</v>
      </c>
      <c r="AD1357" s="123">
        <v>0</v>
      </c>
      <c r="AE1357" s="123">
        <v>41724</v>
      </c>
      <c r="AG1357" s="151">
        <f t="shared" si="248"/>
        <v>30449</v>
      </c>
      <c r="AH1357" s="123">
        <f>AM1357-38869-1959</f>
        <v>35373</v>
      </c>
      <c r="AJ1357" s="123">
        <v>8005</v>
      </c>
      <c r="AL1357" s="123">
        <v>4924</v>
      </c>
      <c r="AM1357" s="123">
        <f>85013-8812</f>
        <v>76201</v>
      </c>
    </row>
    <row r="1358" spans="1:41" s="123" customFormat="1" ht="16.2" thickBot="1" x14ac:dyDescent="0.35">
      <c r="A1358" s="21">
        <v>232.3</v>
      </c>
      <c r="B1358" s="212" t="s">
        <v>292</v>
      </c>
      <c r="C1358" s="31" t="str">
        <f>VLOOKUP((CONCATENATE(B1358)),ID!$A$2:$D$305,3,0)</f>
        <v>WW03</v>
      </c>
      <c r="D1358" s="21">
        <v>0</v>
      </c>
      <c r="E1358" s="21" t="s">
        <v>3979</v>
      </c>
      <c r="F1358" s="21" t="s">
        <v>3885</v>
      </c>
      <c r="G1358" s="21" t="s">
        <v>3853</v>
      </c>
      <c r="H1358" s="94">
        <v>4383</v>
      </c>
      <c r="I1358" s="43">
        <v>4424</v>
      </c>
      <c r="J1358" s="43">
        <v>4424</v>
      </c>
      <c r="K1358" s="21">
        <v>1</v>
      </c>
      <c r="L1358" s="43">
        <v>4430</v>
      </c>
      <c r="M1358" s="43">
        <v>4443</v>
      </c>
      <c r="N1358" s="43">
        <v>4443</v>
      </c>
      <c r="O1358" s="21" t="s">
        <v>3982</v>
      </c>
      <c r="P1358" s="194" t="str">
        <f t="shared" si="261"/>
        <v>1</v>
      </c>
      <c r="Q1358" s="21">
        <v>1</v>
      </c>
      <c r="R1358" s="39" t="str">
        <f t="shared" si="249"/>
        <v>-</v>
      </c>
      <c r="S1358" s="120">
        <f t="shared" si="259"/>
        <v>30305</v>
      </c>
      <c r="T1358" s="123">
        <v>56925</v>
      </c>
      <c r="V1358" s="134">
        <f t="shared" si="263"/>
        <v>56925</v>
      </c>
      <c r="W1358" s="122" t="str">
        <f t="shared" si="264"/>
        <v>1</v>
      </c>
      <c r="X1358" s="123">
        <f>T1358-30305</f>
        <v>26620</v>
      </c>
      <c r="Z1358" s="123">
        <f t="shared" si="265"/>
        <v>26620</v>
      </c>
      <c r="AA1358" s="122" t="str">
        <f t="shared" si="262"/>
        <v>1</v>
      </c>
      <c r="AB1358" s="120">
        <f t="shared" si="266"/>
        <v>0</v>
      </c>
      <c r="AC1358" s="123">
        <v>0</v>
      </c>
      <c r="AD1358" s="123">
        <v>0</v>
      </c>
      <c r="AE1358" s="123">
        <v>37506</v>
      </c>
      <c r="AG1358" s="151">
        <f t="shared" si="248"/>
        <v>32158</v>
      </c>
      <c r="AH1358" s="123">
        <f>AM1358-40032-3006</f>
        <v>37091</v>
      </c>
      <c r="AJ1358" s="123">
        <v>8005</v>
      </c>
      <c r="AL1358" s="123">
        <v>4933</v>
      </c>
      <c r="AM1358" s="123">
        <f>89283-9154</f>
        <v>80129</v>
      </c>
    </row>
    <row r="1359" spans="1:41" s="123" customFormat="1" ht="16.2" thickBot="1" x14ac:dyDescent="0.35">
      <c r="A1359" s="21">
        <v>232.4</v>
      </c>
      <c r="B1359" s="212" t="s">
        <v>292</v>
      </c>
      <c r="C1359" s="31" t="str">
        <f>VLOOKUP((CONCATENATE(B1359)),ID!$A$2:$D$305,3,0)</f>
        <v>WW03</v>
      </c>
      <c r="D1359" s="21">
        <v>0</v>
      </c>
      <c r="E1359" s="21" t="s">
        <v>3979</v>
      </c>
      <c r="F1359" s="21" t="s">
        <v>3885</v>
      </c>
      <c r="G1359" s="21" t="s">
        <v>3853</v>
      </c>
      <c r="H1359" s="94">
        <v>4565</v>
      </c>
      <c r="I1359" s="43">
        <v>4606</v>
      </c>
      <c r="J1359" s="43">
        <v>4606</v>
      </c>
      <c r="K1359" s="21">
        <v>1</v>
      </c>
      <c r="L1359" s="43">
        <v>4612</v>
      </c>
      <c r="M1359" s="43">
        <v>4625</v>
      </c>
      <c r="N1359" s="43">
        <v>4625</v>
      </c>
      <c r="O1359" s="21" t="s">
        <v>3982</v>
      </c>
      <c r="P1359" s="194" t="str">
        <f t="shared" si="261"/>
        <v>1</v>
      </c>
      <c r="Q1359" s="21">
        <v>1</v>
      </c>
      <c r="R1359" s="39" t="str">
        <f t="shared" si="249"/>
        <v>-</v>
      </c>
      <c r="S1359" s="120">
        <f t="shared" si="259"/>
        <v>29567</v>
      </c>
      <c r="T1359" s="123">
        <f>13361+5877+41749</f>
        <v>60987</v>
      </c>
      <c r="V1359" s="134">
        <f t="shared" si="263"/>
        <v>60987</v>
      </c>
      <c r="W1359" s="122" t="str">
        <f t="shared" si="264"/>
        <v>1</v>
      </c>
      <c r="X1359" s="123">
        <f>T1359-29567</f>
        <v>31420</v>
      </c>
      <c r="Z1359" s="123">
        <f t="shared" si="265"/>
        <v>31420</v>
      </c>
      <c r="AA1359" s="122" t="str">
        <f t="shared" si="262"/>
        <v>1</v>
      </c>
      <c r="AB1359" s="120">
        <f t="shared" si="266"/>
        <v>0</v>
      </c>
      <c r="AC1359" s="123">
        <v>0</v>
      </c>
      <c r="AD1359" s="123">
        <v>0</v>
      </c>
      <c r="AE1359" s="123">
        <v>41749</v>
      </c>
      <c r="AG1359" s="151">
        <f t="shared" si="248"/>
        <v>28369</v>
      </c>
      <c r="AH1359" s="123">
        <f>AM1359-41268-1844</f>
        <v>33302</v>
      </c>
      <c r="AJ1359" s="123">
        <v>8005</v>
      </c>
      <c r="AL1359" s="123">
        <v>4933</v>
      </c>
      <c r="AM1359" s="123">
        <f>85619-9205</f>
        <v>76414</v>
      </c>
    </row>
    <row r="1360" spans="1:41" s="123" customFormat="1" ht="16.2" thickBot="1" x14ac:dyDescent="0.35">
      <c r="A1360" s="21"/>
      <c r="B1360" s="212" t="s">
        <v>292</v>
      </c>
      <c r="C1360" s="31" t="str">
        <f>VLOOKUP((CONCATENATE(B1360)),ID!$A$2:$D$305,3,0)</f>
        <v>WW03</v>
      </c>
      <c r="D1360" s="21">
        <v>0</v>
      </c>
      <c r="E1360" s="21" t="s">
        <v>3979</v>
      </c>
      <c r="F1360" s="21" t="s">
        <v>3885</v>
      </c>
      <c r="G1360" s="21" t="s">
        <v>3853</v>
      </c>
      <c r="H1360" s="94">
        <v>4749</v>
      </c>
      <c r="I1360" s="43">
        <v>4788</v>
      </c>
      <c r="J1360" s="43">
        <v>4788</v>
      </c>
      <c r="K1360" s="21">
        <v>1</v>
      </c>
      <c r="L1360" s="43">
        <v>4794</v>
      </c>
      <c r="M1360" s="43">
        <v>4807</v>
      </c>
      <c r="N1360" s="43">
        <v>4807</v>
      </c>
      <c r="O1360" s="21" t="s">
        <v>3982</v>
      </c>
      <c r="P1360" s="194" t="str">
        <f t="shared" si="261"/>
        <v>1</v>
      </c>
      <c r="Q1360" s="21">
        <v>1</v>
      </c>
      <c r="R1360" s="39" t="str">
        <f t="shared" si="249"/>
        <v>-</v>
      </c>
      <c r="S1360" s="120">
        <f t="shared" si="259"/>
        <v>29559</v>
      </c>
      <c r="T1360" s="123">
        <v>57229</v>
      </c>
      <c r="V1360" s="134">
        <f t="shared" si="263"/>
        <v>57229</v>
      </c>
      <c r="W1360" s="122" t="str">
        <f t="shared" si="264"/>
        <v>1</v>
      </c>
      <c r="X1360" s="123">
        <f>T1360-29559</f>
        <v>27670</v>
      </c>
      <c r="Z1360" s="123">
        <f t="shared" si="265"/>
        <v>27670</v>
      </c>
      <c r="AA1360" s="122" t="str">
        <f t="shared" si="262"/>
        <v>1</v>
      </c>
      <c r="AB1360" s="120">
        <f t="shared" si="266"/>
        <v>0</v>
      </c>
      <c r="AC1360" s="123">
        <v>0</v>
      </c>
      <c r="AD1360" s="123">
        <v>0</v>
      </c>
      <c r="AE1360" s="123">
        <v>37732</v>
      </c>
      <c r="AG1360" s="151">
        <f t="shared" si="248"/>
        <v>30099</v>
      </c>
      <c r="AH1360" s="123">
        <f>AM1360-41522-1400</f>
        <v>35032</v>
      </c>
      <c r="AJ1360" s="123">
        <v>8005</v>
      </c>
      <c r="AL1360" s="123">
        <v>4933</v>
      </c>
      <c r="AM1360" s="123">
        <f>86421-8467</f>
        <v>77954</v>
      </c>
    </row>
    <row r="1361" spans="1:40" s="123" customFormat="1" ht="16.2" thickBot="1" x14ac:dyDescent="0.35">
      <c r="A1361" s="21"/>
      <c r="B1361" s="212" t="s">
        <v>292</v>
      </c>
      <c r="C1361" s="31" t="str">
        <f>VLOOKUP((CONCATENATE(B1361)),ID!$A$2:$D$305,3,0)</f>
        <v>WW03</v>
      </c>
      <c r="D1361" s="21">
        <v>1</v>
      </c>
      <c r="E1361" s="21" t="s">
        <v>3979</v>
      </c>
      <c r="F1361" s="21" t="s">
        <v>3885</v>
      </c>
      <c r="G1361" s="21" t="s">
        <v>3853</v>
      </c>
      <c r="H1361" s="94">
        <v>5114</v>
      </c>
      <c r="I1361" s="43">
        <v>5150</v>
      </c>
      <c r="J1361" s="43">
        <v>5150</v>
      </c>
      <c r="K1361" s="21">
        <v>1</v>
      </c>
      <c r="L1361" s="43">
        <v>5156</v>
      </c>
      <c r="M1361" s="43">
        <v>5169</v>
      </c>
      <c r="N1361" s="43">
        <v>5169</v>
      </c>
      <c r="O1361" s="21" t="s">
        <v>3982</v>
      </c>
      <c r="P1361" s="194" t="str">
        <f t="shared" si="261"/>
        <v>1</v>
      </c>
      <c r="Q1361" s="21">
        <v>1</v>
      </c>
      <c r="R1361" s="39" t="str">
        <f t="shared" si="249"/>
        <v>-</v>
      </c>
      <c r="S1361" s="120">
        <f t="shared" si="259"/>
        <v>29511</v>
      </c>
      <c r="T1361" s="123">
        <v>56310</v>
      </c>
      <c r="V1361" s="134">
        <f t="shared" si="263"/>
        <v>56310</v>
      </c>
      <c r="W1361" s="122" t="str">
        <f t="shared" si="264"/>
        <v>1</v>
      </c>
      <c r="X1361" s="123">
        <f>T1361-29511</f>
        <v>26799</v>
      </c>
      <c r="Z1361" s="123">
        <f t="shared" ref="Z1361:Z1415" si="267">X1361-Y1361</f>
        <v>26799</v>
      </c>
      <c r="AA1361" s="122" t="str">
        <f t="shared" si="257"/>
        <v>1</v>
      </c>
      <c r="AB1361" s="120">
        <f t="shared" si="258"/>
        <v>0</v>
      </c>
      <c r="AC1361" s="123">
        <v>0</v>
      </c>
      <c r="AD1361" s="123">
        <v>0</v>
      </c>
      <c r="AE1361" s="123">
        <v>36379</v>
      </c>
      <c r="AG1361" s="151">
        <f t="shared" si="248"/>
        <v>60469</v>
      </c>
      <c r="AH1361" s="123">
        <f>AM1361-82301-2383</f>
        <v>70764</v>
      </c>
      <c r="AJ1361" s="123">
        <f>21728+16687</f>
        <v>38415</v>
      </c>
      <c r="AL1361" s="123">
        <v>10295</v>
      </c>
      <c r="AM1361" s="123">
        <f>163907-8459</f>
        <v>155448</v>
      </c>
    </row>
    <row r="1362" spans="1:40" s="123" customFormat="1" ht="16.2" thickBot="1" x14ac:dyDescent="0.35">
      <c r="A1362" s="21"/>
      <c r="B1362" s="212" t="s">
        <v>244</v>
      </c>
      <c r="C1362" s="31" t="str">
        <f>VLOOKUP((CONCATENATE(B1362)),ID!$A$2:$D$305,3,0)</f>
        <v>RL071</v>
      </c>
      <c r="D1362" s="21">
        <v>0</v>
      </c>
      <c r="E1362" s="21" t="s">
        <v>4057</v>
      </c>
      <c r="F1362" s="21" t="s">
        <v>3865</v>
      </c>
      <c r="G1362" s="21" t="s">
        <v>3853</v>
      </c>
      <c r="H1362" s="94">
        <v>3684</v>
      </c>
      <c r="I1362" s="43">
        <v>3693</v>
      </c>
      <c r="J1362" s="43">
        <v>3715</v>
      </c>
      <c r="K1362" s="21">
        <v>1</v>
      </c>
      <c r="L1362" s="43">
        <v>3702</v>
      </c>
      <c r="M1362" s="43">
        <v>3729</v>
      </c>
      <c r="N1362" s="43">
        <v>3729</v>
      </c>
      <c r="O1362" s="21" t="s">
        <v>3983</v>
      </c>
      <c r="P1362" s="194">
        <v>1</v>
      </c>
      <c r="Q1362" s="21">
        <v>1</v>
      </c>
      <c r="R1362" s="39" t="str">
        <f t="shared" si="249"/>
        <v>-</v>
      </c>
      <c r="S1362" s="120">
        <f t="shared" si="259"/>
        <v>961964</v>
      </c>
      <c r="T1362" s="123">
        <v>2597296</v>
      </c>
      <c r="U1362" s="123">
        <f>1458450</f>
        <v>1458450</v>
      </c>
      <c r="V1362" s="123">
        <f t="shared" si="260"/>
        <v>1138846</v>
      </c>
      <c r="W1362" s="122" t="str">
        <f t="shared" si="255"/>
        <v>1</v>
      </c>
      <c r="X1362" s="123">
        <f>692929+21086+Y1362+64321+43854</f>
        <v>1635332</v>
      </c>
      <c r="Y1362" s="123">
        <f>26679+231196+555267</f>
        <v>813142</v>
      </c>
      <c r="Z1362" s="123">
        <f t="shared" si="267"/>
        <v>822190</v>
      </c>
      <c r="AA1362" s="122" t="str">
        <f t="shared" si="257"/>
        <v>1</v>
      </c>
      <c r="AB1362" s="120">
        <f t="shared" si="258"/>
        <v>26679</v>
      </c>
      <c r="AC1362" s="123">
        <v>0</v>
      </c>
      <c r="AD1362" s="123">
        <v>26679</v>
      </c>
      <c r="AE1362" s="123">
        <v>0</v>
      </c>
      <c r="AG1362" s="151">
        <f t="shared" si="248"/>
        <v>732962</v>
      </c>
      <c r="AH1362" s="123">
        <f>1113816-22271-91462-20293</f>
        <v>979790</v>
      </c>
      <c r="AL1362" s="123">
        <f>246828</f>
        <v>246828</v>
      </c>
      <c r="AM1362" s="123">
        <v>2413078</v>
      </c>
      <c r="AN1362" s="123">
        <v>872814</v>
      </c>
    </row>
    <row r="1363" spans="1:40" s="123" customFormat="1" ht="16.2" thickBot="1" x14ac:dyDescent="0.35">
      <c r="A1363" s="21"/>
      <c r="B1363" s="212" t="s">
        <v>244</v>
      </c>
      <c r="C1363" s="31" t="str">
        <f>VLOOKUP((CONCATENATE(B1363)),ID!$A$2:$D$305,3,0)</f>
        <v>RL071</v>
      </c>
      <c r="D1363" s="21">
        <v>0</v>
      </c>
      <c r="E1363" s="21" t="s">
        <v>4057</v>
      </c>
      <c r="F1363" s="21" t="s">
        <v>3865</v>
      </c>
      <c r="G1363" s="21" t="s">
        <v>3853</v>
      </c>
      <c r="H1363" s="94">
        <v>3865</v>
      </c>
      <c r="I1363" s="43">
        <v>3882</v>
      </c>
      <c r="J1363" s="43">
        <v>3904</v>
      </c>
      <c r="K1363" s="21">
        <v>1</v>
      </c>
      <c r="L1363" s="43">
        <v>3891</v>
      </c>
      <c r="M1363" s="43">
        <v>3918</v>
      </c>
      <c r="N1363" s="43">
        <v>3918</v>
      </c>
      <c r="O1363" s="21" t="s">
        <v>3983</v>
      </c>
      <c r="P1363" s="194">
        <v>1</v>
      </c>
      <c r="Q1363" s="21">
        <v>1</v>
      </c>
      <c r="R1363" s="39" t="str">
        <f t="shared" si="249"/>
        <v>-</v>
      </c>
      <c r="S1363" s="120">
        <f t="shared" si="259"/>
        <v>970596</v>
      </c>
      <c r="T1363" s="123">
        <v>2626901</v>
      </c>
      <c r="U1363" s="123">
        <f>1532396</f>
        <v>1532396</v>
      </c>
      <c r="V1363" s="123">
        <f t="shared" si="260"/>
        <v>1094505</v>
      </c>
      <c r="W1363" s="122" t="str">
        <f t="shared" si="255"/>
        <v>1</v>
      </c>
      <c r="X1363" s="123">
        <f>30235+73434+Y1363+78344+675789</f>
        <v>1656305</v>
      </c>
      <c r="Y1363" s="123">
        <f>48955+547339+202209</f>
        <v>798503</v>
      </c>
      <c r="Z1363" s="123">
        <f t="shared" si="267"/>
        <v>857802</v>
      </c>
      <c r="AA1363" s="122" t="str">
        <f t="shared" si="257"/>
        <v>1</v>
      </c>
      <c r="AB1363" s="120">
        <f t="shared" si="258"/>
        <v>48955</v>
      </c>
      <c r="AC1363" s="123">
        <v>0</v>
      </c>
      <c r="AD1363" s="123">
        <v>48955</v>
      </c>
      <c r="AE1363" s="123">
        <v>0</v>
      </c>
      <c r="AG1363" s="151">
        <f t="shared" si="248"/>
        <v>737506</v>
      </c>
      <c r="AH1363" s="123">
        <f>1128356-20510-94045-19902</f>
        <v>993899</v>
      </c>
      <c r="AL1363" s="123">
        <v>256393</v>
      </c>
      <c r="AM1363" s="123">
        <v>2461498</v>
      </c>
      <c r="AN1363" s="123">
        <v>907461</v>
      </c>
    </row>
    <row r="1364" spans="1:40" s="123" customFormat="1" ht="16.2" thickBot="1" x14ac:dyDescent="0.35">
      <c r="A1364" s="21">
        <v>233.1</v>
      </c>
      <c r="B1364" s="212" t="s">
        <v>244</v>
      </c>
      <c r="C1364" s="31" t="str">
        <f>VLOOKUP((CONCATENATE(B1364)),ID!$A$2:$D$305,3,0)</f>
        <v>RL071</v>
      </c>
      <c r="D1364" s="21">
        <v>0</v>
      </c>
      <c r="E1364" s="21" t="s">
        <v>4057</v>
      </c>
      <c r="F1364" s="21" t="s">
        <v>3865</v>
      </c>
      <c r="G1364" s="21" t="s">
        <v>3853</v>
      </c>
      <c r="H1364" s="94">
        <v>4049</v>
      </c>
      <c r="I1364" s="43">
        <v>4064</v>
      </c>
      <c r="J1364" s="43">
        <v>4086</v>
      </c>
      <c r="K1364" s="21">
        <v>1</v>
      </c>
      <c r="L1364" s="43">
        <v>4073</v>
      </c>
      <c r="M1364" s="43">
        <v>4100</v>
      </c>
      <c r="N1364" s="43">
        <v>4100</v>
      </c>
      <c r="O1364" s="21" t="s">
        <v>3983</v>
      </c>
      <c r="P1364" s="194">
        <v>1</v>
      </c>
      <c r="Q1364" s="21">
        <v>1</v>
      </c>
      <c r="R1364" s="39" t="str">
        <f t="shared" si="249"/>
        <v>-</v>
      </c>
      <c r="S1364" s="120">
        <f t="shared" si="259"/>
        <v>1039613</v>
      </c>
      <c r="T1364" s="123">
        <v>2777542</v>
      </c>
      <c r="U1364" s="123">
        <f>1672920</f>
        <v>1672920</v>
      </c>
      <c r="V1364" s="123">
        <f t="shared" si="260"/>
        <v>1104622</v>
      </c>
      <c r="W1364" s="122" t="str">
        <f t="shared" si="255"/>
        <v>1</v>
      </c>
      <c r="X1364" s="123">
        <f>29902+64562+Y1364+25373+756513</f>
        <v>1737929</v>
      </c>
      <c r="Y1364" s="123">
        <f>33676+259264+568639</f>
        <v>861579</v>
      </c>
      <c r="Z1364" s="123">
        <f t="shared" si="267"/>
        <v>876350</v>
      </c>
      <c r="AA1364" s="122" t="str">
        <f t="shared" si="257"/>
        <v>1</v>
      </c>
      <c r="AB1364" s="120">
        <f t="shared" si="258"/>
        <v>33676</v>
      </c>
      <c r="AC1364" s="123">
        <v>0</v>
      </c>
      <c r="AD1364" s="123">
        <v>33676</v>
      </c>
      <c r="AE1364" s="123">
        <v>0</v>
      </c>
      <c r="AG1364" s="151">
        <f t="shared" si="248"/>
        <v>774674</v>
      </c>
      <c r="AH1364" s="123">
        <f>1140446+27-91274-21424</f>
        <v>1027775</v>
      </c>
      <c r="AL1364" s="123">
        <f>253101</f>
        <v>253101</v>
      </c>
      <c r="AM1364" s="123">
        <v>2511743</v>
      </c>
      <c r="AN1364" s="123">
        <f>729509+162571+17151</f>
        <v>909231</v>
      </c>
    </row>
    <row r="1365" spans="1:40" s="123" customFormat="1" ht="16.2" thickBot="1" x14ac:dyDescent="0.35">
      <c r="A1365" s="21">
        <v>233.2</v>
      </c>
      <c r="B1365" s="212" t="s">
        <v>244</v>
      </c>
      <c r="C1365" s="31" t="str">
        <f>VLOOKUP((CONCATENATE(B1365)),ID!$A$2:$D$305,3,0)</f>
        <v>RL071</v>
      </c>
      <c r="D1365" s="21">
        <v>0</v>
      </c>
      <c r="E1365" s="21" t="s">
        <v>4057</v>
      </c>
      <c r="F1365" s="21" t="s">
        <v>3865</v>
      </c>
      <c r="G1365" s="21" t="s">
        <v>3853</v>
      </c>
      <c r="H1365" s="94">
        <v>4230</v>
      </c>
      <c r="I1365" s="43">
        <v>4246</v>
      </c>
      <c r="J1365" s="43">
        <v>4268</v>
      </c>
      <c r="K1365" s="21">
        <v>1</v>
      </c>
      <c r="L1365" s="43">
        <v>4255</v>
      </c>
      <c r="M1365" s="43">
        <v>4282</v>
      </c>
      <c r="N1365" s="43">
        <v>4282</v>
      </c>
      <c r="O1365" s="21" t="s">
        <v>3983</v>
      </c>
      <c r="P1365" s="194">
        <v>1</v>
      </c>
      <c r="Q1365" s="21">
        <v>1</v>
      </c>
      <c r="R1365" s="39" t="str">
        <f t="shared" si="249"/>
        <v>-</v>
      </c>
      <c r="S1365" s="120">
        <f t="shared" si="259"/>
        <v>1022533</v>
      </c>
      <c r="T1365" s="123">
        <v>2733905</v>
      </c>
      <c r="U1365" s="123">
        <f>1812366</f>
        <v>1812366</v>
      </c>
      <c r="V1365" s="123">
        <f t="shared" si="260"/>
        <v>921539</v>
      </c>
      <c r="W1365" s="122" t="str">
        <f t="shared" si="255"/>
        <v>1</v>
      </c>
      <c r="X1365" s="123">
        <f>25111+690066+22876+Y1365+74780+30019</f>
        <v>1711372</v>
      </c>
      <c r="Y1365" s="123">
        <f>49815+553266+265439</f>
        <v>868520</v>
      </c>
      <c r="Z1365" s="123">
        <f t="shared" si="267"/>
        <v>842852</v>
      </c>
      <c r="AA1365" s="122" t="str">
        <f t="shared" si="257"/>
        <v>1</v>
      </c>
      <c r="AB1365" s="120">
        <f t="shared" si="258"/>
        <v>74926</v>
      </c>
      <c r="AC1365" s="123">
        <v>25111</v>
      </c>
      <c r="AD1365" s="123">
        <v>49815</v>
      </c>
      <c r="AE1365" s="123">
        <v>0</v>
      </c>
      <c r="AG1365" s="151">
        <f t="shared" si="248"/>
        <v>748904</v>
      </c>
      <c r="AH1365" s="123">
        <f>1146566-25067-94897-19367</f>
        <v>1007235</v>
      </c>
      <c r="AL1365" s="123">
        <f>258331</f>
        <v>258331</v>
      </c>
      <c r="AM1365" s="123">
        <v>2487078</v>
      </c>
      <c r="AN1365" s="123">
        <v>927842</v>
      </c>
    </row>
    <row r="1366" spans="1:40" s="123" customFormat="1" ht="16.2" thickBot="1" x14ac:dyDescent="0.35">
      <c r="A1366" s="21">
        <v>233.3</v>
      </c>
      <c r="B1366" s="212" t="s">
        <v>244</v>
      </c>
      <c r="C1366" s="31" t="str">
        <f>VLOOKUP((CONCATENATE(B1366)),ID!$A$2:$D$305,3,0)</f>
        <v>RL071</v>
      </c>
      <c r="D1366" s="21">
        <v>0</v>
      </c>
      <c r="E1366" s="21" t="s">
        <v>4057</v>
      </c>
      <c r="F1366" s="21" t="s">
        <v>3865</v>
      </c>
      <c r="G1366" s="21" t="s">
        <v>3853</v>
      </c>
      <c r="H1366" s="94">
        <v>4414</v>
      </c>
      <c r="I1366" s="43">
        <v>4429</v>
      </c>
      <c r="J1366" s="43">
        <v>4450</v>
      </c>
      <c r="K1366" s="21">
        <v>1</v>
      </c>
      <c r="L1366" s="43">
        <v>4437</v>
      </c>
      <c r="M1366" s="43">
        <v>4464</v>
      </c>
      <c r="N1366" s="43">
        <v>4464</v>
      </c>
      <c r="O1366" s="21" t="s">
        <v>3983</v>
      </c>
      <c r="P1366" s="194">
        <v>1</v>
      </c>
      <c r="Q1366" s="21">
        <v>1</v>
      </c>
      <c r="R1366" s="39" t="str">
        <f t="shared" si="249"/>
        <v>-</v>
      </c>
      <c r="S1366" s="120">
        <f t="shared" si="259"/>
        <v>1125458</v>
      </c>
      <c r="T1366" s="123">
        <v>2781082</v>
      </c>
      <c r="U1366" s="123">
        <f>1997160</f>
        <v>1997160</v>
      </c>
      <c r="V1366" s="123">
        <f t="shared" si="260"/>
        <v>783922</v>
      </c>
      <c r="W1366" s="122" t="str">
        <f t="shared" si="255"/>
        <v>1</v>
      </c>
      <c r="X1366" s="123">
        <f>5566+586650+32785+Y1366+109549+20311</f>
        <v>1655624</v>
      </c>
      <c r="Y1366" s="123">
        <f>45655+2937+274499+577672</f>
        <v>900763</v>
      </c>
      <c r="Z1366" s="123">
        <f t="shared" si="267"/>
        <v>754861</v>
      </c>
      <c r="AA1366" s="122" t="str">
        <f t="shared" si="257"/>
        <v>1</v>
      </c>
      <c r="AB1366" s="120">
        <f t="shared" si="258"/>
        <v>51221</v>
      </c>
      <c r="AC1366" s="123">
        <v>5566</v>
      </c>
      <c r="AD1366" s="123">
        <v>45655</v>
      </c>
      <c r="AE1366" s="123">
        <v>0</v>
      </c>
      <c r="AG1366" s="151">
        <f t="shared" si="248"/>
        <v>846652</v>
      </c>
      <c r="AH1366" s="123">
        <f>1244699-28425-91841-20503</f>
        <v>1103930</v>
      </c>
      <c r="AL1366" s="123">
        <f>257278</f>
        <v>257278</v>
      </c>
      <c r="AM1366" s="123">
        <v>2622824</v>
      </c>
      <c r="AN1366" s="123">
        <v>982376</v>
      </c>
    </row>
    <row r="1367" spans="1:40" s="123" customFormat="1" ht="16.2" thickBot="1" x14ac:dyDescent="0.35">
      <c r="A1367" s="21">
        <v>233.4</v>
      </c>
      <c r="B1367" s="212" t="s">
        <v>244</v>
      </c>
      <c r="C1367" s="31" t="str">
        <f>VLOOKUP((CONCATENATE(B1367)),ID!$A$2:$D$305,3,0)</f>
        <v>RL071</v>
      </c>
      <c r="D1367" s="21">
        <v>0</v>
      </c>
      <c r="E1367" s="21" t="s">
        <v>4057</v>
      </c>
      <c r="F1367" s="21" t="s">
        <v>3865</v>
      </c>
      <c r="G1367" s="21" t="s">
        <v>3853</v>
      </c>
      <c r="H1367" s="94">
        <v>4596</v>
      </c>
      <c r="I1367" s="43">
        <v>4609</v>
      </c>
      <c r="J1367" s="43">
        <v>4632</v>
      </c>
      <c r="K1367" s="21">
        <v>1</v>
      </c>
      <c r="L1367" s="43">
        <v>4619</v>
      </c>
      <c r="M1367" s="43">
        <v>4646</v>
      </c>
      <c r="N1367" s="43">
        <v>4646</v>
      </c>
      <c r="O1367" s="21" t="s">
        <v>3983</v>
      </c>
      <c r="P1367" s="194">
        <v>1</v>
      </c>
      <c r="Q1367" s="21">
        <v>1</v>
      </c>
      <c r="R1367" s="39" t="str">
        <f t="shared" si="249"/>
        <v>-</v>
      </c>
      <c r="S1367" s="120">
        <f t="shared" si="259"/>
        <v>1051317</v>
      </c>
      <c r="T1367" s="123">
        <v>2676826</v>
      </c>
      <c r="U1367" s="123">
        <f>1860716</f>
        <v>1860716</v>
      </c>
      <c r="V1367" s="123">
        <f t="shared" si="260"/>
        <v>816110</v>
      </c>
      <c r="W1367" s="122" t="str">
        <f t="shared" si="255"/>
        <v>1</v>
      </c>
      <c r="X1367" s="123">
        <f>532878+34822+Y1367+126457+14786</f>
        <v>1625509</v>
      </c>
      <c r="Y1367" s="123">
        <f>4927+279865+580127+51647</f>
        <v>916566</v>
      </c>
      <c r="Z1367" s="123">
        <f t="shared" si="267"/>
        <v>708943</v>
      </c>
      <c r="AA1367" s="122" t="str">
        <f t="shared" si="257"/>
        <v>1</v>
      </c>
      <c r="AB1367" s="120">
        <f t="shared" si="258"/>
        <v>56574</v>
      </c>
      <c r="AC1367" s="123">
        <v>4927</v>
      </c>
      <c r="AD1367" s="123">
        <v>51647</v>
      </c>
      <c r="AE1367" s="123">
        <v>0</v>
      </c>
      <c r="AG1367" s="151">
        <f t="shared" si="248"/>
        <v>728052</v>
      </c>
      <c r="AH1367" s="123">
        <f>1143112-33665-96510-19405</f>
        <v>993532</v>
      </c>
      <c r="AL1367" s="123">
        <f>265480</f>
        <v>265480</v>
      </c>
      <c r="AM1367" s="123">
        <v>2421659</v>
      </c>
      <c r="AN1367" s="123">
        <f>164897+17150+706087</f>
        <v>888134</v>
      </c>
    </row>
    <row r="1368" spans="1:40" s="123" customFormat="1" ht="16.2" thickBot="1" x14ac:dyDescent="0.35">
      <c r="A1368" s="21"/>
      <c r="B1368" s="212" t="s">
        <v>244</v>
      </c>
      <c r="C1368" s="31" t="str">
        <f>VLOOKUP((CONCATENATE(B1368)),ID!$A$2:$D$305,3,0)</f>
        <v>RL071</v>
      </c>
      <c r="D1368" s="21">
        <v>0</v>
      </c>
      <c r="E1368" s="21" t="s">
        <v>4057</v>
      </c>
      <c r="F1368" s="21" t="s">
        <v>3865</v>
      </c>
      <c r="G1368" s="21" t="s">
        <v>3853</v>
      </c>
      <c r="H1368" s="94">
        <v>4749</v>
      </c>
      <c r="I1368" s="43">
        <v>4765</v>
      </c>
      <c r="J1368" s="43">
        <v>4786</v>
      </c>
      <c r="K1368" s="21">
        <v>1</v>
      </c>
      <c r="L1368" s="43">
        <v>4773</v>
      </c>
      <c r="M1368" s="43">
        <v>4800</v>
      </c>
      <c r="N1368" s="43">
        <v>4800</v>
      </c>
      <c r="O1368" s="21" t="s">
        <v>3983</v>
      </c>
      <c r="P1368" s="194">
        <v>1</v>
      </c>
      <c r="Q1368" s="21">
        <v>1</v>
      </c>
      <c r="R1368" s="39" t="str">
        <f t="shared" si="249"/>
        <v>-</v>
      </c>
      <c r="S1368" s="120">
        <f t="shared" si="259"/>
        <v>1006624</v>
      </c>
      <c r="T1368" s="123">
        <v>2822160</v>
      </c>
      <c r="U1368" s="123">
        <v>1972325</v>
      </c>
      <c r="V1368" s="123">
        <f t="shared" si="260"/>
        <v>849835</v>
      </c>
      <c r="W1368" s="122" t="str">
        <f t="shared" si="255"/>
        <v>1</v>
      </c>
      <c r="X1368" s="123">
        <f>38880+727130+58941+Y1368+91974+16825</f>
        <v>1815536</v>
      </c>
      <c r="Y1368" s="123">
        <f>11625+12211+287346+570604</f>
        <v>881786</v>
      </c>
      <c r="Z1368" s="123">
        <f t="shared" si="267"/>
        <v>933750</v>
      </c>
      <c r="AA1368" s="122" t="str">
        <f t="shared" si="257"/>
        <v>1</v>
      </c>
      <c r="AB1368" s="120">
        <f t="shared" si="258"/>
        <v>50505</v>
      </c>
      <c r="AC1368" s="123">
        <v>38880</v>
      </c>
      <c r="AD1368" s="123">
        <v>11625</v>
      </c>
      <c r="AE1368" s="123">
        <v>0</v>
      </c>
      <c r="AG1368" s="151">
        <f t="shared" si="248"/>
        <v>709130</v>
      </c>
      <c r="AH1368" s="123">
        <f>1032630-24816-79196</f>
        <v>928618</v>
      </c>
      <c r="AL1368" s="123">
        <f>219488</f>
        <v>219488</v>
      </c>
      <c r="AM1368" s="123">
        <v>2301580</v>
      </c>
      <c r="AN1368" s="123">
        <v>820105</v>
      </c>
    </row>
    <row r="1369" spans="1:40" s="123" customFormat="1" ht="16.2" thickBot="1" x14ac:dyDescent="0.35">
      <c r="A1369" s="21"/>
      <c r="B1369" s="212" t="s">
        <v>244</v>
      </c>
      <c r="C1369" s="31" t="str">
        <f>VLOOKUP((CONCATENATE(B1369)),ID!$A$2:$D$305,3,0)</f>
        <v>RL071</v>
      </c>
      <c r="D1369" s="21">
        <v>1</v>
      </c>
      <c r="E1369" s="21" t="s">
        <v>4057</v>
      </c>
      <c r="F1369" s="21" t="s">
        <v>3865</v>
      </c>
      <c r="G1369" s="21" t="s">
        <v>3853</v>
      </c>
      <c r="H1369" s="94">
        <v>5114</v>
      </c>
      <c r="I1369" s="43">
        <v>5135</v>
      </c>
      <c r="J1369" s="43">
        <v>5157</v>
      </c>
      <c r="K1369" s="21">
        <v>1</v>
      </c>
      <c r="L1369" s="43">
        <v>5144</v>
      </c>
      <c r="M1369" s="43">
        <v>5171</v>
      </c>
      <c r="N1369" s="43">
        <v>5171</v>
      </c>
      <c r="O1369" s="21" t="s">
        <v>3983</v>
      </c>
      <c r="P1369" s="194">
        <v>1</v>
      </c>
      <c r="Q1369" s="21">
        <v>1</v>
      </c>
      <c r="R1369" s="39" t="str">
        <f t="shared" si="249"/>
        <v>-</v>
      </c>
      <c r="S1369" s="120">
        <f t="shared" si="259"/>
        <v>1451914</v>
      </c>
      <c r="T1369" s="123">
        <v>3112103</v>
      </c>
      <c r="U1369" s="123">
        <v>2082095</v>
      </c>
      <c r="V1369" s="123">
        <f t="shared" si="260"/>
        <v>1030008</v>
      </c>
      <c r="W1369" s="122" t="str">
        <f t="shared" si="255"/>
        <v>1</v>
      </c>
      <c r="X1369" s="123">
        <f>T1369-921904-219840-11658-2000-196512-100000</f>
        <v>1660189</v>
      </c>
      <c r="Y1369" s="123">
        <f>22139+326879+581040</f>
        <v>930058</v>
      </c>
      <c r="Z1369" s="123">
        <f t="shared" si="267"/>
        <v>730131</v>
      </c>
      <c r="AA1369" s="122" t="str">
        <f t="shared" si="257"/>
        <v>1</v>
      </c>
      <c r="AB1369" s="120">
        <f t="shared" si="258"/>
        <v>139151</v>
      </c>
      <c r="AC1369" s="123">
        <v>0</v>
      </c>
      <c r="AD1369" s="123">
        <v>139151</v>
      </c>
      <c r="AE1369" s="123">
        <v>161845</v>
      </c>
      <c r="AG1369" s="151">
        <f t="shared" si="248"/>
        <v>1611781</v>
      </c>
      <c r="AH1369" s="123">
        <f>2427282-12500-144821-12839-15151-3600-28982-6102</f>
        <v>2203287</v>
      </c>
      <c r="AJ1369" s="123">
        <v>683090</v>
      </c>
      <c r="AL1369" s="123">
        <f>29421+8718+483519+57765+12083</f>
        <v>591506</v>
      </c>
      <c r="AM1369" s="123">
        <v>5576131</v>
      </c>
    </row>
    <row r="1370" spans="1:40" s="123" customFormat="1" ht="16.2" thickBot="1" x14ac:dyDescent="0.35">
      <c r="A1370" s="21"/>
      <c r="B1370" s="212" t="s">
        <v>244</v>
      </c>
      <c r="C1370" s="31" t="str">
        <f>VLOOKUP((CONCATENATE(B1370)),ID!$A$2:$D$305,3,0)</f>
        <v>RL071</v>
      </c>
      <c r="D1370" s="21">
        <v>1</v>
      </c>
      <c r="E1370" s="21" t="s">
        <v>4057</v>
      </c>
      <c r="F1370" s="21" t="s">
        <v>3865</v>
      </c>
      <c r="G1370" s="21" t="s">
        <v>3853</v>
      </c>
      <c r="H1370" s="94">
        <v>5479</v>
      </c>
      <c r="I1370" s="43">
        <v>5500</v>
      </c>
      <c r="J1370" s="43">
        <v>5524</v>
      </c>
      <c r="K1370" s="21">
        <v>1</v>
      </c>
      <c r="L1370" s="43">
        <v>5508</v>
      </c>
      <c r="M1370" s="43">
        <v>5535</v>
      </c>
      <c r="N1370" s="43">
        <v>5535</v>
      </c>
      <c r="O1370" s="21" t="s">
        <v>3983</v>
      </c>
      <c r="P1370" s="194">
        <v>1</v>
      </c>
      <c r="Q1370" s="21">
        <v>1</v>
      </c>
      <c r="R1370" s="39" t="str">
        <f>IF(Q1370=0,"?","-")</f>
        <v>-</v>
      </c>
      <c r="S1370" s="120">
        <f t="shared" si="259"/>
        <v>1377456</v>
      </c>
      <c r="T1370" s="123">
        <v>3558550</v>
      </c>
      <c r="U1370" s="123">
        <f>2281794</f>
        <v>2281794</v>
      </c>
      <c r="V1370" s="123">
        <f t="shared" si="260"/>
        <v>1276756</v>
      </c>
      <c r="W1370" s="122" t="str">
        <f t="shared" si="255"/>
        <v>1</v>
      </c>
      <c r="X1370" s="123">
        <f>T1370-192378-206974-4916-15895-100000-857293</f>
        <v>2181094</v>
      </c>
      <c r="Y1370" s="123">
        <f>32730+350268+60235</f>
        <v>443233</v>
      </c>
      <c r="Z1370" s="123">
        <f>X1370-Y1370</f>
        <v>1737861</v>
      </c>
      <c r="AA1370" s="122" t="str">
        <f t="shared" si="257"/>
        <v>1</v>
      </c>
      <c r="AB1370" s="120">
        <f t="shared" si="258"/>
        <v>540837</v>
      </c>
      <c r="AC1370" s="123">
        <v>0</v>
      </c>
      <c r="AD1370" s="123">
        <v>540837</v>
      </c>
      <c r="AE1370" s="123">
        <v>215073</v>
      </c>
      <c r="AG1370" s="151">
        <f t="shared" si="248"/>
        <v>1491579</v>
      </c>
      <c r="AH1370" s="123">
        <f>2367775-876196+AL1370</f>
        <v>2087478</v>
      </c>
      <c r="AJ1370" s="123">
        <v>683089</v>
      </c>
      <c r="AL1370" s="123">
        <f>17781+30304+483519+64295</f>
        <v>595899</v>
      </c>
      <c r="AM1370" s="123">
        <v>5565755</v>
      </c>
    </row>
    <row r="1371" spans="1:40" s="123" customFormat="1" ht="16.2" thickBot="1" x14ac:dyDescent="0.35">
      <c r="A1371" s="21"/>
      <c r="B1371" s="212" t="s">
        <v>246</v>
      </c>
      <c r="C1371" s="31" t="str">
        <f>VLOOKUP((CONCATENATE(B1371)),ID!$A$2:$D$305,3,0)</f>
        <v>RL072</v>
      </c>
      <c r="D1371" s="21">
        <v>0</v>
      </c>
      <c r="E1371" s="21" t="s">
        <v>4057</v>
      </c>
      <c r="F1371" s="21" t="s">
        <v>3985</v>
      </c>
      <c r="G1371" s="21" t="s">
        <v>3853</v>
      </c>
      <c r="H1371" s="94">
        <v>3653</v>
      </c>
      <c r="I1371" s="43">
        <v>3671</v>
      </c>
      <c r="J1371" s="43">
        <v>3686</v>
      </c>
      <c r="K1371" s="21">
        <v>0</v>
      </c>
      <c r="L1371" s="43"/>
      <c r="M1371" s="43"/>
      <c r="N1371" s="43">
        <v>3695</v>
      </c>
      <c r="O1371" s="21" t="s">
        <v>3984</v>
      </c>
      <c r="P1371" s="194">
        <v>1</v>
      </c>
      <c r="Q1371" s="21">
        <v>1</v>
      </c>
      <c r="R1371" s="39" t="str">
        <f t="shared" si="249"/>
        <v>-</v>
      </c>
      <c r="S1371" s="120">
        <f t="shared" si="259"/>
        <v>2128769</v>
      </c>
      <c r="T1371" s="123">
        <v>6125411</v>
      </c>
      <c r="U1371" s="123">
        <f>2095559+6357</f>
        <v>2101916</v>
      </c>
      <c r="V1371" s="123">
        <f t="shared" si="260"/>
        <v>4023495</v>
      </c>
      <c r="W1371" s="122" t="str">
        <f t="shared" si="255"/>
        <v>1</v>
      </c>
      <c r="X1371" s="123">
        <f>353609+19079+1336+1637392+Y1371</f>
        <v>3996642</v>
      </c>
      <c r="Y1371" s="123">
        <f>AD1371+987064+959399</f>
        <v>1985226</v>
      </c>
      <c r="Z1371" s="123">
        <f t="shared" si="267"/>
        <v>2011416</v>
      </c>
      <c r="AA1371" s="122" t="str">
        <f t="shared" si="257"/>
        <v>1</v>
      </c>
      <c r="AB1371" s="120">
        <f t="shared" si="258"/>
        <v>38763</v>
      </c>
      <c r="AC1371" s="123">
        <v>0</v>
      </c>
      <c r="AD1371" s="123">
        <v>38763</v>
      </c>
      <c r="AE1371" s="123">
        <f>358445</f>
        <v>358445</v>
      </c>
      <c r="AG1371" s="151">
        <f t="shared" si="248"/>
        <v>1689619</v>
      </c>
      <c r="AH1371" s="123">
        <f>2175415-80400-1395-18517</f>
        <v>2075103</v>
      </c>
      <c r="AL1371" s="123">
        <f>34+801+353595+31054</f>
        <v>385484</v>
      </c>
      <c r="AM1371" s="123">
        <v>5443734</v>
      </c>
      <c r="AN1371" s="123">
        <v>1800991</v>
      </c>
    </row>
    <row r="1372" spans="1:40" s="123" customFormat="1" ht="16.2" thickBot="1" x14ac:dyDescent="0.35">
      <c r="A1372" s="21"/>
      <c r="B1372" s="212" t="s">
        <v>246</v>
      </c>
      <c r="C1372" s="31" t="str">
        <f>VLOOKUP((CONCATENATE(B1372)),ID!$A$2:$D$305,3,0)</f>
        <v>RL072</v>
      </c>
      <c r="D1372" s="21">
        <v>0</v>
      </c>
      <c r="E1372" s="21" t="s">
        <v>4057</v>
      </c>
      <c r="F1372" s="21" t="s">
        <v>3985</v>
      </c>
      <c r="G1372" s="21" t="s">
        <v>3853</v>
      </c>
      <c r="H1372" s="94">
        <v>3834</v>
      </c>
      <c r="I1372" s="43">
        <v>3853</v>
      </c>
      <c r="J1372" s="43">
        <v>3861</v>
      </c>
      <c r="K1372" s="21">
        <v>0</v>
      </c>
      <c r="L1372" s="43"/>
      <c r="M1372" s="43"/>
      <c r="N1372" s="43">
        <v>3870</v>
      </c>
      <c r="O1372" s="21" t="s">
        <v>3984</v>
      </c>
      <c r="P1372" s="194">
        <v>1</v>
      </c>
      <c r="Q1372" s="21">
        <v>1</v>
      </c>
      <c r="R1372" s="39" t="str">
        <f t="shared" si="249"/>
        <v>-</v>
      </c>
      <c r="S1372" s="120">
        <f t="shared" si="259"/>
        <v>1813193</v>
      </c>
      <c r="T1372" s="123">
        <v>6204835</v>
      </c>
      <c r="U1372" s="123">
        <f>6361+3348518</f>
        <v>3354879</v>
      </c>
      <c r="V1372" s="123">
        <f t="shared" si="260"/>
        <v>2849956</v>
      </c>
      <c r="W1372" s="122" t="str">
        <f t="shared" si="255"/>
        <v>1</v>
      </c>
      <c r="X1372" s="123">
        <f>Y1372+19914+353605+1754118</f>
        <v>4391642</v>
      </c>
      <c r="Y1372" s="123">
        <f>AB1372+1015411+993296</f>
        <v>2264005</v>
      </c>
      <c r="Z1372" s="123">
        <f t="shared" si="267"/>
        <v>2127637</v>
      </c>
      <c r="AA1372" s="122" t="str">
        <f t="shared" si="257"/>
        <v>1</v>
      </c>
      <c r="AB1372" s="120">
        <f t="shared" si="258"/>
        <v>255298</v>
      </c>
      <c r="AC1372" s="123">
        <v>215207</v>
      </c>
      <c r="AD1372" s="123">
        <v>40091</v>
      </c>
      <c r="AE1372" s="123">
        <v>0</v>
      </c>
      <c r="AG1372" s="151">
        <f t="shared" si="248"/>
        <v>1294845</v>
      </c>
      <c r="AH1372" s="123">
        <f>1799020-96500-16520-1395</f>
        <v>1684605</v>
      </c>
      <c r="AL1372" s="123">
        <f>35334+353595+801+30</f>
        <v>389760</v>
      </c>
      <c r="AM1372" s="123">
        <v>4936782</v>
      </c>
      <c r="AN1372" s="123">
        <v>1445041</v>
      </c>
    </row>
    <row r="1373" spans="1:40" s="123" customFormat="1" ht="16.2" thickBot="1" x14ac:dyDescent="0.35">
      <c r="A1373" s="21">
        <v>234.1</v>
      </c>
      <c r="B1373" s="212" t="s">
        <v>246</v>
      </c>
      <c r="C1373" s="31" t="str">
        <f>VLOOKUP((CONCATENATE(B1373)),ID!$A$2:$D$305,3,0)</f>
        <v>RL072</v>
      </c>
      <c r="D1373" s="21">
        <v>0</v>
      </c>
      <c r="E1373" s="21" t="s">
        <v>4057</v>
      </c>
      <c r="F1373" s="21" t="s">
        <v>3985</v>
      </c>
      <c r="G1373" s="21" t="s">
        <v>3853</v>
      </c>
      <c r="H1373" s="94">
        <v>4018</v>
      </c>
      <c r="I1373" s="43">
        <v>4035</v>
      </c>
      <c r="J1373" s="43">
        <v>4050</v>
      </c>
      <c r="K1373" s="21">
        <v>0</v>
      </c>
      <c r="L1373" s="21"/>
      <c r="M1373" s="21"/>
      <c r="N1373" s="43">
        <v>4059</v>
      </c>
      <c r="O1373" s="21" t="s">
        <v>3984</v>
      </c>
      <c r="P1373" s="194">
        <v>1</v>
      </c>
      <c r="Q1373" s="21">
        <v>1</v>
      </c>
      <c r="R1373" s="39" t="str">
        <f t="shared" si="249"/>
        <v>-</v>
      </c>
      <c r="S1373" s="120">
        <f t="shared" si="259"/>
        <v>2167381</v>
      </c>
      <c r="T1373" s="123">
        <f>6519451+6361</f>
        <v>6525812</v>
      </c>
      <c r="U1373" s="123">
        <f>3492137+6361</f>
        <v>3498498</v>
      </c>
      <c r="V1373" s="123">
        <f t="shared" si="260"/>
        <v>3027314</v>
      </c>
      <c r="W1373" s="122" t="str">
        <f t="shared" si="255"/>
        <v>1</v>
      </c>
      <c r="X1373" s="123">
        <f>19233+356605+Y1373+1888653</f>
        <v>4358431</v>
      </c>
      <c r="Y1373" s="123">
        <f>1001775+1053934+38231</f>
        <v>2093940</v>
      </c>
      <c r="Z1373" s="123">
        <f t="shared" si="267"/>
        <v>2264491</v>
      </c>
      <c r="AA1373" s="122" t="str">
        <f t="shared" si="257"/>
        <v>1</v>
      </c>
      <c r="AB1373" s="120">
        <f t="shared" si="258"/>
        <v>38231</v>
      </c>
      <c r="AC1373" s="123">
        <v>0</v>
      </c>
      <c r="AD1373" s="123">
        <v>38231</v>
      </c>
      <c r="AE1373" s="123">
        <v>255614</v>
      </c>
      <c r="AG1373" s="151">
        <f t="shared" si="248"/>
        <v>1692091</v>
      </c>
      <c r="AH1373" s="123">
        <f>2186887-85476-18306-1394</f>
        <v>2081711</v>
      </c>
      <c r="AL1373" s="123">
        <f>32196+356594+801+29</f>
        <v>389620</v>
      </c>
      <c r="AM1373" s="123">
        <v>5535275</v>
      </c>
      <c r="AN1373" s="123">
        <v>1839329</v>
      </c>
    </row>
    <row r="1374" spans="1:40" s="123" customFormat="1" ht="16.2" thickBot="1" x14ac:dyDescent="0.35">
      <c r="A1374" s="21">
        <v>234.2</v>
      </c>
      <c r="B1374" s="212" t="s">
        <v>246</v>
      </c>
      <c r="C1374" s="31" t="str">
        <f>VLOOKUP((CONCATENATE(B1374)),ID!$A$2:$D$305,3,0)</f>
        <v>RL072</v>
      </c>
      <c r="D1374" s="21">
        <v>0</v>
      </c>
      <c r="E1374" s="21" t="s">
        <v>4057</v>
      </c>
      <c r="F1374" s="21" t="s">
        <v>3985</v>
      </c>
      <c r="G1374" s="21" t="s">
        <v>3853</v>
      </c>
      <c r="H1374" s="94">
        <v>4199</v>
      </c>
      <c r="I1374" s="43">
        <v>4224</v>
      </c>
      <c r="J1374" s="43">
        <v>4232</v>
      </c>
      <c r="K1374" s="21">
        <v>0</v>
      </c>
      <c r="L1374" s="21"/>
      <c r="M1374" s="21"/>
      <c r="N1374" s="43">
        <v>4241</v>
      </c>
      <c r="O1374" s="21" t="s">
        <v>3984</v>
      </c>
      <c r="P1374" s="194">
        <v>1</v>
      </c>
      <c r="Q1374" s="21">
        <v>1</v>
      </c>
      <c r="R1374" s="39" t="str">
        <f t="shared" si="249"/>
        <v>-</v>
      </c>
      <c r="S1374" s="120">
        <f t="shared" si="259"/>
        <v>1938067</v>
      </c>
      <c r="T1374" s="123">
        <v>6587757</v>
      </c>
      <c r="U1374" s="123">
        <f>3489789+6361</f>
        <v>3496150</v>
      </c>
      <c r="V1374" s="123">
        <f t="shared" si="260"/>
        <v>3091607</v>
      </c>
      <c r="W1374" s="122" t="str">
        <f t="shared" si="255"/>
        <v>1</v>
      </c>
      <c r="X1374" s="123">
        <f>2108207+Y1374+361405+19808</f>
        <v>4649690</v>
      </c>
      <c r="Y1374" s="123">
        <f>32580+1042736+1084954</f>
        <v>2160270</v>
      </c>
      <c r="Z1374" s="123">
        <f t="shared" si="267"/>
        <v>2489420</v>
      </c>
      <c r="AA1374" s="122" t="str">
        <f t="shared" si="257"/>
        <v>1</v>
      </c>
      <c r="AB1374" s="120">
        <f t="shared" si="258"/>
        <v>32580</v>
      </c>
      <c r="AC1374" s="123">
        <v>0</v>
      </c>
      <c r="AD1374" s="123">
        <v>32580</v>
      </c>
      <c r="AE1374" s="123">
        <v>169592</v>
      </c>
      <c r="AG1374" s="151">
        <f t="shared" ref="AG1374:AG1438" si="268">AH1374-AL1374-AI1374</f>
        <v>1437452</v>
      </c>
      <c r="AH1374" s="123">
        <f>1955589-103970-1394-18858</f>
        <v>1831367</v>
      </c>
      <c r="AL1374" s="123">
        <f>29+801+361394+31691</f>
        <v>393915</v>
      </c>
      <c r="AM1374" s="123">
        <v>5155216</v>
      </c>
      <c r="AN1374" s="123">
        <v>1509617</v>
      </c>
    </row>
    <row r="1375" spans="1:40" s="123" customFormat="1" ht="16.2" thickBot="1" x14ac:dyDescent="0.35">
      <c r="A1375" s="21">
        <v>234.3</v>
      </c>
      <c r="B1375" s="212" t="s">
        <v>246</v>
      </c>
      <c r="C1375" s="31" t="str">
        <f>VLOOKUP((CONCATENATE(B1375)),ID!$A$2:$D$305,3,0)</f>
        <v>RL072</v>
      </c>
      <c r="D1375" s="21">
        <v>0</v>
      </c>
      <c r="E1375" s="21" t="s">
        <v>4057</v>
      </c>
      <c r="F1375" s="21" t="s">
        <v>3985</v>
      </c>
      <c r="G1375" s="21" t="s">
        <v>3853</v>
      </c>
      <c r="H1375" s="94">
        <v>4383</v>
      </c>
      <c r="I1375" s="43">
        <v>4399</v>
      </c>
      <c r="J1375" s="43">
        <v>4414</v>
      </c>
      <c r="K1375" s="21">
        <v>0</v>
      </c>
      <c r="L1375" s="21"/>
      <c r="M1375" s="21"/>
      <c r="N1375" s="43">
        <v>4423</v>
      </c>
      <c r="O1375" s="21" t="s">
        <v>3984</v>
      </c>
      <c r="P1375" s="194">
        <v>1</v>
      </c>
      <c r="Q1375" s="21">
        <v>1</v>
      </c>
      <c r="R1375" s="39" t="str">
        <f t="shared" si="249"/>
        <v>-</v>
      </c>
      <c r="S1375" s="120">
        <f t="shared" si="259"/>
        <v>2209254</v>
      </c>
      <c r="T1375" s="123">
        <v>6869122</v>
      </c>
      <c r="U1375" s="123">
        <f>3513509+6361</f>
        <v>3519870</v>
      </c>
      <c r="V1375" s="123">
        <f t="shared" si="260"/>
        <v>3349252</v>
      </c>
      <c r="W1375" s="122" t="str">
        <f t="shared" si="255"/>
        <v>1</v>
      </c>
      <c r="X1375" s="123">
        <f>2077640+Y1375+361394+19453</f>
        <v>4659868</v>
      </c>
      <c r="Y1375" s="123">
        <f>35622+1120737+1045022</f>
        <v>2201381</v>
      </c>
      <c r="Z1375" s="123">
        <f t="shared" si="267"/>
        <v>2458487</v>
      </c>
      <c r="AA1375" s="122" t="str">
        <f t="shared" si="257"/>
        <v>1</v>
      </c>
      <c r="AB1375" s="120">
        <f t="shared" si="258"/>
        <v>35622</v>
      </c>
      <c r="AC1375" s="123">
        <v>0</v>
      </c>
      <c r="AD1375" s="123">
        <v>35622</v>
      </c>
      <c r="AE1375" s="123">
        <v>432285</v>
      </c>
      <c r="AG1375" s="151">
        <f t="shared" si="268"/>
        <v>1694193</v>
      </c>
      <c r="AH1375" s="123">
        <f>2214055-106092-18089-1394</f>
        <v>2088480</v>
      </c>
      <c r="AL1375" s="123">
        <f>19+801+361394+32073</f>
        <v>394287</v>
      </c>
      <c r="AM1375" s="123">
        <v>5600059</v>
      </c>
      <c r="AN1375" s="123">
        <v>1869987</v>
      </c>
    </row>
    <row r="1376" spans="1:40" s="123" customFormat="1" ht="16.2" thickBot="1" x14ac:dyDescent="0.35">
      <c r="A1376" s="21">
        <v>234.4</v>
      </c>
      <c r="B1376" s="212" t="s">
        <v>246</v>
      </c>
      <c r="C1376" s="31" t="str">
        <f>VLOOKUP((CONCATENATE(B1376)),ID!$A$2:$D$305,3,0)</f>
        <v>RL072</v>
      </c>
      <c r="D1376" s="21">
        <v>0</v>
      </c>
      <c r="E1376" s="21" t="s">
        <v>4057</v>
      </c>
      <c r="F1376" s="21" t="s">
        <v>3985</v>
      </c>
      <c r="G1376" s="21" t="s">
        <v>3853</v>
      </c>
      <c r="H1376" s="94">
        <v>4565</v>
      </c>
      <c r="I1376" s="43">
        <v>4587</v>
      </c>
      <c r="J1376" s="43">
        <v>4596</v>
      </c>
      <c r="K1376" s="21">
        <v>0</v>
      </c>
      <c r="L1376" s="21"/>
      <c r="M1376" s="21"/>
      <c r="N1376" s="43">
        <v>4605</v>
      </c>
      <c r="O1376" s="21" t="s">
        <v>3984</v>
      </c>
      <c r="P1376" s="194">
        <v>1</v>
      </c>
      <c r="Q1376" s="21">
        <v>1</v>
      </c>
      <c r="R1376" s="39" t="str">
        <f t="shared" si="249"/>
        <v>-</v>
      </c>
      <c r="S1376" s="120">
        <f t="shared" si="259"/>
        <v>1793377</v>
      </c>
      <c r="T1376" s="123">
        <v>6915349</v>
      </c>
      <c r="U1376" s="123">
        <f>3771725+6361</f>
        <v>3778086</v>
      </c>
      <c r="V1376" s="123">
        <f t="shared" si="260"/>
        <v>3137263</v>
      </c>
      <c r="W1376" s="122" t="str">
        <f t="shared" si="255"/>
        <v>1</v>
      </c>
      <c r="X1376" s="123">
        <f>19119+361394+229863+Y1376+2236267</f>
        <v>5121972</v>
      </c>
      <c r="Y1376" s="123">
        <f>35752+1164334+1075243</f>
        <v>2275329</v>
      </c>
      <c r="Z1376" s="123">
        <f t="shared" si="267"/>
        <v>2846643</v>
      </c>
      <c r="AA1376" s="122" t="str">
        <f t="shared" si="257"/>
        <v>1</v>
      </c>
      <c r="AB1376" s="120">
        <f t="shared" si="258"/>
        <v>35752</v>
      </c>
      <c r="AC1376" s="123">
        <v>0</v>
      </c>
      <c r="AD1376" s="123">
        <v>35752</v>
      </c>
      <c r="AE1376" s="123">
        <v>1198976</v>
      </c>
      <c r="AG1376" s="151">
        <f t="shared" si="268"/>
        <v>1179947</v>
      </c>
      <c r="AH1376" s="123">
        <f>1720371-121582-18211-1394</f>
        <v>1579184</v>
      </c>
      <c r="AL1376" s="123">
        <f>801+361394+37042</f>
        <v>399237</v>
      </c>
      <c r="AM1376" s="123">
        <v>4787279</v>
      </c>
      <c r="AN1376" s="123">
        <v>1469562</v>
      </c>
    </row>
    <row r="1377" spans="1:40" s="123" customFormat="1" ht="16.2" thickBot="1" x14ac:dyDescent="0.35">
      <c r="A1377" s="21"/>
      <c r="B1377" s="212" t="s">
        <v>246</v>
      </c>
      <c r="C1377" s="31" t="str">
        <f>VLOOKUP((CONCATENATE(B1377)),ID!$A$2:$D$305,3,0)</f>
        <v>RL072</v>
      </c>
      <c r="D1377" s="21">
        <v>0</v>
      </c>
      <c r="E1377" s="21" t="s">
        <v>4057</v>
      </c>
      <c r="F1377" s="21" t="s">
        <v>3985</v>
      </c>
      <c r="G1377" s="21" t="s">
        <v>3853</v>
      </c>
      <c r="H1377" s="94">
        <v>4749</v>
      </c>
      <c r="I1377" s="43">
        <v>4772</v>
      </c>
      <c r="J1377" s="43">
        <v>4785</v>
      </c>
      <c r="K1377" s="21">
        <v>0</v>
      </c>
      <c r="L1377" s="21"/>
      <c r="M1377" s="21"/>
      <c r="N1377" s="43">
        <v>4794</v>
      </c>
      <c r="O1377" s="21" t="s">
        <v>3984</v>
      </c>
      <c r="P1377" s="194">
        <v>1</v>
      </c>
      <c r="Q1377" s="21">
        <v>1</v>
      </c>
      <c r="R1377" s="39" t="str">
        <f t="shared" ref="R1377:R1440" si="269">IF(Q1377=0,"?","-")</f>
        <v>-</v>
      </c>
      <c r="S1377" s="120">
        <f t="shared" si="259"/>
        <v>2329489</v>
      </c>
      <c r="T1377" s="123">
        <v>7512326</v>
      </c>
      <c r="U1377" s="123">
        <f>3890495+6361</f>
        <v>3896856</v>
      </c>
      <c r="V1377" s="123">
        <f t="shared" si="260"/>
        <v>3615470</v>
      </c>
      <c r="W1377" s="122" t="str">
        <f t="shared" si="255"/>
        <v>1</v>
      </c>
      <c r="X1377" s="123">
        <f>19766+361394+Y1377+2485912</f>
        <v>5182837</v>
      </c>
      <c r="Y1377" s="123">
        <f>38883+1205216+1071666</f>
        <v>2315765</v>
      </c>
      <c r="Z1377" s="123">
        <f t="shared" si="267"/>
        <v>2867072</v>
      </c>
      <c r="AA1377" s="122" t="str">
        <f>IF(Z1377+Y1377=X1377,"1","0")</f>
        <v>1</v>
      </c>
      <c r="AB1377" s="120">
        <f>SUM(AC1377+AD1377)</f>
        <v>38883</v>
      </c>
      <c r="AC1377" s="123">
        <v>0</v>
      </c>
      <c r="AD1377" s="123">
        <v>38883</v>
      </c>
      <c r="AE1377" s="123">
        <v>240501</v>
      </c>
      <c r="AG1377" s="151">
        <f t="shared" si="268"/>
        <v>1872525</v>
      </c>
      <c r="AH1377" s="123">
        <f>2372794-91796-17361-1394</f>
        <v>2262243</v>
      </c>
      <c r="AL1377" s="123">
        <f>792+361394+27532</f>
        <v>389718</v>
      </c>
      <c r="AM1377" s="123">
        <v>5975702</v>
      </c>
      <c r="AN1377" s="123">
        <v>1912632</v>
      </c>
    </row>
    <row r="1378" spans="1:40" s="123" customFormat="1" ht="16.2" thickBot="1" x14ac:dyDescent="0.35">
      <c r="A1378" s="21"/>
      <c r="B1378" s="212" t="s">
        <v>246</v>
      </c>
      <c r="C1378" s="31" t="str">
        <f>VLOOKUP((CONCATENATE(B1378)),ID!$A$2:$D$305,3,0)</f>
        <v>RL072</v>
      </c>
      <c r="D1378" s="21">
        <v>1</v>
      </c>
      <c r="E1378" s="21" t="s">
        <v>4057</v>
      </c>
      <c r="F1378" s="21" t="s">
        <v>3985</v>
      </c>
      <c r="G1378" s="21" t="s">
        <v>3853</v>
      </c>
      <c r="H1378" s="94">
        <v>5114</v>
      </c>
      <c r="I1378" s="43">
        <v>5154</v>
      </c>
      <c r="J1378" s="43">
        <v>5163</v>
      </c>
      <c r="K1378" s="21">
        <v>0</v>
      </c>
      <c r="L1378" s="21"/>
      <c r="M1378" s="21"/>
      <c r="N1378" s="43">
        <v>5172</v>
      </c>
      <c r="O1378" s="21" t="s">
        <v>3984</v>
      </c>
      <c r="P1378" s="194" t="str">
        <f t="shared" si="261"/>
        <v>1</v>
      </c>
      <c r="Q1378" s="21">
        <v>1</v>
      </c>
      <c r="R1378" s="39" t="str">
        <f t="shared" si="269"/>
        <v>-</v>
      </c>
      <c r="S1378" s="120">
        <f t="shared" si="259"/>
        <v>4612830</v>
      </c>
      <c r="T1378" s="123">
        <v>8309732</v>
      </c>
      <c r="U1378" s="123">
        <f>4570613+6361+7000</f>
        <v>4583974</v>
      </c>
      <c r="V1378" s="123">
        <f t="shared" si="260"/>
        <v>3725758</v>
      </c>
      <c r="W1378" s="122" t="str">
        <f t="shared" si="255"/>
        <v>1</v>
      </c>
      <c r="X1378" s="123">
        <f>T1378-2292044-1367875-420000-532911</f>
        <v>3696902</v>
      </c>
      <c r="Y1378" s="123">
        <f>1405003+1095642</f>
        <v>2500645</v>
      </c>
      <c r="Z1378" s="123">
        <f t="shared" si="267"/>
        <v>1196257</v>
      </c>
      <c r="AA1378" s="122" t="str">
        <f>IF(Z1378+Y1378=X1378,"1","0")</f>
        <v>1</v>
      </c>
      <c r="AB1378" s="120">
        <f>SUM(AC1378+AD1378)</f>
        <v>115000</v>
      </c>
      <c r="AC1378" s="123">
        <v>0</v>
      </c>
      <c r="AD1378" s="123">
        <v>115000</v>
      </c>
      <c r="AE1378" s="123">
        <v>108394</v>
      </c>
      <c r="AG1378" s="151">
        <f t="shared" si="268"/>
        <v>3540101</v>
      </c>
      <c r="AH1378" s="123">
        <f>4454967-6750-34671-1547-12789-40</f>
        <v>4399170</v>
      </c>
      <c r="AJ1378" s="123">
        <v>1376089</v>
      </c>
      <c r="AL1378" s="123">
        <f>50544+722842+81874+3809</f>
        <v>859069</v>
      </c>
      <c r="AM1378" s="123">
        <v>12235367</v>
      </c>
    </row>
    <row r="1379" spans="1:40" s="123" customFormat="1" ht="16.2" thickBot="1" x14ac:dyDescent="0.35">
      <c r="A1379" s="21"/>
      <c r="B1379" s="212" t="s">
        <v>247</v>
      </c>
      <c r="C1379" s="31" t="str">
        <f>VLOOKUP((CONCATENATE(B1379)),ID!$A$2:$D$305,3,0)</f>
        <v>RL073</v>
      </c>
      <c r="D1379" s="21">
        <v>0</v>
      </c>
      <c r="E1379" s="21" t="s">
        <v>4057</v>
      </c>
      <c r="F1379" s="21" t="s">
        <v>1117</v>
      </c>
      <c r="G1379" s="21" t="s">
        <v>3853</v>
      </c>
      <c r="H1379" s="94">
        <v>3653</v>
      </c>
      <c r="I1379" s="43">
        <v>3679</v>
      </c>
      <c r="J1379" s="43">
        <v>3687</v>
      </c>
      <c r="K1379" s="21">
        <v>1</v>
      </c>
      <c r="L1379" s="43">
        <v>3688</v>
      </c>
      <c r="M1379" s="43">
        <v>3701</v>
      </c>
      <c r="N1379" s="43">
        <v>3701</v>
      </c>
      <c r="O1379" s="21" t="s">
        <v>4098</v>
      </c>
      <c r="P1379" s="194">
        <v>1</v>
      </c>
      <c r="Q1379" s="21">
        <v>1</v>
      </c>
      <c r="R1379" s="39" t="str">
        <f t="shared" si="269"/>
        <v>-</v>
      </c>
      <c r="S1379" s="120">
        <f t="shared" si="259"/>
        <v>195421</v>
      </c>
      <c r="T1379" s="123">
        <v>295894</v>
      </c>
      <c r="U1379" s="123">
        <f>98163</f>
        <v>98163</v>
      </c>
      <c r="V1379" s="123">
        <f t="shared" si="260"/>
        <v>197731</v>
      </c>
      <c r="W1379" s="122" t="str">
        <f t="shared" si="255"/>
        <v>1</v>
      </c>
      <c r="X1379" s="123">
        <f>75258+22214+192+Y1379</f>
        <v>100473</v>
      </c>
      <c r="Y1379" s="123">
        <v>2809</v>
      </c>
      <c r="Z1379" s="123">
        <f t="shared" si="267"/>
        <v>97664</v>
      </c>
      <c r="AA1379" s="122" t="str">
        <f>IF(Z1379+Y1379=X1379,"1","0")</f>
        <v>1</v>
      </c>
      <c r="AB1379" s="120">
        <f>SUM(AC1379+AD1379)</f>
        <v>0</v>
      </c>
      <c r="AC1379" s="123">
        <v>0</v>
      </c>
      <c r="AD1379" s="123">
        <v>0</v>
      </c>
      <c r="AE1379" s="123">
        <v>117621</v>
      </c>
      <c r="AG1379" s="151">
        <f t="shared" si="268"/>
        <v>66612</v>
      </c>
      <c r="AH1379" s="123">
        <f>97817-5370-3634</f>
        <v>88813</v>
      </c>
      <c r="AL1379" s="123">
        <f>22201</f>
        <v>22201</v>
      </c>
      <c r="AM1379" s="123">
        <v>231079</v>
      </c>
      <c r="AN1379" s="123">
        <v>108018</v>
      </c>
    </row>
    <row r="1380" spans="1:40" s="123" customFormat="1" ht="16.2" thickBot="1" x14ac:dyDescent="0.35">
      <c r="A1380" s="21"/>
      <c r="B1380" s="212" t="s">
        <v>247</v>
      </c>
      <c r="C1380" s="31" t="str">
        <f>VLOOKUP((CONCATENATE(B1380)),ID!$A$2:$D$305,3,0)</f>
        <v>RL073</v>
      </c>
      <c r="D1380" s="21">
        <v>0</v>
      </c>
      <c r="E1380" s="21" t="s">
        <v>4057</v>
      </c>
      <c r="F1380" s="21" t="s">
        <v>1117</v>
      </c>
      <c r="G1380" s="21" t="s">
        <v>3853</v>
      </c>
      <c r="H1380" s="94">
        <v>3834</v>
      </c>
      <c r="I1380" s="43">
        <v>3854</v>
      </c>
      <c r="J1380" s="43">
        <v>3869</v>
      </c>
      <c r="K1380" s="21">
        <v>1</v>
      </c>
      <c r="L1380" s="43">
        <v>3863</v>
      </c>
      <c r="M1380" s="43">
        <v>3876</v>
      </c>
      <c r="N1380" s="43">
        <v>3876</v>
      </c>
      <c r="O1380" s="21" t="s">
        <v>4063</v>
      </c>
      <c r="P1380" s="194">
        <v>1</v>
      </c>
      <c r="Q1380" s="21">
        <v>1</v>
      </c>
      <c r="R1380" s="39" t="str">
        <f t="shared" si="269"/>
        <v>-</v>
      </c>
      <c r="S1380" s="120">
        <f t="shared" si="259"/>
        <v>220263</v>
      </c>
      <c r="T1380" s="123">
        <v>324756</v>
      </c>
      <c r="U1380" s="123">
        <v>95335</v>
      </c>
      <c r="V1380" s="123">
        <f t="shared" si="260"/>
        <v>229421</v>
      </c>
      <c r="W1380" s="122" t="str">
        <f t="shared" si="255"/>
        <v>1</v>
      </c>
      <c r="X1380" s="123">
        <f>208+22214+1145+78117+Y1380</f>
        <v>104493</v>
      </c>
      <c r="Y1380" s="123">
        <v>2809</v>
      </c>
      <c r="Z1380" s="123">
        <f t="shared" si="267"/>
        <v>101684</v>
      </c>
      <c r="AA1380" s="122" t="str">
        <f>IF(Z1380+Y1380=X1380,"1","0")</f>
        <v>1</v>
      </c>
      <c r="AB1380" s="120">
        <f>SUM(AC1380+AD1380)</f>
        <v>0</v>
      </c>
      <c r="AC1380" s="123">
        <v>0</v>
      </c>
      <c r="AD1380" s="123">
        <v>0</v>
      </c>
      <c r="AE1380" s="123">
        <v>127473</v>
      </c>
      <c r="AG1380" s="151">
        <f t="shared" si="268"/>
        <v>78697</v>
      </c>
      <c r="AH1380" s="123">
        <f>103553+848-3503</f>
        <v>100898</v>
      </c>
      <c r="AL1380" s="123">
        <f>22201</f>
        <v>22201</v>
      </c>
      <c r="AM1380" s="123">
        <v>229841</v>
      </c>
      <c r="AN1380" s="123">
        <v>105210</v>
      </c>
    </row>
    <row r="1381" spans="1:40" s="123" customFormat="1" ht="16.2" thickBot="1" x14ac:dyDescent="0.35">
      <c r="A1381" s="21">
        <v>235.1</v>
      </c>
      <c r="B1381" s="212" t="s">
        <v>247</v>
      </c>
      <c r="C1381" s="31" t="str">
        <f>VLOOKUP((CONCATENATE(B1381)),ID!$A$2:$D$305,3,0)</f>
        <v>RL073</v>
      </c>
      <c r="D1381" s="21">
        <v>0</v>
      </c>
      <c r="E1381" s="21" t="s">
        <v>4057</v>
      </c>
      <c r="F1381" s="21" t="s">
        <v>1117</v>
      </c>
      <c r="G1381" s="21" t="s">
        <v>3853</v>
      </c>
      <c r="H1381" s="94">
        <v>4018</v>
      </c>
      <c r="I1381" s="43">
        <v>4043</v>
      </c>
      <c r="J1381" s="43">
        <v>4051</v>
      </c>
      <c r="K1381" s="21">
        <v>1</v>
      </c>
      <c r="L1381" s="43">
        <v>4052</v>
      </c>
      <c r="M1381" s="43">
        <v>4059</v>
      </c>
      <c r="N1381" s="43">
        <v>4059</v>
      </c>
      <c r="O1381" s="21" t="s">
        <v>4063</v>
      </c>
      <c r="P1381" s="194">
        <v>1</v>
      </c>
      <c r="Q1381" s="21">
        <v>1</v>
      </c>
      <c r="R1381" s="39" t="str">
        <f t="shared" si="269"/>
        <v>-</v>
      </c>
      <c r="S1381" s="120">
        <f t="shared" si="259"/>
        <v>230256</v>
      </c>
      <c r="T1381" s="123">
        <v>327034</v>
      </c>
      <c r="U1381" s="123">
        <f>83914</f>
        <v>83914</v>
      </c>
      <c r="V1381" s="123">
        <f t="shared" si="260"/>
        <v>243120</v>
      </c>
      <c r="W1381" s="122" t="str">
        <f t="shared" si="255"/>
        <v>1</v>
      </c>
      <c r="X1381" s="123">
        <f>251+22214+366+71138+Y1381</f>
        <v>96778</v>
      </c>
      <c r="Y1381" s="123">
        <v>2809</v>
      </c>
      <c r="Z1381" s="123">
        <f t="shared" si="267"/>
        <v>93969</v>
      </c>
      <c r="AA1381" s="122" t="str">
        <f t="shared" si="257"/>
        <v>1</v>
      </c>
      <c r="AB1381" s="120">
        <f t="shared" si="258"/>
        <v>0</v>
      </c>
      <c r="AC1381" s="123">
        <v>0</v>
      </c>
      <c r="AD1381" s="123">
        <v>0</v>
      </c>
      <c r="AE1381" s="123">
        <v>134175</v>
      </c>
      <c r="AG1381" s="151">
        <f t="shared" si="268"/>
        <v>76998</v>
      </c>
      <c r="AH1381" s="123">
        <f>109375-6380-3796</f>
        <v>99199</v>
      </c>
      <c r="AL1381" s="123">
        <f>22201</f>
        <v>22201</v>
      </c>
      <c r="AM1381" s="123">
        <v>233565</v>
      </c>
      <c r="AN1381" s="123">
        <v>105847</v>
      </c>
    </row>
    <row r="1382" spans="1:40" s="123" customFormat="1" ht="16.2" thickBot="1" x14ac:dyDescent="0.35">
      <c r="A1382" s="21">
        <v>235.2</v>
      </c>
      <c r="B1382" s="212" t="s">
        <v>247</v>
      </c>
      <c r="C1382" s="31" t="str">
        <f>VLOOKUP((CONCATENATE(B1382)),ID!$A$2:$D$305,3,0)</f>
        <v>RL073</v>
      </c>
      <c r="D1382" s="21">
        <v>0</v>
      </c>
      <c r="E1382" s="21" t="s">
        <v>4057</v>
      </c>
      <c r="F1382" s="21" t="s">
        <v>1117</v>
      </c>
      <c r="G1382" s="21" t="s">
        <v>3853</v>
      </c>
      <c r="H1382" s="94">
        <v>4199</v>
      </c>
      <c r="I1382" s="43">
        <v>4218</v>
      </c>
      <c r="J1382" s="43">
        <v>4233</v>
      </c>
      <c r="K1382" s="21">
        <v>1</v>
      </c>
      <c r="L1382" s="43">
        <v>4227</v>
      </c>
      <c r="M1382" s="43">
        <v>4240</v>
      </c>
      <c r="N1382" s="43">
        <v>4240</v>
      </c>
      <c r="O1382" s="21" t="s">
        <v>3986</v>
      </c>
      <c r="P1382" s="194">
        <v>1</v>
      </c>
      <c r="Q1382" s="21">
        <v>1</v>
      </c>
      <c r="R1382" s="39" t="str">
        <f t="shared" si="269"/>
        <v>-</v>
      </c>
      <c r="S1382" s="120">
        <f t="shared" si="259"/>
        <v>240011</v>
      </c>
      <c r="T1382" s="123">
        <v>338418</v>
      </c>
      <c r="U1382" s="123">
        <f>83248</f>
        <v>83248</v>
      </c>
      <c r="V1382" s="123">
        <f t="shared" si="260"/>
        <v>255170</v>
      </c>
      <c r="W1382" s="122" t="str">
        <f t="shared" si="255"/>
        <v>1</v>
      </c>
      <c r="X1382" s="123">
        <f>203+22384+909+72102+Y1382</f>
        <v>98407</v>
      </c>
      <c r="Y1382" s="123">
        <v>2809</v>
      </c>
      <c r="Z1382" s="123">
        <f t="shared" si="267"/>
        <v>95598</v>
      </c>
      <c r="AA1382" s="122" t="str">
        <f t="shared" si="257"/>
        <v>1</v>
      </c>
      <c r="AB1382" s="120">
        <f t="shared" si="258"/>
        <v>0</v>
      </c>
      <c r="AC1382" s="123">
        <v>0</v>
      </c>
      <c r="AD1382" s="123">
        <v>0</v>
      </c>
      <c r="AE1382" s="123">
        <v>154219</v>
      </c>
      <c r="AG1382" s="151">
        <f t="shared" si="268"/>
        <v>74085</v>
      </c>
      <c r="AH1382" s="123">
        <f>105566-6142-3138</f>
        <v>96286</v>
      </c>
      <c r="AL1382" s="123">
        <v>22201</v>
      </c>
      <c r="AM1382" s="123">
        <v>227372</v>
      </c>
      <c r="AN1382" s="123">
        <v>103149</v>
      </c>
    </row>
    <row r="1383" spans="1:40" s="123" customFormat="1" ht="16.2" thickBot="1" x14ac:dyDescent="0.35">
      <c r="A1383" s="21">
        <v>235.3</v>
      </c>
      <c r="B1383" s="212" t="s">
        <v>247</v>
      </c>
      <c r="C1383" s="31" t="str">
        <f>VLOOKUP((CONCATENATE(B1383)),ID!$A$2:$D$305,3,0)</f>
        <v>RL073</v>
      </c>
      <c r="D1383" s="21">
        <v>0</v>
      </c>
      <c r="E1383" s="21" t="s">
        <v>4057</v>
      </c>
      <c r="F1383" s="21" t="s">
        <v>1117</v>
      </c>
      <c r="G1383" s="21" t="s">
        <v>3853</v>
      </c>
      <c r="H1383" s="94">
        <v>4383</v>
      </c>
      <c r="I1383" s="43">
        <v>4407</v>
      </c>
      <c r="J1383" s="43">
        <v>4415</v>
      </c>
      <c r="K1383" s="21">
        <v>1</v>
      </c>
      <c r="L1383" s="43">
        <v>4416</v>
      </c>
      <c r="M1383" s="43">
        <v>4429</v>
      </c>
      <c r="N1383" s="43">
        <v>4429</v>
      </c>
      <c r="O1383" s="21" t="s">
        <v>3986</v>
      </c>
      <c r="P1383" s="194">
        <v>1</v>
      </c>
      <c r="Q1383" s="21">
        <v>1</v>
      </c>
      <c r="R1383" s="39" t="str">
        <f t="shared" si="269"/>
        <v>-</v>
      </c>
      <c r="S1383" s="120">
        <f t="shared" si="259"/>
        <v>245888</v>
      </c>
      <c r="T1383" s="123">
        <v>353703</v>
      </c>
      <c r="U1383" s="123">
        <f>83084</f>
        <v>83084</v>
      </c>
      <c r="V1383" s="123">
        <f t="shared" si="260"/>
        <v>270619</v>
      </c>
      <c r="W1383" s="122" t="str">
        <f t="shared" si="255"/>
        <v>1</v>
      </c>
      <c r="X1383" s="123">
        <f>81750+372+22345+178+Y1383</f>
        <v>107815</v>
      </c>
      <c r="Y1383" s="123">
        <v>3170</v>
      </c>
      <c r="Z1383" s="123">
        <f t="shared" si="267"/>
        <v>104645</v>
      </c>
      <c r="AA1383" s="122" t="str">
        <f t="shared" si="257"/>
        <v>1</v>
      </c>
      <c r="AB1383" s="120">
        <f t="shared" si="258"/>
        <v>0</v>
      </c>
      <c r="AC1383" s="123">
        <v>0</v>
      </c>
      <c r="AD1383" s="123">
        <v>0</v>
      </c>
      <c r="AE1383" s="123">
        <v>163699</v>
      </c>
      <c r="AG1383" s="151">
        <f t="shared" si="268"/>
        <v>76076</v>
      </c>
      <c r="AH1383" s="123">
        <f>100072+2084-3879</f>
        <v>98277</v>
      </c>
      <c r="AL1383" s="123">
        <v>22201</v>
      </c>
      <c r="AM1383" s="123">
        <v>225322</v>
      </c>
      <c r="AN1383" s="123">
        <v>100163</v>
      </c>
    </row>
    <row r="1384" spans="1:40" s="123" customFormat="1" ht="16.2" thickBot="1" x14ac:dyDescent="0.35">
      <c r="A1384" s="21">
        <v>235.4</v>
      </c>
      <c r="B1384" s="212" t="s">
        <v>247</v>
      </c>
      <c r="C1384" s="31" t="str">
        <f>VLOOKUP((CONCATENATE(B1384)),ID!$A$2:$D$305,3,0)</f>
        <v>RL073</v>
      </c>
      <c r="D1384" s="21">
        <v>0</v>
      </c>
      <c r="E1384" s="21" t="s">
        <v>4057</v>
      </c>
      <c r="F1384" s="21" t="s">
        <v>1117</v>
      </c>
      <c r="G1384" s="21" t="s">
        <v>3853</v>
      </c>
      <c r="H1384" s="94">
        <v>4565</v>
      </c>
      <c r="I1384" s="43">
        <v>4582</v>
      </c>
      <c r="J1384" s="43">
        <v>4597</v>
      </c>
      <c r="K1384" s="21">
        <v>1</v>
      </c>
      <c r="L1384" s="43">
        <v>4591</v>
      </c>
      <c r="M1384" s="43">
        <v>4604</v>
      </c>
      <c r="N1384" s="43">
        <v>4604</v>
      </c>
      <c r="O1384" s="21" t="s">
        <v>3986</v>
      </c>
      <c r="P1384" s="194">
        <v>1</v>
      </c>
      <c r="Q1384" s="21">
        <v>1</v>
      </c>
      <c r="R1384" s="39" t="str">
        <f t="shared" si="269"/>
        <v>-</v>
      </c>
      <c r="S1384" s="120">
        <f t="shared" si="259"/>
        <v>254014</v>
      </c>
      <c r="T1384" s="123">
        <v>362399</v>
      </c>
      <c r="U1384" s="123">
        <f>77885</f>
        <v>77885</v>
      </c>
      <c r="V1384" s="123">
        <f t="shared" si="260"/>
        <v>284514</v>
      </c>
      <c r="W1384" s="122" t="str">
        <f t="shared" si="255"/>
        <v>1</v>
      </c>
      <c r="X1384" s="123">
        <f>82057+749+22216+193+Y1384</f>
        <v>108385</v>
      </c>
      <c r="Y1384" s="123">
        <v>3170</v>
      </c>
      <c r="Z1384" s="123">
        <f t="shared" si="267"/>
        <v>105215</v>
      </c>
      <c r="AA1384" s="122" t="str">
        <f t="shared" si="257"/>
        <v>1</v>
      </c>
      <c r="AB1384" s="120">
        <f t="shared" si="258"/>
        <v>0</v>
      </c>
      <c r="AC1384" s="123">
        <v>0</v>
      </c>
      <c r="AD1384" s="123">
        <v>0</v>
      </c>
      <c r="AE1384" s="123">
        <v>173464</v>
      </c>
      <c r="AG1384" s="151">
        <f t="shared" si="268"/>
        <v>67982</v>
      </c>
      <c r="AH1384" s="134">
        <f>100095-6831-3081</f>
        <v>90183</v>
      </c>
      <c r="AL1384" s="123">
        <v>22201</v>
      </c>
      <c r="AM1384" s="123">
        <v>213021</v>
      </c>
      <c r="AN1384" s="123">
        <v>93155</v>
      </c>
    </row>
    <row r="1385" spans="1:40" s="123" customFormat="1" ht="16.2" thickBot="1" x14ac:dyDescent="0.35">
      <c r="A1385" s="21"/>
      <c r="B1385" s="212" t="s">
        <v>247</v>
      </c>
      <c r="C1385" s="31" t="str">
        <f>VLOOKUP((CONCATENATE(B1385)),ID!$A$2:$D$305,3,0)</f>
        <v>RL073</v>
      </c>
      <c r="D1385" s="21">
        <v>0</v>
      </c>
      <c r="E1385" s="21" t="s">
        <v>4057</v>
      </c>
      <c r="F1385" s="21" t="s">
        <v>1117</v>
      </c>
      <c r="G1385" s="21" t="s">
        <v>3853</v>
      </c>
      <c r="H1385" s="94">
        <v>4749</v>
      </c>
      <c r="I1385" s="43">
        <v>4778</v>
      </c>
      <c r="J1385" s="43">
        <v>4786</v>
      </c>
      <c r="K1385" s="21">
        <v>1</v>
      </c>
      <c r="L1385" s="43">
        <v>4787</v>
      </c>
      <c r="M1385" s="43">
        <v>4800</v>
      </c>
      <c r="N1385" s="43">
        <v>4800</v>
      </c>
      <c r="O1385" s="21" t="s">
        <v>3986</v>
      </c>
      <c r="P1385" s="194">
        <v>1</v>
      </c>
      <c r="Q1385" s="21">
        <v>1</v>
      </c>
      <c r="R1385" s="39" t="str">
        <f t="shared" si="269"/>
        <v>-</v>
      </c>
      <c r="S1385" s="120">
        <f t="shared" si="259"/>
        <v>273101</v>
      </c>
      <c r="T1385" s="123">
        <v>388114</v>
      </c>
      <c r="U1385" s="123">
        <v>75806</v>
      </c>
      <c r="V1385" s="123">
        <f>T1385-U1385</f>
        <v>312308</v>
      </c>
      <c r="W1385" s="122" t="str">
        <f t="shared" ref="W1385:W1406" si="270">IF(V1385+U1385=T1385,"1","0")</f>
        <v>1</v>
      </c>
      <c r="X1385" s="123">
        <f>149+22394+366+88934+Y1385</f>
        <v>115013</v>
      </c>
      <c r="Y1385" s="123">
        <v>3170</v>
      </c>
      <c r="Z1385" s="123">
        <f t="shared" si="267"/>
        <v>111843</v>
      </c>
      <c r="AA1385" s="122" t="str">
        <f t="shared" si="257"/>
        <v>1</v>
      </c>
      <c r="AB1385" s="120">
        <f t="shared" si="258"/>
        <v>0</v>
      </c>
      <c r="AC1385" s="123">
        <v>0</v>
      </c>
      <c r="AD1385" s="123">
        <v>0</v>
      </c>
      <c r="AE1385" s="123">
        <v>203521</v>
      </c>
      <c r="AG1385" s="151">
        <f t="shared" si="268"/>
        <v>76504</v>
      </c>
      <c r="AH1385" s="134">
        <f>110149-7602-3842</f>
        <v>98705</v>
      </c>
      <c r="AL1385" s="123">
        <v>22201</v>
      </c>
      <c r="AM1385" s="123">
        <f>228258</f>
        <v>228258</v>
      </c>
      <c r="AN1385" s="123">
        <v>94556</v>
      </c>
    </row>
    <row r="1386" spans="1:40" s="123" customFormat="1" ht="16.2" thickBot="1" x14ac:dyDescent="0.35">
      <c r="A1386" s="21"/>
      <c r="B1386" s="212" t="s">
        <v>247</v>
      </c>
      <c r="C1386" s="31" t="str">
        <f>VLOOKUP((CONCATENATE(B1386)),ID!$A$2:$D$305,3,0)</f>
        <v>RL073</v>
      </c>
      <c r="D1386" s="21">
        <v>1</v>
      </c>
      <c r="E1386" s="21" t="s">
        <v>4057</v>
      </c>
      <c r="F1386" s="21" t="s">
        <v>1117</v>
      </c>
      <c r="G1386" s="21" t="s">
        <v>3853</v>
      </c>
      <c r="H1386" s="94">
        <v>5114</v>
      </c>
      <c r="I1386" s="43">
        <v>5149</v>
      </c>
      <c r="J1386" s="43">
        <v>5157</v>
      </c>
      <c r="K1386" s="21">
        <v>1</v>
      </c>
      <c r="L1386" s="43">
        <v>5158</v>
      </c>
      <c r="M1386" s="43">
        <v>5171</v>
      </c>
      <c r="N1386" s="43">
        <v>5171</v>
      </c>
      <c r="O1386" s="21" t="s">
        <v>3986</v>
      </c>
      <c r="P1386" s="194" t="str">
        <f t="shared" si="261"/>
        <v>1</v>
      </c>
      <c r="Q1386" s="21">
        <v>1</v>
      </c>
      <c r="R1386" s="39" t="str">
        <f t="shared" si="269"/>
        <v>-</v>
      </c>
      <c r="S1386" s="120">
        <f t="shared" si="259"/>
        <v>279193</v>
      </c>
      <c r="T1386" s="123">
        <v>382386</v>
      </c>
      <c r="U1386" s="123">
        <v>73229</v>
      </c>
      <c r="V1386" s="123">
        <f>T1386-U1386</f>
        <v>309157</v>
      </c>
      <c r="W1386" s="122" t="str">
        <f t="shared" si="270"/>
        <v>1</v>
      </c>
      <c r="X1386" s="123">
        <f>T1386-74065-105000-100128</f>
        <v>103193</v>
      </c>
      <c r="Y1386" s="123">
        <f>3170+35521</f>
        <v>38691</v>
      </c>
      <c r="Z1386" s="123">
        <f t="shared" si="267"/>
        <v>64502</v>
      </c>
      <c r="AA1386" s="122" t="str">
        <f t="shared" si="257"/>
        <v>1</v>
      </c>
      <c r="AB1386" s="120">
        <f t="shared" si="258"/>
        <v>0</v>
      </c>
      <c r="AC1386" s="123">
        <v>0</v>
      </c>
      <c r="AD1386" s="123">
        <v>0</v>
      </c>
      <c r="AE1386" s="123">
        <v>207186</v>
      </c>
      <c r="AG1386" s="151">
        <f t="shared" si="268"/>
        <v>139431</v>
      </c>
      <c r="AH1386" s="134">
        <f>191720-3425-3167</f>
        <v>185128</v>
      </c>
      <c r="AJ1386" s="123">
        <v>72235</v>
      </c>
      <c r="AL1386" s="123">
        <f>1294+44403</f>
        <v>45697</v>
      </c>
      <c r="AM1386" s="123">
        <v>438418</v>
      </c>
    </row>
    <row r="1387" spans="1:40" s="123" customFormat="1" ht="16.2" thickBot="1" x14ac:dyDescent="0.35">
      <c r="A1387" s="21"/>
      <c r="B1387" s="212" t="s">
        <v>249</v>
      </c>
      <c r="C1387" s="31" t="str">
        <f>VLOOKUP((CONCATENATE(B1387)),ID!$A$2:$D$305,3,0)</f>
        <v>RL074</v>
      </c>
      <c r="D1387" s="21">
        <v>0</v>
      </c>
      <c r="E1387" s="21" t="s">
        <v>4057</v>
      </c>
      <c r="F1387" s="21" t="s">
        <v>1117</v>
      </c>
      <c r="G1387" s="21" t="s">
        <v>3853</v>
      </c>
      <c r="H1387" s="94">
        <v>3653</v>
      </c>
      <c r="I1387" s="43">
        <v>3665</v>
      </c>
      <c r="J1387" s="43">
        <v>3687</v>
      </c>
      <c r="K1387" s="21">
        <v>1</v>
      </c>
      <c r="L1387" s="43">
        <v>3684</v>
      </c>
      <c r="M1387" s="43">
        <v>3699</v>
      </c>
      <c r="N1387" s="43">
        <v>3699</v>
      </c>
      <c r="O1387" s="21" t="s">
        <v>3987</v>
      </c>
      <c r="P1387" s="194">
        <v>1</v>
      </c>
      <c r="Q1387" s="21">
        <v>1</v>
      </c>
      <c r="R1387" s="39" t="str">
        <f t="shared" si="269"/>
        <v>-</v>
      </c>
      <c r="S1387" s="120">
        <f t="shared" si="259"/>
        <v>166913</v>
      </c>
      <c r="T1387" s="123">
        <v>461380</v>
      </c>
      <c r="U1387" s="123">
        <v>86382</v>
      </c>
      <c r="V1387" s="123">
        <f>T1387-U1387</f>
        <v>374998</v>
      </c>
      <c r="W1387" s="122" t="str">
        <f t="shared" si="270"/>
        <v>1</v>
      </c>
      <c r="X1387" s="123">
        <f>T1387-166913</f>
        <v>294467</v>
      </c>
      <c r="Y1387" s="123">
        <f>11332+32886+63551</f>
        <v>107769</v>
      </c>
      <c r="Z1387" s="123">
        <f t="shared" si="267"/>
        <v>186698</v>
      </c>
      <c r="AA1387" s="122" t="str">
        <f t="shared" si="257"/>
        <v>1</v>
      </c>
      <c r="AB1387" s="120">
        <f t="shared" si="258"/>
        <v>63551</v>
      </c>
      <c r="AC1387" s="123">
        <v>0</v>
      </c>
      <c r="AD1387" s="123">
        <v>63551</v>
      </c>
      <c r="AE1387" s="123">
        <v>140396</v>
      </c>
      <c r="AG1387" s="151">
        <f t="shared" si="268"/>
        <v>157526</v>
      </c>
      <c r="AH1387" s="134">
        <f>213456-9389-1613-2239</f>
        <v>200215</v>
      </c>
      <c r="AL1387" s="123">
        <v>42689</v>
      </c>
      <c r="AM1387" s="123">
        <v>490210</v>
      </c>
      <c r="AN1387" s="123">
        <v>143364</v>
      </c>
    </row>
    <row r="1388" spans="1:40" s="123" customFormat="1" ht="16.2" thickBot="1" x14ac:dyDescent="0.35">
      <c r="A1388" s="21"/>
      <c r="B1388" s="212" t="s">
        <v>249</v>
      </c>
      <c r="C1388" s="31" t="str">
        <f>VLOOKUP((CONCATENATE(B1388)),ID!$A$2:$D$305,3,0)</f>
        <v>RL074</v>
      </c>
      <c r="D1388" s="21">
        <v>0</v>
      </c>
      <c r="E1388" s="21" t="s">
        <v>4057</v>
      </c>
      <c r="F1388" s="21" t="s">
        <v>1117</v>
      </c>
      <c r="G1388" s="21" t="s">
        <v>3853</v>
      </c>
      <c r="H1388" s="94">
        <v>3834</v>
      </c>
      <c r="I1388" s="43">
        <v>3843</v>
      </c>
      <c r="J1388" s="43">
        <v>3863</v>
      </c>
      <c r="K1388" s="21">
        <v>1</v>
      </c>
      <c r="L1388" s="43">
        <v>3860</v>
      </c>
      <c r="M1388" s="43">
        <v>3874</v>
      </c>
      <c r="N1388" s="43">
        <v>3874</v>
      </c>
      <c r="O1388" s="21" t="s">
        <v>3987</v>
      </c>
      <c r="P1388" s="194">
        <v>1</v>
      </c>
      <c r="Q1388" s="21">
        <v>1</v>
      </c>
      <c r="R1388" s="39" t="str">
        <f t="shared" si="269"/>
        <v>-</v>
      </c>
      <c r="S1388" s="120">
        <f t="shared" si="259"/>
        <v>159832</v>
      </c>
      <c r="T1388" s="123">
        <v>474068</v>
      </c>
      <c r="U1388" s="123">
        <f>96170</f>
        <v>96170</v>
      </c>
      <c r="V1388" s="123">
        <f>T1388-U1388</f>
        <v>377898</v>
      </c>
      <c r="W1388" s="122" t="str">
        <f t="shared" si="270"/>
        <v>1</v>
      </c>
      <c r="X1388" s="123">
        <f>T1388-158332-1500</f>
        <v>314236</v>
      </c>
      <c r="Y1388" s="123">
        <f>53534+15245+35946</f>
        <v>104725</v>
      </c>
      <c r="Z1388" s="123">
        <f t="shared" si="267"/>
        <v>209511</v>
      </c>
      <c r="AA1388" s="122" t="str">
        <f t="shared" ref="AA1388:AA1407" si="271">IF(Z1388+Y1388=X1388,"1","0")</f>
        <v>1</v>
      </c>
      <c r="AB1388" s="120">
        <f t="shared" si="258"/>
        <v>35946</v>
      </c>
      <c r="AC1388" s="123">
        <v>0</v>
      </c>
      <c r="AD1388" s="123">
        <v>35946</v>
      </c>
      <c r="AE1388" s="123">
        <v>118409</v>
      </c>
      <c r="AG1388" s="151">
        <f t="shared" si="268"/>
        <v>147789</v>
      </c>
      <c r="AH1388" s="134">
        <f>205207-10546-1613-2361</f>
        <v>190687</v>
      </c>
      <c r="AL1388" s="123">
        <f>209+42689</f>
        <v>42898</v>
      </c>
      <c r="AM1388" s="123">
        <v>505731</v>
      </c>
      <c r="AN1388" s="123">
        <v>130506</v>
      </c>
    </row>
    <row r="1389" spans="1:40" s="123" customFormat="1" ht="16.2" thickBot="1" x14ac:dyDescent="0.35">
      <c r="A1389" s="21">
        <v>236.1</v>
      </c>
      <c r="B1389" s="212" t="s">
        <v>249</v>
      </c>
      <c r="C1389" s="31" t="str">
        <f>VLOOKUP((CONCATENATE(B1389)),ID!$A$2:$D$305,3,0)</f>
        <v>RL074</v>
      </c>
      <c r="D1389" s="21">
        <v>0</v>
      </c>
      <c r="E1389" s="21" t="s">
        <v>4057</v>
      </c>
      <c r="F1389" s="21" t="s">
        <v>1117</v>
      </c>
      <c r="G1389" s="21" t="s">
        <v>3853</v>
      </c>
      <c r="H1389" s="94">
        <v>4018</v>
      </c>
      <c r="I1389" s="43">
        <v>4027</v>
      </c>
      <c r="J1389" s="43">
        <v>4049</v>
      </c>
      <c r="K1389" s="21">
        <v>1</v>
      </c>
      <c r="L1389" s="43">
        <v>4049</v>
      </c>
      <c r="M1389" s="43">
        <v>4063</v>
      </c>
      <c r="N1389" s="43">
        <v>4063</v>
      </c>
      <c r="O1389" s="21" t="s">
        <v>3987</v>
      </c>
      <c r="P1389" s="194">
        <v>1</v>
      </c>
      <c r="Q1389" s="21">
        <v>1</v>
      </c>
      <c r="R1389" s="39" t="str">
        <f t="shared" si="269"/>
        <v>-</v>
      </c>
      <c r="S1389" s="120">
        <f t="shared" si="259"/>
        <v>180538</v>
      </c>
      <c r="T1389" s="123">
        <v>489893</v>
      </c>
      <c r="U1389" s="123">
        <v>105305</v>
      </c>
      <c r="V1389" s="123">
        <f t="shared" si="260"/>
        <v>384588</v>
      </c>
      <c r="W1389" s="122" t="str">
        <f t="shared" si="270"/>
        <v>1</v>
      </c>
      <c r="X1389" s="123">
        <f>3103+40252+51334+Y1389+114753</f>
        <v>309355</v>
      </c>
      <c r="Y1389" s="123">
        <f>44265+18432+37216</f>
        <v>99913</v>
      </c>
      <c r="Z1389" s="123">
        <f t="shared" si="267"/>
        <v>209442</v>
      </c>
      <c r="AA1389" s="122" t="str">
        <f t="shared" si="271"/>
        <v>1</v>
      </c>
      <c r="AB1389" s="120">
        <f t="shared" si="258"/>
        <v>44265</v>
      </c>
      <c r="AC1389" s="123">
        <v>0</v>
      </c>
      <c r="AD1389" s="123">
        <v>44265</v>
      </c>
      <c r="AE1389" s="123">
        <f>114688</f>
        <v>114688</v>
      </c>
      <c r="AG1389" s="151">
        <f t="shared" si="268"/>
        <v>167237</v>
      </c>
      <c r="AH1389" s="123">
        <f>222491-10952-1613</f>
        <v>209926</v>
      </c>
      <c r="AL1389" s="123">
        <v>42689</v>
      </c>
      <c r="AM1389" s="123">
        <v>526493</v>
      </c>
      <c r="AN1389" s="123">
        <v>150148</v>
      </c>
    </row>
    <row r="1390" spans="1:40" s="123" customFormat="1" ht="16.2" thickBot="1" x14ac:dyDescent="0.35">
      <c r="A1390" s="21">
        <v>236.2</v>
      </c>
      <c r="B1390" s="212" t="s">
        <v>249</v>
      </c>
      <c r="C1390" s="31" t="str">
        <f>VLOOKUP((CONCATENATE(B1390)),ID!$A$2:$D$305,3,0)</f>
        <v>RL074</v>
      </c>
      <c r="D1390" s="21">
        <v>0</v>
      </c>
      <c r="E1390" s="21" t="s">
        <v>4057</v>
      </c>
      <c r="F1390" s="21" t="s">
        <v>1117</v>
      </c>
      <c r="G1390" s="21" t="s">
        <v>3853</v>
      </c>
      <c r="H1390" s="94">
        <v>4199</v>
      </c>
      <c r="I1390" s="43">
        <v>4207</v>
      </c>
      <c r="J1390" s="43">
        <v>4227</v>
      </c>
      <c r="K1390" s="21">
        <v>1</v>
      </c>
      <c r="L1390" s="43">
        <v>4224</v>
      </c>
      <c r="M1390" s="43">
        <v>4238</v>
      </c>
      <c r="N1390" s="43">
        <v>4238</v>
      </c>
      <c r="O1390" s="21" t="s">
        <v>3987</v>
      </c>
      <c r="P1390" s="194">
        <v>1</v>
      </c>
      <c r="Q1390" s="21">
        <v>1</v>
      </c>
      <c r="R1390" s="39" t="str">
        <f t="shared" si="269"/>
        <v>-</v>
      </c>
      <c r="S1390" s="120">
        <f t="shared" si="259"/>
        <v>173909</v>
      </c>
      <c r="T1390" s="123">
        <v>488695</v>
      </c>
      <c r="U1390" s="123">
        <v>109559</v>
      </c>
      <c r="V1390" s="123">
        <f t="shared" si="260"/>
        <v>379136</v>
      </c>
      <c r="W1390" s="122" t="str">
        <f t="shared" si="270"/>
        <v>1</v>
      </c>
      <c r="X1390" s="123">
        <f>3382+40252+52908+Y1390+113793</f>
        <v>314786</v>
      </c>
      <c r="Y1390" s="123">
        <f>44117+22759+37575</f>
        <v>104451</v>
      </c>
      <c r="Z1390" s="123">
        <f t="shared" si="267"/>
        <v>210335</v>
      </c>
      <c r="AA1390" s="122" t="str">
        <f t="shared" si="271"/>
        <v>1</v>
      </c>
      <c r="AB1390" s="120">
        <f t="shared" si="258"/>
        <v>44117</v>
      </c>
      <c r="AC1390" s="123">
        <v>0</v>
      </c>
      <c r="AD1390" s="123">
        <v>44117</v>
      </c>
      <c r="AE1390" s="123">
        <v>123357</v>
      </c>
      <c r="AG1390" s="151">
        <f t="shared" si="268"/>
        <v>156725</v>
      </c>
      <c r="AH1390" s="123">
        <f>214314-10682-1613-2198</f>
        <v>199821</v>
      </c>
      <c r="AL1390" s="123">
        <f>407+42689</f>
        <v>43096</v>
      </c>
      <c r="AM1390" s="123">
        <v>521475</v>
      </c>
      <c r="AN1390" s="123">
        <v>133834</v>
      </c>
    </row>
    <row r="1391" spans="1:40" s="123" customFormat="1" ht="16.2" thickBot="1" x14ac:dyDescent="0.35">
      <c r="A1391" s="21">
        <v>236.3</v>
      </c>
      <c r="B1391" s="212" t="s">
        <v>249</v>
      </c>
      <c r="C1391" s="31" t="str">
        <f>VLOOKUP((CONCATENATE(B1391)),ID!$A$2:$D$305,3,0)</f>
        <v>RL074</v>
      </c>
      <c r="D1391" s="21">
        <v>0</v>
      </c>
      <c r="E1391" s="21" t="s">
        <v>4057</v>
      </c>
      <c r="F1391" s="21" t="s">
        <v>1117</v>
      </c>
      <c r="G1391" s="21" t="s">
        <v>3853</v>
      </c>
      <c r="H1391" s="94">
        <v>4383</v>
      </c>
      <c r="I1391" s="43">
        <v>4392</v>
      </c>
      <c r="J1391" s="43">
        <v>4413</v>
      </c>
      <c r="K1391" s="21">
        <v>1</v>
      </c>
      <c r="L1391" s="43">
        <v>4412</v>
      </c>
      <c r="M1391" s="43">
        <v>4427</v>
      </c>
      <c r="N1391" s="43">
        <v>4427</v>
      </c>
      <c r="O1391" s="21" t="s">
        <v>3987</v>
      </c>
      <c r="P1391" s="194">
        <v>1</v>
      </c>
      <c r="Q1391" s="21">
        <v>1</v>
      </c>
      <c r="R1391" s="39" t="str">
        <f t="shared" si="269"/>
        <v>-</v>
      </c>
      <c r="S1391" s="120">
        <f t="shared" si="259"/>
        <v>184344</v>
      </c>
      <c r="T1391" s="123">
        <v>516233</v>
      </c>
      <c r="U1391" s="123">
        <v>112374</v>
      </c>
      <c r="V1391" s="123">
        <f t="shared" si="260"/>
        <v>403859</v>
      </c>
      <c r="W1391" s="122" t="str">
        <f t="shared" si="270"/>
        <v>1</v>
      </c>
      <c r="X1391" s="123">
        <f>119741+Y1391+51496+40252+3484</f>
        <v>331889</v>
      </c>
      <c r="Y1391" s="123">
        <f>51695+26696+38525</f>
        <v>116916</v>
      </c>
      <c r="Z1391" s="123">
        <f t="shared" si="267"/>
        <v>214973</v>
      </c>
      <c r="AA1391" s="122" t="str">
        <f t="shared" si="271"/>
        <v>1</v>
      </c>
      <c r="AB1391" s="120">
        <f t="shared" si="258"/>
        <v>51695</v>
      </c>
      <c r="AC1391" s="123">
        <v>0</v>
      </c>
      <c r="AD1391" s="123">
        <v>51695</v>
      </c>
      <c r="AE1391" s="123">
        <v>129369</v>
      </c>
      <c r="AG1391" s="151">
        <f t="shared" si="268"/>
        <v>164908</v>
      </c>
      <c r="AH1391" s="123">
        <f>209649-1613-2295+1949</f>
        <v>207690</v>
      </c>
      <c r="AL1391" s="123">
        <f>93+42689</f>
        <v>42782</v>
      </c>
      <c r="AM1391" s="123">
        <v>531709</v>
      </c>
      <c r="AN1391" s="123">
        <v>149964</v>
      </c>
    </row>
    <row r="1392" spans="1:40" s="123" customFormat="1" ht="16.2" thickBot="1" x14ac:dyDescent="0.35">
      <c r="A1392" s="21">
        <v>236.4</v>
      </c>
      <c r="B1392" s="212" t="s">
        <v>249</v>
      </c>
      <c r="C1392" s="31" t="str">
        <f>VLOOKUP((CONCATENATE(B1392)),ID!$A$2:$D$305,3,0)</f>
        <v>RL074</v>
      </c>
      <c r="D1392" s="21">
        <v>0</v>
      </c>
      <c r="E1392" s="21" t="s">
        <v>4057</v>
      </c>
      <c r="F1392" s="21" t="s">
        <v>1117</v>
      </c>
      <c r="G1392" s="21" t="s">
        <v>3853</v>
      </c>
      <c r="H1392" s="94">
        <v>4565</v>
      </c>
      <c r="I1392" s="43">
        <v>4573</v>
      </c>
      <c r="J1392" s="43">
        <v>4409</v>
      </c>
      <c r="K1392" s="21">
        <v>1</v>
      </c>
      <c r="L1392" s="43">
        <v>4588</v>
      </c>
      <c r="M1392" s="43">
        <v>4602</v>
      </c>
      <c r="N1392" s="43">
        <v>4602</v>
      </c>
      <c r="O1392" s="21" t="s">
        <v>3987</v>
      </c>
      <c r="P1392" s="194">
        <v>1</v>
      </c>
      <c r="Q1392" s="21">
        <v>1</v>
      </c>
      <c r="R1392" s="39" t="str">
        <f t="shared" si="269"/>
        <v>-</v>
      </c>
      <c r="S1392" s="120">
        <f t="shared" si="259"/>
        <v>216076</v>
      </c>
      <c r="T1392" s="123">
        <v>545535</v>
      </c>
      <c r="U1392" s="123">
        <v>0</v>
      </c>
      <c r="V1392" s="123">
        <f t="shared" si="260"/>
        <v>545535</v>
      </c>
      <c r="W1392" s="122" t="str">
        <f t="shared" si="270"/>
        <v>1</v>
      </c>
      <c r="X1392" s="123">
        <f>109790+Y1392+53779+40252+3734</f>
        <v>329459</v>
      </c>
      <c r="Y1392" s="123">
        <f>AD1392+30427+38853</f>
        <v>121904</v>
      </c>
      <c r="Z1392" s="123">
        <f t="shared" si="267"/>
        <v>207555</v>
      </c>
      <c r="AA1392" s="122" t="str">
        <f t="shared" si="271"/>
        <v>1</v>
      </c>
      <c r="AB1392" s="120">
        <f t="shared" si="258"/>
        <v>52624</v>
      </c>
      <c r="AC1392" s="123">
        <v>0</v>
      </c>
      <c r="AD1392" s="123">
        <v>52624</v>
      </c>
      <c r="AE1392" s="134">
        <f>120946</f>
        <v>120946</v>
      </c>
      <c r="AG1392" s="151">
        <f t="shared" si="268"/>
        <v>143907</v>
      </c>
      <c r="AH1392" s="123">
        <f>201046-10590-1613-2247</f>
        <v>186596</v>
      </c>
      <c r="AL1392" s="123">
        <v>42689</v>
      </c>
      <c r="AM1392" s="123">
        <v>496524</v>
      </c>
      <c r="AN1392" s="123">
        <v>122030</v>
      </c>
    </row>
    <row r="1393" spans="1:41" s="123" customFormat="1" ht="16.2" thickBot="1" x14ac:dyDescent="0.35">
      <c r="A1393" s="21"/>
      <c r="B1393" s="212" t="s">
        <v>249</v>
      </c>
      <c r="C1393" s="31" t="str">
        <f>VLOOKUP((CONCATENATE(B1393)),ID!$A$2:$D$305,3,0)</f>
        <v>RL074</v>
      </c>
      <c r="D1393" s="21">
        <v>0</v>
      </c>
      <c r="E1393" s="21" t="s">
        <v>4057</v>
      </c>
      <c r="F1393" s="21" t="s">
        <v>1117</v>
      </c>
      <c r="G1393" s="21" t="s">
        <v>3853</v>
      </c>
      <c r="H1393" s="94">
        <v>4749</v>
      </c>
      <c r="I1393" s="43">
        <v>4756</v>
      </c>
      <c r="J1393" s="43">
        <v>4777</v>
      </c>
      <c r="K1393" s="21">
        <v>1</v>
      </c>
      <c r="L1393" s="43">
        <v>4777</v>
      </c>
      <c r="M1393" s="43">
        <v>4791</v>
      </c>
      <c r="N1393" s="43">
        <v>4791</v>
      </c>
      <c r="O1393" s="21" t="s">
        <v>3987</v>
      </c>
      <c r="P1393" s="194">
        <v>1</v>
      </c>
      <c r="Q1393" s="21">
        <v>1</v>
      </c>
      <c r="R1393" s="39" t="str">
        <f t="shared" si="269"/>
        <v>-</v>
      </c>
      <c r="S1393" s="120">
        <f t="shared" si="259"/>
        <v>245658</v>
      </c>
      <c r="T1393" s="123">
        <v>572755</v>
      </c>
      <c r="U1393" s="123">
        <v>0</v>
      </c>
      <c r="V1393" s="123">
        <f>T1393-U1393</f>
        <v>572755</v>
      </c>
      <c r="W1393" s="122" t="str">
        <f t="shared" si="270"/>
        <v>1</v>
      </c>
      <c r="X1393" s="123">
        <f>T1393-13000-11397-42001-179260</f>
        <v>327097</v>
      </c>
      <c r="Y1393" s="123">
        <f>47836+35327+39784</f>
        <v>122947</v>
      </c>
      <c r="Z1393" s="123">
        <f>X1393-Y1393</f>
        <v>204150</v>
      </c>
      <c r="AA1393" s="122" t="str">
        <f t="shared" si="271"/>
        <v>1</v>
      </c>
      <c r="AB1393" s="120">
        <f t="shared" si="258"/>
        <v>47836</v>
      </c>
      <c r="AC1393" s="123">
        <v>0</v>
      </c>
      <c r="AD1393" s="123">
        <v>47836</v>
      </c>
      <c r="AE1393" s="123">
        <f>136943</f>
        <v>136943</v>
      </c>
      <c r="AG1393" s="151">
        <f t="shared" si="268"/>
        <v>171178</v>
      </c>
      <c r="AH1393" s="123">
        <f>213211+2645+2085-1613-2461</f>
        <v>213867</v>
      </c>
      <c r="AL1393" s="123">
        <f>42689</f>
        <v>42689</v>
      </c>
      <c r="AM1393" s="123">
        <v>567185</v>
      </c>
      <c r="AN1393" s="123">
        <v>152595</v>
      </c>
    </row>
    <row r="1394" spans="1:41" s="123" customFormat="1" ht="16.2" thickBot="1" x14ac:dyDescent="0.35">
      <c r="A1394" s="21"/>
      <c r="B1394" s="212" t="s">
        <v>249</v>
      </c>
      <c r="C1394" s="31" t="str">
        <f>VLOOKUP((CONCATENATE(B1394)),ID!$A$2:$D$305,3,0)</f>
        <v>RL074</v>
      </c>
      <c r="D1394" s="21">
        <v>1</v>
      </c>
      <c r="E1394" s="21" t="s">
        <v>4057</v>
      </c>
      <c r="F1394" s="21" t="s">
        <v>1117</v>
      </c>
      <c r="G1394" s="21" t="s">
        <v>3853</v>
      </c>
      <c r="H1394" s="94">
        <v>5114</v>
      </c>
      <c r="I1394" s="43">
        <v>5135</v>
      </c>
      <c r="J1394" s="43">
        <v>5155</v>
      </c>
      <c r="K1394" s="21">
        <v>1</v>
      </c>
      <c r="L1394" s="43">
        <v>5150</v>
      </c>
      <c r="M1394" s="43">
        <v>5165</v>
      </c>
      <c r="N1394" s="43">
        <v>5165</v>
      </c>
      <c r="O1394" s="21" t="s">
        <v>3987</v>
      </c>
      <c r="P1394" s="194" t="str">
        <f t="shared" si="261"/>
        <v>1</v>
      </c>
      <c r="Q1394" s="21">
        <v>1</v>
      </c>
      <c r="R1394" s="39" t="str">
        <f t="shared" si="269"/>
        <v>-</v>
      </c>
      <c r="S1394" s="120">
        <f t="shared" si="259"/>
        <v>294708</v>
      </c>
      <c r="T1394" s="123">
        <v>570079</v>
      </c>
      <c r="U1394" s="123">
        <v>701</v>
      </c>
      <c r="V1394" s="123">
        <f>T1394-U1394</f>
        <v>569378</v>
      </c>
      <c r="W1394" s="122" t="str">
        <f t="shared" si="270"/>
        <v>1</v>
      </c>
      <c r="X1394" s="123">
        <f>T1394-205693-21255-18478-20000-29282</f>
        <v>275371</v>
      </c>
      <c r="Y1394" s="123">
        <f>58910+11750+9077+42262</f>
        <v>121999</v>
      </c>
      <c r="Z1394" s="123">
        <f>X1394-Y1394</f>
        <v>153372</v>
      </c>
      <c r="AA1394" s="122" t="str">
        <f t="shared" si="271"/>
        <v>1</v>
      </c>
      <c r="AB1394" s="120">
        <f t="shared" si="258"/>
        <v>58910</v>
      </c>
      <c r="AC1394" s="123">
        <v>0</v>
      </c>
      <c r="AD1394" s="123">
        <v>58910</v>
      </c>
      <c r="AE1394" s="134">
        <v>261377</v>
      </c>
      <c r="AG1394" s="151">
        <f t="shared" si="268"/>
        <v>346217</v>
      </c>
      <c r="AH1394" s="123">
        <f>441287-95070+AL1394</f>
        <v>431596</v>
      </c>
      <c r="AJ1394" s="123">
        <v>150905</v>
      </c>
      <c r="AL1394" s="123">
        <v>85379</v>
      </c>
      <c r="AM1394" s="123">
        <v>1145750</v>
      </c>
    </row>
    <row r="1395" spans="1:41" s="123" customFormat="1" ht="16.2" thickBot="1" x14ac:dyDescent="0.35">
      <c r="A1395" s="21"/>
      <c r="B1395" s="212" t="s">
        <v>3993</v>
      </c>
      <c r="C1395" s="31" t="str">
        <f>VLOOKUP((CONCATENATE(B1395)),ID!$A$2:$D$305,3,0)</f>
        <v>IC023</v>
      </c>
      <c r="D1395" s="21">
        <v>1</v>
      </c>
      <c r="E1395" s="21" t="s">
        <v>3876</v>
      </c>
      <c r="F1395" s="21" t="s">
        <v>3881</v>
      </c>
      <c r="G1395" s="21" t="s">
        <v>3853</v>
      </c>
      <c r="H1395" s="88">
        <v>3926</v>
      </c>
      <c r="I1395" s="43">
        <v>3978</v>
      </c>
      <c r="J1395" s="43">
        <v>3973</v>
      </c>
      <c r="K1395" s="21">
        <v>1</v>
      </c>
      <c r="L1395" s="43">
        <v>3979</v>
      </c>
      <c r="M1395" s="43">
        <v>3993</v>
      </c>
      <c r="N1395" s="43">
        <v>3993</v>
      </c>
      <c r="O1395" s="21" t="s">
        <v>3859</v>
      </c>
      <c r="P1395" s="194" t="str">
        <f t="shared" si="261"/>
        <v>1</v>
      </c>
      <c r="Q1395" s="21">
        <v>1</v>
      </c>
      <c r="R1395" s="39" t="str">
        <f t="shared" si="269"/>
        <v>-</v>
      </c>
      <c r="S1395" s="120">
        <f>T1395-X1395</f>
        <v>1380920</v>
      </c>
      <c r="T1395" s="123">
        <v>2319343</v>
      </c>
      <c r="U1395" s="123">
        <f>T1395-13091-440576</f>
        <v>1865676</v>
      </c>
      <c r="V1395" s="123">
        <f>T1395-U1395</f>
        <v>453667</v>
      </c>
      <c r="W1395" s="122" t="str">
        <f t="shared" si="270"/>
        <v>1</v>
      </c>
      <c r="X1395" s="123">
        <f>Y1395+4000+3300+435+270688+40000</f>
        <v>938423</v>
      </c>
      <c r="Y1395" s="123">
        <v>620000</v>
      </c>
      <c r="Z1395" s="123">
        <f>X1395-Y1395</f>
        <v>318423</v>
      </c>
      <c r="AA1395" s="122" t="str">
        <f t="shared" si="271"/>
        <v>1</v>
      </c>
      <c r="AB1395" s="120">
        <f>SUM(AC1395+AD1395)</f>
        <v>627735</v>
      </c>
      <c r="AC1395" s="123">
        <v>0</v>
      </c>
      <c r="AD1395" s="123">
        <v>627735</v>
      </c>
      <c r="AE1395" s="123">
        <v>9809</v>
      </c>
      <c r="AG1395" s="151">
        <f>AH1395-AL1395-AI1395</f>
        <v>91818</v>
      </c>
      <c r="AH1395" s="123">
        <v>121468</v>
      </c>
      <c r="AJ1395" s="123">
        <v>25191</v>
      </c>
      <c r="AL1395" s="123">
        <v>29650</v>
      </c>
      <c r="AO1395" s="123">
        <v>1259594</v>
      </c>
    </row>
    <row r="1396" spans="1:41" s="123" customFormat="1" ht="16.2" thickBot="1" x14ac:dyDescent="0.35">
      <c r="A1396" s="21">
        <v>237.1</v>
      </c>
      <c r="B1396" s="212" t="s">
        <v>3993</v>
      </c>
      <c r="C1396" s="31" t="str">
        <f>VLOOKUP((CONCATENATE(B1396)),ID!$A$2:$D$305,3,0)</f>
        <v>IC023</v>
      </c>
      <c r="D1396" s="21">
        <v>1</v>
      </c>
      <c r="E1396" s="21" t="s">
        <v>3876</v>
      </c>
      <c r="F1396" s="21" t="s">
        <v>3881</v>
      </c>
      <c r="G1396" s="21" t="s">
        <v>3853</v>
      </c>
      <c r="H1396" s="88">
        <v>4291</v>
      </c>
      <c r="I1396" s="43">
        <v>4337</v>
      </c>
      <c r="J1396" s="43">
        <v>4337</v>
      </c>
      <c r="K1396" s="21">
        <v>1</v>
      </c>
      <c r="L1396" s="43">
        <v>4337</v>
      </c>
      <c r="M1396" s="43">
        <v>4357</v>
      </c>
      <c r="N1396" s="43">
        <v>4357</v>
      </c>
      <c r="O1396" s="21" t="s">
        <v>3859</v>
      </c>
      <c r="P1396" s="194" t="str">
        <f t="shared" si="261"/>
        <v>1</v>
      </c>
      <c r="Q1396" s="21">
        <v>1</v>
      </c>
      <c r="R1396" s="39" t="str">
        <f t="shared" si="269"/>
        <v>-</v>
      </c>
      <c r="S1396" s="120">
        <f t="shared" si="259"/>
        <v>1424249</v>
      </c>
      <c r="T1396" s="123">
        <v>2367079</v>
      </c>
      <c r="U1396" s="123">
        <f>T1396-29339-245716-482932</f>
        <v>1609092</v>
      </c>
      <c r="V1396" s="123">
        <f t="shared" si="260"/>
        <v>757987</v>
      </c>
      <c r="W1396" s="122" t="str">
        <f t="shared" si="270"/>
        <v>1</v>
      </c>
      <c r="X1396" s="123">
        <f>Y1396+4000+3150+263180+22500+40000</f>
        <v>942830</v>
      </c>
      <c r="Y1396" s="123">
        <v>610000</v>
      </c>
      <c r="Z1396" s="123">
        <f t="shared" si="267"/>
        <v>332830</v>
      </c>
      <c r="AA1396" s="122" t="str">
        <f t="shared" si="271"/>
        <v>1</v>
      </c>
      <c r="AB1396" s="120">
        <f t="shared" si="258"/>
        <v>617150</v>
      </c>
      <c r="AC1396" s="123">
        <v>0</v>
      </c>
      <c r="AD1396" s="123">
        <f>213150+404000</f>
        <v>617150</v>
      </c>
      <c r="AE1396" s="123">
        <v>19913</v>
      </c>
      <c r="AG1396" s="151">
        <f t="shared" si="268"/>
        <v>145607</v>
      </c>
      <c r="AH1396" s="123">
        <f>181206-6549</f>
        <v>174657</v>
      </c>
      <c r="AJ1396" s="123">
        <v>31489</v>
      </c>
      <c r="AL1396" s="123">
        <v>29050</v>
      </c>
      <c r="AO1396" s="123">
        <v>1250594</v>
      </c>
    </row>
    <row r="1397" spans="1:41" s="123" customFormat="1" ht="16.2" thickBot="1" x14ac:dyDescent="0.35">
      <c r="A1397" s="21">
        <v>237.2</v>
      </c>
      <c r="B1397" s="212" t="s">
        <v>3993</v>
      </c>
      <c r="C1397" s="31" t="str">
        <f>VLOOKUP((CONCATENATE(B1397)),ID!$A$2:$D$305,3,0)</f>
        <v>IC023</v>
      </c>
      <c r="D1397" s="21">
        <v>1</v>
      </c>
      <c r="E1397" s="21" t="s">
        <v>3876</v>
      </c>
      <c r="F1397" s="21" t="s">
        <v>3881</v>
      </c>
      <c r="G1397" s="21" t="s">
        <v>3853</v>
      </c>
      <c r="H1397" s="88">
        <v>4657</v>
      </c>
      <c r="I1397" s="43">
        <v>4703</v>
      </c>
      <c r="J1397" s="43">
        <v>41226</v>
      </c>
      <c r="K1397" s="21">
        <v>1</v>
      </c>
      <c r="L1397" s="43">
        <v>4707</v>
      </c>
      <c r="M1397" s="43">
        <v>4728</v>
      </c>
      <c r="N1397" s="43">
        <v>4728</v>
      </c>
      <c r="O1397" s="21" t="s">
        <v>3859</v>
      </c>
      <c r="P1397" s="194" t="str">
        <f t="shared" si="261"/>
        <v>1</v>
      </c>
      <c r="Q1397" s="21">
        <v>1</v>
      </c>
      <c r="R1397" s="39" t="str">
        <f t="shared" si="269"/>
        <v>-</v>
      </c>
      <c r="S1397" s="120">
        <f t="shared" si="259"/>
        <v>1472691</v>
      </c>
      <c r="T1397" s="123">
        <v>2466587</v>
      </c>
      <c r="U1397" s="123">
        <f>T1397-56235-294065-461917</f>
        <v>1654370</v>
      </c>
      <c r="V1397" s="123">
        <f t="shared" si="260"/>
        <v>812217</v>
      </c>
      <c r="W1397" s="122" t="str">
        <f t="shared" si="270"/>
        <v>1</v>
      </c>
      <c r="X1397" s="123">
        <f>607000+326896+60000</f>
        <v>993896</v>
      </c>
      <c r="Y1397" s="123">
        <v>600000</v>
      </c>
      <c r="Z1397" s="123">
        <f t="shared" si="267"/>
        <v>393896</v>
      </c>
      <c r="AA1397" s="122" t="str">
        <f t="shared" si="271"/>
        <v>1</v>
      </c>
      <c r="AB1397" s="120">
        <f t="shared" si="258"/>
        <v>607000</v>
      </c>
      <c r="AC1397" s="123">
        <v>0</v>
      </c>
      <c r="AD1397" s="123">
        <v>607000</v>
      </c>
      <c r="AE1397" s="123">
        <v>47403</v>
      </c>
      <c r="AG1397" s="151">
        <f t="shared" si="268"/>
        <v>177018</v>
      </c>
      <c r="AH1397" s="123">
        <f>233016-27848</f>
        <v>205168</v>
      </c>
      <c r="AJ1397" s="123">
        <v>31489</v>
      </c>
      <c r="AL1397" s="123">
        <v>28150</v>
      </c>
      <c r="AO1397" s="123">
        <v>1250594</v>
      </c>
    </row>
    <row r="1398" spans="1:41" s="123" customFormat="1" ht="16.2" thickBot="1" x14ac:dyDescent="0.35">
      <c r="A1398" s="21"/>
      <c r="B1398" s="212" t="s">
        <v>3993</v>
      </c>
      <c r="C1398" s="31" t="str">
        <f>VLOOKUP((CONCATENATE(B1398)),ID!$A$2:$D$305,3,0)</f>
        <v>IC023</v>
      </c>
      <c r="D1398" s="21">
        <v>1</v>
      </c>
      <c r="E1398" s="21" t="s">
        <v>3876</v>
      </c>
      <c r="F1398" s="21" t="s">
        <v>3881</v>
      </c>
      <c r="G1398" s="21" t="s">
        <v>3853</v>
      </c>
      <c r="H1398" s="88">
        <v>5022</v>
      </c>
      <c r="I1398" s="43">
        <v>5071</v>
      </c>
      <c r="J1398" s="43">
        <v>5070</v>
      </c>
      <c r="K1398" s="21">
        <v>1</v>
      </c>
      <c r="L1398" s="43">
        <v>5072</v>
      </c>
      <c r="M1398" s="43">
        <v>5093</v>
      </c>
      <c r="N1398" s="43">
        <v>5093</v>
      </c>
      <c r="O1398" s="21" t="s">
        <v>3859</v>
      </c>
      <c r="P1398" s="194" t="str">
        <f t="shared" si="261"/>
        <v>1</v>
      </c>
      <c r="Q1398" s="21">
        <v>1</v>
      </c>
      <c r="R1398" s="39" t="str">
        <f t="shared" si="269"/>
        <v>-</v>
      </c>
      <c r="S1398" s="120">
        <f t="shared" si="259"/>
        <v>1535894</v>
      </c>
      <c r="T1398" s="123">
        <v>2612374</v>
      </c>
      <c r="U1398" s="123">
        <f>T1398-56667-313129-542480</f>
        <v>1700098</v>
      </c>
      <c r="V1398" s="123">
        <f>T1398-U1398</f>
        <v>912276</v>
      </c>
      <c r="W1398" s="122" t="str">
        <f t="shared" si="270"/>
        <v>1</v>
      </c>
      <c r="X1398" s="123">
        <f>588730+100000+387750</f>
        <v>1076480</v>
      </c>
      <c r="Y1398" s="123">
        <v>582000</v>
      </c>
      <c r="Z1398" s="123">
        <f t="shared" si="267"/>
        <v>494480</v>
      </c>
      <c r="AA1398" s="122" t="str">
        <f t="shared" si="271"/>
        <v>1</v>
      </c>
      <c r="AB1398" s="120">
        <f t="shared" si="258"/>
        <v>588730</v>
      </c>
      <c r="AC1398" s="123">
        <v>0</v>
      </c>
      <c r="AD1398" s="123">
        <v>588730</v>
      </c>
      <c r="AE1398" s="123">
        <v>53572</v>
      </c>
      <c r="AG1398" s="151">
        <f t="shared" si="268"/>
        <v>230672</v>
      </c>
      <c r="AH1398" s="123">
        <f>257862</f>
        <v>257862</v>
      </c>
      <c r="AJ1398" s="123">
        <v>31489</v>
      </c>
      <c r="AL1398" s="123">
        <v>27190</v>
      </c>
      <c r="AO1398" s="123">
        <v>1250594</v>
      </c>
    </row>
    <row r="1399" spans="1:41" s="123" customFormat="1" ht="16.2" thickBot="1" x14ac:dyDescent="0.35">
      <c r="A1399" s="21"/>
      <c r="B1399" s="212" t="s">
        <v>3993</v>
      </c>
      <c r="C1399" s="31" t="str">
        <f>VLOOKUP((CONCATENATE(B1399)),ID!$A$2:$D$305,3,0)</f>
        <v>IC023</v>
      </c>
      <c r="D1399" s="21">
        <v>1</v>
      </c>
      <c r="E1399" s="21" t="s">
        <v>3876</v>
      </c>
      <c r="F1399" s="21" t="s">
        <v>3881</v>
      </c>
      <c r="G1399" s="21" t="s">
        <v>3853</v>
      </c>
      <c r="H1399" s="88">
        <v>5387</v>
      </c>
      <c r="I1399" s="43">
        <v>5435</v>
      </c>
      <c r="J1399" s="43">
        <v>5430</v>
      </c>
      <c r="K1399" s="21">
        <v>1</v>
      </c>
      <c r="L1399" s="43">
        <v>5436</v>
      </c>
      <c r="M1399" s="43">
        <v>5456</v>
      </c>
      <c r="N1399" s="43">
        <v>5456</v>
      </c>
      <c r="O1399" s="21" t="s">
        <v>3859</v>
      </c>
      <c r="P1399" s="194">
        <v>1</v>
      </c>
      <c r="Q1399" s="21">
        <v>1</v>
      </c>
      <c r="R1399" s="39" t="str">
        <f t="shared" si="269"/>
        <v>-</v>
      </c>
      <c r="S1399" s="120">
        <f>T1399-X1399</f>
        <v>1629007</v>
      </c>
      <c r="T1399" s="123">
        <v>2812342</v>
      </c>
      <c r="U1399" s="123">
        <f>T1399-104765-574364</f>
        <v>2133213</v>
      </c>
      <c r="V1399" s="123">
        <f>T1399-U1399</f>
        <v>679129</v>
      </c>
      <c r="W1399" s="122" t="str">
        <f t="shared" si="270"/>
        <v>1</v>
      </c>
      <c r="X1399" s="123">
        <f>Y1399+214477-9000</f>
        <v>1183335</v>
      </c>
      <c r="Y1399" s="123">
        <v>977858</v>
      </c>
      <c r="Z1399" s="123">
        <f>X1399-Y1399</f>
        <v>205477</v>
      </c>
      <c r="AA1399" s="122" t="str">
        <f t="shared" si="271"/>
        <v>1</v>
      </c>
      <c r="AB1399" s="120">
        <f>SUM(AC1399+AD1399)</f>
        <v>977858</v>
      </c>
      <c r="AC1399" s="123">
        <v>0</v>
      </c>
      <c r="AD1399" s="123">
        <f>400000+500000+68858+9000</f>
        <v>977858</v>
      </c>
      <c r="AE1399" s="123">
        <v>79236</v>
      </c>
      <c r="AG1399" s="151">
        <f>AH1399-AL1399-AI1399</f>
        <v>152928</v>
      </c>
      <c r="AH1399" s="123">
        <f>237578-52357</f>
        <v>185221</v>
      </c>
      <c r="AJ1399" s="123">
        <v>31489</v>
      </c>
      <c r="AK1399" s="123">
        <v>60000</v>
      </c>
      <c r="AL1399" s="123">
        <v>32293</v>
      </c>
      <c r="AO1399" s="123">
        <v>1259594</v>
      </c>
    </row>
    <row r="1400" spans="1:41" s="123" customFormat="1" ht="16.2" thickBot="1" x14ac:dyDescent="0.35">
      <c r="A1400" s="21"/>
      <c r="B1400" s="212" t="s">
        <v>332</v>
      </c>
      <c r="C1400" s="31" t="str">
        <f>VLOOKUP((CONCATENATE(B1400)),ID!$A$2:$D$305,3,0)</f>
        <v>IC024</v>
      </c>
      <c r="D1400" s="21">
        <v>1</v>
      </c>
      <c r="E1400" s="21" t="s">
        <v>3876</v>
      </c>
      <c r="F1400" s="21" t="s">
        <v>1117</v>
      </c>
      <c r="G1400" s="21" t="s">
        <v>3853</v>
      </c>
      <c r="H1400" s="88">
        <v>3743</v>
      </c>
      <c r="I1400" s="43">
        <v>3808</v>
      </c>
      <c r="J1400" s="43">
        <v>3806</v>
      </c>
      <c r="K1400" s="21">
        <v>1</v>
      </c>
      <c r="L1400" s="43">
        <v>3808</v>
      </c>
      <c r="M1400" s="43">
        <v>3818</v>
      </c>
      <c r="N1400" s="43">
        <v>3818</v>
      </c>
      <c r="O1400" s="60" t="s">
        <v>3774</v>
      </c>
      <c r="P1400" s="194" t="str">
        <f t="shared" si="261"/>
        <v>1</v>
      </c>
      <c r="Q1400" s="21">
        <v>1</v>
      </c>
      <c r="R1400" s="39" t="str">
        <f t="shared" si="269"/>
        <v>-</v>
      </c>
      <c r="S1400" s="120">
        <f t="shared" si="259"/>
        <v>2426032</v>
      </c>
      <c r="T1400" s="123">
        <v>3627243</v>
      </c>
      <c r="U1400" s="123">
        <f>T1400-75433-379822-73337-4564</f>
        <v>3094087</v>
      </c>
      <c r="V1400" s="123">
        <f>T1400-U1400</f>
        <v>533156</v>
      </c>
      <c r="W1400" s="122" t="str">
        <f t="shared" si="270"/>
        <v>1</v>
      </c>
      <c r="X1400" s="123">
        <f>Y1400+17940+56000+227271</f>
        <v>1201211</v>
      </c>
      <c r="Y1400" s="123">
        <f t="shared" ref="Y1400:Y1407" si="272">AD1400</f>
        <v>900000</v>
      </c>
      <c r="Z1400" s="123">
        <f>X1400-Y1400</f>
        <v>301211</v>
      </c>
      <c r="AA1400" s="122" t="str">
        <f t="shared" si="271"/>
        <v>1</v>
      </c>
      <c r="AB1400" s="120">
        <f>SUM(AC1400+AD1400)</f>
        <v>900000</v>
      </c>
      <c r="AC1400" s="123">
        <v>0</v>
      </c>
      <c r="AD1400" s="123">
        <v>900000</v>
      </c>
      <c r="AE1400" s="123">
        <v>75433</v>
      </c>
      <c r="AG1400" s="151">
        <f t="shared" si="268"/>
        <v>146923</v>
      </c>
      <c r="AH1400" s="123">
        <f>186205-2282</f>
        <v>183923</v>
      </c>
      <c r="AJ1400" s="123">
        <v>67250</v>
      </c>
      <c r="AL1400" s="123">
        <v>37000</v>
      </c>
      <c r="AO1400" s="123">
        <v>400000</v>
      </c>
    </row>
    <row r="1401" spans="1:41" s="123" customFormat="1" ht="16.2" thickBot="1" x14ac:dyDescent="0.35">
      <c r="A1401" s="21">
        <v>238.1</v>
      </c>
      <c r="B1401" s="212" t="s">
        <v>332</v>
      </c>
      <c r="C1401" s="31" t="str">
        <f>VLOOKUP((CONCATENATE(B1401)),ID!$A$2:$D$305,3,0)</f>
        <v>IC024</v>
      </c>
      <c r="D1401" s="21">
        <v>1</v>
      </c>
      <c r="E1401" s="21" t="s">
        <v>3876</v>
      </c>
      <c r="F1401" s="21" t="s">
        <v>1117</v>
      </c>
      <c r="G1401" s="21" t="s">
        <v>3853</v>
      </c>
      <c r="H1401" s="88">
        <v>4108</v>
      </c>
      <c r="I1401" s="43">
        <v>4172</v>
      </c>
      <c r="J1401" s="43">
        <v>4170</v>
      </c>
      <c r="K1401" s="21">
        <v>1</v>
      </c>
      <c r="L1401" s="43">
        <v>4172</v>
      </c>
      <c r="M1401" s="43">
        <v>4182</v>
      </c>
      <c r="N1401" s="43">
        <v>4182</v>
      </c>
      <c r="O1401" s="60" t="s">
        <v>3774</v>
      </c>
      <c r="P1401" s="194" t="str">
        <f t="shared" si="261"/>
        <v>1</v>
      </c>
      <c r="Q1401" s="21">
        <v>1</v>
      </c>
      <c r="R1401" s="39" t="str">
        <f t="shared" si="269"/>
        <v>-</v>
      </c>
      <c r="S1401" s="120">
        <f t="shared" si="259"/>
        <v>2416857</v>
      </c>
      <c r="T1401" s="123">
        <v>3636397</v>
      </c>
      <c r="U1401" s="123">
        <f>T1401-52381-420129-72341-2282</f>
        <v>3089264</v>
      </c>
      <c r="V1401" s="123">
        <f t="shared" si="260"/>
        <v>547133</v>
      </c>
      <c r="W1401" s="122" t="str">
        <f t="shared" si="270"/>
        <v>1</v>
      </c>
      <c r="X1401" s="123">
        <f>900000+17993+245547+56000</f>
        <v>1219540</v>
      </c>
      <c r="Y1401" s="123">
        <f t="shared" si="272"/>
        <v>900000</v>
      </c>
      <c r="Z1401" s="123">
        <f t="shared" si="267"/>
        <v>319540</v>
      </c>
      <c r="AA1401" s="122" t="str">
        <f t="shared" si="271"/>
        <v>1</v>
      </c>
      <c r="AB1401" s="120">
        <f t="shared" si="258"/>
        <v>900000</v>
      </c>
      <c r="AC1401" s="123">
        <v>0</v>
      </c>
      <c r="AD1401" s="123">
        <v>900000</v>
      </c>
      <c r="AE1401" s="123">
        <v>52381</v>
      </c>
      <c r="AG1401" s="151">
        <f t="shared" si="268"/>
        <v>148325</v>
      </c>
      <c r="AH1401" s="123">
        <f>187607-2282</f>
        <v>185325</v>
      </c>
      <c r="AJ1401" s="123">
        <v>67250</v>
      </c>
      <c r="AL1401" s="123">
        <v>37000</v>
      </c>
      <c r="AO1401" s="123">
        <v>400000</v>
      </c>
    </row>
    <row r="1402" spans="1:41" s="123" customFormat="1" ht="16.2" thickBot="1" x14ac:dyDescent="0.35">
      <c r="A1402" s="21">
        <v>238.2</v>
      </c>
      <c r="B1402" s="212" t="s">
        <v>332</v>
      </c>
      <c r="C1402" s="31" t="str">
        <f>VLOOKUP((CONCATENATE(B1402)),ID!$A$2:$D$305,3,0)</f>
        <v>IC024</v>
      </c>
      <c r="D1402" s="21">
        <v>1</v>
      </c>
      <c r="E1402" s="21" t="s">
        <v>3876</v>
      </c>
      <c r="F1402" s="21" t="s">
        <v>1117</v>
      </c>
      <c r="G1402" s="21" t="s">
        <v>3853</v>
      </c>
      <c r="H1402" s="88">
        <v>4474</v>
      </c>
      <c r="I1402" s="43">
        <v>4536</v>
      </c>
      <c r="J1402" s="43">
        <v>4534</v>
      </c>
      <c r="K1402" s="21">
        <v>1</v>
      </c>
      <c r="L1402" s="43">
        <v>4536</v>
      </c>
      <c r="M1402" s="43">
        <v>4546</v>
      </c>
      <c r="N1402" s="43">
        <v>4546</v>
      </c>
      <c r="O1402" s="60" t="s">
        <v>3774</v>
      </c>
      <c r="P1402" s="194" t="str">
        <f t="shared" si="261"/>
        <v>1</v>
      </c>
      <c r="Q1402" s="21">
        <v>1</v>
      </c>
      <c r="R1402" s="39" t="str">
        <f t="shared" si="269"/>
        <v>-</v>
      </c>
      <c r="S1402" s="120">
        <f t="shared" si="259"/>
        <v>2398735</v>
      </c>
      <c r="T1402" s="123">
        <v>3538510</v>
      </c>
      <c r="U1402" s="123">
        <f>T1402-38050-343568-54957</f>
        <v>3101935</v>
      </c>
      <c r="V1402" s="123">
        <f t="shared" si="260"/>
        <v>436575</v>
      </c>
      <c r="W1402" s="122" t="str">
        <f t="shared" si="270"/>
        <v>1</v>
      </c>
      <c r="X1402" s="123">
        <f>900000+18068+165707+56000</f>
        <v>1139775</v>
      </c>
      <c r="Y1402" s="123">
        <f t="shared" si="272"/>
        <v>900000</v>
      </c>
      <c r="Z1402" s="123">
        <f t="shared" si="267"/>
        <v>239775</v>
      </c>
      <c r="AA1402" s="122" t="str">
        <f t="shared" si="271"/>
        <v>1</v>
      </c>
      <c r="AB1402" s="120">
        <f t="shared" si="258"/>
        <v>900000</v>
      </c>
      <c r="AC1402" s="123">
        <v>0</v>
      </c>
      <c r="AD1402" s="123">
        <v>900000</v>
      </c>
      <c r="AE1402" s="123">
        <v>38050</v>
      </c>
      <c r="AG1402" s="151">
        <f t="shared" si="268"/>
        <v>139378</v>
      </c>
      <c r="AH1402" s="123">
        <f>178660-2282</f>
        <v>176378</v>
      </c>
      <c r="AJ1402" s="123">
        <v>67250</v>
      </c>
      <c r="AL1402" s="123">
        <v>37000</v>
      </c>
      <c r="AO1402" s="123">
        <v>400000</v>
      </c>
    </row>
    <row r="1403" spans="1:41" s="123" customFormat="1" ht="16.2" thickBot="1" x14ac:dyDescent="0.35">
      <c r="A1403" s="21"/>
      <c r="B1403" s="212" t="s">
        <v>332</v>
      </c>
      <c r="C1403" s="31" t="str">
        <f>VLOOKUP((CONCATENATE(B1403)),ID!$A$2:$D$305,3,0)</f>
        <v>IC024</v>
      </c>
      <c r="D1403" s="21">
        <v>1</v>
      </c>
      <c r="E1403" s="21" t="s">
        <v>3876</v>
      </c>
      <c r="F1403" s="21" t="s">
        <v>1117</v>
      </c>
      <c r="G1403" s="21" t="s">
        <v>3853</v>
      </c>
      <c r="H1403" s="88">
        <v>4839</v>
      </c>
      <c r="I1403" s="43">
        <v>4903</v>
      </c>
      <c r="J1403" s="43">
        <v>4899</v>
      </c>
      <c r="K1403" s="21">
        <v>1</v>
      </c>
      <c r="L1403" s="43">
        <v>4903</v>
      </c>
      <c r="M1403" s="43">
        <v>4912</v>
      </c>
      <c r="N1403" s="43">
        <v>4912</v>
      </c>
      <c r="O1403" s="60" t="s">
        <v>3774</v>
      </c>
      <c r="P1403" s="194" t="str">
        <f t="shared" si="261"/>
        <v>1</v>
      </c>
      <c r="Q1403" s="21">
        <v>1</v>
      </c>
      <c r="R1403" s="39" t="str">
        <f t="shared" si="269"/>
        <v>-</v>
      </c>
      <c r="S1403" s="120">
        <f t="shared" si="259"/>
        <v>2440759</v>
      </c>
      <c r="T1403" s="123">
        <v>3721132</v>
      </c>
      <c r="U1403" s="123">
        <f>T1403-40521-455273-78464</f>
        <v>3146874</v>
      </c>
      <c r="V1403" s="123">
        <f>T1403-U1403</f>
        <v>574258</v>
      </c>
      <c r="W1403" s="122" t="str">
        <f t="shared" si="270"/>
        <v>1</v>
      </c>
      <c r="X1403" s="123">
        <f>Y1403+18159+56000+306214</f>
        <v>1280373</v>
      </c>
      <c r="Y1403" s="123">
        <f t="shared" si="272"/>
        <v>900000</v>
      </c>
      <c r="Z1403" s="123">
        <f>X1403-Y1403</f>
        <v>380373</v>
      </c>
      <c r="AA1403" s="122" t="str">
        <f t="shared" si="271"/>
        <v>1</v>
      </c>
      <c r="AB1403" s="120">
        <f>SUM(AC1403+AD1403)</f>
        <v>900000</v>
      </c>
      <c r="AC1403" s="123">
        <v>0</v>
      </c>
      <c r="AD1403" s="123">
        <v>900000</v>
      </c>
      <c r="AE1403" s="123">
        <v>40521</v>
      </c>
      <c r="AG1403" s="151">
        <f t="shared" si="268"/>
        <v>176524</v>
      </c>
      <c r="AH1403" s="123">
        <f>213524</f>
        <v>213524</v>
      </c>
      <c r="AJ1403" s="123">
        <v>67250</v>
      </c>
      <c r="AL1403" s="123">
        <v>37000</v>
      </c>
      <c r="AO1403" s="123">
        <v>400000</v>
      </c>
    </row>
    <row r="1404" spans="1:41" s="123" customFormat="1" ht="16.2" thickBot="1" x14ac:dyDescent="0.35">
      <c r="A1404" s="21"/>
      <c r="B1404" s="212" t="s">
        <v>332</v>
      </c>
      <c r="C1404" s="31" t="str">
        <f>VLOOKUP((CONCATENATE(B1404)),ID!$A$2:$D$305,3,0)</f>
        <v>IC024</v>
      </c>
      <c r="D1404" s="21">
        <v>1</v>
      </c>
      <c r="E1404" s="21" t="s">
        <v>3876</v>
      </c>
      <c r="F1404" s="21" t="s">
        <v>1117</v>
      </c>
      <c r="G1404" s="21" t="s">
        <v>3853</v>
      </c>
      <c r="H1404" s="88">
        <v>5204</v>
      </c>
      <c r="I1404" s="43">
        <v>5268</v>
      </c>
      <c r="J1404" s="43">
        <v>5268</v>
      </c>
      <c r="K1404" s="21">
        <v>1</v>
      </c>
      <c r="L1404" s="43">
        <v>5268</v>
      </c>
      <c r="M1404" s="43">
        <v>5281</v>
      </c>
      <c r="N1404" s="43">
        <v>5281</v>
      </c>
      <c r="O1404" s="60" t="s">
        <v>3774</v>
      </c>
      <c r="P1404" s="194" t="str">
        <f t="shared" si="261"/>
        <v>1</v>
      </c>
      <c r="Q1404" s="21">
        <v>1</v>
      </c>
      <c r="R1404" s="39" t="str">
        <f t="shared" si="269"/>
        <v>-</v>
      </c>
      <c r="S1404" s="120">
        <f t="shared" si="259"/>
        <v>2570574</v>
      </c>
      <c r="T1404" s="123">
        <v>4023203</v>
      </c>
      <c r="U1404" s="123">
        <f>T1404-17587-410381-79441-2721</f>
        <v>3513073</v>
      </c>
      <c r="V1404" s="123">
        <f>T1404-U1404</f>
        <v>510130</v>
      </c>
      <c r="W1404" s="122" t="str">
        <f t="shared" si="270"/>
        <v>1</v>
      </c>
      <c r="X1404" s="123">
        <f>Y1404+18246+56000+478383</f>
        <v>1452629</v>
      </c>
      <c r="Y1404" s="123">
        <f t="shared" si="272"/>
        <v>900000</v>
      </c>
      <c r="Z1404" s="123">
        <f>X1404-Y1404</f>
        <v>552629</v>
      </c>
      <c r="AA1404" s="122" t="str">
        <f t="shared" si="271"/>
        <v>1</v>
      </c>
      <c r="AB1404" s="120">
        <f>SUM(AC1404+AD1404)</f>
        <v>900000</v>
      </c>
      <c r="AC1404" s="123">
        <v>0</v>
      </c>
      <c r="AD1404" s="123">
        <v>900000</v>
      </c>
      <c r="AE1404" s="123">
        <v>17587</v>
      </c>
      <c r="AG1404" s="151">
        <f t="shared" si="268"/>
        <v>276906</v>
      </c>
      <c r="AH1404" s="123">
        <v>313906</v>
      </c>
      <c r="AJ1404" s="123">
        <v>67250</v>
      </c>
      <c r="AL1404" s="123">
        <v>37000</v>
      </c>
      <c r="AO1404" s="123">
        <v>400000</v>
      </c>
    </row>
    <row r="1405" spans="1:41" s="123" customFormat="1" ht="16.2" thickBot="1" x14ac:dyDescent="0.35">
      <c r="A1405" s="21"/>
      <c r="B1405" s="212" t="s">
        <v>0</v>
      </c>
      <c r="C1405" s="31" t="str">
        <f>VLOOKUP((CONCATENATE(B1405)),ID!$A$2:$D$305,3,0)</f>
        <v>OT051</v>
      </c>
      <c r="D1405" s="21">
        <v>1</v>
      </c>
      <c r="E1405" s="21" t="s">
        <v>3903</v>
      </c>
      <c r="F1405" s="21" t="s">
        <v>1117</v>
      </c>
      <c r="G1405" s="21" t="s">
        <v>3853</v>
      </c>
      <c r="H1405" s="88">
        <v>3743</v>
      </c>
      <c r="I1405" s="43">
        <v>3804</v>
      </c>
      <c r="J1405" s="43">
        <v>3803</v>
      </c>
      <c r="K1405" s="21">
        <v>0</v>
      </c>
      <c r="L1405" s="43"/>
      <c r="M1405" s="43"/>
      <c r="N1405" s="43">
        <v>3812</v>
      </c>
      <c r="O1405" s="21" t="s">
        <v>3905</v>
      </c>
      <c r="P1405" s="194" t="str">
        <f t="shared" si="261"/>
        <v>1</v>
      </c>
      <c r="Q1405" s="21">
        <v>1</v>
      </c>
      <c r="R1405" s="39" t="str">
        <f t="shared" si="269"/>
        <v>-</v>
      </c>
      <c r="S1405" s="120">
        <f t="shared" si="259"/>
        <v>1012977</v>
      </c>
      <c r="T1405" s="123">
        <v>1040388</v>
      </c>
      <c r="U1405" s="123">
        <f>914397+87874+15295</f>
        <v>1017566</v>
      </c>
      <c r="V1405" s="123">
        <f t="shared" si="260"/>
        <v>22822</v>
      </c>
      <c r="W1405" s="122" t="str">
        <f t="shared" si="270"/>
        <v>1</v>
      </c>
      <c r="X1405" s="123">
        <f>16844+3000+7567</f>
        <v>27411</v>
      </c>
      <c r="Y1405" s="123">
        <f t="shared" si="272"/>
        <v>3000</v>
      </c>
      <c r="Z1405" s="123">
        <f>X1405-Y1405</f>
        <v>24411</v>
      </c>
      <c r="AA1405" s="122" t="str">
        <f t="shared" si="271"/>
        <v>1</v>
      </c>
      <c r="AB1405" s="120">
        <f t="shared" si="258"/>
        <v>3000</v>
      </c>
      <c r="AC1405" s="123">
        <v>0</v>
      </c>
      <c r="AD1405" s="123">
        <v>3000</v>
      </c>
      <c r="AE1405" s="123">
        <v>7650</v>
      </c>
      <c r="AF1405" s="123">
        <v>914397</v>
      </c>
      <c r="AG1405" s="151">
        <f t="shared" si="268"/>
        <v>34061</v>
      </c>
      <c r="AH1405" s="123">
        <f>34061</f>
        <v>34061</v>
      </c>
      <c r="AJ1405" s="123">
        <v>30000</v>
      </c>
      <c r="AL1405" s="123">
        <v>0</v>
      </c>
      <c r="AM1405" s="123">
        <v>34502</v>
      </c>
      <c r="AO1405" s="123">
        <v>1000000</v>
      </c>
    </row>
    <row r="1406" spans="1:41" s="123" customFormat="1" ht="16.2" thickBot="1" x14ac:dyDescent="0.35">
      <c r="A1406" s="21">
        <v>239.1</v>
      </c>
      <c r="B1406" s="212" t="s">
        <v>0</v>
      </c>
      <c r="C1406" s="31" t="str">
        <f>VLOOKUP((CONCATENATE(B1406)),ID!$A$2:$D$305,3,0)</f>
        <v>OT051</v>
      </c>
      <c r="D1406" s="21">
        <v>1</v>
      </c>
      <c r="E1406" s="21" t="s">
        <v>3903</v>
      </c>
      <c r="F1406" s="21" t="s">
        <v>1117</v>
      </c>
      <c r="G1406" s="21" t="s">
        <v>3853</v>
      </c>
      <c r="H1406" s="88">
        <v>4108</v>
      </c>
      <c r="I1406" s="43">
        <v>4168</v>
      </c>
      <c r="J1406" s="43">
        <v>4167</v>
      </c>
      <c r="K1406" s="21">
        <v>0</v>
      </c>
      <c r="L1406" s="21"/>
      <c r="M1406" s="21"/>
      <c r="N1406" s="43">
        <v>4177</v>
      </c>
      <c r="O1406" s="21" t="s">
        <v>3905</v>
      </c>
      <c r="P1406" s="194" t="str">
        <f t="shared" si="261"/>
        <v>1</v>
      </c>
      <c r="Q1406" s="21">
        <v>1</v>
      </c>
      <c r="R1406" s="39" t="str">
        <f t="shared" si="269"/>
        <v>-</v>
      </c>
      <c r="S1406" s="120">
        <f t="shared" si="259"/>
        <v>1011161</v>
      </c>
      <c r="T1406" s="123">
        <v>1056796</v>
      </c>
      <c r="U1406" s="123">
        <f>914397+37874+15295</f>
        <v>967566</v>
      </c>
      <c r="V1406" s="123">
        <f t="shared" si="260"/>
        <v>89230</v>
      </c>
      <c r="W1406" s="122" t="str">
        <f t="shared" si="270"/>
        <v>1</v>
      </c>
      <c r="X1406" s="123">
        <f>15000+23000+7635</f>
        <v>45635</v>
      </c>
      <c r="Y1406" s="123">
        <f t="shared" si="272"/>
        <v>23000</v>
      </c>
      <c r="Z1406" s="123">
        <f t="shared" si="267"/>
        <v>22635</v>
      </c>
      <c r="AA1406" s="122" t="str">
        <f t="shared" si="271"/>
        <v>1</v>
      </c>
      <c r="AB1406" s="120">
        <f t="shared" si="258"/>
        <v>23000</v>
      </c>
      <c r="AC1406" s="123">
        <v>0</v>
      </c>
      <c r="AD1406" s="123">
        <v>23000</v>
      </c>
      <c r="AE1406" s="123">
        <v>5335</v>
      </c>
      <c r="AF1406" s="123">
        <v>914397</v>
      </c>
      <c r="AG1406" s="151">
        <f t="shared" si="268"/>
        <v>34433</v>
      </c>
      <c r="AH1406" s="123">
        <v>34433</v>
      </c>
      <c r="AJ1406" s="123">
        <v>30000</v>
      </c>
      <c r="AL1406" s="123">
        <v>0</v>
      </c>
      <c r="AM1406" s="123">
        <v>34587</v>
      </c>
      <c r="AO1406" s="123">
        <v>1000000</v>
      </c>
    </row>
    <row r="1407" spans="1:41" s="123" customFormat="1" ht="16.2" thickBot="1" x14ac:dyDescent="0.35">
      <c r="A1407" s="21">
        <v>239.2</v>
      </c>
      <c r="B1407" s="212" t="s">
        <v>0</v>
      </c>
      <c r="C1407" s="31" t="str">
        <f>VLOOKUP((CONCATENATE(B1407)),ID!$A$2:$D$305,3,0)</f>
        <v>OT051</v>
      </c>
      <c r="D1407" s="21">
        <v>1</v>
      </c>
      <c r="E1407" s="21" t="s">
        <v>3903</v>
      </c>
      <c r="F1407" s="21" t="s">
        <v>1117</v>
      </c>
      <c r="G1407" s="21" t="s">
        <v>3853</v>
      </c>
      <c r="H1407" s="88">
        <v>4474</v>
      </c>
      <c r="I1407" s="43">
        <v>4540</v>
      </c>
      <c r="J1407" s="43">
        <v>4540</v>
      </c>
      <c r="K1407" s="21">
        <v>0</v>
      </c>
      <c r="L1407" s="21"/>
      <c r="M1407" s="21"/>
      <c r="N1407" s="43">
        <v>4549</v>
      </c>
      <c r="O1407" s="21" t="s">
        <v>3905</v>
      </c>
      <c r="P1407" s="194" t="str">
        <f t="shared" si="261"/>
        <v>1</v>
      </c>
      <c r="Q1407" s="21">
        <v>1</v>
      </c>
      <c r="R1407" s="39" t="str">
        <f t="shared" si="269"/>
        <v>-</v>
      </c>
      <c r="S1407" s="120">
        <f>T1407-X1407</f>
        <v>1009172</v>
      </c>
      <c r="T1407" s="123">
        <v>1060111</v>
      </c>
      <c r="U1407" s="123">
        <f>914397+37874+46500</f>
        <v>998771</v>
      </c>
      <c r="V1407" s="123">
        <f>T1407-U1407</f>
        <v>61340</v>
      </c>
      <c r="W1407" s="122" t="str">
        <f>IF(V1407+U1407=T1407,"1","0")</f>
        <v>1</v>
      </c>
      <c r="X1407" s="123">
        <f>AB1407+14462+7477</f>
        <v>50939</v>
      </c>
      <c r="Y1407" s="123">
        <f t="shared" si="272"/>
        <v>29000</v>
      </c>
      <c r="Z1407" s="123">
        <f t="shared" si="267"/>
        <v>21939</v>
      </c>
      <c r="AA1407" s="122" t="str">
        <f t="shared" si="271"/>
        <v>1</v>
      </c>
      <c r="AB1407" s="120">
        <f t="shared" si="258"/>
        <v>29000</v>
      </c>
      <c r="AC1407" s="123">
        <v>0</v>
      </c>
      <c r="AD1407" s="123">
        <v>29000</v>
      </c>
      <c r="AE1407" s="123">
        <v>5752</v>
      </c>
      <c r="AF1407" s="123">
        <v>914397</v>
      </c>
      <c r="AG1407" s="151">
        <f t="shared" si="268"/>
        <v>28011</v>
      </c>
      <c r="AH1407" s="123">
        <v>28011</v>
      </c>
      <c r="AJ1407" s="123">
        <v>30000</v>
      </c>
      <c r="AL1407" s="123">
        <v>0</v>
      </c>
      <c r="AM1407" s="123">
        <v>28166</v>
      </c>
      <c r="AO1407" s="123">
        <v>1000000</v>
      </c>
    </row>
    <row r="1408" spans="1:41" s="123" customFormat="1" ht="16.2" thickBot="1" x14ac:dyDescent="0.35">
      <c r="A1408" s="21"/>
      <c r="B1408" s="212" t="s">
        <v>0</v>
      </c>
      <c r="C1408" s="31" t="str">
        <f>VLOOKUP((CONCATENATE(B1408)),ID!$A$2:$D$305,3,0)</f>
        <v>OT051</v>
      </c>
      <c r="D1408" s="21">
        <v>1</v>
      </c>
      <c r="E1408" s="21" t="s">
        <v>3903</v>
      </c>
      <c r="F1408" s="21" t="s">
        <v>1117</v>
      </c>
      <c r="G1408" s="21" t="s">
        <v>3853</v>
      </c>
      <c r="H1408" s="88">
        <v>4839</v>
      </c>
      <c r="I1408" s="43">
        <v>4904</v>
      </c>
      <c r="J1408" s="43">
        <v>4902</v>
      </c>
      <c r="K1408" s="21">
        <v>0</v>
      </c>
      <c r="L1408" s="21"/>
      <c r="M1408" s="21"/>
      <c r="N1408" s="43">
        <v>4913</v>
      </c>
      <c r="O1408" s="21" t="s">
        <v>3905</v>
      </c>
      <c r="P1408" s="194" t="str">
        <f t="shared" si="261"/>
        <v>1</v>
      </c>
      <c r="Q1408" s="21">
        <v>1</v>
      </c>
      <c r="R1408" s="39" t="str">
        <f t="shared" si="269"/>
        <v>-</v>
      </c>
      <c r="S1408" s="120">
        <f>T1408-X1408</f>
        <v>324290</v>
      </c>
      <c r="T1408" s="123">
        <v>368361</v>
      </c>
      <c r="U1408" s="123">
        <f>273443+52657</f>
        <v>326100</v>
      </c>
      <c r="V1408" s="123">
        <f>T1408-U1408</f>
        <v>42261</v>
      </c>
      <c r="W1408" s="122" t="str">
        <f>IF(V1408+U1408=T1408,"1","0")</f>
        <v>1</v>
      </c>
      <c r="X1408" s="123">
        <f>370+28500+15201</f>
        <v>44071</v>
      </c>
      <c r="Y1408" s="123">
        <v>28500</v>
      </c>
      <c r="Z1408" s="123">
        <f>X1408-Y1408</f>
        <v>15571</v>
      </c>
      <c r="AA1408" s="122" t="str">
        <f>IF(Z1408+Y1408=X1408,"1","0")</f>
        <v>1</v>
      </c>
      <c r="AB1408" s="120">
        <f>SUM(AC1408+AD1408)</f>
        <v>28500</v>
      </c>
      <c r="AC1408" s="123">
        <v>0</v>
      </c>
      <c r="AD1408" s="123">
        <f>Y1408</f>
        <v>28500</v>
      </c>
      <c r="AE1408" s="123">
        <v>4649</v>
      </c>
      <c r="AF1408" s="123">
        <v>273443</v>
      </c>
      <c r="AG1408" s="151">
        <f>AH1408-AL1408-AI1408</f>
        <v>30118</v>
      </c>
      <c r="AH1408" s="123">
        <v>30118</v>
      </c>
      <c r="AJ1408" s="123">
        <v>15000</v>
      </c>
      <c r="AL1408" s="123">
        <v>0</v>
      </c>
      <c r="AM1408" s="123">
        <v>30273</v>
      </c>
      <c r="AO1408" s="123">
        <v>600000</v>
      </c>
    </row>
    <row r="1409" spans="1:41" s="123" customFormat="1" ht="16.2" thickBot="1" x14ac:dyDescent="0.35">
      <c r="A1409" s="21"/>
      <c r="B1409" s="212" t="s">
        <v>0</v>
      </c>
      <c r="C1409" s="31" t="str">
        <f>VLOOKUP((CONCATENATE(B1409)),ID!$A$2:$D$305,3,0)</f>
        <v>OT051</v>
      </c>
      <c r="D1409" s="21">
        <v>1</v>
      </c>
      <c r="E1409" s="21" t="s">
        <v>3903</v>
      </c>
      <c r="F1409" s="21" t="s">
        <v>1117</v>
      </c>
      <c r="G1409" s="21" t="s">
        <v>3853</v>
      </c>
      <c r="H1409" s="88">
        <v>5204</v>
      </c>
      <c r="I1409" s="43">
        <v>3807</v>
      </c>
      <c r="J1409" s="43">
        <v>5261</v>
      </c>
      <c r="K1409" s="21">
        <v>0</v>
      </c>
      <c r="L1409" s="21"/>
      <c r="M1409" s="21"/>
      <c r="N1409" s="43">
        <v>5277</v>
      </c>
      <c r="O1409" s="21" t="s">
        <v>3905</v>
      </c>
      <c r="P1409" s="194" t="str">
        <f t="shared" si="261"/>
        <v>1</v>
      </c>
      <c r="Q1409" s="21">
        <v>1</v>
      </c>
      <c r="R1409" s="39" t="str">
        <f t="shared" si="269"/>
        <v>-</v>
      </c>
      <c r="S1409" s="120">
        <f t="shared" si="259"/>
        <v>327620</v>
      </c>
      <c r="T1409" s="123">
        <v>346852</v>
      </c>
      <c r="U1409" s="123">
        <f>273443+25006</f>
        <v>298449</v>
      </c>
      <c r="V1409" s="123">
        <f>T1409-U1409</f>
        <v>48403</v>
      </c>
      <c r="W1409" s="122" t="str">
        <f>IF(V1409+U1409=T1409,"1","0")</f>
        <v>1</v>
      </c>
      <c r="X1409" s="123">
        <f>439+18793</f>
        <v>19232</v>
      </c>
      <c r="Y1409" s="123">
        <v>0</v>
      </c>
      <c r="Z1409" s="123">
        <f>X1409-Y1409</f>
        <v>19232</v>
      </c>
      <c r="AA1409" s="122" t="str">
        <f>IF(Z1409+Y1409=X1409,"1","0")</f>
        <v>1</v>
      </c>
      <c r="AB1409" s="120">
        <f>SUM(AC1409+AD1409)</f>
        <v>0</v>
      </c>
      <c r="AC1409" s="123">
        <v>0</v>
      </c>
      <c r="AD1409" s="123">
        <v>0</v>
      </c>
      <c r="AE1409" s="123">
        <v>4285</v>
      </c>
      <c r="AF1409" s="123">
        <v>273443</v>
      </c>
      <c r="AG1409" s="151">
        <f t="shared" si="268"/>
        <v>30330</v>
      </c>
      <c r="AH1409" s="123">
        <v>30330</v>
      </c>
      <c r="AJ1409" s="123">
        <v>12000</v>
      </c>
      <c r="AL1409" s="123">
        <v>0</v>
      </c>
      <c r="AM1409" s="123">
        <v>30722</v>
      </c>
      <c r="AO1409" s="123">
        <v>600000</v>
      </c>
    </row>
    <row r="1410" spans="1:41" s="123" customFormat="1" ht="16.2" thickBot="1" x14ac:dyDescent="0.35">
      <c r="A1410" s="21"/>
      <c r="B1410" s="212" t="s">
        <v>3995</v>
      </c>
      <c r="C1410" s="31" t="str">
        <f>VLOOKUP((CONCATENATE(B1410)),ID!$A$2:$D$305,3,0)</f>
        <v>OT052</v>
      </c>
      <c r="D1410" s="21">
        <v>1</v>
      </c>
      <c r="E1410" s="21" t="s">
        <v>3903</v>
      </c>
      <c r="F1410" s="21" t="s">
        <v>1117</v>
      </c>
      <c r="G1410" s="21" t="s">
        <v>3853</v>
      </c>
      <c r="H1410" s="88">
        <v>3773</v>
      </c>
      <c r="I1410" s="21"/>
      <c r="J1410" s="21"/>
      <c r="K1410" s="21"/>
      <c r="L1410" s="21"/>
      <c r="M1410" s="21"/>
      <c r="N1410" s="21"/>
      <c r="O1410" s="27" t="s">
        <v>3970</v>
      </c>
      <c r="P1410" s="194" t="str">
        <f t="shared" si="261"/>
        <v>?</v>
      </c>
      <c r="Q1410" s="21">
        <v>1</v>
      </c>
      <c r="R1410" s="39" t="str">
        <f t="shared" si="269"/>
        <v>-</v>
      </c>
      <c r="S1410" s="120">
        <f t="shared" ref="S1410:S1474" si="273">T1410-X1410</f>
        <v>0</v>
      </c>
      <c r="W1410" s="122"/>
      <c r="AA1410" s="122"/>
      <c r="AB1410" s="120"/>
      <c r="AG1410" s="151">
        <f t="shared" si="268"/>
        <v>0</v>
      </c>
    </row>
    <row r="1411" spans="1:41" s="123" customFormat="1" ht="16.2" thickBot="1" x14ac:dyDescent="0.35">
      <c r="A1411" s="21">
        <v>240.1</v>
      </c>
      <c r="B1411" s="212" t="s">
        <v>3995</v>
      </c>
      <c r="C1411" s="31" t="str">
        <f>VLOOKUP((CONCATENATE(B1411)),ID!$A$2:$D$305,3,0)</f>
        <v>OT052</v>
      </c>
      <c r="D1411" s="21">
        <v>1</v>
      </c>
      <c r="E1411" s="21" t="s">
        <v>3903</v>
      </c>
      <c r="F1411" s="21" t="s">
        <v>1117</v>
      </c>
      <c r="G1411" s="21" t="s">
        <v>3853</v>
      </c>
      <c r="H1411" s="88">
        <v>4138</v>
      </c>
      <c r="I1411" s="43">
        <v>4203</v>
      </c>
      <c r="J1411" s="43">
        <v>4203</v>
      </c>
      <c r="K1411" s="21">
        <v>0</v>
      </c>
      <c r="L1411" s="21"/>
      <c r="M1411" s="21"/>
      <c r="N1411" s="43">
        <v>4212</v>
      </c>
      <c r="O1411" s="27" t="s">
        <v>3970</v>
      </c>
      <c r="P1411" s="194" t="str">
        <f t="shared" si="261"/>
        <v>1</v>
      </c>
      <c r="Q1411" s="21">
        <v>1</v>
      </c>
      <c r="R1411" s="39" t="str">
        <f t="shared" si="269"/>
        <v>-</v>
      </c>
      <c r="S1411" s="120">
        <f t="shared" si="273"/>
        <v>1415056</v>
      </c>
      <c r="T1411" s="123">
        <v>1681775</v>
      </c>
      <c r="U1411" s="123">
        <f>626674+283237+29969+163637+76280+433</f>
        <v>1180230</v>
      </c>
      <c r="V1411" s="123">
        <f t="shared" si="260"/>
        <v>501545</v>
      </c>
      <c r="W1411" s="122" t="str">
        <f t="shared" ref="W1411:W1419" si="274">IF(V1411+U1411=T1411,"1","0")</f>
        <v>1</v>
      </c>
      <c r="X1411" s="123">
        <f>192533+6762+67424</f>
        <v>266719</v>
      </c>
      <c r="Y1411" s="123">
        <v>0</v>
      </c>
      <c r="Z1411" s="123">
        <f t="shared" si="267"/>
        <v>266719</v>
      </c>
      <c r="AA1411" s="122" t="str">
        <f t="shared" ref="AA1411:AA1419" si="275">IF(Z1411+Y1411=X1411,"1","0")</f>
        <v>1</v>
      </c>
      <c r="AB1411" s="120">
        <f t="shared" si="258"/>
        <v>67424</v>
      </c>
      <c r="AC1411" s="123">
        <v>0</v>
      </c>
      <c r="AD1411" s="123">
        <v>67424</v>
      </c>
      <c r="AE1411" s="123">
        <v>52786</v>
      </c>
      <c r="AF1411" s="123">
        <v>626674</v>
      </c>
      <c r="AG1411" s="151">
        <f t="shared" si="268"/>
        <v>85623</v>
      </c>
      <c r="AH1411" s="123">
        <f>122411-9874-400-AK1411</f>
        <v>90137</v>
      </c>
      <c r="AI1411" s="123">
        <v>500</v>
      </c>
      <c r="AJ1411" s="123">
        <f>15000+36000</f>
        <v>51000</v>
      </c>
      <c r="AK1411" s="123">
        <v>22000</v>
      </c>
      <c r="AL1411" s="123">
        <v>4014</v>
      </c>
      <c r="AO1411" s="123">
        <v>620000</v>
      </c>
    </row>
    <row r="1412" spans="1:41" s="123" customFormat="1" ht="16.2" thickBot="1" x14ac:dyDescent="0.35">
      <c r="A1412" s="21">
        <v>240.2</v>
      </c>
      <c r="B1412" s="212" t="s">
        <v>3995</v>
      </c>
      <c r="C1412" s="31" t="str">
        <f>VLOOKUP((CONCATENATE(B1412)),ID!$A$2:$D$305,3,0)</f>
        <v>OT052</v>
      </c>
      <c r="D1412" s="21">
        <v>1</v>
      </c>
      <c r="E1412" s="21" t="s">
        <v>3903</v>
      </c>
      <c r="F1412" s="21" t="s">
        <v>1117</v>
      </c>
      <c r="G1412" s="21" t="s">
        <v>3853</v>
      </c>
      <c r="H1412" s="88">
        <v>4504</v>
      </c>
      <c r="I1412" s="43">
        <v>4575</v>
      </c>
      <c r="J1412" s="43">
        <v>4570</v>
      </c>
      <c r="K1412" s="21">
        <v>0</v>
      </c>
      <c r="L1412" s="21"/>
      <c r="M1412" s="21"/>
      <c r="N1412" s="43">
        <v>4589</v>
      </c>
      <c r="O1412" s="27" t="s">
        <v>3970</v>
      </c>
      <c r="P1412" s="194" t="str">
        <f t="shared" si="261"/>
        <v>1</v>
      </c>
      <c r="Q1412" s="21">
        <v>1</v>
      </c>
      <c r="R1412" s="39" t="str">
        <f t="shared" si="269"/>
        <v>-</v>
      </c>
      <c r="S1412" s="120">
        <f t="shared" si="273"/>
        <v>1439101</v>
      </c>
      <c r="T1412" s="123">
        <v>1739968</v>
      </c>
      <c r="U1412" s="123">
        <f>626674+317998+29653+160695+76280</f>
        <v>1211300</v>
      </c>
      <c r="V1412" s="123">
        <f>T1412-U1412</f>
        <v>528668</v>
      </c>
      <c r="W1412" s="122" t="str">
        <f t="shared" si="274"/>
        <v>1</v>
      </c>
      <c r="X1412" s="123">
        <f>89743+6849+204275</f>
        <v>300867</v>
      </c>
      <c r="Y1412" s="123">
        <v>0</v>
      </c>
      <c r="Z1412" s="123">
        <f t="shared" si="267"/>
        <v>300867</v>
      </c>
      <c r="AA1412" s="122" t="str">
        <f t="shared" si="275"/>
        <v>1</v>
      </c>
      <c r="AB1412" s="120">
        <f t="shared" si="258"/>
        <v>89743</v>
      </c>
      <c r="AC1412" s="123">
        <v>0</v>
      </c>
      <c r="AD1412" s="123">
        <v>89743</v>
      </c>
      <c r="AE1412" s="123">
        <v>53325</v>
      </c>
      <c r="AF1412" s="123">
        <v>626674</v>
      </c>
      <c r="AG1412" s="151">
        <f t="shared" si="268"/>
        <v>100346</v>
      </c>
      <c r="AH1412" s="123">
        <f>140239-9706-400-AK1412</f>
        <v>105133</v>
      </c>
      <c r="AI1412" s="123">
        <v>500</v>
      </c>
      <c r="AJ1412" s="123">
        <v>56000</v>
      </c>
      <c r="AK1412" s="123">
        <v>25000</v>
      </c>
      <c r="AL1412" s="123">
        <v>4287</v>
      </c>
      <c r="AO1412" s="123">
        <v>620000</v>
      </c>
    </row>
    <row r="1413" spans="1:41" s="123" customFormat="1" ht="16.2" thickBot="1" x14ac:dyDescent="0.35">
      <c r="A1413" s="21"/>
      <c r="B1413" s="212" t="s">
        <v>3995</v>
      </c>
      <c r="C1413" s="31" t="str">
        <f>VLOOKUP((CONCATENATE(B1413)),ID!$A$2:$D$305,3,0)</f>
        <v>OT052</v>
      </c>
      <c r="D1413" s="21">
        <v>1</v>
      </c>
      <c r="E1413" s="21" t="s">
        <v>3903</v>
      </c>
      <c r="F1413" s="21" t="s">
        <v>1117</v>
      </c>
      <c r="G1413" s="21" t="s">
        <v>3853</v>
      </c>
      <c r="H1413" s="88">
        <v>4869</v>
      </c>
      <c r="I1413" s="43">
        <v>4940</v>
      </c>
      <c r="J1413" s="43">
        <v>4934</v>
      </c>
      <c r="K1413" s="21">
        <v>0</v>
      </c>
      <c r="L1413" s="21"/>
      <c r="M1413" s="21"/>
      <c r="N1413" s="43">
        <v>4954</v>
      </c>
      <c r="O1413" s="27" t="s">
        <v>3970</v>
      </c>
      <c r="P1413" s="194" t="str">
        <f t="shared" ref="P1413:P1470" si="276">IF(AJ1413=0,"?","1")</f>
        <v>1</v>
      </c>
      <c r="Q1413" s="21">
        <v>1</v>
      </c>
      <c r="R1413" s="39" t="str">
        <f t="shared" si="269"/>
        <v>-</v>
      </c>
      <c r="S1413" s="120">
        <f t="shared" si="273"/>
        <v>1445103</v>
      </c>
      <c r="T1413" s="123">
        <v>1724980</v>
      </c>
      <c r="U1413" s="123">
        <f>T1413-V1413</f>
        <v>1280493</v>
      </c>
      <c r="V1413" s="123">
        <f>5+895+170443+273144</f>
        <v>444487</v>
      </c>
      <c r="W1413" s="122" t="str">
        <f t="shared" si="274"/>
        <v>1</v>
      </c>
      <c r="X1413" s="123">
        <f>185857+6915+87105</f>
        <v>279877</v>
      </c>
      <c r="Y1413" s="123">
        <v>0</v>
      </c>
      <c r="Z1413" s="123">
        <f t="shared" si="267"/>
        <v>279877</v>
      </c>
      <c r="AA1413" s="122" t="str">
        <f t="shared" si="275"/>
        <v>1</v>
      </c>
      <c r="AB1413" s="120">
        <f t="shared" si="258"/>
        <v>87105</v>
      </c>
      <c r="AC1413" s="123">
        <v>0</v>
      </c>
      <c r="AD1413" s="123">
        <v>87105</v>
      </c>
      <c r="AE1413" s="123">
        <v>46784</v>
      </c>
      <c r="AF1413" s="123">
        <v>626674</v>
      </c>
      <c r="AG1413" s="151">
        <f t="shared" si="268"/>
        <v>77001</v>
      </c>
      <c r="AH1413" s="123">
        <f>120306-9256-2720-400-421-1688-AK1413</f>
        <v>83821</v>
      </c>
      <c r="AI1413" s="123">
        <v>1000</v>
      </c>
      <c r="AJ1413" s="123">
        <f>36000+15000</f>
        <v>51000</v>
      </c>
      <c r="AK1413" s="123">
        <v>22000</v>
      </c>
      <c r="AL1413" s="123">
        <v>5820</v>
      </c>
      <c r="AO1413" s="123">
        <v>620000</v>
      </c>
    </row>
    <row r="1414" spans="1:41" s="123" customFormat="1" ht="16.2" thickBot="1" x14ac:dyDescent="0.35">
      <c r="A1414" s="21"/>
      <c r="B1414" s="212" t="s">
        <v>3995</v>
      </c>
      <c r="C1414" s="31" t="str">
        <f>VLOOKUP((CONCATENATE(B1414)),ID!$A$2:$D$305,3,0)</f>
        <v>OT052</v>
      </c>
      <c r="D1414" s="21">
        <v>1</v>
      </c>
      <c r="E1414" s="21" t="s">
        <v>3903</v>
      </c>
      <c r="F1414" s="21" t="s">
        <v>1117</v>
      </c>
      <c r="G1414" s="21" t="s">
        <v>3853</v>
      </c>
      <c r="H1414" s="88">
        <v>5234</v>
      </c>
      <c r="I1414" s="43">
        <v>5309</v>
      </c>
      <c r="J1414" s="43">
        <v>5302</v>
      </c>
      <c r="K1414" s="21">
        <v>0</v>
      </c>
      <c r="L1414" s="21"/>
      <c r="M1414" s="21"/>
      <c r="N1414" s="43">
        <v>5316</v>
      </c>
      <c r="O1414" s="27" t="s">
        <v>3970</v>
      </c>
      <c r="P1414" s="194" t="str">
        <f t="shared" si="276"/>
        <v>1</v>
      </c>
      <c r="Q1414" s="21">
        <v>1</v>
      </c>
      <c r="R1414" s="39" t="str">
        <f t="shared" si="269"/>
        <v>-</v>
      </c>
      <c r="S1414" s="120">
        <f t="shared" si="273"/>
        <v>1471647</v>
      </c>
      <c r="T1414" s="123">
        <v>1794115</v>
      </c>
      <c r="U1414" s="123">
        <f>T1414-V1414</f>
        <v>1253422</v>
      </c>
      <c r="V1414" s="123">
        <f>330470+160179+50044</f>
        <v>540693</v>
      </c>
      <c r="W1414" s="122" t="str">
        <f t="shared" si="274"/>
        <v>1</v>
      </c>
      <c r="X1414" s="123">
        <f>179408+7000+136060</f>
        <v>322468</v>
      </c>
      <c r="Y1414" s="123">
        <v>0</v>
      </c>
      <c r="Z1414" s="123">
        <f t="shared" si="267"/>
        <v>322468</v>
      </c>
      <c r="AA1414" s="122" t="str">
        <f t="shared" si="275"/>
        <v>1</v>
      </c>
      <c r="AB1414" s="120">
        <f t="shared" si="258"/>
        <v>136060</v>
      </c>
      <c r="AC1414" s="123">
        <v>0</v>
      </c>
      <c r="AD1414" s="123">
        <v>136060</v>
      </c>
      <c r="AE1414" s="123">
        <v>50044</v>
      </c>
      <c r="AF1414" s="123">
        <v>626674</v>
      </c>
      <c r="AG1414" s="151">
        <f t="shared" si="268"/>
        <v>107734</v>
      </c>
      <c r="AH1414" s="123">
        <f>154978-8907-2525-400-AK1414-547-2159</f>
        <v>115440</v>
      </c>
      <c r="AI1414" s="123">
        <v>2000</v>
      </c>
      <c r="AJ1414" s="123">
        <v>56000</v>
      </c>
      <c r="AK1414" s="123">
        <v>25000</v>
      </c>
      <c r="AL1414" s="123">
        <f>5706</f>
        <v>5706</v>
      </c>
      <c r="AO1414" s="123">
        <v>620000</v>
      </c>
    </row>
    <row r="1415" spans="1:41" s="123" customFormat="1" ht="16.2" thickBot="1" x14ac:dyDescent="0.35">
      <c r="A1415" s="21"/>
      <c r="B1415" s="212" t="s">
        <v>161</v>
      </c>
      <c r="C1415" s="31" t="str">
        <f>VLOOKUP((CONCATENATE(B1415)),ID!$A$2:$D$305,3,0)</f>
        <v>OT053</v>
      </c>
      <c r="D1415" s="21">
        <v>1</v>
      </c>
      <c r="E1415" s="21" t="s">
        <v>3903</v>
      </c>
      <c r="F1415" s="21" t="s">
        <v>3789</v>
      </c>
      <c r="G1415" s="21" t="s">
        <v>3853</v>
      </c>
      <c r="H1415" s="88">
        <v>3834</v>
      </c>
      <c r="I1415" s="43">
        <v>3973</v>
      </c>
      <c r="J1415" s="43">
        <v>3967</v>
      </c>
      <c r="K1415" s="21">
        <v>0</v>
      </c>
      <c r="L1415" s="21"/>
      <c r="M1415" s="21"/>
      <c r="N1415" s="43">
        <v>4002</v>
      </c>
      <c r="O1415" s="21" t="s">
        <v>3996</v>
      </c>
      <c r="P1415" s="194" t="str">
        <f t="shared" si="276"/>
        <v>1</v>
      </c>
      <c r="Q1415" s="21">
        <v>1</v>
      </c>
      <c r="R1415" s="39" t="str">
        <f t="shared" si="269"/>
        <v>-</v>
      </c>
      <c r="S1415" s="120">
        <f t="shared" si="273"/>
        <v>18894224</v>
      </c>
      <c r="T1415" s="123">
        <v>20650645</v>
      </c>
      <c r="U1415" s="123">
        <f>3383469+10742296</f>
        <v>14125765</v>
      </c>
      <c r="V1415" s="123">
        <f>T1415-U1415</f>
        <v>6524880</v>
      </c>
      <c r="W1415" s="122" t="str">
        <f t="shared" si="274"/>
        <v>1</v>
      </c>
      <c r="X1415" s="123">
        <f>425000+399779+408472+9628+513542</f>
        <v>1756421</v>
      </c>
      <c r="Y1415" s="123">
        <f>AB1415+425000</f>
        <v>938542</v>
      </c>
      <c r="Z1415" s="123">
        <f t="shared" si="267"/>
        <v>817879</v>
      </c>
      <c r="AA1415" s="122" t="str">
        <f t="shared" si="275"/>
        <v>1</v>
      </c>
      <c r="AB1415" s="120">
        <f t="shared" si="258"/>
        <v>513542</v>
      </c>
      <c r="AC1415" s="123">
        <v>0</v>
      </c>
      <c r="AD1415" s="123">
        <v>513542</v>
      </c>
      <c r="AE1415" s="123">
        <v>824241</v>
      </c>
      <c r="AG1415" s="151">
        <f t="shared" si="268"/>
        <v>3095268</v>
      </c>
      <c r="AH1415" s="123">
        <v>3238448</v>
      </c>
      <c r="AI1415" s="123">
        <v>123902</v>
      </c>
      <c r="AJ1415" s="123">
        <f>1012500+450000+150000</f>
        <v>1612500</v>
      </c>
      <c r="AK1415" s="123">
        <v>41011</v>
      </c>
      <c r="AL1415" s="123">
        <v>19278</v>
      </c>
      <c r="AO1415" s="123">
        <f>4500000+250000</f>
        <v>4750000</v>
      </c>
    </row>
    <row r="1416" spans="1:41" s="123" customFormat="1" ht="16.2" thickBot="1" x14ac:dyDescent="0.35">
      <c r="A1416" s="21">
        <v>241.1</v>
      </c>
      <c r="B1416" s="212" t="s">
        <v>161</v>
      </c>
      <c r="C1416" s="31" t="str">
        <f>VLOOKUP((CONCATENATE(B1416)),ID!$A$2:$D$305,3,0)</f>
        <v>OT053</v>
      </c>
      <c r="D1416" s="21">
        <v>1</v>
      </c>
      <c r="E1416" s="21" t="s">
        <v>3903</v>
      </c>
      <c r="F1416" s="21" t="s">
        <v>3789</v>
      </c>
      <c r="G1416" s="21" t="s">
        <v>3853</v>
      </c>
      <c r="H1416" s="88">
        <v>4199</v>
      </c>
      <c r="I1416" s="43">
        <v>4337</v>
      </c>
      <c r="J1416" s="43">
        <v>4331</v>
      </c>
      <c r="K1416" s="21">
        <v>0</v>
      </c>
      <c r="L1416" s="21"/>
      <c r="M1416" s="21"/>
      <c r="N1416" s="43">
        <v>4359</v>
      </c>
      <c r="O1416" s="21" t="s">
        <v>3996</v>
      </c>
      <c r="P1416" s="194" t="str">
        <f t="shared" si="276"/>
        <v>1</v>
      </c>
      <c r="Q1416" s="21">
        <v>1</v>
      </c>
      <c r="R1416" s="39" t="str">
        <f t="shared" si="269"/>
        <v>-</v>
      </c>
      <c r="S1416" s="120">
        <f t="shared" si="273"/>
        <v>19504543</v>
      </c>
      <c r="T1416" s="123">
        <v>21263091</v>
      </c>
      <c r="U1416" s="123">
        <f>11027005+3398906</f>
        <v>14425911</v>
      </c>
      <c r="V1416" s="123">
        <f>T1416-U1416</f>
        <v>6837180</v>
      </c>
      <c r="W1416" s="122" t="str">
        <f t="shared" si="274"/>
        <v>1</v>
      </c>
      <c r="X1416" s="123">
        <f>504242+9454+415630+371722+457500</f>
        <v>1758548</v>
      </c>
      <c r="Y1416" s="123">
        <f>AD1416+457500</f>
        <v>961742</v>
      </c>
      <c r="Z1416" s="123">
        <f>X1416-Y1416</f>
        <v>796806</v>
      </c>
      <c r="AA1416" s="122" t="str">
        <f t="shared" si="275"/>
        <v>1</v>
      </c>
      <c r="AB1416" s="120">
        <f t="shared" si="258"/>
        <v>504242</v>
      </c>
      <c r="AC1416" s="123">
        <v>0</v>
      </c>
      <c r="AD1416" s="123">
        <v>504242</v>
      </c>
      <c r="AE1416" s="123">
        <v>302725</v>
      </c>
      <c r="AG1416" s="151">
        <f t="shared" si="268"/>
        <v>2955050</v>
      </c>
      <c r="AH1416" s="123">
        <f>3165698-62745</f>
        <v>3102953</v>
      </c>
      <c r="AI1416" s="123">
        <v>128807</v>
      </c>
      <c r="AJ1416" s="123">
        <f>1012500+450000+150000</f>
        <v>1612500</v>
      </c>
      <c r="AK1416" s="123">
        <v>40272</v>
      </c>
      <c r="AL1416" s="123">
        <v>19096</v>
      </c>
      <c r="AO1416" s="123">
        <f>4500000+250000</f>
        <v>4750000</v>
      </c>
    </row>
    <row r="1417" spans="1:41" s="123" customFormat="1" ht="16.2" thickBot="1" x14ac:dyDescent="0.35">
      <c r="A1417" s="21">
        <v>241.2</v>
      </c>
      <c r="B1417" s="212" t="s">
        <v>161</v>
      </c>
      <c r="C1417" s="31" t="str">
        <f>VLOOKUP((CONCATENATE(B1417)),ID!$A$2:$D$305,3,0)</f>
        <v>OT053</v>
      </c>
      <c r="D1417" s="21">
        <v>1</v>
      </c>
      <c r="E1417" s="21" t="s">
        <v>3903</v>
      </c>
      <c r="F1417" s="21" t="s">
        <v>3789</v>
      </c>
      <c r="G1417" s="21" t="s">
        <v>3853</v>
      </c>
      <c r="H1417" s="88">
        <v>4565</v>
      </c>
      <c r="I1417" s="43">
        <v>4708</v>
      </c>
      <c r="J1417" s="43">
        <v>4707</v>
      </c>
      <c r="K1417" s="21">
        <v>0</v>
      </c>
      <c r="L1417" s="21"/>
      <c r="M1417" s="21"/>
      <c r="N1417" s="43">
        <v>4730</v>
      </c>
      <c r="O1417" s="21" t="s">
        <v>3996</v>
      </c>
      <c r="P1417" s="194" t="str">
        <f t="shared" si="276"/>
        <v>1</v>
      </c>
      <c r="Q1417" s="21">
        <v>1</v>
      </c>
      <c r="R1417" s="39" t="str">
        <f t="shared" si="269"/>
        <v>-</v>
      </c>
      <c r="S1417" s="120">
        <f t="shared" si="273"/>
        <v>19227152</v>
      </c>
      <c r="T1417" s="123">
        <v>20456463</v>
      </c>
      <c r="U1417" s="123">
        <f>10918892+2543917</f>
        <v>13462809</v>
      </c>
      <c r="V1417" s="123">
        <f>T1417-U1417</f>
        <v>6993654</v>
      </c>
      <c r="W1417" s="122" t="str">
        <f t="shared" si="274"/>
        <v>1</v>
      </c>
      <c r="X1417" s="123">
        <f>417736+311575+500000</f>
        <v>1229311</v>
      </c>
      <c r="Y1417" s="123">
        <f>AB1417+500000</f>
        <v>500000</v>
      </c>
      <c r="Z1417" s="123">
        <f>X1417-Y1417</f>
        <v>729311</v>
      </c>
      <c r="AA1417" s="122" t="str">
        <f t="shared" si="275"/>
        <v>1</v>
      </c>
      <c r="AB1417" s="120">
        <f t="shared" si="258"/>
        <v>0</v>
      </c>
      <c r="AC1417" s="123">
        <v>0</v>
      </c>
      <c r="AD1417" s="123">
        <v>0</v>
      </c>
      <c r="AE1417" s="123">
        <v>502110</v>
      </c>
      <c r="AG1417" s="151">
        <f t="shared" si="268"/>
        <v>2669889</v>
      </c>
      <c r="AH1417" s="123">
        <v>2794072</v>
      </c>
      <c r="AI1417" s="123">
        <v>124183</v>
      </c>
      <c r="AJ1417" s="123">
        <f>1736683-AI1417</f>
        <v>1612500</v>
      </c>
      <c r="AK1417" s="123">
        <v>42048</v>
      </c>
      <c r="AL1417" s="123">
        <v>0</v>
      </c>
      <c r="AO1417" s="123">
        <f>4500000+250000</f>
        <v>4750000</v>
      </c>
    </row>
    <row r="1418" spans="1:41" s="123" customFormat="1" ht="16.2" thickBot="1" x14ac:dyDescent="0.35">
      <c r="A1418" s="21"/>
      <c r="B1418" s="212" t="s">
        <v>161</v>
      </c>
      <c r="C1418" s="31" t="str">
        <f>VLOOKUP((CONCATENATE(B1418)),ID!$A$2:$D$305,3,0)</f>
        <v>OT053</v>
      </c>
      <c r="D1418" s="21">
        <v>1</v>
      </c>
      <c r="E1418" s="21" t="s">
        <v>3903</v>
      </c>
      <c r="F1418" s="21" t="s">
        <v>3789</v>
      </c>
      <c r="G1418" s="21" t="s">
        <v>3853</v>
      </c>
      <c r="H1418" s="88">
        <v>4930</v>
      </c>
      <c r="I1418" s="43">
        <v>5082</v>
      </c>
      <c r="J1418" s="43">
        <v>5072</v>
      </c>
      <c r="K1418" s="21">
        <v>0</v>
      </c>
      <c r="L1418" s="21"/>
      <c r="M1418" s="21"/>
      <c r="N1418" s="43">
        <v>5094</v>
      </c>
      <c r="O1418" s="21" t="s">
        <v>3996</v>
      </c>
      <c r="P1418" s="194" t="str">
        <f t="shared" si="276"/>
        <v>1</v>
      </c>
      <c r="Q1418" s="21">
        <v>1</v>
      </c>
      <c r="R1418" s="39" t="str">
        <f t="shared" si="269"/>
        <v>-</v>
      </c>
      <c r="S1418" s="120">
        <f t="shared" si="273"/>
        <v>19616020</v>
      </c>
      <c r="T1418" s="123">
        <v>20879440</v>
      </c>
      <c r="U1418" s="123">
        <f>11088572+2309834</f>
        <v>13398406</v>
      </c>
      <c r="V1418" s="123">
        <f>T1418-U1418</f>
        <v>7481034</v>
      </c>
      <c r="W1418" s="122" t="str">
        <f t="shared" si="274"/>
        <v>1</v>
      </c>
      <c r="X1418" s="123">
        <f>415805+347615+500000</f>
        <v>1263420</v>
      </c>
      <c r="Y1418" s="123">
        <v>500000</v>
      </c>
      <c r="Z1418" s="123">
        <f>X1418-Y1418</f>
        <v>763420</v>
      </c>
      <c r="AA1418" s="122" t="str">
        <f t="shared" si="275"/>
        <v>1</v>
      </c>
      <c r="AB1418" s="120">
        <f>SUM(AC1418+AD1418)</f>
        <v>0</v>
      </c>
      <c r="AC1418" s="123">
        <v>0</v>
      </c>
      <c r="AD1418" s="123">
        <v>0</v>
      </c>
      <c r="AE1418" s="123">
        <v>219909</v>
      </c>
      <c r="AG1418" s="151">
        <f t="shared" si="268"/>
        <v>2773998</v>
      </c>
      <c r="AH1418" s="123">
        <v>2903239</v>
      </c>
      <c r="AI1418" s="123">
        <v>129241</v>
      </c>
      <c r="AJ1418" s="123">
        <f>1741741-AI1418</f>
        <v>1612500</v>
      </c>
      <c r="AK1418" s="123">
        <v>39293</v>
      </c>
      <c r="AL1418" s="123">
        <v>0</v>
      </c>
      <c r="AO1418" s="123">
        <v>4750000</v>
      </c>
    </row>
    <row r="1419" spans="1:41" s="123" customFormat="1" ht="16.2" thickBot="1" x14ac:dyDescent="0.35">
      <c r="A1419" s="21"/>
      <c r="B1419" s="212" t="s">
        <v>161</v>
      </c>
      <c r="C1419" s="31" t="str">
        <f>VLOOKUP((CONCATENATE(B1419)),ID!$A$2:$D$305,3,0)</f>
        <v>OT053</v>
      </c>
      <c r="D1419" s="21">
        <v>1</v>
      </c>
      <c r="E1419" s="21" t="s">
        <v>3903</v>
      </c>
      <c r="F1419" s="21" t="s">
        <v>3789</v>
      </c>
      <c r="G1419" s="21" t="s">
        <v>3853</v>
      </c>
      <c r="H1419" s="88">
        <v>5295</v>
      </c>
      <c r="I1419" s="43">
        <v>5443</v>
      </c>
      <c r="J1419" s="43"/>
      <c r="K1419" s="21">
        <v>0</v>
      </c>
      <c r="L1419" s="21"/>
      <c r="M1419" s="21"/>
      <c r="N1419" s="43">
        <v>5458</v>
      </c>
      <c r="O1419" s="21" t="s">
        <v>3996</v>
      </c>
      <c r="P1419" s="194" t="str">
        <f t="shared" si="276"/>
        <v>1</v>
      </c>
      <c r="Q1419" s="21">
        <v>1</v>
      </c>
      <c r="R1419" s="39" t="str">
        <f t="shared" si="269"/>
        <v>-</v>
      </c>
      <c r="S1419" s="120">
        <f t="shared" si="273"/>
        <v>19839387</v>
      </c>
      <c r="T1419" s="123">
        <v>20991279</v>
      </c>
      <c r="U1419" s="123">
        <f>11139626+2168308</f>
        <v>13307934</v>
      </c>
      <c r="V1419" s="123">
        <f>T1419-U1419</f>
        <v>7683345</v>
      </c>
      <c r="W1419" s="122" t="str">
        <f t="shared" si="274"/>
        <v>1</v>
      </c>
      <c r="X1419" s="123">
        <f>394939+256953+500000</f>
        <v>1151892</v>
      </c>
      <c r="Y1419" s="123">
        <v>500000</v>
      </c>
      <c r="Z1419" s="123">
        <f>X1419-Y1419</f>
        <v>651892</v>
      </c>
      <c r="AA1419" s="122" t="str">
        <f t="shared" si="275"/>
        <v>1</v>
      </c>
      <c r="AB1419" s="120">
        <f>SUM(AC1419+AD1419)</f>
        <v>0</v>
      </c>
      <c r="AC1419" s="123">
        <v>0</v>
      </c>
      <c r="AD1419" s="123">
        <v>0</v>
      </c>
      <c r="AE1419" s="123">
        <v>454965</v>
      </c>
      <c r="AG1419" s="151">
        <f t="shared" si="268"/>
        <v>2508585</v>
      </c>
      <c r="AH1419" s="123">
        <v>2634388</v>
      </c>
      <c r="AI1419" s="123">
        <v>125803</v>
      </c>
      <c r="AJ1419" s="123">
        <f>1738303-AI1419</f>
        <v>1612500</v>
      </c>
      <c r="AK1419" s="123">
        <v>40829</v>
      </c>
      <c r="AL1419" s="123">
        <v>0</v>
      </c>
      <c r="AO1419" s="123">
        <v>4750000</v>
      </c>
    </row>
    <row r="1420" spans="1:41" s="123" customFormat="1" ht="16.2" thickBot="1" x14ac:dyDescent="0.35">
      <c r="A1420" s="21"/>
      <c r="B1420" s="212" t="s">
        <v>322</v>
      </c>
      <c r="C1420" s="31" t="str">
        <f>VLOOKUP((CONCATENATE(B1420)),ID!$A$2:$D$305,3,0)</f>
        <v>OT054</v>
      </c>
      <c r="D1420" s="21">
        <v>1</v>
      </c>
      <c r="E1420" s="21" t="s">
        <v>3903</v>
      </c>
      <c r="F1420" s="21" t="s">
        <v>4110</v>
      </c>
      <c r="G1420" s="21" t="s">
        <v>3853</v>
      </c>
      <c r="H1420" s="88">
        <v>3653</v>
      </c>
      <c r="I1420" s="43"/>
      <c r="J1420" s="43"/>
      <c r="K1420" s="21"/>
      <c r="L1420" s="21"/>
      <c r="M1420" s="21"/>
      <c r="N1420" s="43"/>
      <c r="O1420" s="21"/>
      <c r="P1420" s="194" t="str">
        <f t="shared" si="276"/>
        <v>?</v>
      </c>
      <c r="Q1420" s="21">
        <v>1</v>
      </c>
      <c r="R1420" s="39" t="str">
        <f t="shared" si="269"/>
        <v>-</v>
      </c>
      <c r="S1420" s="120">
        <f t="shared" si="273"/>
        <v>0</v>
      </c>
    </row>
    <row r="1421" spans="1:41" s="123" customFormat="1" ht="16.2" thickBot="1" x14ac:dyDescent="0.35">
      <c r="A1421" s="21">
        <v>242.1</v>
      </c>
      <c r="B1421" s="212" t="s">
        <v>322</v>
      </c>
      <c r="C1421" s="31" t="str">
        <f>VLOOKUP((CONCATENATE(B1421)),ID!$A$2:$D$305,3,0)</f>
        <v>OT054</v>
      </c>
      <c r="D1421" s="21">
        <v>1</v>
      </c>
      <c r="E1421" s="21" t="s">
        <v>3903</v>
      </c>
      <c r="F1421" s="21" t="s">
        <v>4110</v>
      </c>
      <c r="G1421" s="21" t="s">
        <v>3853</v>
      </c>
      <c r="H1421" s="88">
        <v>4018</v>
      </c>
      <c r="I1421" s="43">
        <v>4171</v>
      </c>
      <c r="J1421" s="21" t="s">
        <v>3784</v>
      </c>
      <c r="K1421" s="21"/>
      <c r="L1421" s="21"/>
      <c r="M1421" s="21"/>
      <c r="N1421" s="21" t="s">
        <v>3784</v>
      </c>
      <c r="O1421" s="21"/>
      <c r="P1421" s="194" t="str">
        <f t="shared" si="276"/>
        <v>?</v>
      </c>
      <c r="Q1421" s="21">
        <v>1</v>
      </c>
      <c r="R1421" s="39" t="str">
        <f t="shared" si="269"/>
        <v>-</v>
      </c>
      <c r="S1421" s="120">
        <f t="shared" si="273"/>
        <v>1749954</v>
      </c>
      <c r="T1421" s="123">
        <v>3325129</v>
      </c>
      <c r="U1421" s="123">
        <f>579549+160000+1183875+184107+209366+414860</f>
        <v>2731757</v>
      </c>
      <c r="V1421" s="123">
        <f>T1421-U1421</f>
        <v>593372</v>
      </c>
      <c r="W1421" s="122" t="str">
        <f>IF(V1421+U1421=T1421,"1","0")</f>
        <v>1</v>
      </c>
      <c r="X1421" s="123">
        <f>552675+1022500</f>
        <v>1575175</v>
      </c>
      <c r="Y1421" s="123">
        <f>1022500</f>
        <v>1022500</v>
      </c>
      <c r="Z1421" s="123">
        <f>X1421-Y1421</f>
        <v>552675</v>
      </c>
      <c r="AA1421" s="122" t="str">
        <f>IF(Z1421+Y1421=X1421,"1","0")</f>
        <v>1</v>
      </c>
      <c r="AB1421" s="120">
        <f>SUM(AC1421+AD1421)</f>
        <v>552675</v>
      </c>
      <c r="AC1421" s="123">
        <v>0</v>
      </c>
      <c r="AD1421" s="123">
        <f>Z1421</f>
        <v>552675</v>
      </c>
      <c r="AE1421" s="123">
        <v>2918</v>
      </c>
      <c r="AG1421" s="151">
        <f>AH1421-AL1421-AI1421</f>
        <v>0</v>
      </c>
      <c r="AO1421" s="123">
        <f>100000+699954+110000</f>
        <v>909954</v>
      </c>
    </row>
    <row r="1422" spans="1:41" s="123" customFormat="1" ht="16.2" thickBot="1" x14ac:dyDescent="0.35">
      <c r="A1422" s="21">
        <v>242.2</v>
      </c>
      <c r="B1422" s="212" t="s">
        <v>322</v>
      </c>
      <c r="C1422" s="31" t="str">
        <f>VLOOKUP((CONCATENATE(B1422)),ID!$A$2:$D$305,3,0)</f>
        <v>OT054</v>
      </c>
      <c r="D1422" s="21">
        <v>1</v>
      </c>
      <c r="E1422" s="21" t="s">
        <v>3903</v>
      </c>
      <c r="F1422" s="21" t="s">
        <v>4110</v>
      </c>
      <c r="G1422" s="21" t="s">
        <v>3853</v>
      </c>
      <c r="H1422" s="88">
        <v>4383</v>
      </c>
      <c r="I1422" s="21"/>
      <c r="J1422" s="21"/>
      <c r="K1422" s="21"/>
      <c r="L1422" s="21"/>
      <c r="M1422" s="21"/>
      <c r="N1422" s="21"/>
      <c r="O1422" s="21"/>
      <c r="P1422" s="194" t="str">
        <f t="shared" si="276"/>
        <v>?</v>
      </c>
      <c r="Q1422" s="21">
        <v>1</v>
      </c>
      <c r="R1422" s="39" t="str">
        <f t="shared" si="269"/>
        <v>-</v>
      </c>
      <c r="S1422" s="120">
        <f t="shared" si="273"/>
        <v>0</v>
      </c>
      <c r="V1422" s="123">
        <f>T1422-U1422</f>
        <v>0</v>
      </c>
      <c r="W1422" s="122" t="str">
        <f>IF(V1422+U1422=T1422,"1","0")</f>
        <v>1</v>
      </c>
      <c r="Z1422" s="123">
        <f>X1422-Y1422</f>
        <v>0</v>
      </c>
      <c r="AA1422" s="122" t="str">
        <f>IF(Z1422+Y1422=X1422,"1","0")</f>
        <v>1</v>
      </c>
      <c r="AB1422" s="120">
        <f t="shared" si="258"/>
        <v>0</v>
      </c>
      <c r="AG1422" s="151">
        <f t="shared" si="268"/>
        <v>0</v>
      </c>
    </row>
    <row r="1423" spans="1:41" s="123" customFormat="1" ht="16.2" thickBot="1" x14ac:dyDescent="0.35">
      <c r="A1423" s="21"/>
      <c r="B1423" s="212" t="s">
        <v>322</v>
      </c>
      <c r="C1423" s="31" t="str">
        <f>VLOOKUP((CONCATENATE(B1423)),ID!$A$2:$D$305,3,0)</f>
        <v>OT054</v>
      </c>
      <c r="D1423" s="21">
        <v>1</v>
      </c>
      <c r="E1423" s="21" t="s">
        <v>3903</v>
      </c>
      <c r="F1423" s="21" t="s">
        <v>4110</v>
      </c>
      <c r="G1423" s="21" t="s">
        <v>3853</v>
      </c>
      <c r="H1423" s="88">
        <v>4749</v>
      </c>
      <c r="I1423" s="21"/>
      <c r="J1423" s="21"/>
      <c r="K1423" s="21"/>
      <c r="L1423" s="21"/>
      <c r="M1423" s="21"/>
      <c r="N1423" s="21"/>
      <c r="O1423" s="21"/>
      <c r="P1423" s="194" t="str">
        <f t="shared" si="276"/>
        <v>?</v>
      </c>
      <c r="Q1423" s="21">
        <v>1</v>
      </c>
      <c r="R1423" s="39" t="str">
        <f t="shared" si="269"/>
        <v>-</v>
      </c>
      <c r="S1423" s="120">
        <f t="shared" si="273"/>
        <v>0</v>
      </c>
      <c r="W1423" s="122"/>
      <c r="AA1423" s="122"/>
      <c r="AB1423" s="120"/>
      <c r="AG1423" s="151">
        <f t="shared" si="268"/>
        <v>0</v>
      </c>
    </row>
    <row r="1424" spans="1:41" s="123" customFormat="1" ht="16.2" thickBot="1" x14ac:dyDescent="0.35">
      <c r="A1424" s="21"/>
      <c r="B1424" s="212" t="s">
        <v>322</v>
      </c>
      <c r="C1424" s="31" t="str">
        <f>VLOOKUP((CONCATENATE(B1424)),ID!$A$2:$D$305,3,0)</f>
        <v>OT054</v>
      </c>
      <c r="D1424" s="21">
        <v>1</v>
      </c>
      <c r="E1424" s="21" t="s">
        <v>3903</v>
      </c>
      <c r="F1424" s="21" t="s">
        <v>4110</v>
      </c>
      <c r="G1424" s="21" t="s">
        <v>3853</v>
      </c>
      <c r="H1424" s="88">
        <v>5144</v>
      </c>
      <c r="I1424" s="43">
        <v>5193</v>
      </c>
      <c r="J1424" s="43">
        <v>5193</v>
      </c>
      <c r="K1424" s="21">
        <v>0</v>
      </c>
      <c r="L1424" s="21"/>
      <c r="M1424" s="21"/>
      <c r="N1424" s="43">
        <v>5203</v>
      </c>
      <c r="O1424" s="21" t="s">
        <v>4111</v>
      </c>
      <c r="P1424" s="194" t="str">
        <f t="shared" si="276"/>
        <v>?</v>
      </c>
      <c r="Q1424" s="21">
        <v>1</v>
      </c>
      <c r="R1424" s="39" t="str">
        <f t="shared" si="269"/>
        <v>-</v>
      </c>
      <c r="S1424" s="120">
        <f t="shared" si="273"/>
        <v>1031921</v>
      </c>
      <c r="T1424" s="123">
        <v>1629523</v>
      </c>
      <c r="U1424" s="123">
        <f>271410+15705+15515+175251+579285</f>
        <v>1057166</v>
      </c>
      <c r="V1424" s="123">
        <f>T1424-U1424</f>
        <v>572357</v>
      </c>
      <c r="W1424" s="122" t="str">
        <f>IF(V1424+U1424=T1424,"1","0")</f>
        <v>1</v>
      </c>
      <c r="X1424" s="123">
        <f>500000+57983+39619</f>
        <v>597602</v>
      </c>
      <c r="Y1424" s="123">
        <v>500000</v>
      </c>
      <c r="Z1424" s="123">
        <f>X1424-Y1424</f>
        <v>97602</v>
      </c>
      <c r="AA1424" s="122" t="str">
        <f>IF(Z1424+Y1424=X1424,"1","0")</f>
        <v>1</v>
      </c>
      <c r="AB1424" s="120">
        <f t="shared" si="258"/>
        <v>500000</v>
      </c>
      <c r="AC1424" s="123">
        <v>0</v>
      </c>
      <c r="AD1424" s="123">
        <v>500000</v>
      </c>
      <c r="AG1424" s="151">
        <f t="shared" si="268"/>
        <v>0</v>
      </c>
    </row>
    <row r="1425" spans="1:41" s="123" customFormat="1" ht="16.2" thickBot="1" x14ac:dyDescent="0.35">
      <c r="A1425" s="21"/>
      <c r="B1425" s="212" t="s">
        <v>311</v>
      </c>
      <c r="C1425" s="31" t="str">
        <f>VLOOKUP((CONCATENATE(B1425)),ID!$A$2:$D$305,3,0)</f>
        <v>SP008</v>
      </c>
      <c r="D1425" s="21">
        <v>1</v>
      </c>
      <c r="E1425" s="21" t="s">
        <v>3960</v>
      </c>
      <c r="F1425" s="21" t="s">
        <v>1117</v>
      </c>
      <c r="G1425" s="21" t="s">
        <v>3853</v>
      </c>
      <c r="H1425" s="88">
        <v>3653</v>
      </c>
      <c r="I1425" s="21"/>
      <c r="J1425" s="21"/>
      <c r="K1425" s="21"/>
      <c r="L1425" s="21"/>
      <c r="M1425" s="21"/>
      <c r="N1425" s="21"/>
      <c r="O1425" s="21"/>
      <c r="P1425" s="194" t="str">
        <f t="shared" si="276"/>
        <v>?</v>
      </c>
      <c r="Q1425" s="21">
        <v>1</v>
      </c>
      <c r="R1425" s="39" t="str">
        <f t="shared" si="269"/>
        <v>-</v>
      </c>
      <c r="S1425" s="120">
        <f t="shared" si="273"/>
        <v>0</v>
      </c>
      <c r="W1425" s="122"/>
      <c r="AA1425" s="122"/>
      <c r="AB1425" s="120"/>
      <c r="AG1425" s="151">
        <f t="shared" si="268"/>
        <v>0</v>
      </c>
    </row>
    <row r="1426" spans="1:41" s="123" customFormat="1" ht="16.2" thickBot="1" x14ac:dyDescent="0.35">
      <c r="A1426" s="21">
        <v>243.1</v>
      </c>
      <c r="B1426" s="212" t="s">
        <v>311</v>
      </c>
      <c r="C1426" s="31" t="str">
        <f>VLOOKUP((CONCATENATE(B1426)),ID!$A$2:$D$305,3,0)</f>
        <v>SP008</v>
      </c>
      <c r="D1426" s="21">
        <v>1</v>
      </c>
      <c r="E1426" s="21" t="s">
        <v>3960</v>
      </c>
      <c r="F1426" s="21" t="s">
        <v>1117</v>
      </c>
      <c r="G1426" s="21" t="s">
        <v>3853</v>
      </c>
      <c r="H1426" s="88">
        <v>4018</v>
      </c>
      <c r="I1426" s="43">
        <v>4154</v>
      </c>
      <c r="J1426" s="43">
        <v>4147</v>
      </c>
      <c r="K1426" s="21">
        <v>1</v>
      </c>
      <c r="L1426" s="43">
        <v>4153</v>
      </c>
      <c r="M1426" s="43">
        <v>4172</v>
      </c>
      <c r="N1426" s="43">
        <v>4168</v>
      </c>
      <c r="O1426" s="51" t="s">
        <v>4000</v>
      </c>
      <c r="P1426" s="194" t="str">
        <f t="shared" si="276"/>
        <v>1</v>
      </c>
      <c r="Q1426" s="21">
        <v>1</v>
      </c>
      <c r="R1426" s="39" t="str">
        <f t="shared" si="269"/>
        <v>-</v>
      </c>
      <c r="S1426" s="120">
        <f t="shared" si="273"/>
        <v>3655059</v>
      </c>
      <c r="T1426" s="123">
        <v>5494321</v>
      </c>
      <c r="U1426" s="123">
        <f>57563+6854+1441780+571348+92694+250448+2339915</f>
        <v>4760602</v>
      </c>
      <c r="V1426" s="123">
        <f>T1426-U1426</f>
        <v>733719</v>
      </c>
      <c r="W1426" s="122" t="str">
        <f>IF(V1426+U1426=T1426,"1","0")</f>
        <v>1</v>
      </c>
      <c r="X1426" s="123">
        <f>1008894+3100+20232+7373+452489+347079+95</f>
        <v>1839262</v>
      </c>
      <c r="Y1426" s="123">
        <f>AB1426</f>
        <v>1011994</v>
      </c>
      <c r="Z1426" s="123">
        <f>X1426-Y1426</f>
        <v>827268</v>
      </c>
      <c r="AA1426" s="122" t="str">
        <f>IF(Z1426+Y1426=X1426,"1","0")</f>
        <v>1</v>
      </c>
      <c r="AB1426" s="120">
        <f t="shared" si="258"/>
        <v>1011994</v>
      </c>
      <c r="AC1426" s="123">
        <v>0</v>
      </c>
      <c r="AD1426" s="123">
        <f>1008894+3100</f>
        <v>1011994</v>
      </c>
      <c r="AE1426" s="123">
        <v>199128</v>
      </c>
      <c r="AG1426" s="151">
        <f t="shared" si="268"/>
        <v>90420</v>
      </c>
      <c r="AH1426" s="123">
        <v>90420</v>
      </c>
      <c r="AJ1426" s="123">
        <f>28368+10800</f>
        <v>39168</v>
      </c>
      <c r="AO1426" s="123">
        <f>141841+24000</f>
        <v>165841</v>
      </c>
    </row>
    <row r="1427" spans="1:41" s="123" customFormat="1" ht="16.2" thickBot="1" x14ac:dyDescent="0.35">
      <c r="A1427" s="21">
        <v>243.2</v>
      </c>
      <c r="B1427" s="212" t="s">
        <v>311</v>
      </c>
      <c r="C1427" s="31" t="str">
        <f>VLOOKUP((CONCATENATE(B1427)),ID!$A$2:$D$305,3,0)</f>
        <v>SP008</v>
      </c>
      <c r="D1427" s="21">
        <v>1</v>
      </c>
      <c r="E1427" s="21" t="s">
        <v>3960</v>
      </c>
      <c r="F1427" s="21" t="s">
        <v>1117</v>
      </c>
      <c r="G1427" s="21" t="s">
        <v>3853</v>
      </c>
      <c r="H1427" s="88">
        <v>4383</v>
      </c>
      <c r="I1427" s="21"/>
      <c r="J1427" s="21"/>
      <c r="K1427" s="21"/>
      <c r="L1427" s="21"/>
      <c r="M1427" s="21"/>
      <c r="N1427" s="21"/>
      <c r="O1427" s="51" t="s">
        <v>4000</v>
      </c>
      <c r="P1427" s="194" t="str">
        <f t="shared" si="276"/>
        <v>?</v>
      </c>
      <c r="Q1427" s="21">
        <v>1</v>
      </c>
      <c r="R1427" s="39" t="str">
        <f t="shared" si="269"/>
        <v>-</v>
      </c>
      <c r="S1427" s="120">
        <f t="shared" si="273"/>
        <v>0</v>
      </c>
      <c r="V1427" s="123">
        <f>T1427-U1427</f>
        <v>0</v>
      </c>
      <c r="W1427" s="122" t="str">
        <f>IF(V1427+U1427=T1427,"1","0")</f>
        <v>1</v>
      </c>
      <c r="Z1427" s="123">
        <f>X1427-Y1427</f>
        <v>0</v>
      </c>
      <c r="AA1427" s="122" t="str">
        <f>IF(Z1427+Y1427=X1427,"1","0")</f>
        <v>1</v>
      </c>
      <c r="AB1427" s="120">
        <f t="shared" si="258"/>
        <v>0</v>
      </c>
      <c r="AG1427" s="151">
        <f t="shared" si="268"/>
        <v>0</v>
      </c>
    </row>
    <row r="1428" spans="1:41" s="123" customFormat="1" ht="16.2" thickBot="1" x14ac:dyDescent="0.35">
      <c r="A1428" s="21"/>
      <c r="B1428" s="212" t="s">
        <v>311</v>
      </c>
      <c r="C1428" s="31" t="str">
        <f>VLOOKUP((CONCATENATE(B1428)),ID!$A$2:$D$305,3,0)</f>
        <v>SP008</v>
      </c>
      <c r="D1428" s="21">
        <v>1</v>
      </c>
      <c r="E1428" s="21" t="s">
        <v>3960</v>
      </c>
      <c r="F1428" s="21" t="s">
        <v>1117</v>
      </c>
      <c r="G1428" s="21" t="s">
        <v>3853</v>
      </c>
      <c r="H1428" s="88">
        <v>4749</v>
      </c>
      <c r="I1428" s="21"/>
      <c r="J1428" s="21"/>
      <c r="K1428" s="21"/>
      <c r="L1428" s="21"/>
      <c r="M1428" s="21"/>
      <c r="N1428" s="21"/>
      <c r="O1428" s="51"/>
      <c r="P1428" s="194" t="str">
        <f t="shared" si="276"/>
        <v>?</v>
      </c>
      <c r="Q1428" s="21">
        <v>1</v>
      </c>
      <c r="R1428" s="39" t="str">
        <f t="shared" si="269"/>
        <v>-</v>
      </c>
      <c r="S1428" s="120">
        <f t="shared" si="273"/>
        <v>0</v>
      </c>
      <c r="V1428" s="123">
        <f t="shared" ref="V1428:V1459" si="277">T1428-U1428</f>
        <v>0</v>
      </c>
      <c r="W1428" s="122" t="str">
        <f t="shared" ref="W1428:W1459" si="278">IF(V1428+U1428=T1428,"1","0")</f>
        <v>1</v>
      </c>
      <c r="Z1428" s="123">
        <f t="shared" ref="Z1428:Z1459" si="279">X1428-Y1428</f>
        <v>0</v>
      </c>
      <c r="AA1428" s="122" t="str">
        <f t="shared" ref="AA1428:AA1459" si="280">IF(Z1428+Y1428=X1428,"1","0")</f>
        <v>1</v>
      </c>
      <c r="AB1428" s="120">
        <f t="shared" ref="AB1428:AB1459" si="281">SUM(AC1428+AD1428)</f>
        <v>0</v>
      </c>
      <c r="AG1428" s="151">
        <f t="shared" si="268"/>
        <v>0</v>
      </c>
    </row>
    <row r="1429" spans="1:41" s="123" customFormat="1" ht="16.2" thickBot="1" x14ac:dyDescent="0.35">
      <c r="A1429" s="21"/>
      <c r="B1429" s="212" t="s">
        <v>311</v>
      </c>
      <c r="C1429" s="31" t="str">
        <f>VLOOKUP((CONCATENATE(B1429)),ID!$A$2:$D$305,3,0)</f>
        <v>SP008</v>
      </c>
      <c r="D1429" s="21">
        <v>1</v>
      </c>
      <c r="E1429" s="21" t="s">
        <v>3960</v>
      </c>
      <c r="F1429" s="21" t="s">
        <v>1117</v>
      </c>
      <c r="G1429" s="21" t="s">
        <v>3853</v>
      </c>
      <c r="H1429" s="88">
        <v>5114</v>
      </c>
      <c r="I1429" s="21"/>
      <c r="J1429" s="21"/>
      <c r="K1429" s="21"/>
      <c r="L1429" s="21"/>
      <c r="M1429" s="21"/>
      <c r="N1429" s="21"/>
      <c r="O1429" s="51"/>
      <c r="P1429" s="194" t="str">
        <f t="shared" si="276"/>
        <v>?</v>
      </c>
      <c r="Q1429" s="21">
        <v>1</v>
      </c>
      <c r="R1429" s="39" t="str">
        <f t="shared" si="269"/>
        <v>-</v>
      </c>
      <c r="S1429" s="120">
        <f t="shared" si="273"/>
        <v>0</v>
      </c>
      <c r="V1429" s="123">
        <f t="shared" si="277"/>
        <v>0</v>
      </c>
      <c r="W1429" s="122" t="str">
        <f t="shared" si="278"/>
        <v>1</v>
      </c>
      <c r="Z1429" s="123">
        <f t="shared" si="279"/>
        <v>0</v>
      </c>
      <c r="AA1429" s="122" t="str">
        <f t="shared" si="280"/>
        <v>1</v>
      </c>
      <c r="AB1429" s="120">
        <f t="shared" si="281"/>
        <v>0</v>
      </c>
      <c r="AG1429" s="151">
        <f t="shared" si="268"/>
        <v>0</v>
      </c>
    </row>
    <row r="1430" spans="1:41" s="138" customFormat="1" ht="16.2" thickBot="1" x14ac:dyDescent="0.35">
      <c r="A1430" s="77"/>
      <c r="B1430" s="212" t="s">
        <v>259</v>
      </c>
      <c r="C1430" s="31" t="str">
        <f>VLOOKUP((CONCATENATE(B1430)),ID!$A$2:$D$305,3,0)</f>
        <v>FO001</v>
      </c>
      <c r="D1430" s="21">
        <v>1</v>
      </c>
      <c r="E1430" s="21" t="s">
        <v>4001</v>
      </c>
      <c r="F1430" s="21" t="s">
        <v>1117</v>
      </c>
      <c r="G1430" s="21" t="s">
        <v>4002</v>
      </c>
      <c r="H1430" s="88">
        <v>3834</v>
      </c>
      <c r="I1430" s="108">
        <v>3992</v>
      </c>
      <c r="J1430" s="108">
        <v>3992</v>
      </c>
      <c r="K1430" s="77">
        <v>1</v>
      </c>
      <c r="L1430" s="108">
        <v>3996</v>
      </c>
      <c r="M1430" s="108">
        <v>4009</v>
      </c>
      <c r="N1430" s="108">
        <v>4009</v>
      </c>
      <c r="O1430" s="172"/>
      <c r="P1430" s="194">
        <v>1</v>
      </c>
      <c r="Q1430" s="21">
        <v>1</v>
      </c>
      <c r="R1430" s="39" t="str">
        <f t="shared" si="269"/>
        <v>-</v>
      </c>
      <c r="S1430" s="120">
        <f t="shared" si="273"/>
        <v>17403265</v>
      </c>
      <c r="T1430" s="138">
        <v>22895885</v>
      </c>
      <c r="U1430" s="138">
        <f>T1430-V1430</f>
        <v>22843666</v>
      </c>
      <c r="V1430" s="123">
        <f>13289+38930</f>
        <v>52219</v>
      </c>
      <c r="W1430" s="122" t="str">
        <f t="shared" si="278"/>
        <v>1</v>
      </c>
      <c r="X1430" s="138">
        <f>Y1430+46340+25206+54000+4474+AC1430</f>
        <v>5492620</v>
      </c>
      <c r="Y1430" s="138">
        <f>AD1430</f>
        <v>5348600</v>
      </c>
      <c r="Z1430" s="123">
        <f t="shared" si="279"/>
        <v>144020</v>
      </c>
      <c r="AA1430" s="122" t="str">
        <f t="shared" si="280"/>
        <v>1</v>
      </c>
      <c r="AB1430" s="120">
        <f t="shared" si="281"/>
        <v>5362600</v>
      </c>
      <c r="AC1430" s="138">
        <v>14000</v>
      </c>
      <c r="AD1430" s="138">
        <v>5348600</v>
      </c>
      <c r="AE1430" s="138">
        <v>13289</v>
      </c>
      <c r="AG1430" s="151">
        <f t="shared" si="268"/>
        <v>91274</v>
      </c>
      <c r="AH1430" s="138">
        <f>298320-195635-AK1430+AL1430</f>
        <v>308685</v>
      </c>
      <c r="AI1430" s="138">
        <v>1411</v>
      </c>
      <c r="AK1430" s="138">
        <v>10000</v>
      </c>
      <c r="AL1430" s="138">
        <v>216000</v>
      </c>
      <c r="AO1430" s="123">
        <v>16500000</v>
      </c>
    </row>
    <row r="1431" spans="1:41" s="123" customFormat="1" ht="16.2" thickBot="1" x14ac:dyDescent="0.35">
      <c r="A1431" s="21">
        <v>245.1</v>
      </c>
      <c r="B1431" s="212" t="s">
        <v>259</v>
      </c>
      <c r="C1431" s="31" t="str">
        <f>VLOOKUP((CONCATENATE(B1431)),ID!$A$2:$D$305,3,0)</f>
        <v>FO001</v>
      </c>
      <c r="D1431" s="21">
        <v>1</v>
      </c>
      <c r="E1431" s="21" t="s">
        <v>4001</v>
      </c>
      <c r="F1431" s="21" t="s">
        <v>1117</v>
      </c>
      <c r="G1431" s="21" t="s">
        <v>4002</v>
      </c>
      <c r="H1431" s="88">
        <v>4199</v>
      </c>
      <c r="I1431" s="43">
        <v>4356</v>
      </c>
      <c r="J1431" s="43">
        <v>4351</v>
      </c>
      <c r="K1431" s="21">
        <v>1</v>
      </c>
      <c r="L1431" s="43">
        <v>4360</v>
      </c>
      <c r="M1431" s="43">
        <v>4373</v>
      </c>
      <c r="N1431" s="43">
        <v>4373</v>
      </c>
      <c r="O1431" s="21" t="s">
        <v>3828</v>
      </c>
      <c r="P1431" s="194">
        <v>1</v>
      </c>
      <c r="Q1431" s="21">
        <v>1</v>
      </c>
      <c r="R1431" s="39" t="str">
        <f t="shared" si="269"/>
        <v>-</v>
      </c>
      <c r="S1431" s="120">
        <f t="shared" si="273"/>
        <v>17525351</v>
      </c>
      <c r="T1431" s="123">
        <v>22956928</v>
      </c>
      <c r="U1431" s="138">
        <f>T1431-V1431</f>
        <v>22912540</v>
      </c>
      <c r="V1431" s="123">
        <f>25510+18878</f>
        <v>44388</v>
      </c>
      <c r="W1431" s="122" t="str">
        <f t="shared" si="278"/>
        <v>1</v>
      </c>
      <c r="X1431" s="123">
        <f>5294200+48754+3205+81000+2440+1978</f>
        <v>5431577</v>
      </c>
      <c r="Y1431" s="123">
        <f>AB1431</f>
        <v>5294200</v>
      </c>
      <c r="Z1431" s="123">
        <f t="shared" si="279"/>
        <v>137377</v>
      </c>
      <c r="AA1431" s="122" t="str">
        <f t="shared" si="280"/>
        <v>1</v>
      </c>
      <c r="AB1431" s="120">
        <f t="shared" si="281"/>
        <v>5294200</v>
      </c>
      <c r="AC1431" s="123">
        <v>0</v>
      </c>
      <c r="AD1431" s="123">
        <v>5294200</v>
      </c>
      <c r="AE1431" s="123">
        <v>18878</v>
      </c>
      <c r="AG1431" s="151">
        <f t="shared" si="268"/>
        <v>153262</v>
      </c>
      <c r="AH1431" s="123">
        <f>441317-224596+AL1431-AK1431</f>
        <v>369729</v>
      </c>
      <c r="AI1431" s="123">
        <v>467</v>
      </c>
      <c r="AK1431" s="123">
        <f>25145+37847</f>
        <v>62992</v>
      </c>
      <c r="AL1431" s="123">
        <v>216000</v>
      </c>
      <c r="AO1431" s="123">
        <v>16500000</v>
      </c>
    </row>
    <row r="1432" spans="1:41" s="123" customFormat="1" ht="16.2" thickBot="1" x14ac:dyDescent="0.35">
      <c r="A1432" s="21">
        <v>245.2</v>
      </c>
      <c r="B1432" s="212" t="s">
        <v>259</v>
      </c>
      <c r="C1432" s="31" t="str">
        <f>VLOOKUP((CONCATENATE(B1432)),ID!$A$2:$D$305,3,0)</f>
        <v>FO001</v>
      </c>
      <c r="D1432" s="21">
        <v>1</v>
      </c>
      <c r="E1432" s="21" t="s">
        <v>4001</v>
      </c>
      <c r="F1432" s="21" t="s">
        <v>1117</v>
      </c>
      <c r="G1432" s="21" t="s">
        <v>4002</v>
      </c>
      <c r="H1432" s="88">
        <v>4565</v>
      </c>
      <c r="I1432" s="43">
        <v>4720</v>
      </c>
      <c r="J1432" s="43">
        <v>4717</v>
      </c>
      <c r="K1432" s="21">
        <v>1</v>
      </c>
      <c r="L1432" s="43">
        <v>41249</v>
      </c>
      <c r="M1432" s="43">
        <v>41262</v>
      </c>
      <c r="N1432" s="43">
        <v>4737</v>
      </c>
      <c r="O1432" s="21" t="s">
        <v>3828</v>
      </c>
      <c r="P1432" s="194">
        <v>1</v>
      </c>
      <c r="Q1432" s="21">
        <v>1</v>
      </c>
      <c r="R1432" s="39" t="str">
        <f t="shared" si="269"/>
        <v>-</v>
      </c>
      <c r="S1432" s="120">
        <f t="shared" si="273"/>
        <v>17659112</v>
      </c>
      <c r="T1432" s="123">
        <v>23048680</v>
      </c>
      <c r="U1432" s="138">
        <f>T1432-V1432</f>
        <v>22935651</v>
      </c>
      <c r="V1432" s="123">
        <f>95720+5066+12243</f>
        <v>113029</v>
      </c>
      <c r="W1432" s="122" t="str">
        <f t="shared" si="278"/>
        <v>1</v>
      </c>
      <c r="X1432" s="123">
        <f>AD1432+66305+932+2512+2069+81000</f>
        <v>5389568</v>
      </c>
      <c r="Y1432" s="123">
        <f>AB1432</f>
        <v>5236750</v>
      </c>
      <c r="Z1432" s="123">
        <f t="shared" si="279"/>
        <v>152818</v>
      </c>
      <c r="AA1432" s="122" t="str">
        <f t="shared" si="280"/>
        <v>1</v>
      </c>
      <c r="AB1432" s="120">
        <f t="shared" si="281"/>
        <v>5236750</v>
      </c>
      <c r="AC1432" s="123">
        <v>0</v>
      </c>
      <c r="AD1432" s="123">
        <f>5294200-57450</f>
        <v>5236750</v>
      </c>
      <c r="AE1432" s="123">
        <f>5066+12243</f>
        <v>17309</v>
      </c>
      <c r="AG1432" s="151">
        <f t="shared" si="268"/>
        <v>136084</v>
      </c>
      <c r="AH1432" s="123">
        <f>464717-314446+AL1432-AK1432</f>
        <v>352084</v>
      </c>
      <c r="AK1432" s="123">
        <v>14187</v>
      </c>
      <c r="AL1432" s="123">
        <v>216000</v>
      </c>
      <c r="AO1432" s="123">
        <v>16500000</v>
      </c>
    </row>
    <row r="1433" spans="1:41" s="123" customFormat="1" ht="16.2" thickBot="1" x14ac:dyDescent="0.35">
      <c r="A1433" s="21"/>
      <c r="B1433" s="212" t="s">
        <v>259</v>
      </c>
      <c r="C1433" s="31" t="str">
        <f>VLOOKUP((CONCATENATE(B1433)),ID!$A$2:$D$305,3,0)</f>
        <v>FO001</v>
      </c>
      <c r="D1433" s="21">
        <v>1</v>
      </c>
      <c r="E1433" s="21" t="s">
        <v>4001</v>
      </c>
      <c r="F1433" s="21" t="s">
        <v>1117</v>
      </c>
      <c r="G1433" s="21" t="s">
        <v>4002</v>
      </c>
      <c r="H1433" s="88">
        <v>4930</v>
      </c>
      <c r="I1433" s="43">
        <v>5084</v>
      </c>
      <c r="J1433" s="43">
        <v>5080</v>
      </c>
      <c r="K1433" s="21">
        <v>1</v>
      </c>
      <c r="L1433" s="43">
        <v>5088</v>
      </c>
      <c r="M1433" s="43">
        <v>5101</v>
      </c>
      <c r="N1433" s="43">
        <v>5101</v>
      </c>
      <c r="O1433" s="21" t="s">
        <v>4120</v>
      </c>
      <c r="P1433" s="194">
        <v>1</v>
      </c>
      <c r="Q1433" s="21">
        <v>1</v>
      </c>
      <c r="R1433" s="39" t="str">
        <f t="shared" si="269"/>
        <v>-</v>
      </c>
      <c r="S1433" s="120">
        <f t="shared" si="273"/>
        <v>17753292</v>
      </c>
      <c r="T1433" s="123">
        <v>23086615</v>
      </c>
      <c r="U1433" s="138">
        <f>T1433-V1433</f>
        <v>22966525</v>
      </c>
      <c r="V1433" s="123">
        <f>97585+22505</f>
        <v>120090</v>
      </c>
      <c r="W1433" s="122" t="str">
        <f t="shared" si="278"/>
        <v>1</v>
      </c>
      <c r="X1433" s="123">
        <f>Y1433+70867+902+81000+2501+2053</f>
        <v>5333323</v>
      </c>
      <c r="Y1433" s="123">
        <f>AD1433</f>
        <v>5176000</v>
      </c>
      <c r="Z1433" s="123">
        <f t="shared" si="279"/>
        <v>157323</v>
      </c>
      <c r="AA1433" s="122" t="str">
        <f t="shared" si="280"/>
        <v>1</v>
      </c>
      <c r="AB1433" s="120">
        <f t="shared" si="281"/>
        <v>5176000</v>
      </c>
      <c r="AC1433" s="123">
        <v>0</v>
      </c>
      <c r="AD1433" s="123">
        <v>5176000</v>
      </c>
      <c r="AE1433" s="123">
        <v>22505</v>
      </c>
      <c r="AG1433" s="151">
        <f t="shared" si="268"/>
        <v>42194</v>
      </c>
      <c r="AH1433" s="123">
        <f>437603-383892+AL1433-AK1433</f>
        <v>259113</v>
      </c>
      <c r="AI1433" s="123">
        <v>919</v>
      </c>
      <c r="AK1433" s="123">
        <v>10598</v>
      </c>
      <c r="AL1433" s="123">
        <v>216000</v>
      </c>
      <c r="AO1433" s="123">
        <v>16500000</v>
      </c>
    </row>
    <row r="1434" spans="1:41" s="123" customFormat="1" ht="16.2" thickBot="1" x14ac:dyDescent="0.35">
      <c r="A1434" s="21"/>
      <c r="B1434" s="212" t="s">
        <v>259</v>
      </c>
      <c r="C1434" s="31" t="str">
        <f>VLOOKUP((CONCATENATE(B1434)),ID!$A$2:$D$305,3,0)</f>
        <v>FO001</v>
      </c>
      <c r="D1434" s="21">
        <v>1</v>
      </c>
      <c r="E1434" s="21" t="s">
        <v>4001</v>
      </c>
      <c r="F1434" s="21" t="s">
        <v>1117</v>
      </c>
      <c r="G1434" s="21" t="s">
        <v>4002</v>
      </c>
      <c r="H1434" s="88">
        <v>5295</v>
      </c>
      <c r="I1434" s="43">
        <v>5455</v>
      </c>
      <c r="J1434" s="43">
        <v>5452</v>
      </c>
      <c r="K1434" s="21">
        <v>1</v>
      </c>
      <c r="L1434" s="43">
        <v>5464</v>
      </c>
      <c r="M1434" s="43">
        <v>5477</v>
      </c>
      <c r="N1434" s="43">
        <v>5477</v>
      </c>
      <c r="O1434" s="21" t="s">
        <v>4120</v>
      </c>
      <c r="P1434" s="194">
        <v>1</v>
      </c>
      <c r="Q1434" s="21">
        <v>1</v>
      </c>
      <c r="R1434" s="39" t="str">
        <f t="shared" si="269"/>
        <v>-</v>
      </c>
      <c r="S1434" s="120">
        <f t="shared" si="273"/>
        <v>17870808</v>
      </c>
      <c r="T1434" s="123">
        <v>23199991</v>
      </c>
      <c r="U1434" s="138">
        <f>T1434-V1434</f>
        <v>23016641</v>
      </c>
      <c r="V1434" s="123">
        <f>22149+161201</f>
        <v>183350</v>
      </c>
      <c r="W1434" s="122" t="str">
        <f t="shared" si="278"/>
        <v>1</v>
      </c>
      <c r="X1434" s="123">
        <f>Y1434+116049+14780+81000+2789+2815</f>
        <v>5329183</v>
      </c>
      <c r="Y1434" s="123">
        <f t="shared" ref="Y1434:Y1445" si="282">AB1434</f>
        <v>5111750</v>
      </c>
      <c r="Z1434" s="123">
        <f t="shared" si="279"/>
        <v>217433</v>
      </c>
      <c r="AA1434" s="122" t="str">
        <f t="shared" si="280"/>
        <v>1</v>
      </c>
      <c r="AB1434" s="120">
        <f t="shared" si="281"/>
        <v>5111750</v>
      </c>
      <c r="AC1434" s="123">
        <v>0</v>
      </c>
      <c r="AD1434" s="123">
        <v>5111750</v>
      </c>
      <c r="AE1434" s="123">
        <v>22149</v>
      </c>
      <c r="AG1434" s="151">
        <f t="shared" si="268"/>
        <v>42293</v>
      </c>
      <c r="AH1434" s="123">
        <f>409543-361086+AL1434-AK1434</f>
        <v>264457</v>
      </c>
      <c r="AI1434" s="123">
        <v>6164</v>
      </c>
      <c r="AL1434" s="123">
        <v>216000</v>
      </c>
      <c r="AO1434" s="123">
        <v>16500000</v>
      </c>
    </row>
    <row r="1435" spans="1:41" s="123" customFormat="1" ht="16.2" thickBot="1" x14ac:dyDescent="0.35">
      <c r="A1435" s="21"/>
      <c r="B1435" s="212" t="s">
        <v>281</v>
      </c>
      <c r="C1435" s="31" t="str">
        <f>VLOOKUP((CONCATENATE(B1435)),ID!$A$2:$D$305,3,0)</f>
        <v>FO002</v>
      </c>
      <c r="D1435" s="21">
        <v>1</v>
      </c>
      <c r="E1435" s="21" t="s">
        <v>4001</v>
      </c>
      <c r="F1435" s="21" t="s">
        <v>3865</v>
      </c>
      <c r="G1435" s="21" t="s">
        <v>3862</v>
      </c>
      <c r="H1435" s="88">
        <v>3653</v>
      </c>
      <c r="I1435" s="43">
        <v>3691</v>
      </c>
      <c r="J1435" s="43">
        <v>3689</v>
      </c>
      <c r="K1435" s="21">
        <v>1</v>
      </c>
      <c r="L1435" s="43">
        <v>3687</v>
      </c>
      <c r="M1435" s="43">
        <v>3700</v>
      </c>
      <c r="N1435" s="43">
        <v>3700</v>
      </c>
      <c r="O1435" s="21" t="s">
        <v>4003</v>
      </c>
      <c r="P1435" s="194" t="str">
        <f t="shared" si="276"/>
        <v>1</v>
      </c>
      <c r="Q1435" s="21">
        <v>1</v>
      </c>
      <c r="R1435" s="39" t="str">
        <f t="shared" si="269"/>
        <v>-</v>
      </c>
      <c r="S1435" s="120">
        <f t="shared" si="273"/>
        <v>2643505</v>
      </c>
      <c r="T1435" s="123">
        <v>3887756</v>
      </c>
      <c r="U1435" s="123">
        <f>T1435-53728</f>
        <v>3834028</v>
      </c>
      <c r="V1435" s="123">
        <f t="shared" si="277"/>
        <v>53728</v>
      </c>
      <c r="W1435" s="122" t="str">
        <f t="shared" si="278"/>
        <v>1</v>
      </c>
      <c r="X1435" s="123">
        <f>Y1435+5584+6000+32667</f>
        <v>1244251</v>
      </c>
      <c r="Y1435" s="123">
        <f t="shared" si="282"/>
        <v>1200000</v>
      </c>
      <c r="Z1435" s="123">
        <f t="shared" si="279"/>
        <v>44251</v>
      </c>
      <c r="AA1435" s="122" t="str">
        <f t="shared" si="280"/>
        <v>1</v>
      </c>
      <c r="AB1435" s="120">
        <f t="shared" si="281"/>
        <v>1200000</v>
      </c>
      <c r="AC1435" s="123">
        <v>0</v>
      </c>
      <c r="AD1435" s="123">
        <v>1200000</v>
      </c>
      <c r="AG1435" s="151">
        <f t="shared" si="268"/>
        <v>139572</v>
      </c>
      <c r="AH1435" s="123">
        <f>184004+AI1435+AL1435+1624-46056</f>
        <v>187960</v>
      </c>
      <c r="AI1435" s="123">
        <v>5341</v>
      </c>
      <c r="AJ1435" s="123">
        <v>85500</v>
      </c>
      <c r="AL1435" s="123">
        <v>43047</v>
      </c>
      <c r="AO1435" s="123">
        <v>300000</v>
      </c>
    </row>
    <row r="1436" spans="1:41" s="123" customFormat="1" ht="16.2" thickBot="1" x14ac:dyDescent="0.35">
      <c r="A1436" s="21">
        <v>246.1</v>
      </c>
      <c r="B1436" s="212" t="s">
        <v>281</v>
      </c>
      <c r="C1436" s="31" t="str">
        <f>VLOOKUP((CONCATENATE(B1436)),ID!$A$2:$D$305,3,0)</f>
        <v>FO002</v>
      </c>
      <c r="D1436" s="21">
        <v>1</v>
      </c>
      <c r="E1436" s="21" t="s">
        <v>4001</v>
      </c>
      <c r="F1436" s="21" t="s">
        <v>3865</v>
      </c>
      <c r="G1436" s="21" t="s">
        <v>3862</v>
      </c>
      <c r="H1436" s="88">
        <v>4018</v>
      </c>
      <c r="I1436" s="43">
        <v>4055</v>
      </c>
      <c r="J1436" s="43">
        <v>4055</v>
      </c>
      <c r="K1436" s="21">
        <v>1</v>
      </c>
      <c r="L1436" s="43">
        <v>4051</v>
      </c>
      <c r="M1436" s="43">
        <v>4064</v>
      </c>
      <c r="N1436" s="43">
        <v>4064</v>
      </c>
      <c r="O1436" s="21" t="s">
        <v>4003</v>
      </c>
      <c r="P1436" s="194" t="str">
        <f t="shared" si="276"/>
        <v>1</v>
      </c>
      <c r="Q1436" s="21">
        <v>1</v>
      </c>
      <c r="R1436" s="39" t="str">
        <f t="shared" si="269"/>
        <v>-</v>
      </c>
      <c r="S1436" s="120">
        <f t="shared" si="273"/>
        <v>2658983</v>
      </c>
      <c r="T1436" s="123">
        <v>3913986</v>
      </c>
      <c r="U1436" s="123">
        <v>3881586</v>
      </c>
      <c r="V1436" s="123">
        <f t="shared" si="277"/>
        <v>32400</v>
      </c>
      <c r="W1436" s="122" t="str">
        <f t="shared" si="278"/>
        <v>1</v>
      </c>
      <c r="X1436" s="123">
        <f>Y1436+30500+5284+5650+13879</f>
        <v>1255003</v>
      </c>
      <c r="Y1436" s="123">
        <f t="shared" si="282"/>
        <v>1199690</v>
      </c>
      <c r="Z1436" s="123">
        <f t="shared" si="279"/>
        <v>55313</v>
      </c>
      <c r="AA1436" s="122" t="str">
        <f t="shared" si="280"/>
        <v>1</v>
      </c>
      <c r="AB1436" s="120">
        <f t="shared" si="281"/>
        <v>1199690</v>
      </c>
      <c r="AC1436" s="123">
        <v>0</v>
      </c>
      <c r="AD1436" s="123">
        <v>1199690</v>
      </c>
      <c r="AE1436" s="132"/>
      <c r="AG1436" s="151">
        <f t="shared" si="268"/>
        <v>145227</v>
      </c>
      <c r="AH1436" s="123">
        <f>145227+AI1436+AL1436</f>
        <v>197432</v>
      </c>
      <c r="AI1436" s="123">
        <v>10882</v>
      </c>
      <c r="AJ1436" s="123">
        <v>45200</v>
      </c>
      <c r="AL1436" s="123">
        <v>41323</v>
      </c>
      <c r="AO1436" s="123">
        <v>300000</v>
      </c>
    </row>
    <row r="1437" spans="1:41" s="123" customFormat="1" ht="16.2" thickBot="1" x14ac:dyDescent="0.35">
      <c r="A1437" s="21">
        <v>246.2</v>
      </c>
      <c r="B1437" s="212" t="s">
        <v>281</v>
      </c>
      <c r="C1437" s="31" t="str">
        <f>VLOOKUP((CONCATENATE(B1437)),ID!$A$2:$D$305,3,0)</f>
        <v>FO002</v>
      </c>
      <c r="D1437" s="21">
        <v>1</v>
      </c>
      <c r="E1437" s="21" t="s">
        <v>4001</v>
      </c>
      <c r="F1437" s="21" t="s">
        <v>3865</v>
      </c>
      <c r="G1437" s="21" t="s">
        <v>3862</v>
      </c>
      <c r="H1437" s="88">
        <v>4383</v>
      </c>
      <c r="I1437" s="43">
        <v>40948</v>
      </c>
      <c r="J1437" s="43">
        <v>4423</v>
      </c>
      <c r="K1437" s="21">
        <v>0</v>
      </c>
      <c r="L1437" s="21"/>
      <c r="M1437" s="21"/>
      <c r="N1437" s="43">
        <v>4435</v>
      </c>
      <c r="O1437" s="21" t="s">
        <v>4003</v>
      </c>
      <c r="P1437" s="194" t="str">
        <f t="shared" si="276"/>
        <v>1</v>
      </c>
      <c r="Q1437" s="21">
        <v>1</v>
      </c>
      <c r="R1437" s="39" t="str">
        <f t="shared" si="269"/>
        <v>-</v>
      </c>
      <c r="S1437" s="120">
        <f t="shared" si="273"/>
        <v>2715976</v>
      </c>
      <c r="T1437" s="123">
        <v>3933447</v>
      </c>
      <c r="U1437" s="123">
        <v>3911007</v>
      </c>
      <c r="V1437" s="123">
        <f t="shared" si="277"/>
        <v>22440</v>
      </c>
      <c r="W1437" s="122" t="str">
        <f t="shared" si="278"/>
        <v>1</v>
      </c>
      <c r="X1437" s="123">
        <f>Y1437+5257+5650+13804</f>
        <v>1217471</v>
      </c>
      <c r="Y1437" s="123">
        <f t="shared" si="282"/>
        <v>1192760</v>
      </c>
      <c r="Z1437" s="123">
        <f t="shared" si="279"/>
        <v>24711</v>
      </c>
      <c r="AA1437" s="122" t="str">
        <f t="shared" si="280"/>
        <v>1</v>
      </c>
      <c r="AB1437" s="120">
        <f t="shared" si="281"/>
        <v>1192760</v>
      </c>
      <c r="AC1437" s="123">
        <v>0</v>
      </c>
      <c r="AD1437" s="123">
        <v>1192760</v>
      </c>
      <c r="AE1437" s="132"/>
      <c r="AG1437" s="151">
        <f t="shared" si="268"/>
        <v>213958</v>
      </c>
      <c r="AH1437" s="123">
        <f>213958+AI1437+AL1437</f>
        <v>266958</v>
      </c>
      <c r="AI1437" s="123">
        <v>11987</v>
      </c>
      <c r="AJ1437" s="123">
        <v>45200</v>
      </c>
      <c r="AL1437" s="123">
        <v>41013</v>
      </c>
      <c r="AO1437" s="123">
        <v>300000</v>
      </c>
    </row>
    <row r="1438" spans="1:41" s="123" customFormat="1" ht="16.2" thickBot="1" x14ac:dyDescent="0.35">
      <c r="A1438" s="21"/>
      <c r="B1438" s="212" t="s">
        <v>281</v>
      </c>
      <c r="C1438" s="31" t="str">
        <f>VLOOKUP((CONCATENATE(B1438)),ID!$A$2:$D$305,3,0)</f>
        <v>FO002</v>
      </c>
      <c r="D1438" s="21">
        <v>1</v>
      </c>
      <c r="E1438" s="21" t="s">
        <v>4001</v>
      </c>
      <c r="F1438" s="21" t="s">
        <v>3865</v>
      </c>
      <c r="G1438" s="21" t="s">
        <v>3862</v>
      </c>
      <c r="H1438" s="88">
        <v>4749</v>
      </c>
      <c r="I1438" s="43">
        <v>4783</v>
      </c>
      <c r="J1438" s="43">
        <v>4781</v>
      </c>
      <c r="K1438" s="21">
        <v>1</v>
      </c>
      <c r="L1438" s="43">
        <v>4779</v>
      </c>
      <c r="M1438" s="43">
        <v>4792</v>
      </c>
      <c r="N1438" s="43">
        <v>4792</v>
      </c>
      <c r="O1438" s="21" t="s">
        <v>4003</v>
      </c>
      <c r="P1438" s="194" t="str">
        <f t="shared" si="276"/>
        <v>1</v>
      </c>
      <c r="Q1438" s="21">
        <v>1</v>
      </c>
      <c r="R1438" s="39" t="str">
        <f t="shared" si="269"/>
        <v>-</v>
      </c>
      <c r="S1438" s="120">
        <f t="shared" si="273"/>
        <v>2743984</v>
      </c>
      <c r="T1438" s="123">
        <v>4014630</v>
      </c>
      <c r="U1438" s="123">
        <v>4001763</v>
      </c>
      <c r="V1438" s="123">
        <f t="shared" si="277"/>
        <v>12867</v>
      </c>
      <c r="W1438" s="122" t="str">
        <f t="shared" si="278"/>
        <v>1</v>
      </c>
      <c r="X1438" s="123">
        <f>Y1438+5292+5650+59704</f>
        <v>1270646</v>
      </c>
      <c r="Y1438" s="123">
        <f t="shared" si="282"/>
        <v>1200000</v>
      </c>
      <c r="Z1438" s="123">
        <f t="shared" si="279"/>
        <v>70646</v>
      </c>
      <c r="AA1438" s="122" t="str">
        <f t="shared" si="280"/>
        <v>1</v>
      </c>
      <c r="AB1438" s="120">
        <f t="shared" si="281"/>
        <v>1200000</v>
      </c>
      <c r="AC1438" s="123">
        <v>0</v>
      </c>
      <c r="AD1438" s="123">
        <v>1200000</v>
      </c>
      <c r="AE1438" s="132"/>
      <c r="AG1438" s="151">
        <f t="shared" si="268"/>
        <v>156758</v>
      </c>
      <c r="AH1438" s="123">
        <f>156758+AI1438+AL1438</f>
        <v>209677</v>
      </c>
      <c r="AI1438" s="123">
        <v>12231</v>
      </c>
      <c r="AJ1438" s="123">
        <v>45200</v>
      </c>
      <c r="AL1438" s="123">
        <v>40688</v>
      </c>
      <c r="AO1438" s="123">
        <v>300000</v>
      </c>
    </row>
    <row r="1439" spans="1:41" s="123" customFormat="1" ht="16.2" thickBot="1" x14ac:dyDescent="0.35">
      <c r="A1439" s="21"/>
      <c r="B1439" s="212" t="s">
        <v>281</v>
      </c>
      <c r="C1439" s="31" t="str">
        <f>VLOOKUP((CONCATENATE(B1439)),ID!$A$2:$D$305,3,0)</f>
        <v>FO002</v>
      </c>
      <c r="D1439" s="21">
        <v>1</v>
      </c>
      <c r="E1439" s="21" t="s">
        <v>4001</v>
      </c>
      <c r="F1439" s="21" t="s">
        <v>3865</v>
      </c>
      <c r="G1439" s="21" t="s">
        <v>3862</v>
      </c>
      <c r="H1439" s="88">
        <v>5114</v>
      </c>
      <c r="I1439" s="43">
        <v>5152</v>
      </c>
      <c r="J1439" s="43">
        <v>5151</v>
      </c>
      <c r="K1439" s="21">
        <v>1</v>
      </c>
      <c r="L1439" s="43">
        <v>5150</v>
      </c>
      <c r="M1439" s="43">
        <v>5163</v>
      </c>
      <c r="N1439" s="43">
        <v>5163</v>
      </c>
      <c r="O1439" s="21" t="s">
        <v>4003</v>
      </c>
      <c r="P1439" s="194" t="str">
        <f t="shared" si="276"/>
        <v>1</v>
      </c>
      <c r="Q1439" s="21">
        <v>1</v>
      </c>
      <c r="R1439" s="39" t="str">
        <f t="shared" si="269"/>
        <v>-</v>
      </c>
      <c r="S1439" s="120">
        <f t="shared" si="273"/>
        <v>2959114</v>
      </c>
      <c r="T1439" s="123">
        <v>4229521</v>
      </c>
      <c r="U1439" s="123">
        <v>4174949</v>
      </c>
      <c r="V1439" s="123">
        <f t="shared" si="277"/>
        <v>54572</v>
      </c>
      <c r="W1439" s="122" t="str">
        <f t="shared" si="278"/>
        <v>1</v>
      </c>
      <c r="X1439" s="123">
        <f>Y1439+3100+5505+5650+16492</f>
        <v>1270407</v>
      </c>
      <c r="Y1439" s="123">
        <f t="shared" si="282"/>
        <v>1239660</v>
      </c>
      <c r="Z1439" s="123">
        <f t="shared" si="279"/>
        <v>30747</v>
      </c>
      <c r="AA1439" s="122" t="str">
        <f t="shared" si="280"/>
        <v>1</v>
      </c>
      <c r="AB1439" s="120">
        <f t="shared" si="281"/>
        <v>1239660</v>
      </c>
      <c r="AC1439" s="123">
        <v>0</v>
      </c>
      <c r="AD1439" s="123">
        <v>1239660</v>
      </c>
      <c r="AE1439" s="123">
        <v>52061</v>
      </c>
      <c r="AG1439" s="151">
        <f t="shared" ref="AG1439:AG1505" si="283">AH1439-AL1439-AI1439</f>
        <v>160926</v>
      </c>
      <c r="AH1439" s="123">
        <f>160926+AI1439+AL1439</f>
        <v>215380</v>
      </c>
      <c r="AI1439" s="123">
        <v>12611</v>
      </c>
      <c r="AJ1439" s="123">
        <v>45200</v>
      </c>
      <c r="AL1439" s="123">
        <v>41843</v>
      </c>
      <c r="AO1439" s="123">
        <v>350000</v>
      </c>
    </row>
    <row r="1440" spans="1:41" s="123" customFormat="1" ht="16.2" thickBot="1" x14ac:dyDescent="0.35">
      <c r="A1440" s="21"/>
      <c r="B1440" s="212" t="s">
        <v>282</v>
      </c>
      <c r="C1440" s="31" t="str">
        <f>VLOOKUP((CONCATENATE(B1440)),ID!$A$2:$D$305,3,0)</f>
        <v>FO003</v>
      </c>
      <c r="D1440" s="21">
        <v>1</v>
      </c>
      <c r="E1440" s="21" t="s">
        <v>4001</v>
      </c>
      <c r="F1440" s="21" t="s">
        <v>3865</v>
      </c>
      <c r="G1440" s="21" t="s">
        <v>3862</v>
      </c>
      <c r="H1440" s="88">
        <v>3804</v>
      </c>
      <c r="I1440" s="43">
        <v>3845</v>
      </c>
      <c r="J1440" s="43">
        <v>3845</v>
      </c>
      <c r="K1440" s="21">
        <v>0</v>
      </c>
      <c r="L1440" s="21"/>
      <c r="M1440" s="21"/>
      <c r="N1440" s="43">
        <v>3845</v>
      </c>
      <c r="O1440" s="21" t="s">
        <v>3874</v>
      </c>
      <c r="P1440" s="194" t="str">
        <f t="shared" si="276"/>
        <v>1</v>
      </c>
      <c r="Q1440" s="21">
        <v>1</v>
      </c>
      <c r="R1440" s="39" t="str">
        <f t="shared" si="269"/>
        <v>-</v>
      </c>
      <c r="S1440" s="120">
        <f t="shared" si="273"/>
        <v>1437234</v>
      </c>
      <c r="T1440" s="123">
        <v>1750718</v>
      </c>
      <c r="U1440" s="123">
        <f>T1440-V1440</f>
        <v>1750418</v>
      </c>
      <c r="V1440" s="123">
        <v>300</v>
      </c>
      <c r="W1440" s="122" t="str">
        <f t="shared" si="278"/>
        <v>1</v>
      </c>
      <c r="X1440" s="123">
        <f>Y1440+1836+529</f>
        <v>313484</v>
      </c>
      <c r="Y1440" s="123">
        <f t="shared" si="282"/>
        <v>311119</v>
      </c>
      <c r="Z1440" s="123">
        <f t="shared" si="279"/>
        <v>2365</v>
      </c>
      <c r="AA1440" s="122" t="str">
        <f t="shared" si="280"/>
        <v>1</v>
      </c>
      <c r="AB1440" s="120">
        <f t="shared" si="281"/>
        <v>311119</v>
      </c>
      <c r="AC1440" s="123">
        <v>0</v>
      </c>
      <c r="AD1440" s="123">
        <v>311119</v>
      </c>
      <c r="AE1440" s="132"/>
      <c r="AG1440" s="151">
        <f t="shared" si="283"/>
        <v>76728</v>
      </c>
      <c r="AH1440" s="123">
        <f>76728+AI1440+AL1440</f>
        <v>100180</v>
      </c>
      <c r="AI1440" s="123">
        <v>2170</v>
      </c>
      <c r="AJ1440" s="123">
        <v>42800</v>
      </c>
      <c r="AL1440" s="123">
        <v>21282</v>
      </c>
      <c r="AO1440" s="123">
        <f>110561+39439</f>
        <v>150000</v>
      </c>
    </row>
    <row r="1441" spans="1:41" s="123" customFormat="1" ht="16.2" thickBot="1" x14ac:dyDescent="0.35">
      <c r="A1441" s="21">
        <v>247.1</v>
      </c>
      <c r="B1441" s="212" t="s">
        <v>282</v>
      </c>
      <c r="C1441" s="31" t="str">
        <f>VLOOKUP((CONCATENATE(B1441)),ID!$A$2:$D$305,3,0)</f>
        <v>FO003</v>
      </c>
      <c r="D1441" s="21">
        <v>1</v>
      </c>
      <c r="E1441" s="21" t="s">
        <v>4001</v>
      </c>
      <c r="F1441" s="21" t="s">
        <v>3865</v>
      </c>
      <c r="G1441" s="21" t="s">
        <v>3862</v>
      </c>
      <c r="H1441" s="88">
        <v>4169</v>
      </c>
      <c r="I1441" s="43">
        <v>4206</v>
      </c>
      <c r="J1441" s="43">
        <v>4206</v>
      </c>
      <c r="K1441" s="21">
        <v>0</v>
      </c>
      <c r="L1441" s="21"/>
      <c r="M1441" s="21"/>
      <c r="N1441" s="43">
        <v>4216</v>
      </c>
      <c r="O1441" s="21" t="s">
        <v>3874</v>
      </c>
      <c r="P1441" s="194" t="str">
        <f t="shared" si="276"/>
        <v>1</v>
      </c>
      <c r="Q1441" s="21">
        <v>1</v>
      </c>
      <c r="R1441" s="39" t="str">
        <f t="shared" ref="R1441:R1504" si="284">IF(Q1441=0,"?","-")</f>
        <v>-</v>
      </c>
      <c r="S1441" s="120">
        <f t="shared" si="273"/>
        <v>1491246</v>
      </c>
      <c r="T1441" s="123">
        <v>1889219</v>
      </c>
      <c r="U1441" s="123">
        <f>T1441-V1441</f>
        <v>1868642</v>
      </c>
      <c r="V1441" s="123">
        <f>20451+126</f>
        <v>20577</v>
      </c>
      <c r="W1441" s="122" t="str">
        <f t="shared" si="278"/>
        <v>1</v>
      </c>
      <c r="X1441" s="123">
        <f>394739+2583+651</f>
        <v>397973</v>
      </c>
      <c r="Y1441" s="123">
        <f t="shared" si="282"/>
        <v>394729</v>
      </c>
      <c r="Z1441" s="123">
        <f t="shared" si="279"/>
        <v>3244</v>
      </c>
      <c r="AA1441" s="122" t="str">
        <f t="shared" si="280"/>
        <v>1</v>
      </c>
      <c r="AB1441" s="120">
        <f t="shared" si="281"/>
        <v>394729</v>
      </c>
      <c r="AC1441" s="123">
        <v>0</v>
      </c>
      <c r="AD1441" s="123">
        <v>394729</v>
      </c>
      <c r="AG1441" s="151">
        <f t="shared" si="283"/>
        <v>85107</v>
      </c>
      <c r="AH1441" s="123">
        <f>85107+AI1441+AL1441</f>
        <v>103334</v>
      </c>
      <c r="AI1441" s="123">
        <v>3213</v>
      </c>
      <c r="AJ1441" s="123">
        <v>52023</v>
      </c>
      <c r="AL1441" s="123">
        <v>15014</v>
      </c>
      <c r="AO1441" s="123">
        <f>121472+28528</f>
        <v>150000</v>
      </c>
    </row>
    <row r="1442" spans="1:41" s="123" customFormat="1" ht="16.2" thickBot="1" x14ac:dyDescent="0.35">
      <c r="A1442" s="21">
        <v>247.2</v>
      </c>
      <c r="B1442" s="212" t="s">
        <v>282</v>
      </c>
      <c r="C1442" s="31" t="str">
        <f>VLOOKUP((CONCATENATE(B1442)),ID!$A$2:$D$305,3,0)</f>
        <v>FO003</v>
      </c>
      <c r="D1442" s="21">
        <v>1</v>
      </c>
      <c r="E1442" s="21" t="s">
        <v>4001</v>
      </c>
      <c r="F1442" s="21" t="s">
        <v>3865</v>
      </c>
      <c r="G1442" s="21" t="s">
        <v>3862</v>
      </c>
      <c r="H1442" s="88">
        <v>4535</v>
      </c>
      <c r="I1442" s="43">
        <v>4571</v>
      </c>
      <c r="J1442" s="43">
        <v>4570</v>
      </c>
      <c r="K1442" s="21">
        <v>0</v>
      </c>
      <c r="L1442" s="21"/>
      <c r="M1442" s="21"/>
      <c r="N1442" s="43">
        <v>4216</v>
      </c>
      <c r="O1442" s="21" t="s">
        <v>3874</v>
      </c>
      <c r="P1442" s="194" t="str">
        <f t="shared" si="276"/>
        <v>1</v>
      </c>
      <c r="Q1442" s="21">
        <v>1</v>
      </c>
      <c r="R1442" s="39" t="str">
        <f t="shared" si="284"/>
        <v>-</v>
      </c>
      <c r="S1442" s="120">
        <f t="shared" si="273"/>
        <v>1507726</v>
      </c>
      <c r="T1442" s="123">
        <v>2073206</v>
      </c>
      <c r="U1442" s="123">
        <f>T1442-V1442</f>
        <v>2021751</v>
      </c>
      <c r="V1442" s="123">
        <f>18000+396+33059</f>
        <v>51455</v>
      </c>
      <c r="W1442" s="122" t="str">
        <f t="shared" si="278"/>
        <v>1</v>
      </c>
      <c r="X1442" s="123">
        <f>562904+1994+582</f>
        <v>565480</v>
      </c>
      <c r="Y1442" s="123">
        <f t="shared" si="282"/>
        <v>562904</v>
      </c>
      <c r="Z1442" s="123">
        <f t="shared" si="279"/>
        <v>2576</v>
      </c>
      <c r="AA1442" s="122" t="str">
        <f t="shared" si="280"/>
        <v>1</v>
      </c>
      <c r="AB1442" s="120">
        <f t="shared" si="281"/>
        <v>562904</v>
      </c>
      <c r="AC1442" s="123">
        <v>0</v>
      </c>
      <c r="AD1442" s="123">
        <v>562904</v>
      </c>
      <c r="AG1442" s="151">
        <f t="shared" si="283"/>
        <v>90029</v>
      </c>
      <c r="AH1442" s="123">
        <f>90029+AI1442+AL1442</f>
        <v>110820</v>
      </c>
      <c r="AI1442" s="123">
        <v>3070</v>
      </c>
      <c r="AJ1442" s="123">
        <v>55550</v>
      </c>
      <c r="AL1442" s="123">
        <v>17721</v>
      </c>
      <c r="AO1442" s="123">
        <f>121472+28528</f>
        <v>150000</v>
      </c>
    </row>
    <row r="1443" spans="1:41" s="123" customFormat="1" ht="16.2" thickBot="1" x14ac:dyDescent="0.35">
      <c r="A1443" s="21"/>
      <c r="B1443" s="212" t="s">
        <v>282</v>
      </c>
      <c r="C1443" s="31" t="str">
        <f>VLOOKUP((CONCATENATE(B1443)),ID!$A$2:$D$305,3,0)</f>
        <v>FO003</v>
      </c>
      <c r="D1443" s="21">
        <v>1</v>
      </c>
      <c r="E1443" s="21" t="s">
        <v>4001</v>
      </c>
      <c r="F1443" s="21" t="s">
        <v>3865</v>
      </c>
      <c r="G1443" s="21" t="s">
        <v>3862</v>
      </c>
      <c r="H1443" s="88">
        <v>4900</v>
      </c>
      <c r="I1443" s="43">
        <v>4937</v>
      </c>
      <c r="J1443" s="43">
        <v>4937</v>
      </c>
      <c r="K1443" s="21">
        <v>0</v>
      </c>
      <c r="L1443" s="21"/>
      <c r="M1443" s="21"/>
      <c r="N1443" s="43">
        <v>4947</v>
      </c>
      <c r="O1443" s="21" t="s">
        <v>3874</v>
      </c>
      <c r="P1443" s="194" t="str">
        <f t="shared" si="276"/>
        <v>1</v>
      </c>
      <c r="Q1443" s="21">
        <v>1</v>
      </c>
      <c r="R1443" s="39" t="str">
        <f t="shared" si="284"/>
        <v>-</v>
      </c>
      <c r="S1443" s="120">
        <f t="shared" si="273"/>
        <v>1527090</v>
      </c>
      <c r="T1443" s="123">
        <v>2127730</v>
      </c>
      <c r="U1443" s="123">
        <f>T1443-V1443</f>
        <v>2111210</v>
      </c>
      <c r="V1443" s="123">
        <f>524+15996</f>
        <v>16520</v>
      </c>
      <c r="W1443" s="122" t="str">
        <f t="shared" si="278"/>
        <v>1</v>
      </c>
      <c r="X1443" s="123">
        <f>Y1443+2552+779</f>
        <v>600640</v>
      </c>
      <c r="Y1443" s="123">
        <f t="shared" si="282"/>
        <v>597309</v>
      </c>
      <c r="Z1443" s="123">
        <f t="shared" si="279"/>
        <v>3331</v>
      </c>
      <c r="AA1443" s="122" t="str">
        <f t="shared" si="280"/>
        <v>1</v>
      </c>
      <c r="AB1443" s="120">
        <f t="shared" si="281"/>
        <v>597309</v>
      </c>
      <c r="AC1443" s="123">
        <v>0</v>
      </c>
      <c r="AD1443" s="123">
        <v>597309</v>
      </c>
      <c r="AG1443" s="151">
        <f t="shared" si="283"/>
        <v>95913</v>
      </c>
      <c r="AH1443" s="123">
        <f>95913+AI1443+AL1443</f>
        <v>121049</v>
      </c>
      <c r="AI1443" s="123">
        <v>2293</v>
      </c>
      <c r="AJ1443" s="123">
        <v>58550</v>
      </c>
      <c r="AL1443" s="123">
        <v>22843</v>
      </c>
      <c r="AO1443" s="123">
        <f>121472+28528</f>
        <v>150000</v>
      </c>
    </row>
    <row r="1444" spans="1:41" s="123" customFormat="1" ht="16.2" thickBot="1" x14ac:dyDescent="0.35">
      <c r="A1444" s="21"/>
      <c r="B1444" s="212" t="s">
        <v>282</v>
      </c>
      <c r="C1444" s="31" t="str">
        <f>VLOOKUP((CONCATENATE(B1444)),ID!$A$2:$D$305,3,0)</f>
        <v>FO003</v>
      </c>
      <c r="D1444" s="21">
        <v>1</v>
      </c>
      <c r="E1444" s="21" t="s">
        <v>4001</v>
      </c>
      <c r="F1444" s="21" t="s">
        <v>3865</v>
      </c>
      <c r="G1444" s="21" t="s">
        <v>3862</v>
      </c>
      <c r="H1444" s="88">
        <v>5265</v>
      </c>
      <c r="I1444" s="43">
        <v>5302</v>
      </c>
      <c r="J1444" s="43">
        <v>5298</v>
      </c>
      <c r="K1444" s="21">
        <v>0</v>
      </c>
      <c r="L1444" s="21"/>
      <c r="M1444" s="21"/>
      <c r="N1444" s="43">
        <v>5312</v>
      </c>
      <c r="O1444" s="21" t="s">
        <v>3874</v>
      </c>
      <c r="P1444" s="194" t="str">
        <f t="shared" si="276"/>
        <v>1</v>
      </c>
      <c r="Q1444" s="21">
        <v>1</v>
      </c>
      <c r="R1444" s="39" t="str">
        <f t="shared" si="284"/>
        <v>-</v>
      </c>
      <c r="S1444" s="120">
        <f t="shared" si="273"/>
        <v>1550997</v>
      </c>
      <c r="T1444" s="123">
        <v>2193098</v>
      </c>
      <c r="U1444" s="123">
        <f>T1444-V1444</f>
        <v>2185561</v>
      </c>
      <c r="V1444" s="123">
        <f>7537</f>
        <v>7537</v>
      </c>
      <c r="W1444" s="122" t="str">
        <f t="shared" si="278"/>
        <v>1</v>
      </c>
      <c r="X1444" s="123">
        <f>Y1444+2676+514+1038</f>
        <v>642101</v>
      </c>
      <c r="Y1444" s="123">
        <f t="shared" si="282"/>
        <v>637873</v>
      </c>
      <c r="Z1444" s="123">
        <f t="shared" si="279"/>
        <v>4228</v>
      </c>
      <c r="AA1444" s="122" t="str">
        <f t="shared" si="280"/>
        <v>1</v>
      </c>
      <c r="AB1444" s="120">
        <f t="shared" si="281"/>
        <v>637873</v>
      </c>
      <c r="AC1444" s="123">
        <v>0</v>
      </c>
      <c r="AD1444" s="123">
        <v>637873</v>
      </c>
      <c r="AG1444" s="151">
        <f t="shared" si="283"/>
        <v>103456</v>
      </c>
      <c r="AH1444" s="123">
        <f>103456+AI1444+AL1444</f>
        <v>130287</v>
      </c>
      <c r="AI1444" s="123">
        <v>1895</v>
      </c>
      <c r="AJ1444" s="123">
        <v>58550</v>
      </c>
      <c r="AL1444" s="123">
        <v>24936</v>
      </c>
      <c r="AO1444" s="123">
        <f>121472+28528</f>
        <v>150000</v>
      </c>
    </row>
    <row r="1445" spans="1:41" s="123" customFormat="1" ht="16.2" thickBot="1" x14ac:dyDescent="0.35">
      <c r="A1445" s="21"/>
      <c r="B1445" s="212" t="s">
        <v>283</v>
      </c>
      <c r="C1445" s="31" t="str">
        <f>VLOOKUP((CONCATENATE(B1445)),ID!$A$2:$D$305,3,0)</f>
        <v>FO004</v>
      </c>
      <c r="D1445" s="21">
        <v>1</v>
      </c>
      <c r="E1445" s="21" t="s">
        <v>4001</v>
      </c>
      <c r="F1445" s="21" t="s">
        <v>1117</v>
      </c>
      <c r="G1445" s="21" t="s">
        <v>3862</v>
      </c>
      <c r="H1445" s="88">
        <v>3834</v>
      </c>
      <c r="I1445" s="43">
        <v>3965</v>
      </c>
      <c r="J1445" s="43">
        <v>3960</v>
      </c>
      <c r="K1445" s="21">
        <v>1</v>
      </c>
      <c r="L1445" s="43">
        <v>3967</v>
      </c>
      <c r="M1445" s="43">
        <v>3975</v>
      </c>
      <c r="N1445" s="43">
        <v>3975</v>
      </c>
      <c r="O1445" s="21" t="s">
        <v>4051</v>
      </c>
      <c r="P1445" s="194" t="str">
        <f t="shared" si="276"/>
        <v>1</v>
      </c>
      <c r="Q1445" s="21">
        <v>1</v>
      </c>
      <c r="R1445" s="39" t="str">
        <f t="shared" si="284"/>
        <v>-</v>
      </c>
      <c r="S1445" s="120">
        <f t="shared" si="273"/>
        <v>1164174</v>
      </c>
      <c r="T1445" s="123">
        <v>1565806</v>
      </c>
      <c r="U1445" s="123">
        <f>T1445-4811-53705-200-55000-238-19058-11</f>
        <v>1432783</v>
      </c>
      <c r="V1445" s="123">
        <f t="shared" si="277"/>
        <v>133023</v>
      </c>
      <c r="W1445" s="122" t="str">
        <f t="shared" si="278"/>
        <v>1</v>
      </c>
      <c r="X1445" s="123">
        <f>Y1445+634+7348+6000+6000+10000+10000</f>
        <v>401632</v>
      </c>
      <c r="Y1445" s="123">
        <f t="shared" si="282"/>
        <v>361650</v>
      </c>
      <c r="Z1445" s="123">
        <f t="shared" si="279"/>
        <v>39982</v>
      </c>
      <c r="AA1445" s="122" t="str">
        <f t="shared" si="280"/>
        <v>1</v>
      </c>
      <c r="AB1445" s="120">
        <f t="shared" si="281"/>
        <v>361650</v>
      </c>
      <c r="AC1445" s="123">
        <v>0</v>
      </c>
      <c r="AD1445" s="123">
        <v>361650</v>
      </c>
      <c r="AE1445" s="123">
        <v>55000</v>
      </c>
      <c r="AG1445" s="151">
        <f t="shared" si="283"/>
        <v>69622</v>
      </c>
      <c r="AH1445" s="123">
        <v>116199</v>
      </c>
      <c r="AJ1445" s="123">
        <v>12500</v>
      </c>
      <c r="AL1445" s="123">
        <f>20000+12000+14577</f>
        <v>46577</v>
      </c>
    </row>
    <row r="1446" spans="1:41" s="123" customFormat="1" ht="16.2" thickBot="1" x14ac:dyDescent="0.35">
      <c r="A1446" s="21">
        <v>248.1</v>
      </c>
      <c r="B1446" s="212" t="s">
        <v>283</v>
      </c>
      <c r="C1446" s="31" t="str">
        <f>VLOOKUP((CONCATENATE(B1446)),ID!$A$2:$D$305,3,0)</f>
        <v>FO004</v>
      </c>
      <c r="D1446" s="21">
        <v>1</v>
      </c>
      <c r="E1446" s="21" t="s">
        <v>4001</v>
      </c>
      <c r="F1446" s="21" t="s">
        <v>1117</v>
      </c>
      <c r="G1446" s="21" t="s">
        <v>3862</v>
      </c>
      <c r="H1446" s="88">
        <v>4199</v>
      </c>
      <c r="I1446" s="43">
        <v>4329</v>
      </c>
      <c r="J1446" s="43">
        <v>4325</v>
      </c>
      <c r="K1446" s="21">
        <v>1</v>
      </c>
      <c r="L1446" s="43">
        <v>4331</v>
      </c>
      <c r="M1446" s="43">
        <v>4339</v>
      </c>
      <c r="N1446" s="43">
        <v>4339</v>
      </c>
      <c r="O1446" s="21" t="s">
        <v>4051</v>
      </c>
      <c r="P1446" s="194" t="str">
        <f t="shared" si="276"/>
        <v>1</v>
      </c>
      <c r="Q1446" s="21">
        <v>1</v>
      </c>
      <c r="R1446" s="39" t="str">
        <f t="shared" si="284"/>
        <v>-</v>
      </c>
      <c r="S1446" s="120">
        <f t="shared" si="273"/>
        <v>1177621</v>
      </c>
      <c r="T1446" s="123">
        <v>1612078</v>
      </c>
      <c r="U1446" s="123">
        <f>T1446-15456-37301-35-21229-11</f>
        <v>1538046</v>
      </c>
      <c r="V1446" s="123">
        <f t="shared" si="277"/>
        <v>74032</v>
      </c>
      <c r="W1446" s="122" t="str">
        <f t="shared" si="278"/>
        <v>1</v>
      </c>
      <c r="X1446" s="123">
        <f>Y1446+15045+956+7356+12000+20000+16000</f>
        <v>434457</v>
      </c>
      <c r="Y1446" s="123">
        <f>AB1446-15045</f>
        <v>363100</v>
      </c>
      <c r="Z1446" s="123">
        <f t="shared" si="279"/>
        <v>71357</v>
      </c>
      <c r="AA1446" s="122" t="str">
        <f t="shared" si="280"/>
        <v>1</v>
      </c>
      <c r="AB1446" s="120">
        <f t="shared" si="281"/>
        <v>378145</v>
      </c>
      <c r="AC1446" s="123">
        <v>0</v>
      </c>
      <c r="AD1446" s="123">
        <f>363100+15045</f>
        <v>378145</v>
      </c>
      <c r="AE1446" s="123">
        <v>0</v>
      </c>
      <c r="AG1446" s="151">
        <f t="shared" si="283"/>
        <v>34972</v>
      </c>
      <c r="AH1446" s="123">
        <v>81721</v>
      </c>
      <c r="AJ1446" s="123">
        <v>12500</v>
      </c>
      <c r="AL1446" s="123">
        <f>14749+12000+20000</f>
        <v>46749</v>
      </c>
    </row>
    <row r="1447" spans="1:41" s="123" customFormat="1" ht="16.2" thickBot="1" x14ac:dyDescent="0.35">
      <c r="A1447" s="21">
        <v>248.2</v>
      </c>
      <c r="B1447" s="212" t="s">
        <v>283</v>
      </c>
      <c r="C1447" s="31" t="str">
        <f>VLOOKUP((CONCATENATE(B1447)),ID!$A$2:$D$305,3,0)</f>
        <v>FO004</v>
      </c>
      <c r="D1447" s="21">
        <v>1</v>
      </c>
      <c r="E1447" s="21" t="s">
        <v>4001</v>
      </c>
      <c r="F1447" s="21" t="s">
        <v>1117</v>
      </c>
      <c r="G1447" s="21" t="s">
        <v>3862</v>
      </c>
      <c r="H1447" s="88">
        <v>4565</v>
      </c>
      <c r="I1447" s="43">
        <v>4693</v>
      </c>
      <c r="J1447" s="43">
        <v>4688</v>
      </c>
      <c r="K1447" s="21">
        <v>1</v>
      </c>
      <c r="L1447" s="43">
        <v>4695</v>
      </c>
      <c r="M1447" s="43">
        <v>4703</v>
      </c>
      <c r="N1447" s="43">
        <v>4703</v>
      </c>
      <c r="O1447" s="21" t="s">
        <v>4051</v>
      </c>
      <c r="P1447" s="194" t="str">
        <f t="shared" si="276"/>
        <v>1</v>
      </c>
      <c r="Q1447" s="21">
        <v>1</v>
      </c>
      <c r="R1447" s="39" t="str">
        <f t="shared" si="284"/>
        <v>-</v>
      </c>
      <c r="S1447" s="120">
        <f t="shared" si="273"/>
        <v>1228806</v>
      </c>
      <c r="T1447" s="123">
        <v>1628839</v>
      </c>
      <c r="U1447" s="123">
        <f>T1447-10898-46158-200-66-49050-9082-6</f>
        <v>1513379</v>
      </c>
      <c r="V1447" s="123">
        <f t="shared" si="277"/>
        <v>115460</v>
      </c>
      <c r="W1447" s="122" t="str">
        <f t="shared" si="278"/>
        <v>1</v>
      </c>
      <c r="X1447" s="123">
        <f>359400+812+7821+12000+20000</f>
        <v>400033</v>
      </c>
      <c r="Y1447" s="123">
        <f t="shared" ref="Y1447:Y1459" si="285">AB1447</f>
        <v>359400</v>
      </c>
      <c r="Z1447" s="123">
        <f t="shared" si="279"/>
        <v>40633</v>
      </c>
      <c r="AA1447" s="122" t="str">
        <f t="shared" si="280"/>
        <v>1</v>
      </c>
      <c r="AB1447" s="120">
        <f t="shared" si="281"/>
        <v>359400</v>
      </c>
      <c r="AC1447" s="123">
        <v>0</v>
      </c>
      <c r="AD1447" s="123">
        <v>359400</v>
      </c>
      <c r="AE1447" s="123">
        <v>49050</v>
      </c>
      <c r="AG1447" s="151">
        <f t="shared" si="283"/>
        <v>31164</v>
      </c>
      <c r="AH1447" s="123">
        <f>77717+AI1447</f>
        <v>77809</v>
      </c>
      <c r="AI1447" s="123">
        <v>92</v>
      </c>
      <c r="AJ1447" s="123">
        <v>12500</v>
      </c>
      <c r="AL1447" s="123">
        <f>14553+32000</f>
        <v>46553</v>
      </c>
    </row>
    <row r="1448" spans="1:41" s="123" customFormat="1" ht="16.2" thickBot="1" x14ac:dyDescent="0.35">
      <c r="A1448" s="21"/>
      <c r="B1448" s="212" t="s">
        <v>283</v>
      </c>
      <c r="C1448" s="31" t="str">
        <f>VLOOKUP((CONCATENATE(B1448)),ID!$A$2:$D$305,3,0)</f>
        <v>FO004</v>
      </c>
      <c r="D1448" s="21">
        <v>1</v>
      </c>
      <c r="E1448" s="21" t="s">
        <v>4001</v>
      </c>
      <c r="F1448" s="21" t="s">
        <v>1117</v>
      </c>
      <c r="G1448" s="21" t="s">
        <v>3862</v>
      </c>
      <c r="H1448" s="88">
        <v>4930</v>
      </c>
      <c r="I1448" s="43">
        <v>5057</v>
      </c>
      <c r="J1448" s="43">
        <v>5052</v>
      </c>
      <c r="K1448" s="21">
        <v>1</v>
      </c>
      <c r="L1448" s="43">
        <v>5059</v>
      </c>
      <c r="M1448" s="43">
        <v>5067</v>
      </c>
      <c r="N1448" s="43">
        <v>5067</v>
      </c>
      <c r="O1448" s="21" t="s">
        <v>4121</v>
      </c>
      <c r="P1448" s="194" t="str">
        <f t="shared" si="276"/>
        <v>1</v>
      </c>
      <c r="Q1448" s="21">
        <v>1</v>
      </c>
      <c r="R1448" s="39" t="str">
        <f t="shared" si="284"/>
        <v>-</v>
      </c>
      <c r="S1448" s="120">
        <f t="shared" si="273"/>
        <v>1387377</v>
      </c>
      <c r="T1448" s="123">
        <v>1792344</v>
      </c>
      <c r="U1448" s="123">
        <f>T1448-15055-44872-200-33143-7291-14</f>
        <v>1691769</v>
      </c>
      <c r="V1448" s="123">
        <f t="shared" si="277"/>
        <v>100575</v>
      </c>
      <c r="W1448" s="122" t="str">
        <f t="shared" si="278"/>
        <v>1</v>
      </c>
      <c r="X1448" s="123">
        <f>Y1448+880+7187+12000+20000+10000</f>
        <v>404967</v>
      </c>
      <c r="Y1448" s="123">
        <f t="shared" si="285"/>
        <v>354900</v>
      </c>
      <c r="Z1448" s="123">
        <f t="shared" si="279"/>
        <v>50067</v>
      </c>
      <c r="AA1448" s="122" t="str">
        <f t="shared" si="280"/>
        <v>1</v>
      </c>
      <c r="AB1448" s="120">
        <f t="shared" si="281"/>
        <v>354900</v>
      </c>
      <c r="AC1448" s="123">
        <v>0</v>
      </c>
      <c r="AD1448" s="123">
        <v>354900</v>
      </c>
      <c r="AE1448" s="123">
        <v>33143</v>
      </c>
      <c r="AG1448" s="151">
        <f t="shared" si="283"/>
        <v>83432</v>
      </c>
      <c r="AH1448" s="123">
        <f>129864+AI1448</f>
        <v>131518</v>
      </c>
      <c r="AI1448" s="123">
        <v>1654</v>
      </c>
      <c r="AJ1448" s="123">
        <v>12500</v>
      </c>
      <c r="AL1448" s="123">
        <f>32000+14432</f>
        <v>46432</v>
      </c>
    </row>
    <row r="1449" spans="1:41" s="123" customFormat="1" ht="16.2" thickBot="1" x14ac:dyDescent="0.35">
      <c r="A1449" s="21"/>
      <c r="B1449" s="212" t="s">
        <v>283</v>
      </c>
      <c r="C1449" s="31" t="str">
        <f>VLOOKUP((CONCATENATE(B1449)),ID!$A$2:$D$305,3,0)</f>
        <v>FO004</v>
      </c>
      <c r="D1449" s="21">
        <v>1</v>
      </c>
      <c r="E1449" s="21" t="s">
        <v>4001</v>
      </c>
      <c r="F1449" s="21" t="s">
        <v>1117</v>
      </c>
      <c r="G1449" s="21" t="s">
        <v>3862</v>
      </c>
      <c r="H1449" s="88">
        <v>5295</v>
      </c>
      <c r="I1449" s="43">
        <v>5435</v>
      </c>
      <c r="J1449" s="43">
        <v>5430</v>
      </c>
      <c r="K1449" s="21">
        <v>1</v>
      </c>
      <c r="L1449" s="43">
        <v>5437</v>
      </c>
      <c r="M1449" s="43">
        <v>5445</v>
      </c>
      <c r="N1449" s="43">
        <v>5445</v>
      </c>
      <c r="O1449" s="21" t="s">
        <v>4121</v>
      </c>
      <c r="P1449" s="194" t="str">
        <f t="shared" si="276"/>
        <v>1</v>
      </c>
      <c r="Q1449" s="21">
        <v>1</v>
      </c>
      <c r="R1449" s="39" t="str">
        <f t="shared" si="284"/>
        <v>-</v>
      </c>
      <c r="S1449" s="120">
        <f t="shared" si="273"/>
        <v>1445992</v>
      </c>
      <c r="T1449" s="123">
        <v>1862782</v>
      </c>
      <c r="U1449" s="123">
        <f>T1449-17692-37974-110721-20797-20</f>
        <v>1675578</v>
      </c>
      <c r="V1449" s="123">
        <f t="shared" si="277"/>
        <v>187204</v>
      </c>
      <c r="W1449" s="122" t="str">
        <f t="shared" si="278"/>
        <v>1</v>
      </c>
      <c r="X1449" s="123">
        <f>Y1449+885+7555+12000+20000</f>
        <v>416790</v>
      </c>
      <c r="Y1449" s="123">
        <f t="shared" si="285"/>
        <v>376350</v>
      </c>
      <c r="Z1449" s="123">
        <f t="shared" si="279"/>
        <v>40440</v>
      </c>
      <c r="AA1449" s="122" t="str">
        <f t="shared" si="280"/>
        <v>1</v>
      </c>
      <c r="AB1449" s="120">
        <f t="shared" si="281"/>
        <v>376350</v>
      </c>
      <c r="AC1449" s="123">
        <v>0</v>
      </c>
      <c r="AD1449" s="123">
        <v>376350</v>
      </c>
      <c r="AE1449" s="123">
        <v>110721</v>
      </c>
      <c r="AG1449" s="151">
        <f t="shared" si="283"/>
        <v>146834</v>
      </c>
      <c r="AH1449" s="123">
        <f>193540+AI1449</f>
        <v>193766</v>
      </c>
      <c r="AI1449" s="123">
        <v>226</v>
      </c>
      <c r="AJ1449" s="123">
        <v>15000</v>
      </c>
      <c r="AL1449" s="123">
        <f>14706+12000+20000</f>
        <v>46706</v>
      </c>
    </row>
    <row r="1450" spans="1:41" s="123" customFormat="1" ht="16.2" thickBot="1" x14ac:dyDescent="0.35">
      <c r="A1450" s="21"/>
      <c r="B1450" s="212" t="s">
        <v>305</v>
      </c>
      <c r="C1450" s="31" t="str">
        <f>VLOOKUP((CONCATENATE(B1450)),ID!$A$2:$D$305,3,0)</f>
        <v>FO005</v>
      </c>
      <c r="D1450" s="21">
        <v>1</v>
      </c>
      <c r="E1450" s="21" t="s">
        <v>4001</v>
      </c>
      <c r="F1450" s="21" t="s">
        <v>1117</v>
      </c>
      <c r="G1450" s="21" t="s">
        <v>3862</v>
      </c>
      <c r="H1450" s="88">
        <v>3653</v>
      </c>
      <c r="I1450" s="43">
        <v>3758</v>
      </c>
      <c r="J1450" s="43">
        <v>3764</v>
      </c>
      <c r="K1450" s="21">
        <v>1</v>
      </c>
      <c r="L1450" s="43">
        <v>3778</v>
      </c>
      <c r="M1450" s="43">
        <v>3792</v>
      </c>
      <c r="N1450" s="43">
        <v>3785</v>
      </c>
      <c r="O1450" s="21" t="s">
        <v>4004</v>
      </c>
      <c r="P1450" s="194" t="str">
        <f t="shared" si="276"/>
        <v>1</v>
      </c>
      <c r="Q1450" s="21">
        <v>1</v>
      </c>
      <c r="R1450" s="39" t="str">
        <f t="shared" si="284"/>
        <v>-</v>
      </c>
      <c r="S1450" s="120">
        <f t="shared" si="273"/>
        <v>1561576</v>
      </c>
      <c r="T1450" s="123">
        <v>2066480</v>
      </c>
      <c r="U1450" s="123">
        <f>T1450-157582-14229-19377</f>
        <v>1875292</v>
      </c>
      <c r="V1450" s="123">
        <f t="shared" si="277"/>
        <v>191188</v>
      </c>
      <c r="W1450" s="122" t="str">
        <f t="shared" si="278"/>
        <v>1</v>
      </c>
      <c r="X1450" s="123">
        <f>Y1450+3937+4319+9481+23209+83600+7719</f>
        <v>504904</v>
      </c>
      <c r="Y1450" s="123">
        <f t="shared" si="285"/>
        <v>372639</v>
      </c>
      <c r="Z1450" s="123">
        <f t="shared" si="279"/>
        <v>132265</v>
      </c>
      <c r="AA1450" s="122" t="str">
        <f t="shared" si="280"/>
        <v>1</v>
      </c>
      <c r="AB1450" s="120">
        <f t="shared" si="281"/>
        <v>372639</v>
      </c>
      <c r="AC1450" s="123">
        <v>0</v>
      </c>
      <c r="AD1450" s="123">
        <f>113684+258955</f>
        <v>372639</v>
      </c>
      <c r="AE1450" s="123">
        <v>157582</v>
      </c>
      <c r="AG1450" s="151">
        <f t="shared" si="283"/>
        <v>53532</v>
      </c>
      <c r="AH1450" s="123">
        <f>100747-9914-3729</f>
        <v>87104</v>
      </c>
      <c r="AJ1450" s="123">
        <f>43837+2187</f>
        <v>46024</v>
      </c>
      <c r="AL1450" s="123">
        <f>14707+18865</f>
        <v>33572</v>
      </c>
      <c r="AO1450" s="123">
        <f>87500+87500</f>
        <v>175000</v>
      </c>
    </row>
    <row r="1451" spans="1:41" s="123" customFormat="1" ht="16.2" thickBot="1" x14ac:dyDescent="0.35">
      <c r="A1451" s="21">
        <v>249.1</v>
      </c>
      <c r="B1451" s="212" t="s">
        <v>305</v>
      </c>
      <c r="C1451" s="31" t="str">
        <f>VLOOKUP((CONCATENATE(B1451)),ID!$A$2:$D$305,3,0)</f>
        <v>FO005</v>
      </c>
      <c r="D1451" s="21">
        <v>1</v>
      </c>
      <c r="E1451" s="21" t="s">
        <v>4001</v>
      </c>
      <c r="F1451" s="21" t="s">
        <v>1117</v>
      </c>
      <c r="G1451" s="21" t="s">
        <v>3862</v>
      </c>
      <c r="H1451" s="88">
        <v>4018</v>
      </c>
      <c r="I1451" s="43">
        <v>4121</v>
      </c>
      <c r="J1451" s="43">
        <v>4128</v>
      </c>
      <c r="K1451" s="21">
        <v>1</v>
      </c>
      <c r="L1451" s="43">
        <v>4139</v>
      </c>
      <c r="M1451" s="43">
        <v>4153</v>
      </c>
      <c r="N1451" s="43">
        <v>4149</v>
      </c>
      <c r="O1451" s="21" t="s">
        <v>4004</v>
      </c>
      <c r="P1451" s="194" t="str">
        <f t="shared" si="276"/>
        <v>1</v>
      </c>
      <c r="Q1451" s="21">
        <v>1</v>
      </c>
      <c r="R1451" s="39" t="str">
        <f t="shared" si="284"/>
        <v>-</v>
      </c>
      <c r="S1451" s="120">
        <f t="shared" si="273"/>
        <v>1566198</v>
      </c>
      <c r="T1451" s="123">
        <v>2095449</v>
      </c>
      <c r="U1451" s="123">
        <f>T1451-104392-16000-13658</f>
        <v>1961399</v>
      </c>
      <c r="V1451" s="123">
        <f t="shared" si="277"/>
        <v>134050</v>
      </c>
      <c r="W1451" s="122" t="str">
        <f t="shared" si="278"/>
        <v>1</v>
      </c>
      <c r="X1451" s="123">
        <f>98434+275129+6782+9472+97000+14911+23222+4301</f>
        <v>529251</v>
      </c>
      <c r="Y1451" s="123">
        <f t="shared" si="285"/>
        <v>373563</v>
      </c>
      <c r="Z1451" s="123">
        <f t="shared" si="279"/>
        <v>155688</v>
      </c>
      <c r="AA1451" s="122" t="str">
        <f t="shared" si="280"/>
        <v>1</v>
      </c>
      <c r="AB1451" s="120">
        <f t="shared" si="281"/>
        <v>373563</v>
      </c>
      <c r="AC1451" s="123">
        <v>0</v>
      </c>
      <c r="AD1451" s="123">
        <f>98434+275129</f>
        <v>373563</v>
      </c>
      <c r="AE1451" s="123">
        <v>104392</v>
      </c>
      <c r="AG1451" s="151">
        <f t="shared" si="283"/>
        <v>54937</v>
      </c>
      <c r="AH1451" s="123">
        <f>102091-9975-3678</f>
        <v>88438</v>
      </c>
      <c r="AJ1451" s="123">
        <f>43750+2187</f>
        <v>45937</v>
      </c>
      <c r="AL1451" s="123">
        <f>18865+14636</f>
        <v>33501</v>
      </c>
      <c r="AO1451" s="123">
        <f>87500+87500</f>
        <v>175000</v>
      </c>
    </row>
    <row r="1452" spans="1:41" s="123" customFormat="1" ht="16.2" thickBot="1" x14ac:dyDescent="0.35">
      <c r="A1452" s="21">
        <v>249.2</v>
      </c>
      <c r="B1452" s="212" t="s">
        <v>305</v>
      </c>
      <c r="C1452" s="31" t="str">
        <f>VLOOKUP((CONCATENATE(B1452)),ID!$A$2:$D$305,3,0)</f>
        <v>FO005</v>
      </c>
      <c r="D1452" s="21">
        <v>1</v>
      </c>
      <c r="E1452" s="21" t="s">
        <v>4001</v>
      </c>
      <c r="F1452" s="21" t="s">
        <v>1117</v>
      </c>
      <c r="G1452" s="21" t="s">
        <v>3862</v>
      </c>
      <c r="H1452" s="88">
        <v>4383</v>
      </c>
      <c r="I1452" s="43">
        <v>4485</v>
      </c>
      <c r="J1452" s="43">
        <v>4492</v>
      </c>
      <c r="K1452" s="21">
        <v>1</v>
      </c>
      <c r="L1452" s="43">
        <v>4503</v>
      </c>
      <c r="M1452" s="43">
        <v>4517</v>
      </c>
      <c r="N1452" s="43">
        <v>4513</v>
      </c>
      <c r="O1452" s="21" t="s">
        <v>4004</v>
      </c>
      <c r="P1452" s="194" t="str">
        <f t="shared" si="276"/>
        <v>1</v>
      </c>
      <c r="Q1452" s="21">
        <v>1</v>
      </c>
      <c r="R1452" s="39" t="str">
        <f t="shared" si="284"/>
        <v>-</v>
      </c>
      <c r="S1452" s="120">
        <f t="shared" si="273"/>
        <v>1578065</v>
      </c>
      <c r="T1452" s="123">
        <v>2062256</v>
      </c>
      <c r="U1452" s="123">
        <f>T1452-11922-12000-137926</f>
        <v>1900408</v>
      </c>
      <c r="V1452" s="123">
        <f t="shared" si="277"/>
        <v>161848</v>
      </c>
      <c r="W1452" s="122" t="str">
        <f t="shared" si="278"/>
        <v>1</v>
      </c>
      <c r="X1452" s="123">
        <f>Y1452+12305+4311+9528+23226+53000+13703</f>
        <v>484191</v>
      </c>
      <c r="Y1452" s="123">
        <f t="shared" si="285"/>
        <v>368118</v>
      </c>
      <c r="Z1452" s="123">
        <f t="shared" si="279"/>
        <v>116073</v>
      </c>
      <c r="AA1452" s="122" t="str">
        <f t="shared" si="280"/>
        <v>1</v>
      </c>
      <c r="AB1452" s="120">
        <f t="shared" si="281"/>
        <v>368118</v>
      </c>
      <c r="AC1452" s="123">
        <v>0</v>
      </c>
      <c r="AD1452" s="123">
        <f>87484+280634</f>
        <v>368118</v>
      </c>
      <c r="AE1452" s="123">
        <v>137924</v>
      </c>
      <c r="AG1452" s="151">
        <f t="shared" si="283"/>
        <v>62075</v>
      </c>
      <c r="AH1452" s="123">
        <f>111245-11871-3820</f>
        <v>95554</v>
      </c>
      <c r="AJ1452" s="123">
        <f>43750+2187</f>
        <v>45937</v>
      </c>
      <c r="AL1452" s="123">
        <f>18865+14614</f>
        <v>33479</v>
      </c>
      <c r="AO1452" s="123">
        <f>87500+87500</f>
        <v>175000</v>
      </c>
    </row>
    <row r="1453" spans="1:41" s="123" customFormat="1" ht="16.2" thickBot="1" x14ac:dyDescent="0.35">
      <c r="A1453" s="21"/>
      <c r="B1453" s="212" t="s">
        <v>305</v>
      </c>
      <c r="C1453" s="31" t="str">
        <f>VLOOKUP((CONCATENATE(B1453)),ID!$A$2:$D$305,3,0)</f>
        <v>FO005</v>
      </c>
      <c r="D1453" s="21">
        <v>1</v>
      </c>
      <c r="E1453" s="21" t="s">
        <v>4001</v>
      </c>
      <c r="F1453" s="21" t="s">
        <v>1117</v>
      </c>
      <c r="G1453" s="21" t="s">
        <v>3862</v>
      </c>
      <c r="H1453" s="88">
        <v>4749</v>
      </c>
      <c r="I1453" s="43">
        <v>4849</v>
      </c>
      <c r="J1453" s="43">
        <v>4856</v>
      </c>
      <c r="K1453" s="21">
        <v>1</v>
      </c>
      <c r="L1453" s="43">
        <v>4870</v>
      </c>
      <c r="M1453" s="43">
        <v>4884</v>
      </c>
      <c r="N1453" s="43">
        <v>4877</v>
      </c>
      <c r="O1453" s="21" t="s">
        <v>4122</v>
      </c>
      <c r="P1453" s="194" t="str">
        <f t="shared" si="276"/>
        <v>1</v>
      </c>
      <c r="Q1453" s="21">
        <v>1</v>
      </c>
      <c r="R1453" s="39" t="str">
        <f t="shared" si="284"/>
        <v>-</v>
      </c>
      <c r="S1453" s="120">
        <f t="shared" si="273"/>
        <v>1727498</v>
      </c>
      <c r="T1453" s="123">
        <v>2307681</v>
      </c>
      <c r="U1453" s="123">
        <f>T1453-16931-4000-126177</f>
        <v>2160573</v>
      </c>
      <c r="V1453" s="123">
        <f t="shared" si="277"/>
        <v>147108</v>
      </c>
      <c r="W1453" s="122" t="str">
        <f t="shared" si="278"/>
        <v>1</v>
      </c>
      <c r="X1453" s="123">
        <f>Y1453+20920+4443+9528+26119+119000+17464</f>
        <v>580183</v>
      </c>
      <c r="Y1453" s="123">
        <f t="shared" si="285"/>
        <v>382709</v>
      </c>
      <c r="Z1453" s="123">
        <f t="shared" si="279"/>
        <v>197474</v>
      </c>
      <c r="AA1453" s="122" t="str">
        <f t="shared" si="280"/>
        <v>1</v>
      </c>
      <c r="AB1453" s="120">
        <f t="shared" si="281"/>
        <v>382709</v>
      </c>
      <c r="AC1453" s="123">
        <v>0</v>
      </c>
      <c r="AD1453" s="123">
        <f>300984+81725</f>
        <v>382709</v>
      </c>
      <c r="AE1453" s="123">
        <v>126177</v>
      </c>
      <c r="AG1453" s="151">
        <f t="shared" si="283"/>
        <v>70022</v>
      </c>
      <c r="AH1453" s="123">
        <f>118764-11845-3219</f>
        <v>103700</v>
      </c>
      <c r="AJ1453" s="123">
        <f>3281+45973</f>
        <v>49254</v>
      </c>
      <c r="AL1453" s="123">
        <f>14813+18865</f>
        <v>33678</v>
      </c>
      <c r="AO1453" s="123">
        <v>200000</v>
      </c>
    </row>
    <row r="1454" spans="1:41" s="123" customFormat="1" ht="16.2" thickBot="1" x14ac:dyDescent="0.35">
      <c r="A1454" s="21"/>
      <c r="B1454" s="212" t="s">
        <v>305</v>
      </c>
      <c r="C1454" s="31" t="str">
        <f>VLOOKUP((CONCATENATE(B1454)),ID!$A$2:$D$305,3,0)</f>
        <v>FO005</v>
      </c>
      <c r="D1454" s="21">
        <v>1</v>
      </c>
      <c r="E1454" s="21" t="s">
        <v>4001</v>
      </c>
      <c r="F1454" s="21" t="s">
        <v>1117</v>
      </c>
      <c r="G1454" s="21" t="s">
        <v>3862</v>
      </c>
      <c r="H1454" s="88">
        <v>5114</v>
      </c>
      <c r="I1454" s="43">
        <v>5211</v>
      </c>
      <c r="J1454" s="43">
        <v>5220</v>
      </c>
      <c r="K1454" s="21">
        <v>1</v>
      </c>
      <c r="L1454" s="43">
        <v>5232</v>
      </c>
      <c r="M1454" s="43">
        <v>5246</v>
      </c>
      <c r="N1454" s="43">
        <v>5241</v>
      </c>
      <c r="O1454" s="21" t="s">
        <v>4122</v>
      </c>
      <c r="P1454" s="194" t="str">
        <f t="shared" si="276"/>
        <v>1</v>
      </c>
      <c r="Q1454" s="21">
        <v>1</v>
      </c>
      <c r="R1454" s="39" t="str">
        <f t="shared" si="284"/>
        <v>-</v>
      </c>
      <c r="S1454" s="120">
        <f t="shared" si="273"/>
        <v>1753423</v>
      </c>
      <c r="T1454" s="123">
        <v>2309765</v>
      </c>
      <c r="U1454" s="123">
        <f>T1454-109872-10563</f>
        <v>2189330</v>
      </c>
      <c r="V1454" s="123">
        <f t="shared" si="277"/>
        <v>120435</v>
      </c>
      <c r="W1454" s="122" t="str">
        <f t="shared" si="278"/>
        <v>1</v>
      </c>
      <c r="X1454" s="123">
        <f>Y1454+23476+5426+9479+26514+10000+12153</f>
        <v>556342</v>
      </c>
      <c r="Y1454" s="123">
        <f t="shared" si="285"/>
        <v>469294</v>
      </c>
      <c r="Z1454" s="123">
        <f t="shared" si="279"/>
        <v>87048</v>
      </c>
      <c r="AA1454" s="122" t="str">
        <f t="shared" si="280"/>
        <v>1</v>
      </c>
      <c r="AB1454" s="120">
        <f t="shared" si="281"/>
        <v>469294</v>
      </c>
      <c r="AC1454" s="123">
        <v>0</v>
      </c>
      <c r="AD1454" s="123">
        <f>67825+401469</f>
        <v>469294</v>
      </c>
      <c r="AE1454" s="123">
        <v>109872</v>
      </c>
      <c r="AG1454" s="151">
        <f t="shared" si="283"/>
        <v>78509</v>
      </c>
      <c r="AH1454" s="123">
        <f>128150-11289-3000</f>
        <v>113861</v>
      </c>
      <c r="AJ1454" s="123">
        <v>55000</v>
      </c>
      <c r="AL1454" s="123">
        <f>18865+16487</f>
        <v>35352</v>
      </c>
      <c r="AO1454" s="123">
        <v>200000</v>
      </c>
    </row>
    <row r="1455" spans="1:41" s="123" customFormat="1" ht="16.2" thickBot="1" x14ac:dyDescent="0.35">
      <c r="A1455" s="21"/>
      <c r="B1455" s="212" t="s">
        <v>306</v>
      </c>
      <c r="C1455" s="31" t="str">
        <f>VLOOKUP((CONCATENATE(B1455)),ID!$A$2:$D$305,3,0)</f>
        <v>FO006</v>
      </c>
      <c r="D1455" s="21">
        <v>1</v>
      </c>
      <c r="E1455" s="21" t="s">
        <v>4001</v>
      </c>
      <c r="F1455" s="21" t="s">
        <v>1117</v>
      </c>
      <c r="G1455" s="21" t="s">
        <v>3853</v>
      </c>
      <c r="H1455" s="88">
        <v>3804</v>
      </c>
      <c r="I1455" s="43">
        <v>3832</v>
      </c>
      <c r="J1455" s="43">
        <v>3831</v>
      </c>
      <c r="K1455" s="21">
        <v>1</v>
      </c>
      <c r="L1455" s="43">
        <v>3832</v>
      </c>
      <c r="M1455" s="43">
        <v>3841</v>
      </c>
      <c r="N1455" s="43">
        <v>3840</v>
      </c>
      <c r="O1455" s="60" t="s">
        <v>3774</v>
      </c>
      <c r="P1455" s="194" t="str">
        <f t="shared" si="276"/>
        <v>1</v>
      </c>
      <c r="Q1455" s="21">
        <v>1</v>
      </c>
      <c r="R1455" s="39" t="str">
        <f t="shared" si="284"/>
        <v>-</v>
      </c>
      <c r="S1455" s="120">
        <f t="shared" si="273"/>
        <v>1277328</v>
      </c>
      <c r="T1455" s="123">
        <v>2005427</v>
      </c>
      <c r="U1455" s="123">
        <f>1557235+300000+22000+1148</f>
        <v>1880383</v>
      </c>
      <c r="V1455" s="123">
        <f t="shared" si="277"/>
        <v>125044</v>
      </c>
      <c r="W1455" s="122" t="str">
        <f t="shared" si="278"/>
        <v>1</v>
      </c>
      <c r="X1455" s="123">
        <f>Y1455+4669+23430</f>
        <v>728099</v>
      </c>
      <c r="Y1455" s="123">
        <f t="shared" si="285"/>
        <v>700000</v>
      </c>
      <c r="Z1455" s="123">
        <f t="shared" si="279"/>
        <v>28099</v>
      </c>
      <c r="AA1455" s="122" t="str">
        <f t="shared" si="280"/>
        <v>1</v>
      </c>
      <c r="AB1455" s="120">
        <f t="shared" si="281"/>
        <v>700000</v>
      </c>
      <c r="AC1455" s="123">
        <v>0</v>
      </c>
      <c r="AD1455" s="123">
        <v>700000</v>
      </c>
      <c r="AE1455" s="123">
        <v>46482</v>
      </c>
      <c r="AG1455" s="151">
        <f t="shared" si="283"/>
        <v>67096</v>
      </c>
      <c r="AH1455" s="123">
        <f>67096+AI1455+AL1455</f>
        <v>95116</v>
      </c>
      <c r="AI1455" s="123">
        <v>1591</v>
      </c>
      <c r="AJ1455" s="123">
        <f>11123+9887</f>
        <v>21010</v>
      </c>
      <c r="AL1455" s="123">
        <v>26429</v>
      </c>
    </row>
    <row r="1456" spans="1:41" s="123" customFormat="1" ht="16.2" thickBot="1" x14ac:dyDescent="0.35">
      <c r="A1456" s="21">
        <v>250.1</v>
      </c>
      <c r="B1456" s="212" t="s">
        <v>306</v>
      </c>
      <c r="C1456" s="31" t="str">
        <f>VLOOKUP((CONCATENATE(B1456)),ID!$A$2:$D$305,3,0)</f>
        <v>FO006</v>
      </c>
      <c r="D1456" s="21">
        <v>1</v>
      </c>
      <c r="E1456" s="21" t="s">
        <v>4001</v>
      </c>
      <c r="F1456" s="21" t="s">
        <v>1117</v>
      </c>
      <c r="G1456" s="21" t="s">
        <v>3853</v>
      </c>
      <c r="H1456" s="88">
        <v>4169</v>
      </c>
      <c r="I1456" s="43">
        <v>4199</v>
      </c>
      <c r="J1456" s="43">
        <v>4198</v>
      </c>
      <c r="K1456" s="21">
        <v>1</v>
      </c>
      <c r="L1456" s="43">
        <v>4199</v>
      </c>
      <c r="M1456" s="43">
        <v>4212</v>
      </c>
      <c r="N1456" s="43">
        <v>4211</v>
      </c>
      <c r="O1456" s="60" t="s">
        <v>3774</v>
      </c>
      <c r="P1456" s="194" t="str">
        <f t="shared" si="276"/>
        <v>1</v>
      </c>
      <c r="Q1456" s="21">
        <v>1</v>
      </c>
      <c r="R1456" s="39" t="str">
        <f t="shared" si="284"/>
        <v>-</v>
      </c>
      <c r="S1456" s="120">
        <f t="shared" si="273"/>
        <v>1282056</v>
      </c>
      <c r="T1456" s="123">
        <v>2040539</v>
      </c>
      <c r="U1456" s="123">
        <f>T1456-51831-59747-1033</f>
        <v>1927928</v>
      </c>
      <c r="V1456" s="123">
        <f t="shared" si="277"/>
        <v>112611</v>
      </c>
      <c r="W1456" s="122" t="str">
        <f t="shared" si="278"/>
        <v>1</v>
      </c>
      <c r="X1456" s="123">
        <f>725000+4843+26640+2000</f>
        <v>758483</v>
      </c>
      <c r="Y1456" s="123">
        <f>AB1456+2000</f>
        <v>727000</v>
      </c>
      <c r="Z1456" s="123">
        <f t="shared" si="279"/>
        <v>31483</v>
      </c>
      <c r="AA1456" s="122" t="str">
        <f t="shared" si="280"/>
        <v>1</v>
      </c>
      <c r="AB1456" s="120">
        <f t="shared" si="281"/>
        <v>725000</v>
      </c>
      <c r="AC1456" s="123">
        <v>0</v>
      </c>
      <c r="AD1456" s="123">
        <f>725000</f>
        <v>725000</v>
      </c>
      <c r="AE1456" s="123">
        <v>51831</v>
      </c>
      <c r="AG1456" s="151">
        <f t="shared" si="283"/>
        <v>68872</v>
      </c>
      <c r="AH1456" s="123">
        <f>68872+AI1456+AL1456</f>
        <v>98278</v>
      </c>
      <c r="AI1456" s="123">
        <v>1109</v>
      </c>
      <c r="AJ1456" s="123">
        <v>21010</v>
      </c>
      <c r="AL1456" s="123">
        <v>28297</v>
      </c>
    </row>
    <row r="1457" spans="1:41" s="123" customFormat="1" ht="16.2" thickBot="1" x14ac:dyDescent="0.35">
      <c r="A1457" s="21">
        <v>250.2</v>
      </c>
      <c r="B1457" s="212" t="s">
        <v>306</v>
      </c>
      <c r="C1457" s="31" t="str">
        <f>VLOOKUP((CONCATENATE(B1457)),ID!$A$2:$D$305,3,0)</f>
        <v>FO006</v>
      </c>
      <c r="D1457" s="21">
        <v>1</v>
      </c>
      <c r="E1457" s="21" t="s">
        <v>4001</v>
      </c>
      <c r="F1457" s="21" t="s">
        <v>1117</v>
      </c>
      <c r="G1457" s="21" t="s">
        <v>3853</v>
      </c>
      <c r="H1457" s="88">
        <v>4535</v>
      </c>
      <c r="I1457" s="43">
        <v>4563</v>
      </c>
      <c r="J1457" s="43">
        <v>4562</v>
      </c>
      <c r="K1457" s="21">
        <v>1</v>
      </c>
      <c r="L1457" s="43">
        <v>4563</v>
      </c>
      <c r="M1457" s="43">
        <v>4576</v>
      </c>
      <c r="N1457" s="43">
        <v>4575</v>
      </c>
      <c r="O1457" s="60" t="s">
        <v>3774</v>
      </c>
      <c r="P1457" s="194" t="str">
        <f t="shared" si="276"/>
        <v>1</v>
      </c>
      <c r="Q1457" s="21">
        <v>1</v>
      </c>
      <c r="R1457" s="39" t="str">
        <f t="shared" si="284"/>
        <v>-</v>
      </c>
      <c r="S1457" s="120">
        <f t="shared" si="273"/>
        <v>1279336</v>
      </c>
      <c r="T1457" s="123">
        <v>2063189</v>
      </c>
      <c r="U1457" s="123">
        <f>T1457-50399-63285</f>
        <v>1949505</v>
      </c>
      <c r="V1457" s="123">
        <f t="shared" si="277"/>
        <v>113684</v>
      </c>
      <c r="W1457" s="122" t="str">
        <f t="shared" si="278"/>
        <v>1</v>
      </c>
      <c r="X1457" s="123">
        <f>750000+5002+28851</f>
        <v>783853</v>
      </c>
      <c r="Y1457" s="123">
        <f t="shared" si="285"/>
        <v>750000</v>
      </c>
      <c r="Z1457" s="123">
        <f t="shared" si="279"/>
        <v>33853</v>
      </c>
      <c r="AA1457" s="122" t="str">
        <f t="shared" si="280"/>
        <v>1</v>
      </c>
      <c r="AB1457" s="120">
        <f t="shared" si="281"/>
        <v>750000</v>
      </c>
      <c r="AC1457" s="123">
        <v>0</v>
      </c>
      <c r="AD1457" s="123">
        <v>750000</v>
      </c>
      <c r="AE1457" s="123">
        <v>50399</v>
      </c>
      <c r="AG1457" s="151">
        <f t="shared" si="283"/>
        <v>70192</v>
      </c>
      <c r="AH1457" s="123">
        <f>70192+AI1457+AL1457</f>
        <v>100621</v>
      </c>
      <c r="AI1457" s="123">
        <v>1184</v>
      </c>
      <c r="AJ1457" s="123">
        <v>21010</v>
      </c>
      <c r="AL1457" s="123">
        <v>29245</v>
      </c>
    </row>
    <row r="1458" spans="1:41" s="123" customFormat="1" ht="16.2" thickBot="1" x14ac:dyDescent="0.35">
      <c r="A1458" s="21"/>
      <c r="B1458" s="212" t="s">
        <v>306</v>
      </c>
      <c r="C1458" s="31" t="str">
        <f>VLOOKUP((CONCATENATE(B1458)),ID!$A$2:$D$305,3,0)</f>
        <v>FO006</v>
      </c>
      <c r="D1458" s="21">
        <v>1</v>
      </c>
      <c r="E1458" s="21" t="s">
        <v>4001</v>
      </c>
      <c r="F1458" s="21" t="s">
        <v>1117</v>
      </c>
      <c r="G1458" s="21" t="s">
        <v>3853</v>
      </c>
      <c r="H1458" s="88">
        <v>4900</v>
      </c>
      <c r="I1458" s="43">
        <v>4927</v>
      </c>
      <c r="J1458" s="43">
        <v>4926</v>
      </c>
      <c r="K1458" s="21">
        <v>1</v>
      </c>
      <c r="L1458" s="43">
        <v>4927</v>
      </c>
      <c r="M1458" s="43">
        <v>4940</v>
      </c>
      <c r="N1458" s="43">
        <v>4939</v>
      </c>
      <c r="O1458" s="60" t="s">
        <v>3774</v>
      </c>
      <c r="P1458" s="194" t="str">
        <f t="shared" si="276"/>
        <v>1</v>
      </c>
      <c r="Q1458" s="21">
        <v>1</v>
      </c>
      <c r="R1458" s="39" t="str">
        <f t="shared" si="284"/>
        <v>-</v>
      </c>
      <c r="S1458" s="120">
        <f t="shared" si="273"/>
        <v>1301570</v>
      </c>
      <c r="T1458" s="123">
        <v>2095161</v>
      </c>
      <c r="U1458" s="123">
        <f>T1458-41406-40890</f>
        <v>2012865</v>
      </c>
      <c r="V1458" s="123">
        <f t="shared" si="277"/>
        <v>82296</v>
      </c>
      <c r="W1458" s="122" t="str">
        <f t="shared" si="278"/>
        <v>1</v>
      </c>
      <c r="X1458" s="123">
        <f>Y1458+5017+38574</f>
        <v>793591</v>
      </c>
      <c r="Y1458" s="123">
        <f t="shared" si="285"/>
        <v>750000</v>
      </c>
      <c r="Z1458" s="123">
        <f t="shared" si="279"/>
        <v>43591</v>
      </c>
      <c r="AA1458" s="122" t="str">
        <f t="shared" si="280"/>
        <v>1</v>
      </c>
      <c r="AB1458" s="120">
        <f t="shared" si="281"/>
        <v>750000</v>
      </c>
      <c r="AC1458" s="123">
        <v>0</v>
      </c>
      <c r="AD1458" s="123">
        <v>750000</v>
      </c>
      <c r="AE1458" s="123">
        <v>41406</v>
      </c>
      <c r="AG1458" s="151">
        <f t="shared" si="283"/>
        <v>76138</v>
      </c>
      <c r="AH1458" s="123">
        <f>76138+AI1458+AL1458</f>
        <v>107520</v>
      </c>
      <c r="AI1458" s="123">
        <v>1367</v>
      </c>
      <c r="AJ1458" s="123">
        <v>21010</v>
      </c>
      <c r="AL1458" s="123">
        <v>30015</v>
      </c>
    </row>
    <row r="1459" spans="1:41" s="123" customFormat="1" ht="16.2" thickBot="1" x14ac:dyDescent="0.35">
      <c r="A1459" s="21"/>
      <c r="B1459" s="212" t="s">
        <v>306</v>
      </c>
      <c r="C1459" s="31" t="str">
        <f>VLOOKUP((CONCATENATE(B1459)),ID!$A$2:$D$305,3,0)</f>
        <v>FO006</v>
      </c>
      <c r="D1459" s="21">
        <v>1</v>
      </c>
      <c r="E1459" s="21" t="s">
        <v>4001</v>
      </c>
      <c r="F1459" s="21" t="s">
        <v>1117</v>
      </c>
      <c r="G1459" s="21" t="s">
        <v>3853</v>
      </c>
      <c r="H1459" s="88">
        <v>5265</v>
      </c>
      <c r="I1459" s="43">
        <v>5291</v>
      </c>
      <c r="J1459" s="43">
        <v>5290</v>
      </c>
      <c r="K1459" s="21">
        <v>1</v>
      </c>
      <c r="L1459" s="43">
        <v>5291</v>
      </c>
      <c r="M1459" s="43">
        <v>5304</v>
      </c>
      <c r="N1459" s="43">
        <v>5303</v>
      </c>
      <c r="O1459" s="60" t="s">
        <v>3774</v>
      </c>
      <c r="P1459" s="194" t="str">
        <f t="shared" si="276"/>
        <v>1</v>
      </c>
      <c r="Q1459" s="21">
        <v>1</v>
      </c>
      <c r="R1459" s="39" t="str">
        <f t="shared" si="284"/>
        <v>-</v>
      </c>
      <c r="S1459" s="120">
        <f t="shared" si="273"/>
        <v>1317838</v>
      </c>
      <c r="T1459" s="123">
        <v>2119949</v>
      </c>
      <c r="U1459" s="123">
        <f>T1459-24489-35119</f>
        <v>2060341</v>
      </c>
      <c r="V1459" s="123">
        <f t="shared" si="277"/>
        <v>59608</v>
      </c>
      <c r="W1459" s="122" t="str">
        <f t="shared" si="278"/>
        <v>1</v>
      </c>
      <c r="X1459" s="123">
        <f>Y1459+4974+47137</f>
        <v>802111</v>
      </c>
      <c r="Y1459" s="123">
        <f t="shared" si="285"/>
        <v>750000</v>
      </c>
      <c r="Z1459" s="123">
        <f t="shared" si="279"/>
        <v>52111</v>
      </c>
      <c r="AA1459" s="122" t="str">
        <f t="shared" si="280"/>
        <v>1</v>
      </c>
      <c r="AB1459" s="120">
        <f t="shared" si="281"/>
        <v>750000</v>
      </c>
      <c r="AC1459" s="123">
        <v>0</v>
      </c>
      <c r="AD1459" s="123">
        <v>750000</v>
      </c>
      <c r="AE1459" s="123">
        <v>24489</v>
      </c>
      <c r="AG1459" s="151">
        <f t="shared" si="283"/>
        <v>56914</v>
      </c>
      <c r="AH1459" s="123">
        <f>69414+AI1459+AL1459-12500</f>
        <v>88275</v>
      </c>
      <c r="AI1459" s="123">
        <v>1390</v>
      </c>
      <c r="AJ1459" s="123">
        <v>21010</v>
      </c>
      <c r="AL1459" s="123">
        <v>29971</v>
      </c>
    </row>
    <row r="1460" spans="1:41" s="123" customFormat="1" ht="16.2" thickBot="1" x14ac:dyDescent="0.35">
      <c r="A1460" s="21"/>
      <c r="B1460" s="212" t="s">
        <v>8</v>
      </c>
      <c r="C1460" s="31" t="str">
        <f>VLOOKUP((CONCATENATE(B1460)),ID!$A$2:$D$305,3,0)</f>
        <v>BA001</v>
      </c>
      <c r="D1460" s="21">
        <v>1</v>
      </c>
      <c r="E1460" s="21" t="s">
        <v>4005</v>
      </c>
      <c r="F1460" s="21" t="s">
        <v>1117</v>
      </c>
      <c r="G1460" s="21" t="s">
        <v>3862</v>
      </c>
      <c r="H1460" s="88">
        <v>3834</v>
      </c>
      <c r="I1460" s="43">
        <v>3931</v>
      </c>
      <c r="J1460" s="43">
        <v>3931</v>
      </c>
      <c r="K1460" s="21">
        <v>1</v>
      </c>
      <c r="L1460" s="43">
        <v>3938</v>
      </c>
      <c r="M1460" s="43">
        <v>3952</v>
      </c>
      <c r="N1460" s="43">
        <v>3945</v>
      </c>
      <c r="O1460" s="21" t="s">
        <v>3733</v>
      </c>
      <c r="P1460" s="194" t="str">
        <f t="shared" si="276"/>
        <v>1</v>
      </c>
      <c r="Q1460" s="21">
        <v>1</v>
      </c>
      <c r="R1460" s="39" t="str">
        <f t="shared" si="284"/>
        <v>-</v>
      </c>
      <c r="S1460" s="120">
        <f t="shared" si="273"/>
        <v>2274699</v>
      </c>
      <c r="T1460" s="123">
        <v>11993277</v>
      </c>
      <c r="U1460" s="123">
        <f>587247+266609</f>
        <v>853856</v>
      </c>
      <c r="V1460" s="123">
        <f>T1460-U1460</f>
        <v>11139421</v>
      </c>
      <c r="W1460" s="122" t="str">
        <f>IF(V1460+U1460=T1460,"1","0")</f>
        <v>1</v>
      </c>
      <c r="X1460" s="123">
        <v>9718578</v>
      </c>
      <c r="AA1460" s="122" t="str">
        <f>IF(Z1460+Y1460=X1460,"1","0")</f>
        <v>0</v>
      </c>
      <c r="AB1460" s="120">
        <f>SUM(AC1460+AD1460)</f>
        <v>0</v>
      </c>
      <c r="AC1460" s="123">
        <v>0</v>
      </c>
      <c r="AD1460" s="123">
        <v>0</v>
      </c>
      <c r="AE1460" s="123">
        <v>1732341</v>
      </c>
      <c r="AG1460" s="151">
        <f t="shared" si="283"/>
        <v>188562</v>
      </c>
      <c r="AH1460" s="123">
        <f>AM1460-167117</f>
        <v>214941</v>
      </c>
      <c r="AI1460" s="123">
        <v>1525</v>
      </c>
      <c r="AJ1460" s="123">
        <v>58854</v>
      </c>
      <c r="AL1460" s="123">
        <v>24854</v>
      </c>
      <c r="AM1460" s="123">
        <v>382058</v>
      </c>
      <c r="AO1460" s="123">
        <v>250000</v>
      </c>
    </row>
    <row r="1461" spans="1:41" s="123" customFormat="1" ht="16.2" thickBot="1" x14ac:dyDescent="0.35">
      <c r="A1461" s="21">
        <v>251.1</v>
      </c>
      <c r="B1461" s="212" t="s">
        <v>8</v>
      </c>
      <c r="C1461" s="31" t="str">
        <f>VLOOKUP((CONCATENATE(B1461)),ID!$A$2:$D$305,3,0)</f>
        <v>BA001</v>
      </c>
      <c r="D1461" s="21">
        <v>1</v>
      </c>
      <c r="E1461" s="21" t="s">
        <v>4005</v>
      </c>
      <c r="F1461" s="21" t="s">
        <v>1117</v>
      </c>
      <c r="G1461" s="21" t="s">
        <v>3862</v>
      </c>
      <c r="H1461" s="88">
        <v>4199</v>
      </c>
      <c r="I1461" s="43">
        <v>4295</v>
      </c>
      <c r="J1461" s="43">
        <v>4287</v>
      </c>
      <c r="K1461" s="21">
        <v>1</v>
      </c>
      <c r="L1461" s="43">
        <v>4302</v>
      </c>
      <c r="M1461" s="43">
        <v>4316</v>
      </c>
      <c r="N1461" s="43">
        <v>4309</v>
      </c>
      <c r="O1461" s="21" t="s">
        <v>3733</v>
      </c>
      <c r="P1461" s="194" t="str">
        <f t="shared" si="276"/>
        <v>1</v>
      </c>
      <c r="Q1461" s="21">
        <v>1</v>
      </c>
      <c r="R1461" s="39" t="str">
        <f t="shared" si="284"/>
        <v>-</v>
      </c>
      <c r="S1461" s="120">
        <f t="shared" si="273"/>
        <v>2357989</v>
      </c>
      <c r="T1461" s="123">
        <v>13992984</v>
      </c>
      <c r="U1461" s="123">
        <f>242578+903875</f>
        <v>1146453</v>
      </c>
      <c r="V1461" s="123">
        <f>T1461-U1461</f>
        <v>12846531</v>
      </c>
      <c r="W1461" s="122" t="str">
        <f>IF(V1461+U1461=T1461,"1","0")</f>
        <v>1</v>
      </c>
      <c r="X1461" s="123">
        <v>11634995</v>
      </c>
      <c r="AA1461" s="122" t="str">
        <f>IF(Z1461+Y1461=X1461,"1","0")</f>
        <v>0</v>
      </c>
      <c r="AB1461" s="120">
        <f>SUM(AC1461+AD1461)</f>
        <v>0</v>
      </c>
      <c r="AC1461" s="123">
        <v>0</v>
      </c>
      <c r="AD1461" s="123">
        <v>0</v>
      </c>
      <c r="AE1461" s="123">
        <v>1790055</v>
      </c>
      <c r="AG1461" s="151">
        <f t="shared" si="283"/>
        <v>206728</v>
      </c>
      <c r="AH1461" s="123">
        <f>AM1461-167392</f>
        <v>253800</v>
      </c>
      <c r="AI1461" s="123">
        <v>11549</v>
      </c>
      <c r="AJ1461" s="123">
        <v>58854</v>
      </c>
      <c r="AL1461" s="123">
        <v>35523</v>
      </c>
      <c r="AM1461" s="123">
        <v>421192</v>
      </c>
      <c r="AO1461" s="123">
        <v>250000</v>
      </c>
    </row>
    <row r="1462" spans="1:41" s="123" customFormat="1" ht="16.2" thickBot="1" x14ac:dyDescent="0.35">
      <c r="A1462" s="21">
        <v>251.2</v>
      </c>
      <c r="B1462" s="212" t="s">
        <v>8</v>
      </c>
      <c r="C1462" s="31" t="str">
        <f>VLOOKUP((CONCATENATE(B1462)),ID!$A$2:$D$305,3,0)</f>
        <v>BA001</v>
      </c>
      <c r="D1462" s="21">
        <v>1</v>
      </c>
      <c r="E1462" s="21" t="s">
        <v>4005</v>
      </c>
      <c r="F1462" s="21" t="s">
        <v>1117</v>
      </c>
      <c r="G1462" s="21" t="s">
        <v>3862</v>
      </c>
      <c r="H1462" s="88">
        <v>4565</v>
      </c>
      <c r="I1462" s="43">
        <v>4654</v>
      </c>
      <c r="J1462" s="43">
        <v>4651</v>
      </c>
      <c r="K1462" s="21">
        <v>1</v>
      </c>
      <c r="L1462" s="43">
        <v>4659</v>
      </c>
      <c r="M1462" s="43">
        <v>4672</v>
      </c>
      <c r="N1462" s="43">
        <v>4665</v>
      </c>
      <c r="O1462" s="21" t="s">
        <v>3733</v>
      </c>
      <c r="P1462" s="194" t="str">
        <f t="shared" si="276"/>
        <v>1</v>
      </c>
      <c r="Q1462" s="21">
        <v>1</v>
      </c>
      <c r="R1462" s="39" t="str">
        <f t="shared" si="284"/>
        <v>-</v>
      </c>
      <c r="S1462" s="120">
        <f t="shared" si="273"/>
        <v>2464250</v>
      </c>
      <c r="T1462" s="123">
        <v>14526953</v>
      </c>
      <c r="U1462" s="136" t="s">
        <v>3784</v>
      </c>
      <c r="V1462" s="136" t="e">
        <f>T1462-U1462</f>
        <v>#VALUE!</v>
      </c>
      <c r="W1462" s="176" t="e">
        <f>IF(V1462+U1462=T1462,"1","0")</f>
        <v>#VALUE!</v>
      </c>
      <c r="X1462" s="123">
        <f>4630077+996360+6397040+39226</f>
        <v>12062703</v>
      </c>
      <c r="AA1462" s="122" t="str">
        <f>IF(Z1462+Y1462=X1462,"1","0")</f>
        <v>0</v>
      </c>
      <c r="AB1462" s="120">
        <f>SUM(AC1462+AD1462)</f>
        <v>0</v>
      </c>
      <c r="AC1462" s="123">
        <v>0</v>
      </c>
      <c r="AD1462" s="123">
        <v>0</v>
      </c>
      <c r="AE1462" s="123">
        <f>1518550+128443</f>
        <v>1646993</v>
      </c>
      <c r="AG1462" s="151">
        <f t="shared" si="283"/>
        <v>302709</v>
      </c>
      <c r="AH1462" s="123">
        <f>AM1462+AI1462+AL1462-180983</f>
        <v>352406</v>
      </c>
      <c r="AI1462" s="123">
        <v>10471</v>
      </c>
      <c r="AJ1462" s="123">
        <f>70625</f>
        <v>70625</v>
      </c>
      <c r="AL1462" s="123">
        <v>39226</v>
      </c>
      <c r="AM1462" s="123">
        <v>483692</v>
      </c>
      <c r="AO1462" s="123">
        <v>250000</v>
      </c>
    </row>
    <row r="1463" spans="1:41" s="123" customFormat="1" ht="16.2" thickBot="1" x14ac:dyDescent="0.35">
      <c r="A1463" s="21"/>
      <c r="B1463" s="212" t="s">
        <v>8</v>
      </c>
      <c r="C1463" s="31" t="str">
        <f>VLOOKUP((CONCATENATE(B1463)),ID!$A$2:$D$305,3,0)</f>
        <v>BA001</v>
      </c>
      <c r="D1463" s="21">
        <v>1</v>
      </c>
      <c r="E1463" s="21" t="s">
        <v>4005</v>
      </c>
      <c r="F1463" s="21" t="s">
        <v>1117</v>
      </c>
      <c r="G1463" s="21" t="s">
        <v>3862</v>
      </c>
      <c r="H1463" s="88">
        <v>4930</v>
      </c>
      <c r="I1463" s="43">
        <v>5011</v>
      </c>
      <c r="J1463" s="43">
        <v>5009</v>
      </c>
      <c r="K1463" s="21">
        <v>1</v>
      </c>
      <c r="L1463" s="43">
        <v>5015</v>
      </c>
      <c r="M1463" s="43">
        <v>5029</v>
      </c>
      <c r="N1463" s="43">
        <v>5023</v>
      </c>
      <c r="O1463" s="21" t="s">
        <v>3733</v>
      </c>
      <c r="P1463" s="194" t="str">
        <f t="shared" si="276"/>
        <v>1</v>
      </c>
      <c r="Q1463" s="21">
        <v>1</v>
      </c>
      <c r="R1463" s="39" t="str">
        <f t="shared" si="284"/>
        <v>-</v>
      </c>
      <c r="S1463" s="120">
        <f t="shared" si="273"/>
        <v>3959410</v>
      </c>
      <c r="T1463" s="123">
        <v>19017494</v>
      </c>
      <c r="U1463" s="123">
        <f>319902+1741771</f>
        <v>2061673</v>
      </c>
      <c r="V1463" s="123">
        <f>T1463-U1463</f>
        <v>16955821</v>
      </c>
      <c r="W1463" s="122" t="str">
        <f>IF(V1463+U1463=T1463,"1","0")</f>
        <v>1</v>
      </c>
      <c r="X1463" s="123">
        <v>15058084</v>
      </c>
      <c r="AA1463" s="122" t="str">
        <f>IF(Z1463+Y1463=X1463,"1","0")</f>
        <v>0</v>
      </c>
      <c r="AB1463" s="120">
        <f>SUM(AC1463+AD1463)</f>
        <v>0</v>
      </c>
      <c r="AC1463" s="123">
        <v>0</v>
      </c>
      <c r="AD1463" s="123">
        <v>0</v>
      </c>
      <c r="AE1463" s="123">
        <v>1765598</v>
      </c>
      <c r="AG1463" s="151">
        <f t="shared" si="283"/>
        <v>320366</v>
      </c>
      <c r="AH1463" s="123">
        <f>AM1463-226727</f>
        <v>377551</v>
      </c>
      <c r="AI1463" s="123">
        <v>11888</v>
      </c>
      <c r="AJ1463" s="123">
        <v>95579</v>
      </c>
      <c r="AL1463" s="123">
        <v>45297</v>
      </c>
      <c r="AM1463" s="123">
        <v>604278</v>
      </c>
      <c r="AO1463" s="123">
        <v>250000</v>
      </c>
    </row>
    <row r="1464" spans="1:41" s="123" customFormat="1" ht="16.2" thickBot="1" x14ac:dyDescent="0.35">
      <c r="A1464" s="21"/>
      <c r="B1464" s="212" t="s">
        <v>8</v>
      </c>
      <c r="C1464" s="31" t="str">
        <f>VLOOKUP((CONCATENATE(B1464)),ID!$A$2:$D$305,3,0)</f>
        <v>BA001</v>
      </c>
      <c r="D1464" s="21">
        <v>1</v>
      </c>
      <c r="E1464" s="21" t="s">
        <v>4005</v>
      </c>
      <c r="F1464" s="21" t="s">
        <v>1117</v>
      </c>
      <c r="G1464" s="21" t="s">
        <v>3862</v>
      </c>
      <c r="H1464" s="88">
        <v>5295</v>
      </c>
      <c r="I1464" s="43">
        <v>5396</v>
      </c>
      <c r="J1464" s="43">
        <v>5393</v>
      </c>
      <c r="K1464" s="21">
        <v>1</v>
      </c>
      <c r="L1464" s="43">
        <v>5400</v>
      </c>
      <c r="M1464" s="43">
        <v>5414</v>
      </c>
      <c r="N1464" s="43">
        <v>5408</v>
      </c>
      <c r="O1464" s="21" t="s">
        <v>3733</v>
      </c>
      <c r="P1464" s="194" t="str">
        <f t="shared" si="276"/>
        <v>1</v>
      </c>
      <c r="Q1464" s="21">
        <v>1</v>
      </c>
      <c r="R1464" s="39" t="str">
        <f t="shared" si="284"/>
        <v>-</v>
      </c>
      <c r="S1464" s="120">
        <f t="shared" si="273"/>
        <v>4038056</v>
      </c>
      <c r="T1464" s="123">
        <v>19829841</v>
      </c>
      <c r="U1464" s="123">
        <f>1636670+310374</f>
        <v>1947044</v>
      </c>
      <c r="V1464" s="123">
        <f>T1464-U1464</f>
        <v>17882797</v>
      </c>
      <c r="W1464" s="122" t="str">
        <f>IF(V1464+U1464=T1464,"1","0")</f>
        <v>1</v>
      </c>
      <c r="X1464" s="123">
        <v>15791785</v>
      </c>
      <c r="AA1464" s="122" t="str">
        <f>IF(Z1464+Y1464=X1464,"1","0")</f>
        <v>0</v>
      </c>
      <c r="AB1464" s="120">
        <f>SUM(AC1464+AD1464)</f>
        <v>0</v>
      </c>
      <c r="AC1464" s="123">
        <v>0</v>
      </c>
      <c r="AD1464" s="123">
        <v>0</v>
      </c>
      <c r="AE1464" s="123">
        <v>1736001</v>
      </c>
      <c r="AG1464" s="151">
        <f t="shared" si="283"/>
        <v>279056</v>
      </c>
      <c r="AH1464" s="123">
        <f>AM1464-251352</f>
        <v>338980</v>
      </c>
      <c r="AI1464" s="123">
        <v>15906</v>
      </c>
      <c r="AJ1464" s="123">
        <v>123829</v>
      </c>
      <c r="AL1464" s="123">
        <v>44018</v>
      </c>
      <c r="AM1464" s="123">
        <v>590332</v>
      </c>
      <c r="AO1464" s="123">
        <v>450000</v>
      </c>
    </row>
    <row r="1465" spans="1:41" s="123" customFormat="1" ht="16.2" thickBot="1" x14ac:dyDescent="0.35">
      <c r="A1465" s="21"/>
      <c r="B1465" s="212" t="s">
        <v>23</v>
      </c>
      <c r="C1465" s="31" t="str">
        <f>VLOOKUP((CONCATENATE(B1465)),ID!$A$2:$D$305,3,0)</f>
        <v>BA002</v>
      </c>
      <c r="D1465" s="21">
        <v>0</v>
      </c>
      <c r="E1465" s="21" t="s">
        <v>4005</v>
      </c>
      <c r="F1465" s="21" t="s">
        <v>1117</v>
      </c>
      <c r="G1465" s="21" t="s">
        <v>3943</v>
      </c>
      <c r="H1465" s="88">
        <v>3653</v>
      </c>
      <c r="I1465" s="43">
        <v>3726</v>
      </c>
      <c r="J1465" s="43">
        <v>3722</v>
      </c>
      <c r="K1465" s="21">
        <v>1</v>
      </c>
      <c r="L1465" s="43">
        <v>3728</v>
      </c>
      <c r="M1465" s="43">
        <v>3742</v>
      </c>
      <c r="N1465" s="43">
        <v>3742</v>
      </c>
      <c r="O1465" s="60" t="s">
        <v>3774</v>
      </c>
      <c r="P1465" s="194" t="str">
        <f t="shared" si="276"/>
        <v>1</v>
      </c>
      <c r="Q1465" s="21">
        <v>1</v>
      </c>
      <c r="R1465" s="39" t="str">
        <f t="shared" si="284"/>
        <v>-</v>
      </c>
      <c r="S1465" s="120">
        <f t="shared" si="273"/>
        <v>1500000</v>
      </c>
      <c r="T1465" s="123">
        <v>8452369</v>
      </c>
      <c r="U1465" s="123">
        <f>1210038+544322+7254</f>
        <v>1761614</v>
      </c>
      <c r="V1465" s="123">
        <f t="shared" ref="V1465:V1531" si="286">T1465-U1465</f>
        <v>6690755</v>
      </c>
      <c r="W1465" s="122" t="str">
        <f t="shared" ref="W1465:W1531" si="287">IF(V1465+U1465=T1465,"1","0")</f>
        <v>1</v>
      </c>
      <c r="X1465" s="123">
        <v>6952369</v>
      </c>
      <c r="AA1465" s="122" t="str">
        <f t="shared" ref="AA1465:AA1531" si="288">IF(Z1465+Y1465=X1465,"1","0")</f>
        <v>0</v>
      </c>
      <c r="AB1465" s="120">
        <f t="shared" ref="AB1465:AB1531" si="289">SUM(AC1465+AD1465)</f>
        <v>0</v>
      </c>
      <c r="AC1465" s="123">
        <v>0</v>
      </c>
      <c r="AD1465" s="123">
        <v>0</v>
      </c>
      <c r="AE1465" s="123">
        <v>1656237</v>
      </c>
      <c r="AG1465" s="151">
        <f t="shared" si="283"/>
        <v>26354</v>
      </c>
      <c r="AH1465" s="123">
        <f>107505-81151</f>
        <v>26354</v>
      </c>
      <c r="AJ1465" s="123">
        <v>25000</v>
      </c>
      <c r="AO1465" s="123">
        <v>160000</v>
      </c>
    </row>
    <row r="1466" spans="1:41" s="123" customFormat="1" ht="16.2" thickBot="1" x14ac:dyDescent="0.35">
      <c r="A1466" s="21"/>
      <c r="B1466" s="212" t="s">
        <v>23</v>
      </c>
      <c r="C1466" s="31" t="str">
        <f>VLOOKUP((CONCATENATE(B1466)),ID!$A$2:$D$305,3,0)</f>
        <v>BA002</v>
      </c>
      <c r="D1466" s="21">
        <v>0</v>
      </c>
      <c r="E1466" s="21" t="s">
        <v>4005</v>
      </c>
      <c r="F1466" s="21" t="s">
        <v>1117</v>
      </c>
      <c r="G1466" s="21" t="s">
        <v>3943</v>
      </c>
      <c r="H1466" s="88" t="s">
        <v>4130</v>
      </c>
      <c r="I1466" s="43">
        <v>3908</v>
      </c>
      <c r="J1466" s="43">
        <v>3903</v>
      </c>
      <c r="K1466" s="21">
        <v>1</v>
      </c>
      <c r="L1466" s="43">
        <v>3910</v>
      </c>
      <c r="M1466" s="43">
        <v>3924</v>
      </c>
      <c r="N1466" s="43">
        <v>3924</v>
      </c>
      <c r="O1466" s="60" t="s">
        <v>3774</v>
      </c>
      <c r="P1466" s="194" t="str">
        <f t="shared" si="276"/>
        <v>1</v>
      </c>
      <c r="Q1466" s="21">
        <v>1</v>
      </c>
      <c r="R1466" s="39" t="str">
        <f t="shared" si="284"/>
        <v>-</v>
      </c>
      <c r="S1466" s="120">
        <f t="shared" si="273"/>
        <v>1550246</v>
      </c>
      <c r="T1466" s="123">
        <v>8843194</v>
      </c>
      <c r="U1466" s="123">
        <f>6802+521128+1200768</f>
        <v>1728698</v>
      </c>
      <c r="V1466" s="123">
        <f t="shared" si="286"/>
        <v>7114496</v>
      </c>
      <c r="W1466" s="122" t="str">
        <f t="shared" si="287"/>
        <v>1</v>
      </c>
      <c r="X1466" s="123">
        <v>7292948</v>
      </c>
      <c r="AA1466" s="122" t="str">
        <f t="shared" si="288"/>
        <v>0</v>
      </c>
      <c r="AB1466" s="120">
        <f t="shared" si="289"/>
        <v>0</v>
      </c>
      <c r="AC1466" s="123">
        <v>0</v>
      </c>
      <c r="AD1466" s="123">
        <v>0</v>
      </c>
      <c r="AE1466" s="123">
        <v>2467811</v>
      </c>
      <c r="AG1466" s="151">
        <f t="shared" si="283"/>
        <v>31552</v>
      </c>
      <c r="AH1466" s="123">
        <f>115226-83674</f>
        <v>31552</v>
      </c>
      <c r="AJ1466" s="123">
        <v>25000</v>
      </c>
      <c r="AO1466" s="123">
        <v>160000</v>
      </c>
    </row>
    <row r="1467" spans="1:41" s="123" customFormat="1" ht="16.2" thickBot="1" x14ac:dyDescent="0.35">
      <c r="A1467" s="21">
        <v>252.1</v>
      </c>
      <c r="B1467" s="212" t="s">
        <v>23</v>
      </c>
      <c r="C1467" s="31" t="str">
        <f>VLOOKUP((CONCATENATE(B1467)),ID!$A$2:$D$305,3,0)</f>
        <v>BA002</v>
      </c>
      <c r="D1467" s="21">
        <v>0</v>
      </c>
      <c r="E1467" s="21" t="s">
        <v>4005</v>
      </c>
      <c r="F1467" s="21" t="s">
        <v>1117</v>
      </c>
      <c r="G1467" s="21" t="s">
        <v>3943</v>
      </c>
      <c r="H1467" s="88">
        <v>4018</v>
      </c>
      <c r="I1467" s="43">
        <v>4090</v>
      </c>
      <c r="J1467" s="43">
        <v>4085</v>
      </c>
      <c r="K1467" s="21">
        <v>1</v>
      </c>
      <c r="L1467" s="43">
        <v>4092</v>
      </c>
      <c r="M1467" s="43">
        <v>4106</v>
      </c>
      <c r="N1467" s="43">
        <v>4106</v>
      </c>
      <c r="O1467" s="60" t="s">
        <v>3774</v>
      </c>
      <c r="P1467" s="194" t="str">
        <f t="shared" si="276"/>
        <v>1</v>
      </c>
      <c r="Q1467" s="21">
        <v>1</v>
      </c>
      <c r="R1467" s="39" t="str">
        <f t="shared" si="284"/>
        <v>-</v>
      </c>
      <c r="S1467" s="120">
        <f t="shared" si="273"/>
        <v>1551369</v>
      </c>
      <c r="T1467" s="123">
        <v>8882163</v>
      </c>
      <c r="U1467" s="123">
        <f>1293498+501902+6493</f>
        <v>1801893</v>
      </c>
      <c r="V1467" s="123">
        <f t="shared" si="286"/>
        <v>7080270</v>
      </c>
      <c r="W1467" s="122" t="str">
        <f t="shared" si="287"/>
        <v>1</v>
      </c>
      <c r="X1467" s="123">
        <v>7330794</v>
      </c>
      <c r="AA1467" s="122" t="str">
        <f t="shared" si="288"/>
        <v>0</v>
      </c>
      <c r="AB1467" s="120">
        <f t="shared" si="289"/>
        <v>0</v>
      </c>
      <c r="AC1467" s="123">
        <v>0</v>
      </c>
      <c r="AD1467" s="123">
        <v>0</v>
      </c>
      <c r="AE1467" s="123">
        <v>1951444</v>
      </c>
      <c r="AG1467" s="151">
        <f t="shared" si="283"/>
        <v>32122</v>
      </c>
      <c r="AH1467" s="123">
        <f>116723-84601</f>
        <v>32122</v>
      </c>
      <c r="AJ1467" s="123">
        <v>30000</v>
      </c>
      <c r="AO1467" s="123">
        <v>160000</v>
      </c>
    </row>
    <row r="1468" spans="1:41" s="123" customFormat="1" ht="16.2" thickBot="1" x14ac:dyDescent="0.35">
      <c r="A1468" s="21">
        <v>252.2</v>
      </c>
      <c r="B1468" s="212" t="s">
        <v>23</v>
      </c>
      <c r="C1468" s="31" t="str">
        <f>VLOOKUP((CONCATENATE(B1468)),ID!$A$2:$D$305,3,0)</f>
        <v>BA002</v>
      </c>
      <c r="D1468" s="21">
        <v>1</v>
      </c>
      <c r="E1468" s="21" t="s">
        <v>4005</v>
      </c>
      <c r="F1468" s="21" t="s">
        <v>1117</v>
      </c>
      <c r="G1468" s="21" t="s">
        <v>3943</v>
      </c>
      <c r="H1468" s="88">
        <v>4383</v>
      </c>
      <c r="I1468" s="43">
        <v>4465</v>
      </c>
      <c r="J1468" s="43">
        <v>4461</v>
      </c>
      <c r="K1468" s="21">
        <v>1</v>
      </c>
      <c r="L1468" s="43">
        <v>4466</v>
      </c>
      <c r="M1468" s="43">
        <v>4477</v>
      </c>
      <c r="N1468" s="43">
        <v>4477</v>
      </c>
      <c r="O1468" s="60" t="s">
        <v>3774</v>
      </c>
      <c r="P1468" s="194" t="str">
        <f t="shared" si="276"/>
        <v>1</v>
      </c>
      <c r="Q1468" s="21">
        <v>1</v>
      </c>
      <c r="R1468" s="39" t="str">
        <f t="shared" si="284"/>
        <v>-</v>
      </c>
      <c r="S1468" s="120">
        <f t="shared" si="273"/>
        <v>1563628</v>
      </c>
      <c r="T1468" s="123">
        <v>8725329</v>
      </c>
      <c r="U1468" s="123">
        <f>6037+478194+1080649</f>
        <v>1564880</v>
      </c>
      <c r="V1468" s="123">
        <f t="shared" si="286"/>
        <v>7160449</v>
      </c>
      <c r="W1468" s="122" t="str">
        <f t="shared" si="287"/>
        <v>1</v>
      </c>
      <c r="X1468" s="123">
        <v>7161701</v>
      </c>
      <c r="AA1468" s="122" t="str">
        <f t="shared" si="288"/>
        <v>0</v>
      </c>
      <c r="AB1468" s="120">
        <f t="shared" si="289"/>
        <v>0</v>
      </c>
      <c r="AC1468" s="123">
        <v>0</v>
      </c>
      <c r="AD1468" s="123">
        <v>0</v>
      </c>
      <c r="AE1468" s="123">
        <v>1164978</v>
      </c>
      <c r="AG1468" s="151">
        <f t="shared" si="283"/>
        <v>74260</v>
      </c>
      <c r="AH1468" s="123">
        <f>248923-174663</f>
        <v>74260</v>
      </c>
      <c r="AJ1468" s="123">
        <v>30000</v>
      </c>
      <c r="AO1468" s="123">
        <v>160000</v>
      </c>
    </row>
    <row r="1469" spans="1:41" s="123" customFormat="1" ht="16.2" thickBot="1" x14ac:dyDescent="0.35">
      <c r="A1469" s="21"/>
      <c r="B1469" s="212" t="s">
        <v>23</v>
      </c>
      <c r="C1469" s="31" t="str">
        <f>VLOOKUP((CONCATENATE(B1469)),ID!$A$2:$D$305,3,0)</f>
        <v>BA002</v>
      </c>
      <c r="D1469" s="21">
        <v>1</v>
      </c>
      <c r="E1469" s="21" t="s">
        <v>4005</v>
      </c>
      <c r="F1469" s="21" t="s">
        <v>1117</v>
      </c>
      <c r="G1469" s="21" t="s">
        <v>3943</v>
      </c>
      <c r="H1469" s="88">
        <v>4749</v>
      </c>
      <c r="I1469" s="43"/>
      <c r="J1469" s="43"/>
      <c r="K1469" s="21"/>
      <c r="L1469" s="43"/>
      <c r="M1469" s="43"/>
      <c r="N1469" s="43"/>
      <c r="O1469" s="60" t="s">
        <v>3774</v>
      </c>
      <c r="P1469" s="194" t="str">
        <f t="shared" si="276"/>
        <v>?</v>
      </c>
      <c r="Q1469" s="21">
        <v>1</v>
      </c>
      <c r="R1469" s="39" t="str">
        <f t="shared" si="284"/>
        <v>-</v>
      </c>
      <c r="S1469" s="120">
        <f t="shared" si="273"/>
        <v>0</v>
      </c>
      <c r="T1469" s="136"/>
      <c r="U1469" s="136"/>
      <c r="V1469" s="136">
        <f t="shared" si="286"/>
        <v>0</v>
      </c>
      <c r="W1469" s="176" t="str">
        <f t="shared" si="287"/>
        <v>1</v>
      </c>
      <c r="X1469" s="136"/>
      <c r="Y1469" s="136"/>
      <c r="Z1469" s="136"/>
      <c r="AA1469" s="176" t="str">
        <f t="shared" si="288"/>
        <v>1</v>
      </c>
      <c r="AB1469" s="175">
        <f t="shared" si="289"/>
        <v>0</v>
      </c>
      <c r="AC1469" s="136"/>
      <c r="AD1469" s="136"/>
      <c r="AE1469" s="136"/>
      <c r="AF1469" s="136"/>
      <c r="AG1469" s="159">
        <f t="shared" si="283"/>
        <v>0</v>
      </c>
      <c r="AH1469" s="136"/>
      <c r="AI1469" s="136"/>
      <c r="AJ1469" s="136"/>
      <c r="AK1469" s="136"/>
      <c r="AL1469" s="136"/>
      <c r="AM1469" s="136"/>
      <c r="AN1469" s="136"/>
      <c r="AO1469" s="136"/>
    </row>
    <row r="1470" spans="1:41" s="123" customFormat="1" ht="16.2" thickBot="1" x14ac:dyDescent="0.35">
      <c r="A1470" s="21"/>
      <c r="B1470" s="212" t="s">
        <v>23</v>
      </c>
      <c r="C1470" s="31" t="str">
        <f>VLOOKUP((CONCATENATE(B1470)),ID!$A$2:$D$305,3,0)</f>
        <v>BA002</v>
      </c>
      <c r="D1470" s="21">
        <v>1</v>
      </c>
      <c r="E1470" s="21" t="s">
        <v>4005</v>
      </c>
      <c r="F1470" s="21" t="s">
        <v>1117</v>
      </c>
      <c r="G1470" s="21" t="s">
        <v>3943</v>
      </c>
      <c r="H1470" s="88">
        <v>5114</v>
      </c>
      <c r="I1470" s="43"/>
      <c r="J1470" s="43"/>
      <c r="K1470" s="21"/>
      <c r="L1470" s="43"/>
      <c r="M1470" s="43"/>
      <c r="N1470" s="43"/>
      <c r="O1470" s="60" t="s">
        <v>3774</v>
      </c>
      <c r="P1470" s="194" t="str">
        <f t="shared" si="276"/>
        <v>?</v>
      </c>
      <c r="Q1470" s="21">
        <v>1</v>
      </c>
      <c r="R1470" s="39" t="str">
        <f t="shared" si="284"/>
        <v>-</v>
      </c>
      <c r="S1470" s="120">
        <f t="shared" si="273"/>
        <v>0</v>
      </c>
      <c r="T1470" s="136"/>
      <c r="U1470" s="136"/>
      <c r="V1470" s="136">
        <f t="shared" si="286"/>
        <v>0</v>
      </c>
      <c r="W1470" s="176" t="str">
        <f t="shared" si="287"/>
        <v>1</v>
      </c>
      <c r="X1470" s="136"/>
      <c r="Y1470" s="136"/>
      <c r="Z1470" s="136"/>
      <c r="AA1470" s="176" t="str">
        <f t="shared" si="288"/>
        <v>1</v>
      </c>
      <c r="AB1470" s="175">
        <f t="shared" si="289"/>
        <v>0</v>
      </c>
      <c r="AC1470" s="136"/>
      <c r="AD1470" s="136"/>
      <c r="AE1470" s="136"/>
      <c r="AF1470" s="136"/>
      <c r="AG1470" s="159">
        <f t="shared" si="283"/>
        <v>0</v>
      </c>
      <c r="AH1470" s="136"/>
      <c r="AI1470" s="136"/>
      <c r="AJ1470" s="136"/>
      <c r="AK1470" s="136"/>
      <c r="AL1470" s="136"/>
      <c r="AM1470" s="136"/>
      <c r="AN1470" s="136"/>
      <c r="AO1470" s="136"/>
    </row>
    <row r="1471" spans="1:41" s="123" customFormat="1" ht="16.2" thickBot="1" x14ac:dyDescent="0.35">
      <c r="A1471" s="21"/>
      <c r="B1471" s="212" t="s">
        <v>25</v>
      </c>
      <c r="C1471" s="31" t="str">
        <f>VLOOKUP((CONCATENATE(B1471)),ID!$A$2:$D$305,3,0)</f>
        <v>BA003</v>
      </c>
      <c r="D1471" s="21">
        <v>0</v>
      </c>
      <c r="E1471" s="21" t="s">
        <v>4005</v>
      </c>
      <c r="F1471" s="21" t="s">
        <v>3802</v>
      </c>
      <c r="G1471" s="21" t="s">
        <v>3853</v>
      </c>
      <c r="H1471" s="88">
        <v>3653</v>
      </c>
      <c r="I1471" s="43">
        <v>3666</v>
      </c>
      <c r="J1471" s="43">
        <v>3666</v>
      </c>
      <c r="K1471" s="21">
        <v>0</v>
      </c>
      <c r="L1471" s="43"/>
      <c r="M1471" s="43"/>
      <c r="N1471" s="43">
        <v>3674</v>
      </c>
      <c r="O1471" s="21" t="s">
        <v>4086</v>
      </c>
      <c r="P1471" s="194">
        <v>1</v>
      </c>
      <c r="Q1471" s="21">
        <v>1</v>
      </c>
      <c r="R1471" s="39" t="str">
        <f t="shared" si="284"/>
        <v>-</v>
      </c>
      <c r="S1471" s="120">
        <f t="shared" si="273"/>
        <v>2949681</v>
      </c>
      <c r="T1471" s="123">
        <v>20614032</v>
      </c>
      <c r="U1471" s="123">
        <f>6619918+2630759+120239</f>
        <v>9370916</v>
      </c>
      <c r="V1471" s="123">
        <f t="shared" si="286"/>
        <v>11243116</v>
      </c>
      <c r="W1471" s="122" t="str">
        <f t="shared" si="287"/>
        <v>1</v>
      </c>
      <c r="X1471" s="123">
        <v>17664351</v>
      </c>
      <c r="AA1471" s="122" t="str">
        <f t="shared" si="288"/>
        <v>0</v>
      </c>
      <c r="AB1471" s="120">
        <f t="shared" si="289"/>
        <v>0</v>
      </c>
      <c r="AC1471" s="123">
        <v>0</v>
      </c>
      <c r="AD1471" s="123">
        <v>0</v>
      </c>
      <c r="AE1471" s="123">
        <v>2807485</v>
      </c>
      <c r="AG1471" s="151">
        <f t="shared" si="283"/>
        <v>160170</v>
      </c>
      <c r="AH1471" s="123">
        <f>250106-89936</f>
        <v>160170</v>
      </c>
    </row>
    <row r="1472" spans="1:41" s="123" customFormat="1" ht="16.2" thickBot="1" x14ac:dyDescent="0.35">
      <c r="A1472" s="21"/>
      <c r="B1472" s="212" t="s">
        <v>25</v>
      </c>
      <c r="C1472" s="31" t="str">
        <f>VLOOKUP((CONCATENATE(B1472)),ID!$A$2:$D$305,3,0)</f>
        <v>BA003</v>
      </c>
      <c r="D1472" s="21">
        <v>0</v>
      </c>
      <c r="E1472" s="21" t="s">
        <v>4005</v>
      </c>
      <c r="F1472" s="21" t="s">
        <v>3802</v>
      </c>
      <c r="G1472" s="21" t="s">
        <v>3853</v>
      </c>
      <c r="H1472" s="88">
        <v>3834</v>
      </c>
      <c r="I1472" s="43">
        <v>3839</v>
      </c>
      <c r="J1472" s="43">
        <v>3839</v>
      </c>
      <c r="K1472" s="21">
        <v>0</v>
      </c>
      <c r="L1472" s="43"/>
      <c r="M1472" s="43"/>
      <c r="N1472" s="43">
        <v>3849</v>
      </c>
      <c r="O1472" s="21" t="s">
        <v>4086</v>
      </c>
      <c r="P1472" s="194">
        <v>1</v>
      </c>
      <c r="Q1472" s="21">
        <v>1</v>
      </c>
      <c r="R1472" s="39" t="str">
        <f t="shared" si="284"/>
        <v>-</v>
      </c>
      <c r="S1472" s="120">
        <f t="shared" si="273"/>
        <v>2946702</v>
      </c>
      <c r="T1472" s="123">
        <v>21930672</v>
      </c>
      <c r="U1472" s="123">
        <f>2630769+6251819+120364</f>
        <v>9002952</v>
      </c>
      <c r="V1472" s="123">
        <f t="shared" si="286"/>
        <v>12927720</v>
      </c>
      <c r="W1472" s="122" t="str">
        <f t="shared" si="287"/>
        <v>1</v>
      </c>
      <c r="X1472" s="123">
        <v>18983970</v>
      </c>
      <c r="AA1472" s="122" t="str">
        <f t="shared" si="288"/>
        <v>0</v>
      </c>
      <c r="AB1472" s="120">
        <f t="shared" si="289"/>
        <v>0</v>
      </c>
      <c r="AC1472" s="123">
        <v>0</v>
      </c>
      <c r="AD1472" s="123">
        <v>0</v>
      </c>
      <c r="AE1472" s="123">
        <v>3052184</v>
      </c>
      <c r="AG1472" s="151">
        <f t="shared" si="283"/>
        <v>157192</v>
      </c>
      <c r="AH1472" s="123">
        <f>247766-90574</f>
        <v>157192</v>
      </c>
    </row>
    <row r="1473" spans="1:41" s="123" customFormat="1" ht="16.2" thickBot="1" x14ac:dyDescent="0.35">
      <c r="A1473" s="21">
        <v>253.1</v>
      </c>
      <c r="B1473" s="212" t="s">
        <v>25</v>
      </c>
      <c r="C1473" s="31" t="str">
        <f>VLOOKUP((CONCATENATE(B1473)),ID!$A$2:$D$305,3,0)</f>
        <v>BA003</v>
      </c>
      <c r="D1473" s="21">
        <v>0</v>
      </c>
      <c r="E1473" s="21" t="s">
        <v>4005</v>
      </c>
      <c r="F1473" s="21" t="s">
        <v>3802</v>
      </c>
      <c r="G1473" s="21" t="s">
        <v>3853</v>
      </c>
      <c r="H1473" s="88">
        <v>4018</v>
      </c>
      <c r="I1473" s="43">
        <v>4028</v>
      </c>
      <c r="J1473" s="43">
        <v>4028</v>
      </c>
      <c r="K1473" s="21">
        <v>0</v>
      </c>
      <c r="L1473" s="21"/>
      <c r="M1473" s="21"/>
      <c r="N1473" s="43">
        <v>4038</v>
      </c>
      <c r="O1473" s="74" t="s">
        <v>4086</v>
      </c>
      <c r="P1473" s="194">
        <v>1</v>
      </c>
      <c r="Q1473" s="21">
        <v>1</v>
      </c>
      <c r="R1473" s="39" t="str">
        <f t="shared" si="284"/>
        <v>-</v>
      </c>
      <c r="S1473" s="120">
        <f t="shared" si="273"/>
        <v>2946756</v>
      </c>
      <c r="T1473" s="123">
        <v>21070729</v>
      </c>
      <c r="U1473" s="123">
        <f>6323008+2630769+123608</f>
        <v>9077385</v>
      </c>
      <c r="V1473" s="123">
        <f t="shared" si="286"/>
        <v>11993344</v>
      </c>
      <c r="W1473" s="122" t="str">
        <f t="shared" si="287"/>
        <v>1</v>
      </c>
      <c r="X1473" s="123">
        <v>18123973</v>
      </c>
      <c r="AA1473" s="122" t="str">
        <f t="shared" si="288"/>
        <v>0</v>
      </c>
      <c r="AB1473" s="120">
        <f t="shared" si="289"/>
        <v>0</v>
      </c>
      <c r="AC1473" s="123">
        <v>0</v>
      </c>
      <c r="AD1473" s="123">
        <v>0</v>
      </c>
      <c r="AE1473" s="123">
        <v>2530096</v>
      </c>
      <c r="AG1473" s="151">
        <f t="shared" si="283"/>
        <v>145884</v>
      </c>
      <c r="AH1473" s="123">
        <f>248260-92684</f>
        <v>155576</v>
      </c>
      <c r="AI1473" s="123">
        <v>9692</v>
      </c>
    </row>
    <row r="1474" spans="1:41" s="123" customFormat="1" ht="16.2" thickBot="1" x14ac:dyDescent="0.35">
      <c r="A1474" s="21">
        <v>253.2</v>
      </c>
      <c r="B1474" s="212" t="s">
        <v>25</v>
      </c>
      <c r="C1474" s="31" t="str">
        <f>VLOOKUP((CONCATENATE(B1474)),ID!$A$2:$D$305,3,0)</f>
        <v>BA003</v>
      </c>
      <c r="D1474" s="21">
        <v>0</v>
      </c>
      <c r="E1474" s="21" t="s">
        <v>4005</v>
      </c>
      <c r="F1474" s="21" t="s">
        <v>3802</v>
      </c>
      <c r="G1474" s="21" t="s">
        <v>3853</v>
      </c>
      <c r="H1474" s="88">
        <v>4199</v>
      </c>
      <c r="I1474" s="43">
        <v>4212</v>
      </c>
      <c r="J1474" s="43">
        <v>4212</v>
      </c>
      <c r="K1474" s="21">
        <v>0</v>
      </c>
      <c r="L1474" s="21"/>
      <c r="M1474" s="21"/>
      <c r="N1474" s="43">
        <v>4220</v>
      </c>
      <c r="O1474" s="21" t="s">
        <v>4086</v>
      </c>
      <c r="P1474" s="194">
        <v>1</v>
      </c>
      <c r="Q1474" s="21">
        <v>1</v>
      </c>
      <c r="R1474" s="39" t="str">
        <f t="shared" si="284"/>
        <v>-</v>
      </c>
      <c r="S1474" s="120">
        <f t="shared" si="273"/>
        <v>3982646</v>
      </c>
      <c r="T1474" s="123">
        <v>22848794</v>
      </c>
      <c r="U1474" s="123">
        <f>2630769+6661223+125563</f>
        <v>9417555</v>
      </c>
      <c r="V1474" s="123">
        <f t="shared" si="286"/>
        <v>13431239</v>
      </c>
      <c r="W1474" s="122" t="str">
        <f t="shared" si="287"/>
        <v>1</v>
      </c>
      <c r="X1474" s="123">
        <v>18866148</v>
      </c>
      <c r="AA1474" s="122" t="str">
        <f t="shared" si="288"/>
        <v>0</v>
      </c>
      <c r="AB1474" s="120">
        <f t="shared" si="289"/>
        <v>0</v>
      </c>
      <c r="AC1474" s="123">
        <v>0</v>
      </c>
      <c r="AD1474" s="123">
        <v>0</v>
      </c>
      <c r="AE1474" s="123">
        <v>3311748</v>
      </c>
      <c r="AG1474" s="151">
        <f t="shared" si="283"/>
        <v>146657</v>
      </c>
      <c r="AH1474" s="123">
        <f>249418-93069</f>
        <v>156349</v>
      </c>
      <c r="AI1474" s="123">
        <v>9692</v>
      </c>
    </row>
    <row r="1475" spans="1:41" s="138" customFormat="1" ht="16.2" thickBot="1" x14ac:dyDescent="0.35">
      <c r="A1475" s="77">
        <v>253.3</v>
      </c>
      <c r="B1475" s="212" t="s">
        <v>25</v>
      </c>
      <c r="C1475" s="31" t="str">
        <f>VLOOKUP((CONCATENATE(B1475)),ID!$A$2:$D$305,3,0)</f>
        <v>BA003</v>
      </c>
      <c r="D1475" s="77">
        <v>0</v>
      </c>
      <c r="E1475" s="77" t="s">
        <v>4005</v>
      </c>
      <c r="F1475" s="77" t="s">
        <v>3802</v>
      </c>
      <c r="G1475" s="77" t="s">
        <v>3853</v>
      </c>
      <c r="H1475" s="107">
        <v>4383</v>
      </c>
      <c r="I1475" s="108">
        <v>4394</v>
      </c>
      <c r="J1475" s="43">
        <v>4394</v>
      </c>
      <c r="K1475" s="77">
        <v>0</v>
      </c>
      <c r="L1475" s="77"/>
      <c r="M1475" s="77"/>
      <c r="N1475" s="108">
        <v>4402</v>
      </c>
      <c r="O1475" s="21" t="s">
        <v>4086</v>
      </c>
      <c r="P1475" s="194">
        <v>1</v>
      </c>
      <c r="Q1475" s="21">
        <v>1</v>
      </c>
      <c r="R1475" s="39" t="str">
        <f t="shared" si="284"/>
        <v>-</v>
      </c>
      <c r="S1475" s="120">
        <f t="shared" ref="S1475:S1540" si="290">T1475-X1475</f>
        <v>2933047</v>
      </c>
      <c r="T1475" s="138">
        <v>21907659</v>
      </c>
      <c r="U1475" s="138">
        <f>126223+6880157+2630769</f>
        <v>9637149</v>
      </c>
      <c r="V1475" s="123">
        <f t="shared" si="286"/>
        <v>12270510</v>
      </c>
      <c r="W1475" s="122" t="str">
        <f t="shared" si="287"/>
        <v>1</v>
      </c>
      <c r="X1475" s="138">
        <v>18974612</v>
      </c>
      <c r="Z1475" s="123"/>
      <c r="AA1475" s="122" t="str">
        <f t="shared" si="288"/>
        <v>0</v>
      </c>
      <c r="AB1475" s="120">
        <f t="shared" si="289"/>
        <v>0</v>
      </c>
      <c r="AC1475" s="138">
        <v>0</v>
      </c>
      <c r="AD1475" s="138">
        <v>0</v>
      </c>
      <c r="AE1475" s="138">
        <v>3014886</v>
      </c>
      <c r="AG1475" s="151">
        <f t="shared" si="283"/>
        <v>134051</v>
      </c>
      <c r="AH1475" s="123">
        <f>235053-92118</f>
        <v>142935</v>
      </c>
      <c r="AI1475" s="138">
        <v>8884</v>
      </c>
    </row>
    <row r="1476" spans="1:41" s="123" customFormat="1" ht="16.2" thickBot="1" x14ac:dyDescent="0.35">
      <c r="A1476" s="21">
        <v>253.4</v>
      </c>
      <c r="B1476" s="212" t="s">
        <v>25</v>
      </c>
      <c r="C1476" s="31" t="str">
        <f>VLOOKUP((CONCATENATE(B1476)),ID!$A$2:$D$305,3,0)</f>
        <v>BA003</v>
      </c>
      <c r="D1476" s="21">
        <v>0</v>
      </c>
      <c r="E1476" s="21" t="s">
        <v>4005</v>
      </c>
      <c r="F1476" s="21" t="s">
        <v>3802</v>
      </c>
      <c r="G1476" s="21" t="s">
        <v>3853</v>
      </c>
      <c r="H1476" s="88">
        <v>4565</v>
      </c>
      <c r="I1476" s="43">
        <v>4576</v>
      </c>
      <c r="J1476" s="43">
        <v>4576</v>
      </c>
      <c r="K1476" s="21">
        <v>0</v>
      </c>
      <c r="L1476" s="21"/>
      <c r="M1476" s="21"/>
      <c r="N1476" s="43">
        <v>4584</v>
      </c>
      <c r="O1476" s="21" t="s">
        <v>4086</v>
      </c>
      <c r="P1476" s="194">
        <v>1</v>
      </c>
      <c r="Q1476" s="21">
        <v>1</v>
      </c>
      <c r="R1476" s="39" t="str">
        <f t="shared" si="284"/>
        <v>-</v>
      </c>
      <c r="S1476" s="120">
        <f t="shared" si="290"/>
        <v>2920990</v>
      </c>
      <c r="T1476" s="123">
        <v>23234934</v>
      </c>
      <c r="U1476" s="123">
        <f>133759+7101477+2630769</f>
        <v>9866005</v>
      </c>
      <c r="V1476" s="123">
        <f t="shared" si="286"/>
        <v>13368929</v>
      </c>
      <c r="W1476" s="122" t="str">
        <f t="shared" si="287"/>
        <v>1</v>
      </c>
      <c r="X1476" s="123">
        <v>20313944</v>
      </c>
      <c r="AA1476" s="122" t="str">
        <f t="shared" si="288"/>
        <v>0</v>
      </c>
      <c r="AB1476" s="120">
        <f t="shared" si="289"/>
        <v>0</v>
      </c>
      <c r="AC1476" s="123">
        <v>0</v>
      </c>
      <c r="AD1476" s="123">
        <v>0</v>
      </c>
      <c r="AE1476" s="123">
        <v>3305375</v>
      </c>
      <c r="AG1476" s="151">
        <f t="shared" si="283"/>
        <v>123270</v>
      </c>
      <c r="AH1476" s="123">
        <f>220233-88887</f>
        <v>131346</v>
      </c>
      <c r="AI1476" s="123">
        <v>8076</v>
      </c>
    </row>
    <row r="1477" spans="1:41" s="123" customFormat="1" ht="16.2" thickBot="1" x14ac:dyDescent="0.35">
      <c r="A1477" s="21"/>
      <c r="B1477" s="212" t="s">
        <v>25</v>
      </c>
      <c r="C1477" s="31" t="str">
        <f>VLOOKUP((CONCATENATE(B1477)),ID!$A$2:$D$305,3,0)</f>
        <v>BA003</v>
      </c>
      <c r="D1477" s="21">
        <v>0</v>
      </c>
      <c r="E1477" s="21" t="s">
        <v>4005</v>
      </c>
      <c r="F1477" s="21" t="s">
        <v>3802</v>
      </c>
      <c r="G1477" s="21" t="s">
        <v>3853</v>
      </c>
      <c r="H1477" s="88">
        <v>4749</v>
      </c>
      <c r="I1477" s="43">
        <v>4765</v>
      </c>
      <c r="J1477" s="43">
        <v>4765</v>
      </c>
      <c r="K1477" s="21">
        <v>0</v>
      </c>
      <c r="L1477" s="21"/>
      <c r="M1477" s="21"/>
      <c r="N1477" s="43">
        <v>4773</v>
      </c>
      <c r="O1477" s="21" t="s">
        <v>4086</v>
      </c>
      <c r="P1477" s="194">
        <v>1</v>
      </c>
      <c r="Q1477" s="21">
        <v>1</v>
      </c>
      <c r="R1477" s="39" t="str">
        <f t="shared" si="284"/>
        <v>-</v>
      </c>
      <c r="S1477" s="120">
        <f t="shared" si="290"/>
        <v>2922184</v>
      </c>
      <c r="T1477" s="123">
        <v>21612298</v>
      </c>
      <c r="U1477" s="123">
        <f>138949+6495072+2630769</f>
        <v>9264790</v>
      </c>
      <c r="V1477" s="123">
        <f t="shared" si="286"/>
        <v>12347508</v>
      </c>
      <c r="W1477" s="122" t="str">
        <f t="shared" si="287"/>
        <v>1</v>
      </c>
      <c r="X1477" s="123">
        <v>18690114</v>
      </c>
      <c r="AA1477" s="122" t="str">
        <f t="shared" si="288"/>
        <v>0</v>
      </c>
      <c r="AB1477" s="120">
        <f t="shared" si="289"/>
        <v>0</v>
      </c>
      <c r="AC1477" s="123">
        <v>0</v>
      </c>
      <c r="AD1477" s="123">
        <v>0</v>
      </c>
      <c r="AE1477" s="123">
        <v>2999172</v>
      </c>
      <c r="AG1477" s="151">
        <f t="shared" si="283"/>
        <v>131599</v>
      </c>
      <c r="AH1477" s="123">
        <f>278949-93350-AK1477</f>
        <v>131599</v>
      </c>
      <c r="AK1477" s="123">
        <v>54000</v>
      </c>
    </row>
    <row r="1478" spans="1:41" s="123" customFormat="1" ht="16.2" thickBot="1" x14ac:dyDescent="0.35">
      <c r="A1478" s="21"/>
      <c r="B1478" s="212" t="s">
        <v>25</v>
      </c>
      <c r="C1478" s="31" t="str">
        <f>VLOOKUP((CONCATENATE(B1478)),ID!$A$2:$D$305,3,0)</f>
        <v>BA003</v>
      </c>
      <c r="D1478" s="21">
        <v>0</v>
      </c>
      <c r="E1478" s="21" t="s">
        <v>4005</v>
      </c>
      <c r="F1478" s="21" t="s">
        <v>3802</v>
      </c>
      <c r="G1478" s="21" t="s">
        <v>3853</v>
      </c>
      <c r="H1478" s="88">
        <v>4930</v>
      </c>
      <c r="I1478" s="43">
        <v>4945</v>
      </c>
      <c r="J1478" s="43">
        <v>4945</v>
      </c>
      <c r="K1478" s="21">
        <v>0</v>
      </c>
      <c r="L1478" s="21"/>
      <c r="M1478" s="21"/>
      <c r="N1478" s="43">
        <v>4953</v>
      </c>
      <c r="O1478" s="21" t="s">
        <v>4086</v>
      </c>
      <c r="P1478" s="194">
        <v>1</v>
      </c>
      <c r="Q1478" s="21">
        <v>1</v>
      </c>
      <c r="R1478" s="39" t="str">
        <f t="shared" si="284"/>
        <v>-</v>
      </c>
      <c r="S1478" s="120">
        <f t="shared" si="290"/>
        <v>2923002</v>
      </c>
      <c r="T1478" s="123">
        <v>22916229</v>
      </c>
      <c r="U1478" s="123">
        <f>6462180+143106+2630769</f>
        <v>9236055</v>
      </c>
      <c r="V1478" s="123">
        <f t="shared" si="286"/>
        <v>13680174</v>
      </c>
      <c r="W1478" s="122" t="str">
        <f t="shared" si="287"/>
        <v>1</v>
      </c>
      <c r="X1478" s="123">
        <v>19993227</v>
      </c>
      <c r="AA1478" s="122" t="str">
        <f t="shared" si="288"/>
        <v>0</v>
      </c>
      <c r="AB1478" s="120">
        <f t="shared" si="289"/>
        <v>0</v>
      </c>
      <c r="AC1478" s="123">
        <v>0</v>
      </c>
      <c r="AD1478" s="123">
        <v>0</v>
      </c>
      <c r="AE1478" s="123">
        <v>3447119</v>
      </c>
      <c r="AG1478" s="151">
        <f t="shared" si="283"/>
        <v>133203</v>
      </c>
      <c r="AH1478" s="123">
        <f>297899-94696-AK1478</f>
        <v>133203</v>
      </c>
      <c r="AK1478" s="123">
        <v>70000</v>
      </c>
    </row>
    <row r="1479" spans="1:41" s="123" customFormat="1" ht="16.2" thickBot="1" x14ac:dyDescent="0.35">
      <c r="A1479" s="21"/>
      <c r="B1479" s="212" t="s">
        <v>25</v>
      </c>
      <c r="C1479" s="31" t="str">
        <f>VLOOKUP((CONCATENATE(B1479)),ID!$A$2:$D$305,3,0)</f>
        <v>BA003</v>
      </c>
      <c r="D1479" s="21">
        <v>0</v>
      </c>
      <c r="E1479" s="21" t="s">
        <v>4005</v>
      </c>
      <c r="F1479" s="21" t="s">
        <v>3802</v>
      </c>
      <c r="G1479" s="21" t="s">
        <v>3853</v>
      </c>
      <c r="H1479" s="88">
        <v>5114</v>
      </c>
      <c r="I1479" s="43">
        <v>5128</v>
      </c>
      <c r="J1479" s="43">
        <v>5128</v>
      </c>
      <c r="K1479" s="21">
        <v>0</v>
      </c>
      <c r="L1479" s="21"/>
      <c r="M1479" s="21"/>
      <c r="N1479" s="43">
        <v>5137</v>
      </c>
      <c r="O1479" s="21" t="s">
        <v>3774</v>
      </c>
      <c r="P1479" s="194">
        <v>1</v>
      </c>
      <c r="Q1479" s="21">
        <v>1</v>
      </c>
      <c r="R1479" s="39" t="str">
        <f t="shared" si="284"/>
        <v>-</v>
      </c>
      <c r="S1479" s="120">
        <f t="shared" si="290"/>
        <v>2922648</v>
      </c>
      <c r="T1479" s="123">
        <v>22256599</v>
      </c>
      <c r="U1479" s="123">
        <f>145108+6476158+2630769</f>
        <v>9252035</v>
      </c>
      <c r="V1479" s="123">
        <f>T1479-U1479</f>
        <v>13004564</v>
      </c>
      <c r="W1479" s="122" t="str">
        <f>IF(V1479+U1479=T1479,"1","0")</f>
        <v>1</v>
      </c>
      <c r="X1479" s="123">
        <v>19333951</v>
      </c>
      <c r="AA1479" s="122" t="str">
        <f t="shared" si="288"/>
        <v>0</v>
      </c>
      <c r="AB1479" s="120">
        <f t="shared" si="289"/>
        <v>0</v>
      </c>
      <c r="AC1479" s="123">
        <v>0</v>
      </c>
      <c r="AD1479" s="123">
        <v>0</v>
      </c>
      <c r="AE1479" s="123">
        <v>3422754</v>
      </c>
      <c r="AG1479" s="151">
        <f t="shared" si="283"/>
        <v>130030</v>
      </c>
      <c r="AH1479" s="123">
        <f>293105-96075-AK1479</f>
        <v>130030</v>
      </c>
      <c r="AK1479" s="123">
        <v>67000</v>
      </c>
    </row>
    <row r="1480" spans="1:41" s="123" customFormat="1" ht="16.2" thickBot="1" x14ac:dyDescent="0.35">
      <c r="A1480" s="21"/>
      <c r="B1480" s="212" t="s">
        <v>25</v>
      </c>
      <c r="C1480" s="31" t="str">
        <f>VLOOKUP((CONCATENATE(B1480)),ID!$A$2:$D$305,3,0)</f>
        <v>BA003</v>
      </c>
      <c r="D1480" s="21">
        <v>0</v>
      </c>
      <c r="E1480" s="21" t="s">
        <v>4005</v>
      </c>
      <c r="F1480" s="21" t="s">
        <v>3802</v>
      </c>
      <c r="G1480" s="21" t="s">
        <v>3853</v>
      </c>
      <c r="H1480" s="88">
        <v>5295</v>
      </c>
      <c r="I1480" s="43">
        <v>5309</v>
      </c>
      <c r="J1480" s="43">
        <v>5309</v>
      </c>
      <c r="K1480" s="21">
        <v>0</v>
      </c>
      <c r="L1480" s="21"/>
      <c r="M1480" s="21"/>
      <c r="N1480" s="43">
        <v>5319</v>
      </c>
      <c r="O1480" s="21" t="s">
        <v>3774</v>
      </c>
      <c r="P1480" s="194">
        <v>1</v>
      </c>
      <c r="Q1480" s="21">
        <v>1</v>
      </c>
      <c r="R1480" s="39" t="str">
        <f t="shared" si="284"/>
        <v>-</v>
      </c>
      <c r="S1480" s="120">
        <f t="shared" si="290"/>
        <v>2923382</v>
      </c>
      <c r="T1480" s="123">
        <v>22810030</v>
      </c>
      <c r="U1480" s="123">
        <f>146211+7041213+2630769</f>
        <v>9818193</v>
      </c>
      <c r="V1480" s="123">
        <f>T1480-U1480</f>
        <v>12991837</v>
      </c>
      <c r="W1480" s="122" t="str">
        <f>IF(V1480+U1480=T1480,"1","0")</f>
        <v>1</v>
      </c>
      <c r="X1480" s="123">
        <v>19886648</v>
      </c>
      <c r="AA1480" s="122" t="str">
        <f>IF(Z1480+Y1480=X1480,"1","0")</f>
        <v>0</v>
      </c>
      <c r="AB1480" s="120">
        <f>SUM(AC1480+AD1480)</f>
        <v>0</v>
      </c>
      <c r="AC1480" s="123">
        <v>0</v>
      </c>
      <c r="AD1480" s="123">
        <v>0</v>
      </c>
      <c r="AE1480" s="123">
        <v>3566187</v>
      </c>
      <c r="AG1480" s="151">
        <f t="shared" si="283"/>
        <v>191119</v>
      </c>
      <c r="AH1480" s="123">
        <f>290749-99630-AK1480</f>
        <v>191119</v>
      </c>
    </row>
    <row r="1481" spans="1:41" s="123" customFormat="1" ht="16.2" thickBot="1" x14ac:dyDescent="0.35">
      <c r="A1481" s="21"/>
      <c r="B1481" s="212" t="s">
        <v>26</v>
      </c>
      <c r="C1481" s="31" t="str">
        <f>VLOOKUP((CONCATENATE(B1481)),ID!$A$2:$D$305,3,0)</f>
        <v>BA004</v>
      </c>
      <c r="D1481" s="21">
        <v>1</v>
      </c>
      <c r="E1481" s="21" t="s">
        <v>4005</v>
      </c>
      <c r="F1481" s="21" t="s">
        <v>3861</v>
      </c>
      <c r="G1481" s="21" t="s">
        <v>3853</v>
      </c>
      <c r="H1481" s="88">
        <v>3834</v>
      </c>
      <c r="I1481" s="43">
        <v>3841</v>
      </c>
      <c r="J1481" s="43">
        <v>3841</v>
      </c>
      <c r="K1481" s="21">
        <v>1</v>
      </c>
      <c r="L1481" s="43">
        <v>3843</v>
      </c>
      <c r="M1481" s="43">
        <v>3852</v>
      </c>
      <c r="N1481" s="43">
        <v>3849</v>
      </c>
      <c r="O1481" s="21" t="s">
        <v>3872</v>
      </c>
      <c r="P1481" s="194" t="str">
        <f t="shared" ref="P1481:P1540" si="291">IF(AJ1481=0,"?","1")</f>
        <v>1</v>
      </c>
      <c r="Q1481" s="21">
        <v>1</v>
      </c>
      <c r="R1481" s="39" t="str">
        <f t="shared" si="284"/>
        <v>-</v>
      </c>
      <c r="S1481" s="120">
        <f t="shared" si="290"/>
        <v>2201926</v>
      </c>
      <c r="T1481" s="123">
        <v>18673647</v>
      </c>
      <c r="U1481" s="123">
        <f>2909913+9845478+460712</f>
        <v>13216103</v>
      </c>
      <c r="V1481" s="123">
        <f t="shared" si="286"/>
        <v>5457544</v>
      </c>
      <c r="W1481" s="122" t="str">
        <f t="shared" si="287"/>
        <v>1</v>
      </c>
      <c r="X1481" s="123">
        <v>16471721</v>
      </c>
      <c r="AA1481" s="122" t="str">
        <f t="shared" si="288"/>
        <v>0</v>
      </c>
      <c r="AB1481" s="120">
        <f t="shared" si="289"/>
        <v>0</v>
      </c>
      <c r="AC1481" s="123">
        <v>0</v>
      </c>
      <c r="AD1481" s="123">
        <v>0</v>
      </c>
      <c r="AE1481" s="123">
        <v>1392546</v>
      </c>
      <c r="AG1481" s="151">
        <f t="shared" si="283"/>
        <v>208226</v>
      </c>
      <c r="AH1481" s="123">
        <f>376315-168089</f>
        <v>208226</v>
      </c>
      <c r="AJ1481" s="123">
        <v>183750</v>
      </c>
      <c r="AO1481" s="123">
        <v>105000</v>
      </c>
    </row>
    <row r="1482" spans="1:41" s="123" customFormat="1" ht="16.2" thickBot="1" x14ac:dyDescent="0.35">
      <c r="A1482" s="21">
        <v>254.1</v>
      </c>
      <c r="B1482" s="212" t="s">
        <v>26</v>
      </c>
      <c r="C1482" s="31" t="str">
        <f>VLOOKUP((CONCATENATE(B1482)),ID!$A$2:$D$305,3,0)</f>
        <v>BA004</v>
      </c>
      <c r="D1482" s="21">
        <v>1</v>
      </c>
      <c r="E1482" s="21" t="s">
        <v>4005</v>
      </c>
      <c r="F1482" s="21" t="s">
        <v>3861</v>
      </c>
      <c r="G1482" s="21" t="s">
        <v>3853</v>
      </c>
      <c r="H1482" s="88">
        <v>4199</v>
      </c>
      <c r="I1482" s="43">
        <v>4206</v>
      </c>
      <c r="J1482" s="43">
        <v>4206</v>
      </c>
      <c r="K1482" s="21">
        <v>1</v>
      </c>
      <c r="L1482" s="43">
        <v>4204</v>
      </c>
      <c r="M1482" s="43">
        <v>4217</v>
      </c>
      <c r="N1482" s="43">
        <v>4216</v>
      </c>
      <c r="O1482" s="21" t="s">
        <v>3872</v>
      </c>
      <c r="P1482" s="194" t="str">
        <f t="shared" si="291"/>
        <v>1</v>
      </c>
      <c r="Q1482" s="21">
        <v>1</v>
      </c>
      <c r="R1482" s="39" t="str">
        <f t="shared" si="284"/>
        <v>-</v>
      </c>
      <c r="S1482" s="120">
        <f t="shared" si="290"/>
        <v>2305764</v>
      </c>
      <c r="T1482" s="123">
        <v>20049902</v>
      </c>
      <c r="U1482" s="123">
        <f>486238+10688033+3116144</f>
        <v>14290415</v>
      </c>
      <c r="V1482" s="123">
        <f t="shared" si="286"/>
        <v>5759487</v>
      </c>
      <c r="W1482" s="122" t="str">
        <f t="shared" si="287"/>
        <v>1</v>
      </c>
      <c r="X1482" s="123">
        <v>17744138</v>
      </c>
      <c r="AA1482" s="122" t="str">
        <f t="shared" si="288"/>
        <v>0</v>
      </c>
      <c r="AB1482" s="120">
        <f t="shared" si="289"/>
        <v>0</v>
      </c>
      <c r="AC1482" s="123">
        <v>0</v>
      </c>
      <c r="AD1482" s="123">
        <v>0</v>
      </c>
      <c r="AE1482" s="123">
        <v>1574773</v>
      </c>
      <c r="AG1482" s="151">
        <f t="shared" si="283"/>
        <v>231215</v>
      </c>
      <c r="AH1482" s="123">
        <f>407785-176570</f>
        <v>231215</v>
      </c>
      <c r="AJ1482" s="123">
        <v>191750</v>
      </c>
      <c r="AO1482" s="123">
        <v>112856</v>
      </c>
    </row>
    <row r="1483" spans="1:41" s="123" customFormat="1" ht="16.2" thickBot="1" x14ac:dyDescent="0.35">
      <c r="A1483" s="21">
        <v>254.2</v>
      </c>
      <c r="B1483" s="212" t="s">
        <v>26</v>
      </c>
      <c r="C1483" s="31" t="str">
        <f>VLOOKUP((CONCATENATE(B1483)),ID!$A$2:$D$305,3,0)</f>
        <v>BA004</v>
      </c>
      <c r="D1483" s="21">
        <v>1</v>
      </c>
      <c r="E1483" s="21" t="s">
        <v>4005</v>
      </c>
      <c r="F1483" s="21" t="s">
        <v>3861</v>
      </c>
      <c r="G1483" s="21" t="s">
        <v>3853</v>
      </c>
      <c r="H1483" s="88">
        <v>4565</v>
      </c>
      <c r="I1483" s="43">
        <v>4573</v>
      </c>
      <c r="J1483" s="43">
        <v>4573</v>
      </c>
      <c r="K1483" s="21">
        <v>1</v>
      </c>
      <c r="L1483" s="43">
        <v>4574</v>
      </c>
      <c r="M1483" s="43">
        <v>4585</v>
      </c>
      <c r="N1483" s="43">
        <v>4584</v>
      </c>
      <c r="O1483" s="21" t="s">
        <v>3872</v>
      </c>
      <c r="P1483" s="194" t="str">
        <f t="shared" si="291"/>
        <v>1</v>
      </c>
      <c r="Q1483" s="21">
        <v>1</v>
      </c>
      <c r="R1483" s="39" t="str">
        <f t="shared" si="284"/>
        <v>-</v>
      </c>
      <c r="S1483" s="120">
        <f t="shared" si="290"/>
        <v>2288608</v>
      </c>
      <c r="T1483" s="123">
        <v>21631712</v>
      </c>
      <c r="U1483" s="123">
        <f>491735+11290781+3064005</f>
        <v>14846521</v>
      </c>
      <c r="V1483" s="123">
        <f t="shared" si="286"/>
        <v>6785191</v>
      </c>
      <c r="W1483" s="122" t="str">
        <f t="shared" si="287"/>
        <v>1</v>
      </c>
      <c r="X1483" s="123">
        <v>19343104</v>
      </c>
      <c r="AA1483" s="122" t="str">
        <f t="shared" si="288"/>
        <v>0</v>
      </c>
      <c r="AB1483" s="120">
        <f t="shared" si="289"/>
        <v>0</v>
      </c>
      <c r="AC1483" s="123">
        <v>0</v>
      </c>
      <c r="AD1483" s="123">
        <v>0</v>
      </c>
      <c r="AE1483" s="123">
        <v>1777301</v>
      </c>
      <c r="AG1483" s="151">
        <f t="shared" si="283"/>
        <v>237919</v>
      </c>
      <c r="AH1483" s="123">
        <f>424310-186391</f>
        <v>237919</v>
      </c>
      <c r="AJ1483" s="123">
        <v>211875</v>
      </c>
      <c r="AO1483" s="123">
        <v>113000</v>
      </c>
    </row>
    <row r="1484" spans="1:41" s="123" customFormat="1" ht="16.2" thickBot="1" x14ac:dyDescent="0.35">
      <c r="A1484" s="21"/>
      <c r="B1484" s="212" t="s">
        <v>26</v>
      </c>
      <c r="C1484" s="31" t="str">
        <f>VLOOKUP((CONCATENATE(B1484)),ID!$A$2:$D$305,3,0)</f>
        <v>BA004</v>
      </c>
      <c r="D1484" s="21">
        <v>1</v>
      </c>
      <c r="E1484" s="21" t="s">
        <v>4005</v>
      </c>
      <c r="F1484" s="21" t="s">
        <v>3861</v>
      </c>
      <c r="G1484" s="21" t="s">
        <v>3853</v>
      </c>
      <c r="H1484" s="88">
        <v>4930</v>
      </c>
      <c r="I1484" s="43">
        <v>4939</v>
      </c>
      <c r="J1484" s="43">
        <v>4939</v>
      </c>
      <c r="K1484" s="21">
        <v>1</v>
      </c>
      <c r="L1484" s="43">
        <v>4939</v>
      </c>
      <c r="M1484" s="43">
        <v>4949</v>
      </c>
      <c r="N1484" s="43">
        <v>4948</v>
      </c>
      <c r="O1484" s="21" t="s">
        <v>3872</v>
      </c>
      <c r="P1484" s="194" t="str">
        <f t="shared" si="291"/>
        <v>1</v>
      </c>
      <c r="Q1484" s="21">
        <v>1</v>
      </c>
      <c r="R1484" s="39" t="str">
        <f t="shared" si="284"/>
        <v>-</v>
      </c>
      <c r="S1484" s="120">
        <f t="shared" si="290"/>
        <v>2274909</v>
      </c>
      <c r="T1484" s="123">
        <v>21754004</v>
      </c>
      <c r="U1484" s="123">
        <f>3058446+11935946+499555</f>
        <v>15493947</v>
      </c>
      <c r="V1484" s="123">
        <f t="shared" si="286"/>
        <v>6260057</v>
      </c>
      <c r="W1484" s="122" t="str">
        <f t="shared" si="287"/>
        <v>1</v>
      </c>
      <c r="X1484" s="123">
        <v>19479095</v>
      </c>
      <c r="AA1484" s="122" t="str">
        <f t="shared" si="288"/>
        <v>0</v>
      </c>
      <c r="AB1484" s="120">
        <f t="shared" si="289"/>
        <v>0</v>
      </c>
      <c r="AC1484" s="123">
        <v>0</v>
      </c>
      <c r="AD1484" s="123">
        <v>0</v>
      </c>
      <c r="AE1484" s="123">
        <v>1829405</v>
      </c>
      <c r="AG1484" s="151">
        <f t="shared" si="283"/>
        <v>258177</v>
      </c>
      <c r="AH1484" s="123">
        <f>444986-186809</f>
        <v>258177</v>
      </c>
      <c r="AJ1484" s="123">
        <v>113408</v>
      </c>
      <c r="AO1484" s="123">
        <v>565000</v>
      </c>
    </row>
    <row r="1485" spans="1:41" s="123" customFormat="1" ht="16.2" thickBot="1" x14ac:dyDescent="0.35">
      <c r="A1485" s="21"/>
      <c r="B1485" s="212" t="s">
        <v>26</v>
      </c>
      <c r="C1485" s="31" t="str">
        <f>VLOOKUP((CONCATENATE(B1485)),ID!$A$2:$D$305,3,0)</f>
        <v>BA004</v>
      </c>
      <c r="D1485" s="21">
        <v>1</v>
      </c>
      <c r="E1485" s="21" t="s">
        <v>4005</v>
      </c>
      <c r="F1485" s="21" t="s">
        <v>3861</v>
      </c>
      <c r="G1485" s="21" t="s">
        <v>3853</v>
      </c>
      <c r="H1485" s="88">
        <v>5295</v>
      </c>
      <c r="I1485" s="43">
        <v>5303</v>
      </c>
      <c r="J1485" s="43">
        <v>5303</v>
      </c>
      <c r="K1485" s="21">
        <v>1</v>
      </c>
      <c r="L1485" s="43">
        <v>5303</v>
      </c>
      <c r="M1485" s="43">
        <v>5315</v>
      </c>
      <c r="N1485" s="43">
        <v>5312</v>
      </c>
      <c r="O1485" s="21" t="s">
        <v>3872</v>
      </c>
      <c r="P1485" s="194" t="str">
        <f t="shared" si="291"/>
        <v>1</v>
      </c>
      <c r="Q1485" s="21">
        <v>1</v>
      </c>
      <c r="R1485" s="39" t="str">
        <f t="shared" si="284"/>
        <v>-</v>
      </c>
      <c r="S1485" s="120">
        <f t="shared" si="290"/>
        <v>2322559</v>
      </c>
      <c r="T1485" s="123">
        <v>22727965</v>
      </c>
      <c r="U1485" s="123">
        <f>499592+3252838+12557860</f>
        <v>16310290</v>
      </c>
      <c r="V1485" s="123">
        <f t="shared" si="286"/>
        <v>6417675</v>
      </c>
      <c r="W1485" s="122" t="str">
        <f t="shared" si="287"/>
        <v>1</v>
      </c>
      <c r="X1485" s="123">
        <v>20405406</v>
      </c>
      <c r="AA1485" s="122" t="str">
        <f t="shared" si="288"/>
        <v>0</v>
      </c>
      <c r="AB1485" s="120">
        <f t="shared" si="289"/>
        <v>0</v>
      </c>
      <c r="AC1485" s="123">
        <v>0</v>
      </c>
      <c r="AD1485" s="123">
        <v>0</v>
      </c>
      <c r="AE1485" s="123">
        <v>1853892</v>
      </c>
      <c r="AG1485" s="151">
        <f t="shared" si="283"/>
        <v>259524</v>
      </c>
      <c r="AH1485" s="123">
        <f>454182-194658</f>
        <v>259524</v>
      </c>
      <c r="AJ1485" s="123">
        <v>211875</v>
      </c>
      <c r="AO1485" s="123">
        <v>565000</v>
      </c>
    </row>
    <row r="1486" spans="1:41" s="123" customFormat="1" ht="16.2" thickBot="1" x14ac:dyDescent="0.35">
      <c r="A1486" s="21"/>
      <c r="B1486" s="212" t="s">
        <v>27</v>
      </c>
      <c r="C1486" s="31" t="str">
        <f>VLOOKUP((CONCATENATE(B1486)),ID!$A$2:$D$305,3,0)</f>
        <v>BA005</v>
      </c>
      <c r="D1486" s="21">
        <v>1</v>
      </c>
      <c r="E1486" s="21" t="s">
        <v>4005</v>
      </c>
      <c r="F1486" s="21" t="s">
        <v>4007</v>
      </c>
      <c r="G1486" s="21" t="s">
        <v>3862</v>
      </c>
      <c r="H1486" s="88">
        <v>3743</v>
      </c>
      <c r="I1486" s="43">
        <v>3812</v>
      </c>
      <c r="J1486" s="43">
        <v>3812</v>
      </c>
      <c r="K1486" s="21">
        <v>0</v>
      </c>
      <c r="L1486" s="43"/>
      <c r="M1486" s="43"/>
      <c r="N1486" s="43">
        <v>3821</v>
      </c>
      <c r="O1486" s="21" t="s">
        <v>4006</v>
      </c>
      <c r="P1486" s="194" t="str">
        <f t="shared" si="291"/>
        <v>1</v>
      </c>
      <c r="Q1486" s="21">
        <v>1</v>
      </c>
      <c r="R1486" s="39" t="str">
        <f t="shared" si="284"/>
        <v>-</v>
      </c>
      <c r="S1486" s="120">
        <f t="shared" si="290"/>
        <v>2919885</v>
      </c>
      <c r="T1486" s="123">
        <v>19674310</v>
      </c>
      <c r="U1486" s="123">
        <f>1144745+333291+7025747+359789</f>
        <v>8863572</v>
      </c>
      <c r="V1486" s="123">
        <f t="shared" si="286"/>
        <v>10810738</v>
      </c>
      <c r="W1486" s="122" t="str">
        <f t="shared" si="287"/>
        <v>1</v>
      </c>
      <c r="X1486" s="123">
        <v>16754425</v>
      </c>
      <c r="AA1486" s="122" t="str">
        <f t="shared" si="288"/>
        <v>0</v>
      </c>
      <c r="AB1486" s="120">
        <f t="shared" si="289"/>
        <v>0</v>
      </c>
      <c r="AC1486" s="123">
        <v>0</v>
      </c>
      <c r="AD1486" s="123">
        <v>0</v>
      </c>
      <c r="AE1486" s="123">
        <v>3143775</v>
      </c>
      <c r="AG1486" s="151">
        <f t="shared" si="283"/>
        <v>259985</v>
      </c>
      <c r="AH1486" s="123">
        <f>314985-AK1486</f>
        <v>299985</v>
      </c>
      <c r="AJ1486" s="123">
        <v>50000</v>
      </c>
      <c r="AK1486" s="123">
        <v>15000</v>
      </c>
      <c r="AL1486" s="123">
        <v>40000</v>
      </c>
      <c r="AO1486" s="123">
        <v>150000</v>
      </c>
    </row>
    <row r="1487" spans="1:41" s="123" customFormat="1" ht="16.2" thickBot="1" x14ac:dyDescent="0.35">
      <c r="A1487" s="21">
        <v>255.1</v>
      </c>
      <c r="B1487" s="212" t="s">
        <v>27</v>
      </c>
      <c r="C1487" s="31" t="str">
        <f>VLOOKUP((CONCATENATE(B1487)),ID!$A$2:$D$305,3,0)</f>
        <v>BA005</v>
      </c>
      <c r="D1487" s="21">
        <v>1</v>
      </c>
      <c r="E1487" s="21" t="s">
        <v>4005</v>
      </c>
      <c r="F1487" s="21" t="s">
        <v>4007</v>
      </c>
      <c r="G1487" s="21" t="s">
        <v>3862</v>
      </c>
      <c r="H1487" s="88">
        <v>4108</v>
      </c>
      <c r="I1487" s="43">
        <v>4169</v>
      </c>
      <c r="J1487" s="43">
        <v>4170</v>
      </c>
      <c r="K1487" s="21">
        <v>0</v>
      </c>
      <c r="L1487" s="21"/>
      <c r="M1487" s="21"/>
      <c r="N1487" s="43">
        <v>4185</v>
      </c>
      <c r="O1487" s="21" t="s">
        <v>4006</v>
      </c>
      <c r="P1487" s="194" t="str">
        <f t="shared" si="291"/>
        <v>1</v>
      </c>
      <c r="Q1487" s="21">
        <v>1</v>
      </c>
      <c r="R1487" s="39" t="str">
        <f t="shared" si="284"/>
        <v>-</v>
      </c>
      <c r="S1487" s="120">
        <f t="shared" si="290"/>
        <v>3098405</v>
      </c>
      <c r="T1487" s="123">
        <f>2000000+800000+977246+17886745+1439420+298405</f>
        <v>23401816</v>
      </c>
      <c r="U1487" s="123">
        <f>423739+7838225+206354+1336100</f>
        <v>9804418</v>
      </c>
      <c r="V1487" s="123">
        <f t="shared" si="286"/>
        <v>13597398</v>
      </c>
      <c r="W1487" s="122" t="str">
        <f t="shared" si="287"/>
        <v>1</v>
      </c>
      <c r="X1487" s="123">
        <v>20303411</v>
      </c>
      <c r="Y1487" s="132"/>
      <c r="AA1487" s="122" t="str">
        <f t="shared" si="288"/>
        <v>0</v>
      </c>
      <c r="AB1487" s="120">
        <f t="shared" si="289"/>
        <v>0</v>
      </c>
      <c r="AC1487" s="123">
        <v>0</v>
      </c>
      <c r="AD1487" s="123">
        <v>0</v>
      </c>
      <c r="AE1487" s="123">
        <v>3248289</v>
      </c>
      <c r="AG1487" s="123">
        <f t="shared" si="283"/>
        <v>295270</v>
      </c>
      <c r="AH1487" s="123">
        <f>355270-AK1487</f>
        <v>335270</v>
      </c>
      <c r="AJ1487" s="123">
        <v>60000</v>
      </c>
      <c r="AK1487" s="123">
        <v>20000</v>
      </c>
      <c r="AL1487" s="123">
        <v>40000</v>
      </c>
      <c r="AO1487" s="123">
        <v>150000</v>
      </c>
    </row>
    <row r="1488" spans="1:41" s="123" customFormat="1" ht="16.2" thickBot="1" x14ac:dyDescent="0.35">
      <c r="A1488" s="21">
        <v>255.2</v>
      </c>
      <c r="B1488" s="212" t="s">
        <v>27</v>
      </c>
      <c r="C1488" s="31" t="str">
        <f>VLOOKUP((CONCATENATE(B1488)),ID!$A$2:$D$305,3,0)</f>
        <v>BA005</v>
      </c>
      <c r="D1488" s="21">
        <v>1</v>
      </c>
      <c r="E1488" s="21" t="s">
        <v>4005</v>
      </c>
      <c r="F1488" s="21" t="s">
        <v>4007</v>
      </c>
      <c r="G1488" s="21" t="s">
        <v>3862</v>
      </c>
      <c r="H1488" s="88">
        <v>4474</v>
      </c>
      <c r="I1488" s="43">
        <v>4540</v>
      </c>
      <c r="J1488" s="43">
        <v>4539</v>
      </c>
      <c r="K1488" s="21">
        <v>0</v>
      </c>
      <c r="L1488" s="21"/>
      <c r="M1488" s="21"/>
      <c r="N1488" s="43">
        <v>4554</v>
      </c>
      <c r="O1488" s="21" t="s">
        <v>4006</v>
      </c>
      <c r="P1488" s="194" t="str">
        <f t="shared" si="291"/>
        <v>1</v>
      </c>
      <c r="Q1488" s="21">
        <v>1</v>
      </c>
      <c r="R1488" s="39" t="str">
        <f t="shared" si="284"/>
        <v>-</v>
      </c>
      <c r="S1488" s="120">
        <f t="shared" si="290"/>
        <v>3305588</v>
      </c>
      <c r="T1488" s="123">
        <v>21537904</v>
      </c>
      <c r="U1488" s="123">
        <f>420538+2667748+1265247</f>
        <v>4353533</v>
      </c>
      <c r="V1488" s="123">
        <f t="shared" si="286"/>
        <v>17184371</v>
      </c>
      <c r="W1488" s="122" t="str">
        <f t="shared" si="287"/>
        <v>1</v>
      </c>
      <c r="X1488" s="123">
        <v>18232316</v>
      </c>
      <c r="AA1488" s="122" t="str">
        <f t="shared" si="288"/>
        <v>0</v>
      </c>
      <c r="AB1488" s="120">
        <f t="shared" si="289"/>
        <v>0</v>
      </c>
      <c r="AC1488" s="123">
        <v>0</v>
      </c>
      <c r="AD1488" s="123">
        <v>0</v>
      </c>
      <c r="AE1488" s="123">
        <v>2900097</v>
      </c>
      <c r="AG1488" s="151">
        <f t="shared" si="283"/>
        <v>331182</v>
      </c>
      <c r="AH1488" s="123">
        <f>396182-AK1488</f>
        <v>371182</v>
      </c>
      <c r="AJ1488" s="123">
        <v>60000</v>
      </c>
      <c r="AK1488" s="123">
        <v>25000</v>
      </c>
      <c r="AL1488" s="123">
        <v>40000</v>
      </c>
      <c r="AO1488" s="123">
        <v>150000</v>
      </c>
    </row>
    <row r="1489" spans="1:41" s="123" customFormat="1" ht="16.2" thickBot="1" x14ac:dyDescent="0.35">
      <c r="A1489" s="21"/>
      <c r="B1489" s="212" t="s">
        <v>27</v>
      </c>
      <c r="C1489" s="31" t="str">
        <f>VLOOKUP((CONCATENATE(B1489)),ID!$A$2:$D$305,3,0)</f>
        <v>BA005</v>
      </c>
      <c r="D1489" s="21">
        <v>1</v>
      </c>
      <c r="E1489" s="21" t="s">
        <v>4005</v>
      </c>
      <c r="F1489" s="21" t="s">
        <v>4007</v>
      </c>
      <c r="G1489" s="21" t="s">
        <v>3862</v>
      </c>
      <c r="H1489" s="88">
        <v>4839</v>
      </c>
      <c r="I1489" s="43">
        <v>4905</v>
      </c>
      <c r="J1489" s="43">
        <v>4906</v>
      </c>
      <c r="K1489" s="21">
        <v>0</v>
      </c>
      <c r="L1489" s="21"/>
      <c r="M1489" s="21"/>
      <c r="N1489" s="43">
        <v>4926</v>
      </c>
      <c r="O1489" s="21" t="s">
        <v>4006</v>
      </c>
      <c r="P1489" s="194" t="str">
        <f t="shared" si="291"/>
        <v>1</v>
      </c>
      <c r="Q1489" s="21">
        <v>1</v>
      </c>
      <c r="R1489" s="39" t="str">
        <f t="shared" si="284"/>
        <v>-</v>
      </c>
      <c r="S1489" s="120">
        <f t="shared" si="290"/>
        <v>2283117</v>
      </c>
      <c r="T1489" s="123">
        <f>X1489+2000000+283117</f>
        <v>21069497</v>
      </c>
      <c r="U1489" s="123">
        <f>467307+3004074+987368</f>
        <v>4458749</v>
      </c>
      <c r="V1489" s="123">
        <f t="shared" si="286"/>
        <v>16610748</v>
      </c>
      <c r="W1489" s="122" t="str">
        <f t="shared" si="287"/>
        <v>1</v>
      </c>
      <c r="X1489" s="123">
        <v>18786380</v>
      </c>
      <c r="AA1489" s="122" t="str">
        <f t="shared" si="288"/>
        <v>0</v>
      </c>
      <c r="AB1489" s="120">
        <f t="shared" si="289"/>
        <v>0</v>
      </c>
      <c r="AC1489" s="123">
        <v>0</v>
      </c>
      <c r="AD1489" s="123">
        <v>0</v>
      </c>
      <c r="AE1489" s="123">
        <v>3069397</v>
      </c>
      <c r="AG1489" s="151">
        <f t="shared" si="283"/>
        <v>302530</v>
      </c>
      <c r="AH1489" s="123">
        <f>382530-AK1489</f>
        <v>342530</v>
      </c>
      <c r="AJ1489" s="123">
        <v>60000</v>
      </c>
      <c r="AK1489" s="123">
        <v>40000</v>
      </c>
      <c r="AL1489" s="123">
        <v>40000</v>
      </c>
      <c r="AO1489" s="123">
        <v>150000</v>
      </c>
    </row>
    <row r="1490" spans="1:41" s="123" customFormat="1" ht="16.2" thickBot="1" x14ac:dyDescent="0.35">
      <c r="A1490" s="21"/>
      <c r="B1490" s="212" t="s">
        <v>27</v>
      </c>
      <c r="C1490" s="31" t="str">
        <f>VLOOKUP((CONCATENATE(B1490)),ID!$A$2:$D$305,3,0)</f>
        <v>BA005</v>
      </c>
      <c r="D1490" s="21">
        <v>1</v>
      </c>
      <c r="E1490" s="21" t="s">
        <v>4005</v>
      </c>
      <c r="F1490" s="21" t="s">
        <v>4007</v>
      </c>
      <c r="G1490" s="21" t="s">
        <v>3862</v>
      </c>
      <c r="H1490" s="88">
        <v>5204</v>
      </c>
      <c r="I1490" s="43">
        <v>5267</v>
      </c>
      <c r="J1490" s="43">
        <v>5268</v>
      </c>
      <c r="K1490" s="21">
        <v>0</v>
      </c>
      <c r="L1490" s="21"/>
      <c r="M1490" s="21"/>
      <c r="N1490" s="43">
        <v>5277</v>
      </c>
      <c r="O1490" s="21" t="s">
        <v>4006</v>
      </c>
      <c r="P1490" s="194" t="str">
        <f t="shared" si="291"/>
        <v>1</v>
      </c>
      <c r="Q1490" s="21">
        <v>1</v>
      </c>
      <c r="R1490" s="39" t="str">
        <f t="shared" si="284"/>
        <v>-</v>
      </c>
      <c r="S1490" s="120">
        <f t="shared" si="290"/>
        <v>3936299</v>
      </c>
      <c r="T1490" s="123">
        <v>24400250</v>
      </c>
      <c r="U1490" s="123">
        <f>10080458+449577+972170</f>
        <v>11502205</v>
      </c>
      <c r="V1490" s="123">
        <f t="shared" si="286"/>
        <v>12898045</v>
      </c>
      <c r="W1490" s="122" t="str">
        <f t="shared" si="287"/>
        <v>1</v>
      </c>
      <c r="X1490" s="123">
        <v>20463951</v>
      </c>
      <c r="AA1490" s="122" t="str">
        <f t="shared" si="288"/>
        <v>0</v>
      </c>
      <c r="AB1490" s="120">
        <f t="shared" si="289"/>
        <v>0</v>
      </c>
      <c r="AC1490" s="123">
        <v>0</v>
      </c>
      <c r="AD1490" s="123">
        <v>0</v>
      </c>
      <c r="AE1490" s="123">
        <v>3261510</v>
      </c>
      <c r="AG1490" s="151">
        <f t="shared" si="283"/>
        <v>308490</v>
      </c>
      <c r="AH1490" s="123">
        <f>388490-AK1490</f>
        <v>348490</v>
      </c>
      <c r="AJ1490" s="123">
        <v>60000</v>
      </c>
      <c r="AK1490" s="123">
        <v>40000</v>
      </c>
      <c r="AL1490" s="123">
        <v>40000</v>
      </c>
      <c r="AO1490" s="123">
        <v>150000</v>
      </c>
    </row>
    <row r="1491" spans="1:41" s="123" customFormat="1" ht="16.2" thickBot="1" x14ac:dyDescent="0.35">
      <c r="A1491" s="21"/>
      <c r="B1491" s="212" t="s">
        <v>28</v>
      </c>
      <c r="C1491" s="31" t="str">
        <f>VLOOKUP((CONCATENATE(B1491)),ID!$A$2:$D$305,3,0)</f>
        <v>BA006</v>
      </c>
      <c r="D1491" s="21">
        <v>1</v>
      </c>
      <c r="E1491" s="21" t="s">
        <v>4005</v>
      </c>
      <c r="F1491" s="21" t="s">
        <v>3865</v>
      </c>
      <c r="G1491" s="21" t="s">
        <v>3853</v>
      </c>
      <c r="H1491" s="88">
        <v>3712</v>
      </c>
      <c r="I1491" s="43">
        <v>3742</v>
      </c>
      <c r="J1491" s="43">
        <v>3726</v>
      </c>
      <c r="K1491" s="21">
        <v>0</v>
      </c>
      <c r="L1491" s="21"/>
      <c r="M1491" s="21"/>
      <c r="N1491" s="43">
        <v>3748</v>
      </c>
      <c r="O1491" s="21" t="s">
        <v>4052</v>
      </c>
      <c r="P1491" s="194" t="str">
        <f t="shared" si="291"/>
        <v>1</v>
      </c>
      <c r="Q1491" s="21">
        <v>1</v>
      </c>
      <c r="R1491" s="39" t="str">
        <f t="shared" si="284"/>
        <v>-</v>
      </c>
      <c r="S1491" s="120">
        <f t="shared" si="290"/>
        <v>2657797</v>
      </c>
      <c r="T1491" s="123">
        <v>24712594</v>
      </c>
      <c r="U1491" s="123">
        <f>10608628</f>
        <v>10608628</v>
      </c>
      <c r="V1491" s="123">
        <f t="shared" si="286"/>
        <v>14103966</v>
      </c>
      <c r="W1491" s="122" t="str">
        <f t="shared" si="287"/>
        <v>1</v>
      </c>
      <c r="X1491" s="123">
        <v>22054797</v>
      </c>
      <c r="AA1491" s="122" t="str">
        <f t="shared" si="288"/>
        <v>0</v>
      </c>
      <c r="AB1491" s="120">
        <f t="shared" si="289"/>
        <v>0</v>
      </c>
      <c r="AC1491" s="123">
        <v>0</v>
      </c>
      <c r="AD1491" s="123">
        <v>0</v>
      </c>
      <c r="AG1491" s="151">
        <f t="shared" si="283"/>
        <v>288160</v>
      </c>
      <c r="AH1491" s="123">
        <v>288160</v>
      </c>
      <c r="AJ1491" s="123">
        <v>231875</v>
      </c>
    </row>
    <row r="1492" spans="1:41" s="123" customFormat="1" ht="16.2" thickBot="1" x14ac:dyDescent="0.35">
      <c r="A1492" s="21">
        <v>256.10000000000002</v>
      </c>
      <c r="B1492" s="212" t="s">
        <v>28</v>
      </c>
      <c r="C1492" s="31" t="str">
        <f>VLOOKUP((CONCATENATE(B1492)),ID!$A$2:$D$305,3,0)</f>
        <v>BA006</v>
      </c>
      <c r="D1492" s="21">
        <v>1</v>
      </c>
      <c r="E1492" s="21" t="s">
        <v>4005</v>
      </c>
      <c r="F1492" s="21" t="s">
        <v>3865</v>
      </c>
      <c r="G1492" s="21" t="s">
        <v>3853</v>
      </c>
      <c r="H1492" s="88">
        <v>4077</v>
      </c>
      <c r="I1492" s="43">
        <v>4105</v>
      </c>
      <c r="J1492" s="43">
        <v>4100</v>
      </c>
      <c r="K1492" s="21">
        <v>0</v>
      </c>
      <c r="L1492" s="21"/>
      <c r="M1492" s="21"/>
      <c r="N1492" s="43">
        <v>4112</v>
      </c>
      <c r="O1492" s="21" t="s">
        <v>4052</v>
      </c>
      <c r="P1492" s="194" t="str">
        <f t="shared" si="291"/>
        <v>1</v>
      </c>
      <c r="Q1492" s="21">
        <v>1</v>
      </c>
      <c r="R1492" s="39" t="str">
        <f t="shared" si="284"/>
        <v>-</v>
      </c>
      <c r="S1492" s="120">
        <f t="shared" si="290"/>
        <v>2707501</v>
      </c>
      <c r="T1492" s="123">
        <v>23519376</v>
      </c>
      <c r="U1492" s="123">
        <f>9870655</f>
        <v>9870655</v>
      </c>
      <c r="V1492" s="123">
        <f t="shared" si="286"/>
        <v>13648721</v>
      </c>
      <c r="W1492" s="122" t="str">
        <f t="shared" si="287"/>
        <v>1</v>
      </c>
      <c r="X1492" s="123">
        <v>20811875</v>
      </c>
      <c r="AA1492" s="122" t="str">
        <f t="shared" si="288"/>
        <v>0</v>
      </c>
      <c r="AB1492" s="120">
        <f t="shared" si="289"/>
        <v>0</v>
      </c>
      <c r="AC1492" s="123">
        <v>0</v>
      </c>
      <c r="AD1492" s="123">
        <v>0</v>
      </c>
      <c r="AG1492" s="151">
        <f t="shared" si="283"/>
        <v>293204</v>
      </c>
      <c r="AH1492" s="123">
        <v>293204</v>
      </c>
      <c r="AJ1492" s="123">
        <v>238500</v>
      </c>
    </row>
    <row r="1493" spans="1:41" s="123" customFormat="1" ht="16.2" thickBot="1" x14ac:dyDescent="0.35">
      <c r="A1493" s="21">
        <v>256.2</v>
      </c>
      <c r="B1493" s="212" t="s">
        <v>28</v>
      </c>
      <c r="C1493" s="31" t="str">
        <f>VLOOKUP((CONCATENATE(B1493)),ID!$A$2:$D$305,3,0)</f>
        <v>BA006</v>
      </c>
      <c r="D1493" s="21">
        <v>1</v>
      </c>
      <c r="E1493" s="21" t="s">
        <v>4005</v>
      </c>
      <c r="F1493" s="21" t="s">
        <v>3865</v>
      </c>
      <c r="G1493" s="21" t="s">
        <v>3853</v>
      </c>
      <c r="H1493" s="88">
        <v>4443</v>
      </c>
      <c r="I1493" s="43">
        <v>4470</v>
      </c>
      <c r="J1493" s="43">
        <v>4466</v>
      </c>
      <c r="K1493" s="21">
        <v>0</v>
      </c>
      <c r="L1493" s="21"/>
      <c r="M1493" s="21"/>
      <c r="N1493" s="43">
        <v>4476</v>
      </c>
      <c r="O1493" s="21" t="s">
        <v>4052</v>
      </c>
      <c r="P1493" s="194" t="str">
        <f t="shared" si="291"/>
        <v>1</v>
      </c>
      <c r="Q1493" s="21">
        <v>1</v>
      </c>
      <c r="R1493" s="39" t="str">
        <f t="shared" si="284"/>
        <v>-</v>
      </c>
      <c r="S1493" s="120">
        <f t="shared" si="290"/>
        <v>2770146</v>
      </c>
      <c r="T1493" s="123">
        <v>26271324</v>
      </c>
      <c r="U1493" s="123">
        <v>10872784</v>
      </c>
      <c r="V1493" s="123">
        <f t="shared" si="286"/>
        <v>15398540</v>
      </c>
      <c r="W1493" s="122" t="str">
        <f t="shared" si="287"/>
        <v>1</v>
      </c>
      <c r="X1493" s="123">
        <v>23501178</v>
      </c>
      <c r="AA1493" s="122" t="str">
        <f t="shared" si="288"/>
        <v>0</v>
      </c>
      <c r="AB1493" s="120">
        <f t="shared" si="289"/>
        <v>0</v>
      </c>
      <c r="AC1493" s="123">
        <v>0</v>
      </c>
      <c r="AD1493" s="123">
        <v>0</v>
      </c>
      <c r="AG1493" s="151">
        <f t="shared" si="283"/>
        <v>306145</v>
      </c>
      <c r="AH1493" s="123">
        <v>306145</v>
      </c>
      <c r="AJ1493" s="123">
        <v>251750</v>
      </c>
    </row>
    <row r="1494" spans="1:41" s="123" customFormat="1" ht="16.2" thickBot="1" x14ac:dyDescent="0.35">
      <c r="A1494" s="21"/>
      <c r="B1494" s="212" t="s">
        <v>28</v>
      </c>
      <c r="C1494" s="31" t="str">
        <f>VLOOKUP((CONCATENATE(B1494)),ID!$A$2:$D$305,3,0)</f>
        <v>BA006</v>
      </c>
      <c r="D1494" s="21">
        <v>1</v>
      </c>
      <c r="E1494" s="21" t="s">
        <v>4005</v>
      </c>
      <c r="F1494" s="21" t="s">
        <v>3865</v>
      </c>
      <c r="G1494" s="21" t="s">
        <v>3853</v>
      </c>
      <c r="H1494" s="88">
        <v>4808</v>
      </c>
      <c r="I1494" s="43">
        <v>4834</v>
      </c>
      <c r="J1494" s="43">
        <v>4822</v>
      </c>
      <c r="K1494" s="21">
        <v>0</v>
      </c>
      <c r="L1494" s="21"/>
      <c r="M1494" s="21"/>
      <c r="N1494" s="43">
        <v>4840</v>
      </c>
      <c r="O1494" s="21" t="s">
        <v>4052</v>
      </c>
      <c r="P1494" s="194" t="str">
        <f t="shared" si="291"/>
        <v>1</v>
      </c>
      <c r="Q1494" s="21">
        <v>1</v>
      </c>
      <c r="R1494" s="39" t="str">
        <f t="shared" si="284"/>
        <v>-</v>
      </c>
      <c r="S1494" s="120">
        <f t="shared" si="290"/>
        <v>2818705</v>
      </c>
      <c r="T1494" s="123">
        <v>27342554</v>
      </c>
      <c r="U1494" s="123">
        <v>11676538</v>
      </c>
      <c r="V1494" s="123">
        <f t="shared" si="286"/>
        <v>15666016</v>
      </c>
      <c r="W1494" s="122" t="str">
        <f t="shared" si="287"/>
        <v>1</v>
      </c>
      <c r="X1494" s="123">
        <v>24523849</v>
      </c>
      <c r="AA1494" s="122" t="str">
        <f t="shared" si="288"/>
        <v>0</v>
      </c>
      <c r="AB1494" s="120">
        <f t="shared" si="289"/>
        <v>0</v>
      </c>
      <c r="AC1494" s="123">
        <v>0</v>
      </c>
      <c r="AD1494" s="123">
        <v>0</v>
      </c>
      <c r="AG1494" s="151">
        <f t="shared" si="283"/>
        <v>318558</v>
      </c>
      <c r="AH1494" s="123">
        <v>318558</v>
      </c>
      <c r="AJ1494" s="123">
        <v>265000</v>
      </c>
    </row>
    <row r="1495" spans="1:41" s="123" customFormat="1" ht="16.2" thickBot="1" x14ac:dyDescent="0.35">
      <c r="A1495" s="21"/>
      <c r="B1495" s="212" t="s">
        <v>28</v>
      </c>
      <c r="C1495" s="31" t="str">
        <f>VLOOKUP((CONCATENATE(B1495)),ID!$A$2:$D$305,3,0)</f>
        <v>BA006</v>
      </c>
      <c r="D1495" s="21">
        <v>1</v>
      </c>
      <c r="E1495" s="21" t="s">
        <v>4005</v>
      </c>
      <c r="F1495" s="21" t="s">
        <v>3865</v>
      </c>
      <c r="G1495" s="21" t="s">
        <v>3853</v>
      </c>
      <c r="H1495" s="88">
        <v>5173</v>
      </c>
      <c r="I1495" s="43">
        <v>5204</v>
      </c>
      <c r="J1495" s="43">
        <v>5188</v>
      </c>
      <c r="K1495" s="21">
        <v>0</v>
      </c>
      <c r="L1495" s="21"/>
      <c r="M1495" s="21"/>
      <c r="N1495" s="43">
        <v>5211</v>
      </c>
      <c r="O1495" s="21" t="s">
        <v>4052</v>
      </c>
      <c r="P1495" s="194" t="str">
        <f t="shared" si="291"/>
        <v>1</v>
      </c>
      <c r="Q1495" s="21">
        <v>1</v>
      </c>
      <c r="R1495" s="39" t="str">
        <f t="shared" si="284"/>
        <v>-</v>
      </c>
      <c r="S1495" s="120">
        <f t="shared" si="290"/>
        <v>2869530</v>
      </c>
      <c r="T1495" s="123">
        <v>26777850</v>
      </c>
      <c r="U1495" s="123">
        <v>11452343</v>
      </c>
      <c r="V1495" s="123">
        <f t="shared" si="286"/>
        <v>15325507</v>
      </c>
      <c r="W1495" s="122" t="str">
        <f t="shared" si="287"/>
        <v>1</v>
      </c>
      <c r="X1495" s="123">
        <v>23908320</v>
      </c>
      <c r="AA1495" s="122" t="str">
        <f t="shared" si="288"/>
        <v>0</v>
      </c>
      <c r="AB1495" s="120">
        <f t="shared" si="289"/>
        <v>0</v>
      </c>
      <c r="AC1495" s="123">
        <v>0</v>
      </c>
      <c r="AD1495" s="123">
        <v>0</v>
      </c>
      <c r="AG1495" s="151">
        <f t="shared" si="283"/>
        <v>320825</v>
      </c>
      <c r="AH1495" s="123">
        <v>320825</v>
      </c>
      <c r="AJ1495" s="123">
        <v>265000</v>
      </c>
    </row>
    <row r="1496" spans="1:41" s="123" customFormat="1" ht="16.2" thickBot="1" x14ac:dyDescent="0.35">
      <c r="A1496" s="21"/>
      <c r="B1496" s="212" t="s">
        <v>30</v>
      </c>
      <c r="C1496" s="31" t="str">
        <f>VLOOKUP((CONCATENATE(B1496)),ID!$A$2:$D$305,3,0)</f>
        <v>BA007</v>
      </c>
      <c r="D1496" s="21">
        <v>0</v>
      </c>
      <c r="E1496" s="21" t="s">
        <v>4005</v>
      </c>
      <c r="F1496" s="21" t="s">
        <v>1117</v>
      </c>
      <c r="G1496" s="21" t="s">
        <v>3853</v>
      </c>
      <c r="H1496" s="88">
        <v>3653</v>
      </c>
      <c r="I1496" s="43">
        <v>3666</v>
      </c>
      <c r="J1496" s="43">
        <v>3666</v>
      </c>
      <c r="K1496" s="21">
        <v>1</v>
      </c>
      <c r="L1496" s="43">
        <v>3671</v>
      </c>
      <c r="M1496" s="43">
        <v>4018</v>
      </c>
      <c r="N1496" s="43"/>
      <c r="O1496" s="77" t="s">
        <v>4048</v>
      </c>
      <c r="P1496" s="194">
        <v>1</v>
      </c>
      <c r="Q1496" s="21">
        <v>1</v>
      </c>
      <c r="R1496" s="39" t="str">
        <f t="shared" si="284"/>
        <v>-</v>
      </c>
      <c r="S1496" s="120">
        <f t="shared" si="290"/>
        <v>4450000</v>
      </c>
      <c r="T1496" s="123">
        <f>47901854+294578+3200000+1250000</f>
        <v>52646432</v>
      </c>
      <c r="U1496" s="123">
        <f>11648110+1367284</f>
        <v>13015394</v>
      </c>
      <c r="V1496" s="123">
        <f t="shared" si="286"/>
        <v>39631038</v>
      </c>
      <c r="W1496" s="122" t="str">
        <f t="shared" si="287"/>
        <v>1</v>
      </c>
      <c r="X1496" s="123">
        <v>48196432</v>
      </c>
      <c r="AA1496" s="122" t="str">
        <f t="shared" si="288"/>
        <v>0</v>
      </c>
      <c r="AB1496" s="120">
        <f t="shared" si="289"/>
        <v>0</v>
      </c>
      <c r="AC1496" s="123">
        <v>0</v>
      </c>
      <c r="AD1496" s="123">
        <v>0</v>
      </c>
      <c r="AE1496" s="123">
        <v>13011017</v>
      </c>
      <c r="AG1496" s="151">
        <f t="shared" si="283"/>
        <v>0</v>
      </c>
      <c r="AO1496" s="123">
        <v>400000</v>
      </c>
    </row>
    <row r="1497" spans="1:41" s="123" customFormat="1" ht="16.2" thickBot="1" x14ac:dyDescent="0.35">
      <c r="A1497" s="21"/>
      <c r="B1497" s="212" t="s">
        <v>30</v>
      </c>
      <c r="C1497" s="31" t="str">
        <f>VLOOKUP((CONCATENATE(B1497)),ID!$A$2:$D$305,3,0)</f>
        <v>BA007</v>
      </c>
      <c r="D1497" s="21">
        <v>0</v>
      </c>
      <c r="E1497" s="21" t="s">
        <v>4005</v>
      </c>
      <c r="F1497" s="21" t="s">
        <v>1117</v>
      </c>
      <c r="G1497" s="21" t="s">
        <v>3853</v>
      </c>
      <c r="H1497" s="88">
        <v>3834</v>
      </c>
      <c r="I1497" s="43">
        <v>3848</v>
      </c>
      <c r="J1497" s="43">
        <v>3848</v>
      </c>
      <c r="K1497" s="21">
        <v>0</v>
      </c>
      <c r="L1497" s="21"/>
      <c r="M1497" s="21"/>
      <c r="N1497" s="43">
        <v>3855</v>
      </c>
      <c r="O1497" s="77" t="s">
        <v>4048</v>
      </c>
      <c r="P1497" s="194" t="str">
        <f t="shared" si="291"/>
        <v>1</v>
      </c>
      <c r="Q1497" s="21">
        <v>1</v>
      </c>
      <c r="R1497" s="39" t="str">
        <f t="shared" si="284"/>
        <v>-</v>
      </c>
      <c r="S1497" s="120">
        <f t="shared" si="290"/>
        <v>4760001</v>
      </c>
      <c r="T1497" s="123">
        <v>54058337</v>
      </c>
      <c r="U1497" s="123">
        <f>11559711+1391587</f>
        <v>12951298</v>
      </c>
      <c r="V1497" s="123">
        <f t="shared" si="286"/>
        <v>41107039</v>
      </c>
      <c r="W1497" s="122" t="str">
        <f t="shared" si="287"/>
        <v>1</v>
      </c>
      <c r="X1497" s="123">
        <v>49298336</v>
      </c>
      <c r="AA1497" s="122" t="str">
        <f t="shared" si="288"/>
        <v>0</v>
      </c>
      <c r="AB1497" s="120">
        <f t="shared" si="289"/>
        <v>0</v>
      </c>
      <c r="AC1497" s="123">
        <v>0</v>
      </c>
      <c r="AD1497" s="123">
        <v>0</v>
      </c>
      <c r="AE1497" s="123">
        <v>13106069</v>
      </c>
      <c r="AG1497" s="151">
        <f t="shared" si="283"/>
        <v>494266</v>
      </c>
      <c r="AH1497" s="123">
        <f>1120573-611602-14705</f>
        <v>494266</v>
      </c>
      <c r="AJ1497" s="123">
        <v>400000</v>
      </c>
      <c r="AO1497" s="123">
        <v>400000</v>
      </c>
    </row>
    <row r="1498" spans="1:41" s="123" customFormat="1" ht="16.2" thickBot="1" x14ac:dyDescent="0.35">
      <c r="A1498" s="21">
        <v>257.10000000000002</v>
      </c>
      <c r="B1498" s="212" t="s">
        <v>30</v>
      </c>
      <c r="C1498" s="31" t="str">
        <f>VLOOKUP((CONCATENATE(B1498)),ID!$A$2:$D$305,3,0)</f>
        <v>BA007</v>
      </c>
      <c r="D1498" s="21">
        <v>0</v>
      </c>
      <c r="E1498" s="21" t="s">
        <v>4005</v>
      </c>
      <c r="F1498" s="21" t="s">
        <v>1117</v>
      </c>
      <c r="G1498" s="21" t="s">
        <v>3853</v>
      </c>
      <c r="H1498" s="88">
        <v>4018</v>
      </c>
      <c r="I1498" s="43">
        <v>4030</v>
      </c>
      <c r="J1498" s="43">
        <v>4030</v>
      </c>
      <c r="K1498" s="21">
        <v>1</v>
      </c>
      <c r="L1498" s="43">
        <v>4036</v>
      </c>
      <c r="M1498" s="43">
        <v>4049</v>
      </c>
      <c r="N1498" s="77"/>
      <c r="O1498" s="77" t="s">
        <v>4048</v>
      </c>
      <c r="P1498" s="194">
        <v>1</v>
      </c>
      <c r="Q1498" s="21">
        <v>1</v>
      </c>
      <c r="R1498" s="39" t="str">
        <f t="shared" si="284"/>
        <v>-</v>
      </c>
      <c r="S1498" s="120">
        <f t="shared" si="290"/>
        <v>4400000</v>
      </c>
      <c r="T1498" s="123">
        <v>53628328</v>
      </c>
      <c r="U1498" s="123">
        <f>11650167+1396587</f>
        <v>13046754</v>
      </c>
      <c r="V1498" s="123">
        <f t="shared" si="286"/>
        <v>40581574</v>
      </c>
      <c r="W1498" s="122" t="str">
        <f t="shared" si="287"/>
        <v>1</v>
      </c>
      <c r="X1498" s="123">
        <v>49228328</v>
      </c>
      <c r="AA1498" s="122" t="str">
        <f t="shared" si="288"/>
        <v>0</v>
      </c>
      <c r="AB1498" s="120">
        <f t="shared" si="289"/>
        <v>0</v>
      </c>
      <c r="AC1498" s="123">
        <v>0</v>
      </c>
      <c r="AD1498" s="123">
        <v>0</v>
      </c>
      <c r="AE1498" s="123">
        <v>12008174</v>
      </c>
      <c r="AG1498" s="151">
        <f t="shared" si="283"/>
        <v>0</v>
      </c>
      <c r="AO1498" s="123">
        <v>400000</v>
      </c>
    </row>
    <row r="1499" spans="1:41" s="123" customFormat="1" ht="16.2" thickBot="1" x14ac:dyDescent="0.35">
      <c r="A1499" s="21">
        <v>257.2</v>
      </c>
      <c r="B1499" s="212" t="s">
        <v>30</v>
      </c>
      <c r="C1499" s="31" t="str">
        <f>VLOOKUP((CONCATENATE(B1499)),ID!$A$2:$D$305,3,0)</f>
        <v>BA007</v>
      </c>
      <c r="D1499" s="21">
        <v>0</v>
      </c>
      <c r="E1499" s="21" t="s">
        <v>4005</v>
      </c>
      <c r="F1499" s="21" t="s">
        <v>1117</v>
      </c>
      <c r="G1499" s="21" t="s">
        <v>3853</v>
      </c>
      <c r="H1499" s="88">
        <v>4199</v>
      </c>
      <c r="I1499" s="43">
        <v>4197</v>
      </c>
      <c r="J1499" s="43">
        <v>4212</v>
      </c>
      <c r="K1499" s="21">
        <v>1</v>
      </c>
      <c r="L1499" s="43">
        <v>4187</v>
      </c>
      <c r="M1499" s="43" t="s">
        <v>4047</v>
      </c>
      <c r="N1499" s="108">
        <v>4219</v>
      </c>
      <c r="O1499" s="77" t="s">
        <v>4048</v>
      </c>
      <c r="P1499" s="194" t="str">
        <f t="shared" si="291"/>
        <v>1</v>
      </c>
      <c r="Q1499" s="21">
        <v>1</v>
      </c>
      <c r="R1499" s="39" t="str">
        <f t="shared" si="284"/>
        <v>-</v>
      </c>
      <c r="S1499" s="120">
        <f t="shared" si="290"/>
        <v>4665509</v>
      </c>
      <c r="T1499" s="123">
        <v>55464556</v>
      </c>
      <c r="U1499" s="123">
        <f>12527491+1399979</f>
        <v>13927470</v>
      </c>
      <c r="V1499" s="123">
        <f t="shared" si="286"/>
        <v>41537086</v>
      </c>
      <c r="W1499" s="122" t="str">
        <f t="shared" si="287"/>
        <v>1</v>
      </c>
      <c r="X1499" s="123">
        <v>50799047</v>
      </c>
      <c r="AA1499" s="122" t="str">
        <f t="shared" si="288"/>
        <v>0</v>
      </c>
      <c r="AB1499" s="120">
        <f t="shared" si="289"/>
        <v>0</v>
      </c>
      <c r="AC1499" s="123">
        <v>0</v>
      </c>
      <c r="AD1499" s="123">
        <v>0</v>
      </c>
      <c r="AE1499" s="123">
        <v>13643538</v>
      </c>
      <c r="AG1499" s="151">
        <f t="shared" si="283"/>
        <v>528271</v>
      </c>
      <c r="AH1499" s="123">
        <f>1165994-623580-14143</f>
        <v>528271</v>
      </c>
      <c r="AJ1499" s="123">
        <v>400000</v>
      </c>
      <c r="AO1499" s="123">
        <v>400000</v>
      </c>
    </row>
    <row r="1500" spans="1:41" s="123" customFormat="1" ht="16.2" thickBot="1" x14ac:dyDescent="0.35">
      <c r="A1500" s="21">
        <v>257.3</v>
      </c>
      <c r="B1500" s="212" t="s">
        <v>30</v>
      </c>
      <c r="C1500" s="31" t="str">
        <f>VLOOKUP((CONCATENATE(B1500)),ID!$A$2:$D$305,3,0)</f>
        <v>BA007</v>
      </c>
      <c r="D1500" s="21">
        <v>0</v>
      </c>
      <c r="E1500" s="21" t="s">
        <v>4005</v>
      </c>
      <c r="F1500" s="21" t="s">
        <v>1117</v>
      </c>
      <c r="G1500" s="21" t="s">
        <v>3853</v>
      </c>
      <c r="H1500" s="88">
        <v>4383</v>
      </c>
      <c r="I1500" s="43">
        <v>4394</v>
      </c>
      <c r="J1500" s="43">
        <v>4394</v>
      </c>
      <c r="K1500" s="21">
        <v>1</v>
      </c>
      <c r="L1500" s="43">
        <v>4401</v>
      </c>
      <c r="M1500" s="43">
        <v>4414</v>
      </c>
      <c r="N1500" s="77"/>
      <c r="O1500" s="77" t="s">
        <v>4048</v>
      </c>
      <c r="P1500" s="194">
        <v>1</v>
      </c>
      <c r="Q1500" s="21">
        <v>1</v>
      </c>
      <c r="R1500" s="39" t="str">
        <f t="shared" si="284"/>
        <v>-</v>
      </c>
      <c r="S1500" s="120">
        <f t="shared" si="290"/>
        <v>4400000</v>
      </c>
      <c r="T1500" s="123">
        <v>60655512</v>
      </c>
      <c r="U1500" s="123">
        <f>12477257+1566944</f>
        <v>14044201</v>
      </c>
      <c r="V1500" s="123">
        <f t="shared" si="286"/>
        <v>46611311</v>
      </c>
      <c r="W1500" s="122" t="str">
        <f t="shared" si="287"/>
        <v>1</v>
      </c>
      <c r="X1500" s="123">
        <v>56255512</v>
      </c>
      <c r="AA1500" s="122" t="str">
        <f t="shared" si="288"/>
        <v>0</v>
      </c>
      <c r="AB1500" s="120">
        <f t="shared" si="289"/>
        <v>0</v>
      </c>
      <c r="AC1500" s="123">
        <v>0</v>
      </c>
      <c r="AD1500" s="123">
        <v>0</v>
      </c>
      <c r="AE1500" s="123">
        <v>14834852</v>
      </c>
      <c r="AG1500" s="151">
        <f t="shared" si="283"/>
        <v>0</v>
      </c>
      <c r="AO1500" s="123">
        <v>400000</v>
      </c>
    </row>
    <row r="1501" spans="1:41" s="123" customFormat="1" ht="16.2" thickBot="1" x14ac:dyDescent="0.35">
      <c r="A1501" s="21">
        <v>257.39999999999998</v>
      </c>
      <c r="B1501" s="212" t="s">
        <v>30</v>
      </c>
      <c r="C1501" s="31" t="str">
        <f>VLOOKUP((CONCATENATE(B1501)),ID!$A$2:$D$305,3,0)</f>
        <v>BA007</v>
      </c>
      <c r="D1501" s="21">
        <v>0</v>
      </c>
      <c r="E1501" s="21" t="s">
        <v>4005</v>
      </c>
      <c r="F1501" s="21" t="s">
        <v>1117</v>
      </c>
      <c r="G1501" s="21" t="s">
        <v>3853</v>
      </c>
      <c r="H1501" s="88">
        <v>4565</v>
      </c>
      <c r="I1501" s="43">
        <v>4580</v>
      </c>
      <c r="J1501" s="43">
        <v>4580</v>
      </c>
      <c r="K1501" s="21">
        <v>0</v>
      </c>
      <c r="L1501" s="21"/>
      <c r="M1501" s="21"/>
      <c r="N1501" s="108">
        <v>4590</v>
      </c>
      <c r="O1501" s="77" t="s">
        <v>4048</v>
      </c>
      <c r="P1501" s="194" t="str">
        <f t="shared" si="291"/>
        <v>1</v>
      </c>
      <c r="Q1501" s="21">
        <v>1</v>
      </c>
      <c r="R1501" s="39" t="str">
        <f t="shared" si="284"/>
        <v>-</v>
      </c>
      <c r="S1501" s="120">
        <f t="shared" si="290"/>
        <v>4400000</v>
      </c>
      <c r="T1501" s="123">
        <v>61165085</v>
      </c>
      <c r="U1501" s="123">
        <f>1607626+12643399</f>
        <v>14251025</v>
      </c>
      <c r="V1501" s="123">
        <f t="shared" si="286"/>
        <v>46914060</v>
      </c>
      <c r="W1501" s="122" t="str">
        <f t="shared" si="287"/>
        <v>1</v>
      </c>
      <c r="X1501" s="123">
        <v>56765085</v>
      </c>
      <c r="AA1501" s="122" t="str">
        <f t="shared" si="288"/>
        <v>0</v>
      </c>
      <c r="AB1501" s="120">
        <f t="shared" si="289"/>
        <v>0</v>
      </c>
      <c r="AC1501" s="123">
        <v>0</v>
      </c>
      <c r="AD1501" s="123">
        <v>0</v>
      </c>
      <c r="AE1501" s="123">
        <v>15127205</v>
      </c>
      <c r="AG1501" s="151">
        <f t="shared" si="283"/>
        <v>593284</v>
      </c>
      <c r="AH1501" s="123">
        <f>1297758-690893-13581</f>
        <v>593284</v>
      </c>
      <c r="AJ1501" s="123">
        <v>400000</v>
      </c>
      <c r="AO1501" s="123">
        <v>400000</v>
      </c>
    </row>
    <row r="1502" spans="1:41" s="123" customFormat="1" ht="16.2" thickBot="1" x14ac:dyDescent="0.35">
      <c r="A1502" s="21"/>
      <c r="B1502" s="212" t="s">
        <v>30</v>
      </c>
      <c r="C1502" s="31" t="str">
        <f>VLOOKUP((CONCATENATE(B1502)),ID!$A$2:$D$305,3,0)</f>
        <v>BA007</v>
      </c>
      <c r="D1502" s="21">
        <v>0</v>
      </c>
      <c r="E1502" s="21" t="s">
        <v>4005</v>
      </c>
      <c r="F1502" s="21" t="s">
        <v>1117</v>
      </c>
      <c r="G1502" s="21" t="s">
        <v>3853</v>
      </c>
      <c r="H1502" s="88">
        <v>4749</v>
      </c>
      <c r="I1502" s="43">
        <v>4758</v>
      </c>
      <c r="J1502" s="43">
        <v>4758</v>
      </c>
      <c r="K1502" s="21">
        <v>1</v>
      </c>
      <c r="L1502" s="43">
        <v>4767</v>
      </c>
      <c r="M1502" s="43">
        <v>4780</v>
      </c>
      <c r="N1502" s="108"/>
      <c r="O1502" s="77" t="s">
        <v>4048</v>
      </c>
      <c r="P1502" s="194">
        <v>1</v>
      </c>
      <c r="Q1502" s="21">
        <v>1</v>
      </c>
      <c r="R1502" s="39" t="str">
        <f t="shared" si="284"/>
        <v>-</v>
      </c>
      <c r="S1502" s="120">
        <f t="shared" si="290"/>
        <v>4500000</v>
      </c>
      <c r="T1502" s="123">
        <v>62299312</v>
      </c>
      <c r="U1502" s="123">
        <f>1611228+12050523</f>
        <v>13661751</v>
      </c>
      <c r="V1502" s="123">
        <f t="shared" si="286"/>
        <v>48637561</v>
      </c>
      <c r="W1502" s="122" t="str">
        <f t="shared" si="287"/>
        <v>1</v>
      </c>
      <c r="X1502" s="123">
        <v>57799312</v>
      </c>
      <c r="AA1502" s="122" t="str">
        <f t="shared" si="288"/>
        <v>0</v>
      </c>
      <c r="AB1502" s="120">
        <f t="shared" si="289"/>
        <v>0</v>
      </c>
      <c r="AC1502" s="123">
        <v>0</v>
      </c>
      <c r="AD1502" s="123">
        <v>0</v>
      </c>
      <c r="AE1502" s="123">
        <v>14695943</v>
      </c>
      <c r="AG1502" s="151">
        <f t="shared" si="283"/>
        <v>0</v>
      </c>
      <c r="AO1502" s="123">
        <v>450000</v>
      </c>
    </row>
    <row r="1503" spans="1:41" s="123" customFormat="1" ht="16.2" thickBot="1" x14ac:dyDescent="0.35">
      <c r="A1503" s="21"/>
      <c r="B1503" s="212" t="s">
        <v>30</v>
      </c>
      <c r="C1503" s="31" t="str">
        <f>VLOOKUP((CONCATENATE(B1503)),ID!$A$2:$D$305,3,0)</f>
        <v>BA007</v>
      </c>
      <c r="D1503" s="21">
        <v>0</v>
      </c>
      <c r="E1503" s="21" t="s">
        <v>4005</v>
      </c>
      <c r="F1503" s="21" t="s">
        <v>1117</v>
      </c>
      <c r="G1503" s="21" t="s">
        <v>3853</v>
      </c>
      <c r="H1503" s="88">
        <v>4930</v>
      </c>
      <c r="I1503" s="43">
        <v>4945</v>
      </c>
      <c r="J1503" s="43">
        <v>4945</v>
      </c>
      <c r="K1503" s="21">
        <v>0</v>
      </c>
      <c r="L1503" s="21"/>
      <c r="M1503" s="21"/>
      <c r="N1503" s="108">
        <v>5326</v>
      </c>
      <c r="O1503" s="77" t="s">
        <v>4048</v>
      </c>
      <c r="P1503" s="194" t="str">
        <f t="shared" si="291"/>
        <v>1</v>
      </c>
      <c r="Q1503" s="21">
        <v>1</v>
      </c>
      <c r="R1503" s="39" t="str">
        <f t="shared" si="284"/>
        <v>-</v>
      </c>
      <c r="S1503" s="120">
        <f t="shared" si="290"/>
        <v>5200001</v>
      </c>
      <c r="T1503" s="123">
        <v>62960616</v>
      </c>
      <c r="U1503" s="123">
        <f>11846410+1631568</f>
        <v>13477978</v>
      </c>
      <c r="V1503" s="123">
        <f t="shared" si="286"/>
        <v>49482638</v>
      </c>
      <c r="W1503" s="122" t="str">
        <f t="shared" si="287"/>
        <v>1</v>
      </c>
      <c r="X1503" s="123">
        <v>57760615</v>
      </c>
      <c r="AA1503" s="122" t="str">
        <f t="shared" si="288"/>
        <v>0</v>
      </c>
      <c r="AB1503" s="120">
        <f t="shared" si="289"/>
        <v>0</v>
      </c>
      <c r="AC1503" s="123">
        <v>0</v>
      </c>
      <c r="AD1503" s="123">
        <v>0</v>
      </c>
      <c r="AE1503" s="123">
        <v>16087204</v>
      </c>
      <c r="AG1503" s="151">
        <f t="shared" si="283"/>
        <v>738100</v>
      </c>
      <c r="AH1503" s="123">
        <f>1498739-731242-12771</f>
        <v>754726</v>
      </c>
      <c r="AJ1503" s="123">
        <f>200888*2</f>
        <v>401776</v>
      </c>
      <c r="AL1503" s="123">
        <v>16626</v>
      </c>
      <c r="AO1503" s="123">
        <v>450000</v>
      </c>
    </row>
    <row r="1504" spans="1:41" s="123" customFormat="1" ht="16.2" thickBot="1" x14ac:dyDescent="0.35">
      <c r="A1504" s="21"/>
      <c r="B1504" s="212" t="s">
        <v>30</v>
      </c>
      <c r="C1504" s="31" t="str">
        <f>VLOOKUP((CONCATENATE(B1504)),ID!$A$2:$D$305,3,0)</f>
        <v>BA007</v>
      </c>
      <c r="D1504" s="21">
        <v>0</v>
      </c>
      <c r="E1504" s="21" t="s">
        <v>4005</v>
      </c>
      <c r="F1504" s="21" t="s">
        <v>1117</v>
      </c>
      <c r="G1504" s="21" t="s">
        <v>3853</v>
      </c>
      <c r="H1504" s="88">
        <v>5114</v>
      </c>
      <c r="I1504" s="43">
        <v>5129</v>
      </c>
      <c r="J1504" s="43">
        <v>5129</v>
      </c>
      <c r="K1504" s="21">
        <v>0</v>
      </c>
      <c r="L1504" s="21"/>
      <c r="M1504" s="21"/>
      <c r="N1504" s="108"/>
      <c r="O1504" s="77" t="s">
        <v>4048</v>
      </c>
      <c r="P1504" s="194">
        <v>1</v>
      </c>
      <c r="Q1504" s="21">
        <v>1</v>
      </c>
      <c r="R1504" s="39" t="str">
        <f t="shared" si="284"/>
        <v>-</v>
      </c>
      <c r="S1504" s="120">
        <f t="shared" si="290"/>
        <v>5200000</v>
      </c>
      <c r="T1504" s="123">
        <v>66442305</v>
      </c>
      <c r="U1504" s="123">
        <f>1681926+11214811</f>
        <v>12896737</v>
      </c>
      <c r="V1504" s="123">
        <f t="shared" si="286"/>
        <v>53545568</v>
      </c>
      <c r="W1504" s="122" t="str">
        <f t="shared" si="287"/>
        <v>1</v>
      </c>
      <c r="X1504" s="123">
        <v>61242305</v>
      </c>
      <c r="AA1504" s="122" t="str">
        <f t="shared" si="288"/>
        <v>0</v>
      </c>
      <c r="AB1504" s="120">
        <f t="shared" si="289"/>
        <v>0</v>
      </c>
      <c r="AC1504" s="123">
        <v>0</v>
      </c>
      <c r="AD1504" s="123">
        <v>0</v>
      </c>
      <c r="AE1504" s="123">
        <v>15967092</v>
      </c>
      <c r="AG1504" s="151">
        <f t="shared" si="283"/>
        <v>0</v>
      </c>
      <c r="AO1504" s="123">
        <v>900000</v>
      </c>
    </row>
    <row r="1505" spans="1:41" s="123" customFormat="1" ht="16.2" thickBot="1" x14ac:dyDescent="0.35">
      <c r="A1505" s="21"/>
      <c r="B1505" s="212" t="s">
        <v>30</v>
      </c>
      <c r="C1505" s="31" t="str">
        <f>VLOOKUP((CONCATENATE(B1505)),ID!$A$2:$D$305,3,0)</f>
        <v>BA007</v>
      </c>
      <c r="D1505" s="21">
        <v>0</v>
      </c>
      <c r="E1505" s="21" t="s">
        <v>4005</v>
      </c>
      <c r="F1505" s="21" t="s">
        <v>1117</v>
      </c>
      <c r="G1505" s="21" t="s">
        <v>3853</v>
      </c>
      <c r="H1505" s="88">
        <v>5295</v>
      </c>
      <c r="I1505" s="43">
        <v>5309</v>
      </c>
      <c r="J1505" s="43">
        <v>5308</v>
      </c>
      <c r="K1505" s="21">
        <v>1</v>
      </c>
      <c r="L1505" s="43">
        <v>5333</v>
      </c>
      <c r="M1505" s="43">
        <v>5333</v>
      </c>
      <c r="N1505" s="108">
        <v>5318</v>
      </c>
      <c r="O1505" s="77" t="s">
        <v>4048</v>
      </c>
      <c r="P1505" s="194" t="str">
        <f t="shared" si="291"/>
        <v>1</v>
      </c>
      <c r="Q1505" s="21">
        <v>1</v>
      </c>
      <c r="R1505" s="39" t="str">
        <f t="shared" ref="R1505:R1568" si="292">IF(Q1505=0,"?","-")</f>
        <v>-</v>
      </c>
      <c r="S1505" s="120">
        <f t="shared" si="290"/>
        <v>5200000</v>
      </c>
      <c r="T1505" s="123">
        <v>67403068</v>
      </c>
      <c r="U1505" s="123">
        <f>13098629+1774534</f>
        <v>14873163</v>
      </c>
      <c r="V1505" s="123">
        <f t="shared" si="286"/>
        <v>52529905</v>
      </c>
      <c r="W1505" s="122" t="str">
        <f t="shared" si="287"/>
        <v>1</v>
      </c>
      <c r="X1505" s="123">
        <v>62203068</v>
      </c>
      <c r="AA1505" s="122" t="str">
        <f t="shared" si="288"/>
        <v>0</v>
      </c>
      <c r="AB1505" s="120">
        <f t="shared" si="289"/>
        <v>0</v>
      </c>
      <c r="AC1505" s="123">
        <v>0</v>
      </c>
      <c r="AD1505" s="123">
        <v>0</v>
      </c>
      <c r="AE1505" s="123">
        <v>15808678</v>
      </c>
      <c r="AG1505" s="151">
        <f t="shared" si="283"/>
        <v>802061</v>
      </c>
      <c r="AH1505" s="123">
        <f>1574226-738271-12554-21340</f>
        <v>802061</v>
      </c>
      <c r="AJ1505" s="123">
        <f>253687+233062</f>
        <v>486749</v>
      </c>
      <c r="AO1505" s="123">
        <v>900000</v>
      </c>
    </row>
    <row r="1506" spans="1:41" s="123" customFormat="1" ht="16.2" thickBot="1" x14ac:dyDescent="0.35">
      <c r="A1506" s="21"/>
      <c r="B1506" s="212" t="s">
        <v>52</v>
      </c>
      <c r="C1506" s="31" t="str">
        <f>VLOOKUP((CONCATENATE(B1506)),ID!$A$2:$D$305,3,0)</f>
        <v>BA008</v>
      </c>
      <c r="D1506" s="21">
        <v>1</v>
      </c>
      <c r="E1506" s="21" t="s">
        <v>4005</v>
      </c>
      <c r="F1506" s="21" t="s">
        <v>3865</v>
      </c>
      <c r="G1506" s="21" t="s">
        <v>3853</v>
      </c>
      <c r="H1506" s="88">
        <v>3667</v>
      </c>
      <c r="I1506" s="43">
        <v>3709</v>
      </c>
      <c r="J1506" s="43">
        <v>3702</v>
      </c>
      <c r="K1506" s="21">
        <v>0</v>
      </c>
      <c r="L1506" s="21"/>
      <c r="M1506" s="21"/>
      <c r="N1506" s="108">
        <v>3719</v>
      </c>
      <c r="O1506" s="56" t="s">
        <v>4008</v>
      </c>
      <c r="P1506" s="194" t="str">
        <f t="shared" si="291"/>
        <v>1</v>
      </c>
      <c r="Q1506" s="21">
        <v>1</v>
      </c>
      <c r="R1506" s="39" t="str">
        <f t="shared" si="292"/>
        <v>-</v>
      </c>
      <c r="S1506" s="120">
        <f t="shared" si="290"/>
        <v>3088155</v>
      </c>
      <c r="T1506" s="123">
        <v>16510191</v>
      </c>
      <c r="U1506" s="123">
        <f>T1506-V1506</f>
        <v>7117794</v>
      </c>
      <c r="V1506" s="123">
        <f>10423346-370000-299947-361002</f>
        <v>9392397</v>
      </c>
      <c r="W1506" s="122" t="str">
        <f t="shared" si="287"/>
        <v>1</v>
      </c>
      <c r="X1506" s="123">
        <v>13422036</v>
      </c>
      <c r="AA1506" s="122" t="str">
        <f t="shared" si="288"/>
        <v>0</v>
      </c>
      <c r="AB1506" s="120">
        <f t="shared" si="289"/>
        <v>0</v>
      </c>
      <c r="AC1506" s="123">
        <v>0</v>
      </c>
      <c r="AD1506" s="123">
        <v>0</v>
      </c>
      <c r="AG1506" s="151">
        <f t="shared" ref="AG1506:AG1569" si="293">AH1506-AL1506-AI1506</f>
        <v>287159</v>
      </c>
      <c r="AH1506" s="123">
        <v>287159</v>
      </c>
      <c r="AJ1506" s="123">
        <v>125000</v>
      </c>
    </row>
    <row r="1507" spans="1:41" s="123" customFormat="1" ht="16.2" thickBot="1" x14ac:dyDescent="0.35">
      <c r="A1507" s="21">
        <v>258.10000000000002</v>
      </c>
      <c r="B1507" s="212" t="s">
        <v>52</v>
      </c>
      <c r="C1507" s="31" t="str">
        <f>VLOOKUP((CONCATENATE(B1507)),ID!$A$2:$D$305,3,0)</f>
        <v>BA008</v>
      </c>
      <c r="D1507" s="21">
        <v>1</v>
      </c>
      <c r="E1507" s="21" t="s">
        <v>4005</v>
      </c>
      <c r="F1507" s="21" t="s">
        <v>3865</v>
      </c>
      <c r="G1507" s="21" t="s">
        <v>3853</v>
      </c>
      <c r="H1507" s="88">
        <v>4032</v>
      </c>
      <c r="I1507" s="43">
        <v>4073</v>
      </c>
      <c r="J1507" s="43">
        <v>4066</v>
      </c>
      <c r="K1507" s="21">
        <v>0</v>
      </c>
      <c r="L1507" s="21"/>
      <c r="M1507" s="21"/>
      <c r="N1507" s="43">
        <v>4083</v>
      </c>
      <c r="O1507" s="56" t="s">
        <v>4008</v>
      </c>
      <c r="P1507" s="194" t="str">
        <f t="shared" si="291"/>
        <v>1</v>
      </c>
      <c r="Q1507" s="21">
        <v>1</v>
      </c>
      <c r="R1507" s="39" t="str">
        <f t="shared" si="292"/>
        <v>-</v>
      </c>
      <c r="S1507" s="120">
        <f t="shared" si="290"/>
        <v>3082064</v>
      </c>
      <c r="T1507" s="123">
        <v>16622520</v>
      </c>
      <c r="U1507" s="123">
        <f>T1507-V1507</f>
        <v>6679983</v>
      </c>
      <c r="V1507" s="123">
        <f>10968846-370000-297620-358689</f>
        <v>9942537</v>
      </c>
      <c r="W1507" s="122" t="str">
        <f t="shared" si="287"/>
        <v>1</v>
      </c>
      <c r="X1507" s="123">
        <v>13540456</v>
      </c>
      <c r="AA1507" s="122" t="str">
        <f t="shared" si="288"/>
        <v>0</v>
      </c>
      <c r="AB1507" s="120">
        <f t="shared" si="289"/>
        <v>0</v>
      </c>
      <c r="AC1507" s="123">
        <v>0</v>
      </c>
      <c r="AD1507" s="123">
        <v>0</v>
      </c>
      <c r="AG1507" s="151">
        <f t="shared" si="293"/>
        <v>276797</v>
      </c>
      <c r="AH1507" s="123">
        <v>276797</v>
      </c>
      <c r="AJ1507" s="123">
        <v>125000</v>
      </c>
    </row>
    <row r="1508" spans="1:41" s="123" customFormat="1" ht="16.2" thickBot="1" x14ac:dyDescent="0.35">
      <c r="A1508" s="21">
        <v>258.2</v>
      </c>
      <c r="B1508" s="212" t="s">
        <v>52</v>
      </c>
      <c r="C1508" s="31" t="str">
        <f>VLOOKUP((CONCATENATE(B1508)),ID!$A$2:$D$305,3,0)</f>
        <v>BA008</v>
      </c>
      <c r="D1508" s="21">
        <v>1</v>
      </c>
      <c r="E1508" s="21" t="s">
        <v>4005</v>
      </c>
      <c r="F1508" s="21" t="s">
        <v>3865</v>
      </c>
      <c r="G1508" s="21" t="s">
        <v>3853</v>
      </c>
      <c r="H1508" s="88">
        <v>4397</v>
      </c>
      <c r="I1508" s="43">
        <v>4437</v>
      </c>
      <c r="J1508" s="43">
        <v>4430</v>
      </c>
      <c r="K1508" s="21">
        <v>0</v>
      </c>
      <c r="L1508" s="21"/>
      <c r="M1508" s="21"/>
      <c r="N1508" s="43">
        <v>4447</v>
      </c>
      <c r="O1508" s="56" t="s">
        <v>4008</v>
      </c>
      <c r="P1508" s="194" t="str">
        <f t="shared" si="291"/>
        <v>1</v>
      </c>
      <c r="Q1508" s="21">
        <v>1</v>
      </c>
      <c r="R1508" s="39" t="str">
        <f t="shared" si="292"/>
        <v>-</v>
      </c>
      <c r="S1508" s="120">
        <f t="shared" si="290"/>
        <v>3047571</v>
      </c>
      <c r="T1508" s="123">
        <v>17102350</v>
      </c>
      <c r="U1508" s="123">
        <f>T1508-V1508</f>
        <v>7666915</v>
      </c>
      <c r="V1508" s="123">
        <f>10454473-370000-294620-354418</f>
        <v>9435435</v>
      </c>
      <c r="W1508" s="122" t="str">
        <f t="shared" si="287"/>
        <v>1</v>
      </c>
      <c r="X1508" s="123">
        <v>14054779</v>
      </c>
      <c r="AA1508" s="122" t="str">
        <f t="shared" si="288"/>
        <v>0</v>
      </c>
      <c r="AB1508" s="120">
        <f t="shared" si="289"/>
        <v>0</v>
      </c>
      <c r="AC1508" s="123">
        <v>0</v>
      </c>
      <c r="AD1508" s="123">
        <v>0</v>
      </c>
      <c r="AG1508" s="151">
        <f t="shared" si="293"/>
        <v>269304</v>
      </c>
      <c r="AH1508" s="123">
        <v>269304</v>
      </c>
      <c r="AJ1508" s="123">
        <v>125000</v>
      </c>
    </row>
    <row r="1509" spans="1:41" s="123" customFormat="1" ht="16.2" thickBot="1" x14ac:dyDescent="0.35">
      <c r="A1509" s="21"/>
      <c r="B1509" s="212" t="s">
        <v>52</v>
      </c>
      <c r="C1509" s="31" t="str">
        <f>VLOOKUP((CONCATENATE(B1509)),ID!$A$2:$D$305,3,0)</f>
        <v>BA008</v>
      </c>
      <c r="D1509" s="21">
        <v>1</v>
      </c>
      <c r="E1509" s="21" t="s">
        <v>4005</v>
      </c>
      <c r="F1509" s="21" t="s">
        <v>3865</v>
      </c>
      <c r="G1509" s="21" t="s">
        <v>3853</v>
      </c>
      <c r="H1509" s="88">
        <v>4763</v>
      </c>
      <c r="I1509" s="43">
        <v>4801</v>
      </c>
      <c r="J1509" s="43">
        <v>4794</v>
      </c>
      <c r="K1509" s="21">
        <v>0</v>
      </c>
      <c r="L1509" s="21"/>
      <c r="M1509" s="21"/>
      <c r="N1509" s="43">
        <v>4811</v>
      </c>
      <c r="O1509" s="56" t="s">
        <v>4008</v>
      </c>
      <c r="P1509" s="194" t="str">
        <f t="shared" si="291"/>
        <v>1</v>
      </c>
      <c r="Q1509" s="21">
        <v>1</v>
      </c>
      <c r="R1509" s="39" t="str">
        <f t="shared" si="292"/>
        <v>-</v>
      </c>
      <c r="S1509" s="120">
        <f t="shared" si="290"/>
        <v>2937545</v>
      </c>
      <c r="T1509" s="123">
        <v>17673603</v>
      </c>
      <c r="U1509" s="123">
        <f>T1509-V1509</f>
        <v>8551273</v>
      </c>
      <c r="V1509" s="123">
        <f>10118354-370000-278870-347154</f>
        <v>9122330</v>
      </c>
      <c r="W1509" s="122" t="str">
        <f t="shared" si="287"/>
        <v>1</v>
      </c>
      <c r="X1509" s="123">
        <v>14736058</v>
      </c>
      <c r="AA1509" s="122" t="str">
        <f t="shared" si="288"/>
        <v>0</v>
      </c>
      <c r="AB1509" s="120">
        <f t="shared" si="289"/>
        <v>0</v>
      </c>
      <c r="AC1509" s="123">
        <v>0</v>
      </c>
      <c r="AD1509" s="123">
        <v>0</v>
      </c>
      <c r="AG1509" s="151">
        <f t="shared" si="293"/>
        <v>267946</v>
      </c>
      <c r="AH1509" s="123">
        <v>267946</v>
      </c>
      <c r="AJ1509" s="123">
        <v>112500</v>
      </c>
    </row>
    <row r="1510" spans="1:41" s="123" customFormat="1" ht="16.2" thickBot="1" x14ac:dyDescent="0.35">
      <c r="A1510" s="21"/>
      <c r="B1510" s="212" t="s">
        <v>52</v>
      </c>
      <c r="C1510" s="31" t="str">
        <f>VLOOKUP((CONCATENATE(B1510)),ID!$A$2:$D$305,3,0)</f>
        <v>BA008</v>
      </c>
      <c r="D1510" s="21">
        <v>1</v>
      </c>
      <c r="E1510" s="21" t="s">
        <v>4005</v>
      </c>
      <c r="F1510" s="21" t="s">
        <v>3865</v>
      </c>
      <c r="G1510" s="21" t="s">
        <v>3853</v>
      </c>
      <c r="H1510" s="88">
        <v>5128</v>
      </c>
      <c r="I1510" s="43" t="s">
        <v>4112</v>
      </c>
      <c r="J1510" s="43">
        <v>5161</v>
      </c>
      <c r="K1510" s="21">
        <v>0</v>
      </c>
      <c r="L1510" s="21"/>
      <c r="M1510" s="21"/>
      <c r="N1510" s="43">
        <v>5175</v>
      </c>
      <c r="O1510" s="56" t="s">
        <v>4008</v>
      </c>
      <c r="P1510" s="194" t="str">
        <f t="shared" si="291"/>
        <v>1</v>
      </c>
      <c r="Q1510" s="21">
        <v>1</v>
      </c>
      <c r="R1510" s="39" t="str">
        <f t="shared" si="292"/>
        <v>-</v>
      </c>
      <c r="S1510" s="120">
        <f t="shared" si="290"/>
        <v>2779242</v>
      </c>
      <c r="T1510" s="123">
        <v>18222139</v>
      </c>
      <c r="U1510" s="123">
        <f>T1510-V1510</f>
        <v>9089804</v>
      </c>
      <c r="V1510" s="123">
        <f>10121342-370000-280194-338813</f>
        <v>9132335</v>
      </c>
      <c r="W1510" s="122" t="str">
        <f t="shared" si="287"/>
        <v>1</v>
      </c>
      <c r="X1510" s="123">
        <v>15442897</v>
      </c>
      <c r="AA1510" s="122" t="str">
        <f t="shared" si="288"/>
        <v>0</v>
      </c>
      <c r="AB1510" s="120">
        <f t="shared" si="289"/>
        <v>0</v>
      </c>
      <c r="AC1510" s="123">
        <v>0</v>
      </c>
      <c r="AD1510" s="123">
        <v>0</v>
      </c>
      <c r="AG1510" s="151">
        <f t="shared" si="293"/>
        <v>257224</v>
      </c>
      <c r="AH1510" s="123">
        <v>257224</v>
      </c>
      <c r="AJ1510" s="123">
        <v>112500</v>
      </c>
    </row>
    <row r="1511" spans="1:41" s="123" customFormat="1" ht="16.2" thickBot="1" x14ac:dyDescent="0.35">
      <c r="A1511" s="21"/>
      <c r="B1511" s="212" t="s">
        <v>67</v>
      </c>
      <c r="C1511" s="31" t="str">
        <f>VLOOKUP((CONCATENATE(B1511)),ID!$A$2:$D$305,3,0)</f>
        <v>BA009</v>
      </c>
      <c r="D1511" s="21">
        <v>1</v>
      </c>
      <c r="E1511" s="21" t="s">
        <v>4005</v>
      </c>
      <c r="F1511" s="21" t="s">
        <v>1117</v>
      </c>
      <c r="G1511" s="21" t="s">
        <v>3853</v>
      </c>
      <c r="H1511" s="88">
        <v>3834</v>
      </c>
      <c r="I1511" s="43">
        <v>3849</v>
      </c>
      <c r="J1511" s="43">
        <v>3849</v>
      </c>
      <c r="K1511" s="21">
        <v>0</v>
      </c>
      <c r="L1511" s="21"/>
      <c r="M1511" s="21"/>
      <c r="N1511" s="43">
        <v>3854</v>
      </c>
      <c r="O1511" s="17" t="s">
        <v>3785</v>
      </c>
      <c r="P1511" s="194" t="str">
        <f t="shared" si="291"/>
        <v>1</v>
      </c>
      <c r="Q1511" s="21">
        <v>1</v>
      </c>
      <c r="R1511" s="39" t="str">
        <f t="shared" si="292"/>
        <v>-</v>
      </c>
      <c r="S1511" s="120">
        <f t="shared" si="290"/>
        <v>2736884</v>
      </c>
      <c r="T1511" s="123">
        <v>41889991</v>
      </c>
      <c r="U1511" s="123">
        <f>6025382+1027837</f>
        <v>7053219</v>
      </c>
      <c r="V1511" s="123">
        <f t="shared" si="286"/>
        <v>34836772</v>
      </c>
      <c r="W1511" s="122" t="str">
        <f t="shared" si="287"/>
        <v>1</v>
      </c>
      <c r="X1511" s="123">
        <v>39153107</v>
      </c>
      <c r="AA1511" s="122" t="str">
        <f t="shared" si="288"/>
        <v>0</v>
      </c>
      <c r="AB1511" s="120">
        <f t="shared" si="289"/>
        <v>0</v>
      </c>
      <c r="AC1511" s="123">
        <v>0</v>
      </c>
      <c r="AD1511" s="123">
        <v>0</v>
      </c>
      <c r="AE1511" s="123">
        <v>12452775</v>
      </c>
      <c r="AG1511" s="151">
        <f t="shared" si="293"/>
        <v>289385</v>
      </c>
      <c r="AH1511" s="123">
        <f>779149-469764-AK1511</f>
        <v>289385</v>
      </c>
      <c r="AJ1511" s="123">
        <f>131833+131833</f>
        <v>263666</v>
      </c>
      <c r="AK1511" s="123">
        <v>20000</v>
      </c>
      <c r="AO1511" s="123">
        <v>175000</v>
      </c>
    </row>
    <row r="1512" spans="1:41" s="123" customFormat="1" ht="16.2" thickBot="1" x14ac:dyDescent="0.35">
      <c r="A1512" s="21">
        <v>259.10000000000002</v>
      </c>
      <c r="B1512" s="212" t="s">
        <v>67</v>
      </c>
      <c r="C1512" s="31" t="str">
        <f>VLOOKUP((CONCATENATE(B1512)),ID!$A$2:$D$305,3,0)</f>
        <v>BA009</v>
      </c>
      <c r="D1512" s="21">
        <v>1</v>
      </c>
      <c r="E1512" s="21" t="s">
        <v>4005</v>
      </c>
      <c r="F1512" s="21" t="s">
        <v>1117</v>
      </c>
      <c r="G1512" s="21" t="s">
        <v>3853</v>
      </c>
      <c r="H1512" s="88">
        <v>4199</v>
      </c>
      <c r="I1512" s="43">
        <v>4213</v>
      </c>
      <c r="J1512" s="43">
        <v>4213</v>
      </c>
      <c r="K1512" s="21">
        <v>0</v>
      </c>
      <c r="L1512" s="21"/>
      <c r="M1512" s="21"/>
      <c r="N1512" s="43">
        <v>4225</v>
      </c>
      <c r="O1512" s="17" t="s">
        <v>3785</v>
      </c>
      <c r="P1512" s="194" t="str">
        <f t="shared" si="291"/>
        <v>1</v>
      </c>
      <c r="Q1512" s="21">
        <v>1</v>
      </c>
      <c r="R1512" s="39" t="str">
        <f t="shared" si="292"/>
        <v>-</v>
      </c>
      <c r="S1512" s="120">
        <f t="shared" si="290"/>
        <v>2646626</v>
      </c>
      <c r="T1512" s="123">
        <v>42024063</v>
      </c>
      <c r="U1512" s="123">
        <f>5887442+1036080</f>
        <v>6923522</v>
      </c>
      <c r="V1512" s="123">
        <f t="shared" si="286"/>
        <v>35100541</v>
      </c>
      <c r="W1512" s="122" t="str">
        <f t="shared" si="287"/>
        <v>1</v>
      </c>
      <c r="X1512" s="123">
        <v>39377437</v>
      </c>
      <c r="AA1512" s="122" t="str">
        <f t="shared" si="288"/>
        <v>0</v>
      </c>
      <c r="AB1512" s="120">
        <f t="shared" si="289"/>
        <v>0</v>
      </c>
      <c r="AC1512" s="123">
        <v>0</v>
      </c>
      <c r="AD1512" s="123">
        <v>0</v>
      </c>
      <c r="AE1512" s="123">
        <v>12477453</v>
      </c>
      <c r="AG1512" s="151">
        <f t="shared" si="293"/>
        <v>297650</v>
      </c>
      <c r="AH1512" s="123">
        <f>818069-480419-AK1512</f>
        <v>297650</v>
      </c>
      <c r="AJ1512" s="123">
        <f>131833+131833</f>
        <v>263666</v>
      </c>
      <c r="AK1512" s="123">
        <v>40000</v>
      </c>
      <c r="AO1512" s="123">
        <v>175000</v>
      </c>
    </row>
    <row r="1513" spans="1:41" s="123" customFormat="1" ht="16.2" thickBot="1" x14ac:dyDescent="0.35">
      <c r="A1513" s="21">
        <v>259.2</v>
      </c>
      <c r="B1513" s="212" t="s">
        <v>67</v>
      </c>
      <c r="C1513" s="31" t="str">
        <f>VLOOKUP((CONCATENATE(B1513)),ID!$A$2:$D$305,3,0)</f>
        <v>BA009</v>
      </c>
      <c r="D1513" s="21">
        <v>1</v>
      </c>
      <c r="E1513" s="21" t="s">
        <v>4005</v>
      </c>
      <c r="F1513" s="21" t="s">
        <v>1117</v>
      </c>
      <c r="G1513" s="21" t="s">
        <v>3853</v>
      </c>
      <c r="H1513" s="88">
        <v>4565</v>
      </c>
      <c r="I1513" s="43">
        <v>41105</v>
      </c>
      <c r="J1513" s="43">
        <v>4580</v>
      </c>
      <c r="K1513" s="21">
        <v>0</v>
      </c>
      <c r="L1513" s="21"/>
      <c r="M1513" s="21"/>
      <c r="N1513" s="43">
        <v>4589</v>
      </c>
      <c r="O1513" s="17" t="s">
        <v>3785</v>
      </c>
      <c r="P1513" s="194" t="str">
        <f t="shared" si="291"/>
        <v>1</v>
      </c>
      <c r="Q1513" s="21">
        <v>1</v>
      </c>
      <c r="R1513" s="39" t="str">
        <f t="shared" si="292"/>
        <v>-</v>
      </c>
      <c r="S1513" s="120">
        <f t="shared" si="290"/>
        <v>2656717</v>
      </c>
      <c r="T1513" s="123">
        <v>42817064</v>
      </c>
      <c r="U1513" s="123">
        <f>5942621+1047795</f>
        <v>6990416</v>
      </c>
      <c r="V1513" s="123">
        <f t="shared" si="286"/>
        <v>35826648</v>
      </c>
      <c r="W1513" s="122" t="str">
        <f t="shared" si="287"/>
        <v>1</v>
      </c>
      <c r="X1513" s="123">
        <v>40160347</v>
      </c>
      <c r="AA1513" s="122" t="str">
        <f t="shared" si="288"/>
        <v>0</v>
      </c>
      <c r="AB1513" s="120">
        <f t="shared" si="289"/>
        <v>0</v>
      </c>
      <c r="AC1513" s="123">
        <v>0</v>
      </c>
      <c r="AD1513" s="123">
        <v>0</v>
      </c>
      <c r="AE1513" s="123">
        <v>11918278</v>
      </c>
      <c r="AG1513" s="151">
        <f t="shared" si="293"/>
        <v>338498</v>
      </c>
      <c r="AH1513" s="123">
        <f>849981-496483-AK1513</f>
        <v>338498</v>
      </c>
      <c r="AJ1513" s="123">
        <v>280000</v>
      </c>
      <c r="AK1513" s="123">
        <v>15000</v>
      </c>
      <c r="AO1513" s="123">
        <v>175000</v>
      </c>
    </row>
    <row r="1514" spans="1:41" s="123" customFormat="1" ht="16.2" thickBot="1" x14ac:dyDescent="0.35">
      <c r="A1514" s="21"/>
      <c r="B1514" s="212" t="s">
        <v>67</v>
      </c>
      <c r="C1514" s="31" t="str">
        <f>VLOOKUP((CONCATENATE(B1514)),ID!$A$2:$D$305,3,0)</f>
        <v>BA009</v>
      </c>
      <c r="D1514" s="21">
        <v>1</v>
      </c>
      <c r="E1514" s="21" t="s">
        <v>4005</v>
      </c>
      <c r="F1514" s="21" t="s">
        <v>1117</v>
      </c>
      <c r="G1514" s="21" t="s">
        <v>3853</v>
      </c>
      <c r="H1514" s="88">
        <v>4930</v>
      </c>
      <c r="I1514" s="43">
        <v>4941</v>
      </c>
      <c r="J1514" s="43">
        <v>4941</v>
      </c>
      <c r="K1514" s="21">
        <v>0</v>
      </c>
      <c r="L1514" s="21"/>
      <c r="M1514" s="21"/>
      <c r="N1514" s="43">
        <v>4953</v>
      </c>
      <c r="O1514" s="17" t="s">
        <v>3785</v>
      </c>
      <c r="P1514" s="194" t="str">
        <f t="shared" si="291"/>
        <v>1</v>
      </c>
      <c r="Q1514" s="21">
        <v>1</v>
      </c>
      <c r="R1514" s="39" t="str">
        <f t="shared" si="292"/>
        <v>-</v>
      </c>
      <c r="S1514" s="120">
        <f t="shared" si="290"/>
        <v>2678881</v>
      </c>
      <c r="T1514" s="123">
        <v>43671404</v>
      </c>
      <c r="U1514" s="123">
        <f>5840688+1046614</f>
        <v>6887302</v>
      </c>
      <c r="V1514" s="123">
        <f t="shared" si="286"/>
        <v>36784102</v>
      </c>
      <c r="W1514" s="122" t="str">
        <f t="shared" si="287"/>
        <v>1</v>
      </c>
      <c r="X1514" s="123">
        <v>40992523</v>
      </c>
      <c r="AA1514" s="122" t="str">
        <f t="shared" si="288"/>
        <v>0</v>
      </c>
      <c r="AB1514" s="120">
        <f t="shared" si="289"/>
        <v>0</v>
      </c>
      <c r="AC1514" s="123">
        <v>0</v>
      </c>
      <c r="AD1514" s="123">
        <v>0</v>
      </c>
      <c r="AE1514" s="123">
        <v>11225498</v>
      </c>
      <c r="AG1514" s="151">
        <f t="shared" si="293"/>
        <v>395164</v>
      </c>
      <c r="AH1514" s="123">
        <f>938525-523361-AK1514</f>
        <v>395164</v>
      </c>
      <c r="AJ1514" s="123">
        <v>280000</v>
      </c>
      <c r="AK1514" s="123">
        <v>20000</v>
      </c>
      <c r="AO1514" s="123">
        <v>175000</v>
      </c>
    </row>
    <row r="1515" spans="1:41" s="123" customFormat="1" ht="16.2" thickBot="1" x14ac:dyDescent="0.35">
      <c r="A1515" s="21"/>
      <c r="B1515" s="212" t="s">
        <v>67</v>
      </c>
      <c r="C1515" s="31" t="str">
        <f>VLOOKUP((CONCATENATE(B1515)),ID!$A$2:$D$305,3,0)</f>
        <v>BA009</v>
      </c>
      <c r="D1515" s="21">
        <v>1</v>
      </c>
      <c r="E1515" s="21" t="s">
        <v>4005</v>
      </c>
      <c r="F1515" s="21" t="s">
        <v>1117</v>
      </c>
      <c r="G1515" s="21" t="s">
        <v>3853</v>
      </c>
      <c r="H1515" s="88">
        <v>5295</v>
      </c>
      <c r="I1515" s="43">
        <v>5308</v>
      </c>
      <c r="J1515" s="43">
        <v>5308</v>
      </c>
      <c r="K1515" s="21">
        <v>0</v>
      </c>
      <c r="L1515" s="21"/>
      <c r="M1515" s="21"/>
      <c r="N1515" s="43">
        <v>5317</v>
      </c>
      <c r="O1515" s="17" t="s">
        <v>3785</v>
      </c>
      <c r="P1515" s="194" t="str">
        <f t="shared" si="291"/>
        <v>1</v>
      </c>
      <c r="Q1515" s="21">
        <v>1</v>
      </c>
      <c r="R1515" s="39" t="str">
        <f t="shared" si="292"/>
        <v>-</v>
      </c>
      <c r="S1515" s="120">
        <f t="shared" si="290"/>
        <v>2668850</v>
      </c>
      <c r="T1515" s="123">
        <v>45219199</v>
      </c>
      <c r="U1515" s="123">
        <f>5369613+1045472</f>
        <v>6415085</v>
      </c>
      <c r="V1515" s="123">
        <f t="shared" si="286"/>
        <v>38804114</v>
      </c>
      <c r="W1515" s="122" t="str">
        <f t="shared" si="287"/>
        <v>1</v>
      </c>
      <c r="X1515" s="123">
        <v>42550349</v>
      </c>
      <c r="AA1515" s="122" t="str">
        <f t="shared" si="288"/>
        <v>0</v>
      </c>
      <c r="AB1515" s="120">
        <f t="shared" si="289"/>
        <v>0</v>
      </c>
      <c r="AC1515" s="123">
        <v>0</v>
      </c>
      <c r="AD1515" s="123">
        <v>0</v>
      </c>
      <c r="AE1515" s="123">
        <v>12865250</v>
      </c>
      <c r="AG1515" s="151">
        <f t="shared" si="293"/>
        <v>303520</v>
      </c>
      <c r="AH1515" s="123">
        <f>879681-538273-AK1515-17888</f>
        <v>303520</v>
      </c>
      <c r="AJ1515" s="123">
        <v>280000</v>
      </c>
      <c r="AK1515" s="123">
        <v>20000</v>
      </c>
      <c r="AO1515" s="123">
        <v>175000</v>
      </c>
    </row>
    <row r="1516" spans="1:41" s="123" customFormat="1" ht="16.2" thickBot="1" x14ac:dyDescent="0.35">
      <c r="A1516" s="21"/>
      <c r="B1516" s="212" t="s">
        <v>76</v>
      </c>
      <c r="C1516" s="31" t="str">
        <f>VLOOKUP((CONCATENATE(B1516)),ID!$A$2:$D$305,3,0)</f>
        <v>BA010</v>
      </c>
      <c r="D1516" s="21">
        <v>1</v>
      </c>
      <c r="E1516" s="21" t="s">
        <v>4005</v>
      </c>
      <c r="F1516" s="21" t="s">
        <v>1117</v>
      </c>
      <c r="G1516" s="21" t="s">
        <v>3862</v>
      </c>
      <c r="H1516" s="88">
        <v>3653</v>
      </c>
      <c r="I1516" s="43">
        <v>3721</v>
      </c>
      <c r="J1516" s="43">
        <v>3717</v>
      </c>
      <c r="K1516" s="21">
        <v>1</v>
      </c>
      <c r="L1516" s="43">
        <v>3735</v>
      </c>
      <c r="M1516" s="43">
        <v>3742</v>
      </c>
      <c r="N1516" s="43">
        <v>3742</v>
      </c>
      <c r="O1516" s="21" t="s">
        <v>4009</v>
      </c>
      <c r="P1516" s="194" t="str">
        <f t="shared" si="291"/>
        <v>1</v>
      </c>
      <c r="Q1516" s="21">
        <v>1</v>
      </c>
      <c r="R1516" s="39" t="str">
        <f t="shared" si="292"/>
        <v>-</v>
      </c>
      <c r="S1516" s="120">
        <f t="shared" si="290"/>
        <v>3014168</v>
      </c>
      <c r="T1516" s="123">
        <v>20262293</v>
      </c>
      <c r="U1516" s="123">
        <f>545399+1702450+453583</f>
        <v>2701432</v>
      </c>
      <c r="V1516" s="123">
        <f t="shared" si="286"/>
        <v>17560861</v>
      </c>
      <c r="W1516" s="122" t="str">
        <f t="shared" si="287"/>
        <v>1</v>
      </c>
      <c r="X1516" s="123">
        <v>17248125</v>
      </c>
      <c r="AA1516" s="122" t="str">
        <f t="shared" si="288"/>
        <v>0</v>
      </c>
      <c r="AB1516" s="120">
        <f t="shared" si="289"/>
        <v>450000</v>
      </c>
      <c r="AC1516" s="123">
        <v>0</v>
      </c>
      <c r="AD1516" s="123">
        <v>450000</v>
      </c>
      <c r="AE1516" s="123">
        <v>2908134</v>
      </c>
      <c r="AG1516" s="151">
        <f t="shared" si="293"/>
        <v>182900</v>
      </c>
      <c r="AH1516" s="123">
        <v>182900</v>
      </c>
      <c r="AJ1516" s="123">
        <v>78000</v>
      </c>
      <c r="AO1516" s="123">
        <v>60000</v>
      </c>
    </row>
    <row r="1517" spans="1:41" s="123" customFormat="1" ht="16.2" thickBot="1" x14ac:dyDescent="0.35">
      <c r="A1517" s="21">
        <v>260.10000000000002</v>
      </c>
      <c r="B1517" s="212" t="s">
        <v>76</v>
      </c>
      <c r="C1517" s="31" t="str">
        <f>VLOOKUP((CONCATENATE(B1517)),ID!$A$2:$D$305,3,0)</f>
        <v>BA010</v>
      </c>
      <c r="D1517" s="21">
        <v>1</v>
      </c>
      <c r="E1517" s="21" t="s">
        <v>4005</v>
      </c>
      <c r="F1517" s="21" t="s">
        <v>1117</v>
      </c>
      <c r="G1517" s="21" t="s">
        <v>3862</v>
      </c>
      <c r="H1517" s="88">
        <v>4018</v>
      </c>
      <c r="I1517" s="43">
        <v>4085</v>
      </c>
      <c r="J1517" s="43">
        <v>4085</v>
      </c>
      <c r="K1517" s="21">
        <v>1</v>
      </c>
      <c r="L1517" s="43">
        <v>4099</v>
      </c>
      <c r="M1517" s="43">
        <v>4106</v>
      </c>
      <c r="N1517" s="43">
        <v>4106</v>
      </c>
      <c r="O1517" s="21" t="s">
        <v>4009</v>
      </c>
      <c r="P1517" s="194" t="str">
        <f t="shared" si="291"/>
        <v>1</v>
      </c>
      <c r="Q1517" s="21">
        <v>1</v>
      </c>
      <c r="R1517" s="39" t="str">
        <f t="shared" si="292"/>
        <v>-</v>
      </c>
      <c r="S1517" s="120">
        <f t="shared" si="290"/>
        <v>3076363</v>
      </c>
      <c r="T1517" s="123">
        <v>23000475</v>
      </c>
      <c r="U1517" s="123">
        <f>364000+2099239+568667</f>
        <v>3031906</v>
      </c>
      <c r="V1517" s="123">
        <f t="shared" si="286"/>
        <v>19968569</v>
      </c>
      <c r="W1517" s="122" t="str">
        <f t="shared" si="287"/>
        <v>1</v>
      </c>
      <c r="X1517" s="123">
        <v>19924112</v>
      </c>
      <c r="AA1517" s="122" t="str">
        <f t="shared" si="288"/>
        <v>0</v>
      </c>
      <c r="AB1517" s="120">
        <f t="shared" si="289"/>
        <v>547750</v>
      </c>
      <c r="AC1517" s="123">
        <v>0</v>
      </c>
      <c r="AD1517" s="123">
        <v>547750</v>
      </c>
      <c r="AE1517" s="123">
        <v>2569160</v>
      </c>
      <c r="AG1517" s="151">
        <f t="shared" si="293"/>
        <v>251195</v>
      </c>
      <c r="AH1517" s="123">
        <v>251195</v>
      </c>
      <c r="AJ1517" s="123">
        <v>78000</v>
      </c>
      <c r="AO1517" s="123">
        <v>60000</v>
      </c>
    </row>
    <row r="1518" spans="1:41" s="123" customFormat="1" ht="16.2" thickBot="1" x14ac:dyDescent="0.35">
      <c r="A1518" s="21">
        <v>260.2</v>
      </c>
      <c r="B1518" s="212" t="s">
        <v>76</v>
      </c>
      <c r="C1518" s="31" t="str">
        <f>VLOOKUP((CONCATENATE(B1518)),ID!$A$2:$D$305,3,0)</f>
        <v>BA010</v>
      </c>
      <c r="D1518" s="21">
        <v>1</v>
      </c>
      <c r="E1518" s="21" t="s">
        <v>4005</v>
      </c>
      <c r="F1518" s="21" t="s">
        <v>1117</v>
      </c>
      <c r="G1518" s="21" t="s">
        <v>3862</v>
      </c>
      <c r="H1518" s="88">
        <v>4383</v>
      </c>
      <c r="I1518" s="43">
        <v>4447</v>
      </c>
      <c r="J1518" s="43">
        <v>4449</v>
      </c>
      <c r="K1518" s="21">
        <v>1</v>
      </c>
      <c r="L1518" s="43">
        <v>4456</v>
      </c>
      <c r="M1518" s="43">
        <v>4463</v>
      </c>
      <c r="N1518" s="43">
        <v>4463</v>
      </c>
      <c r="O1518" s="21" t="s">
        <v>4009</v>
      </c>
      <c r="P1518" s="194" t="str">
        <f t="shared" si="291"/>
        <v>1</v>
      </c>
      <c r="Q1518" s="21">
        <v>1</v>
      </c>
      <c r="R1518" s="39" t="str">
        <f t="shared" si="292"/>
        <v>-</v>
      </c>
      <c r="S1518" s="120">
        <f t="shared" si="290"/>
        <v>3108451</v>
      </c>
      <c r="T1518" s="123">
        <v>25028255</v>
      </c>
      <c r="U1518" s="123">
        <f>514809+1892333+447333</f>
        <v>2854475</v>
      </c>
      <c r="V1518" s="123">
        <f t="shared" si="286"/>
        <v>22173780</v>
      </c>
      <c r="W1518" s="122" t="str">
        <f t="shared" si="287"/>
        <v>1</v>
      </c>
      <c r="X1518" s="123">
        <v>21919804</v>
      </c>
      <c r="AA1518" s="122" t="str">
        <f t="shared" si="288"/>
        <v>0</v>
      </c>
      <c r="AB1518" s="120">
        <f t="shared" si="289"/>
        <v>1496666</v>
      </c>
      <c r="AC1518" s="123">
        <v>0</v>
      </c>
      <c r="AD1518" s="123">
        <v>1496666</v>
      </c>
      <c r="AE1518" s="123">
        <v>3239703</v>
      </c>
      <c r="AG1518" s="151">
        <f t="shared" si="293"/>
        <v>235088</v>
      </c>
      <c r="AH1518" s="123">
        <f>256088-21000</f>
        <v>235088</v>
      </c>
      <c r="AJ1518" s="123">
        <v>78000</v>
      </c>
      <c r="AO1518" s="123">
        <v>60000</v>
      </c>
    </row>
    <row r="1519" spans="1:41" s="123" customFormat="1" ht="16.2" thickBot="1" x14ac:dyDescent="0.35">
      <c r="A1519" s="21"/>
      <c r="B1519" s="212" t="s">
        <v>76</v>
      </c>
      <c r="C1519" s="31" t="str">
        <f>VLOOKUP((CONCATENATE(B1519)),ID!$A$2:$D$305,3,0)</f>
        <v>BA010</v>
      </c>
      <c r="D1519" s="21">
        <v>1</v>
      </c>
      <c r="E1519" s="21" t="s">
        <v>4005</v>
      </c>
      <c r="F1519" s="21" t="s">
        <v>1117</v>
      </c>
      <c r="G1519" s="21" t="s">
        <v>3862</v>
      </c>
      <c r="H1519" s="88">
        <v>4749</v>
      </c>
      <c r="I1519" s="43">
        <v>4806</v>
      </c>
      <c r="J1519" s="43">
        <v>4813</v>
      </c>
      <c r="K1519" s="21">
        <v>1</v>
      </c>
      <c r="L1519" s="43">
        <v>4820</v>
      </c>
      <c r="M1519" s="43">
        <v>4827</v>
      </c>
      <c r="N1519" s="43">
        <v>4827</v>
      </c>
      <c r="O1519" s="21" t="s">
        <v>4009</v>
      </c>
      <c r="P1519" s="194" t="str">
        <f t="shared" si="291"/>
        <v>1</v>
      </c>
      <c r="Q1519" s="21">
        <v>1</v>
      </c>
      <c r="R1519" s="39" t="str">
        <f t="shared" si="292"/>
        <v>-</v>
      </c>
      <c r="S1519" s="120">
        <f t="shared" si="290"/>
        <v>3202569</v>
      </c>
      <c r="T1519" s="123">
        <v>27477477</v>
      </c>
      <c r="U1519" s="123">
        <f>1836064+564000+490616</f>
        <v>2890680</v>
      </c>
      <c r="V1519" s="123">
        <f t="shared" si="286"/>
        <v>24586797</v>
      </c>
      <c r="W1519" s="122" t="str">
        <f t="shared" si="287"/>
        <v>1</v>
      </c>
      <c r="X1519" s="123">
        <v>24274908</v>
      </c>
      <c r="AA1519" s="122" t="str">
        <f t="shared" si="288"/>
        <v>0</v>
      </c>
      <c r="AB1519" s="120">
        <f t="shared" si="289"/>
        <v>1705666</v>
      </c>
      <c r="AC1519" s="123">
        <v>0</v>
      </c>
      <c r="AD1519" s="123">
        <v>1705666</v>
      </c>
      <c r="AE1519" s="123">
        <v>3665161</v>
      </c>
      <c r="AG1519" s="151">
        <f t="shared" si="293"/>
        <v>302117</v>
      </c>
      <c r="AH1519" s="123">
        <f>325117-23000</f>
        <v>302117</v>
      </c>
      <c r="AJ1519" s="123">
        <v>78000</v>
      </c>
      <c r="AO1519" s="123">
        <v>60000</v>
      </c>
    </row>
    <row r="1520" spans="1:41" s="123" customFormat="1" ht="16.2" thickBot="1" x14ac:dyDescent="0.35">
      <c r="A1520" s="21"/>
      <c r="B1520" s="212" t="s">
        <v>76</v>
      </c>
      <c r="C1520" s="31" t="str">
        <f>VLOOKUP((CONCATENATE(B1520)),ID!$A$2:$D$305,3,0)</f>
        <v>BA010</v>
      </c>
      <c r="D1520" s="21">
        <v>1</v>
      </c>
      <c r="E1520" s="21" t="s">
        <v>4005</v>
      </c>
      <c r="F1520" s="21" t="s">
        <v>1117</v>
      </c>
      <c r="G1520" s="21" t="s">
        <v>3862</v>
      </c>
      <c r="H1520" s="88">
        <v>5114</v>
      </c>
      <c r="I1520" s="43">
        <v>5170</v>
      </c>
      <c r="J1520" s="43">
        <v>5177</v>
      </c>
      <c r="K1520" s="21">
        <v>1</v>
      </c>
      <c r="L1520" s="43">
        <v>5184</v>
      </c>
      <c r="M1520" s="43">
        <v>5201</v>
      </c>
      <c r="N1520" s="43">
        <v>5201</v>
      </c>
      <c r="O1520" s="21" t="s">
        <v>4113</v>
      </c>
      <c r="P1520" s="194" t="str">
        <f t="shared" si="291"/>
        <v>1</v>
      </c>
      <c r="Q1520" s="21">
        <v>1</v>
      </c>
      <c r="R1520" s="39" t="str">
        <f t="shared" si="292"/>
        <v>-</v>
      </c>
      <c r="S1520" s="120">
        <f t="shared" si="290"/>
        <v>3275253</v>
      </c>
      <c r="T1520" s="123">
        <v>27243396</v>
      </c>
      <c r="U1520" s="123">
        <f>554810+564000+2130863</f>
        <v>3249673</v>
      </c>
      <c r="V1520" s="123">
        <f t="shared" si="286"/>
        <v>23993723</v>
      </c>
      <c r="W1520" s="122" t="str">
        <f t="shared" si="287"/>
        <v>1</v>
      </c>
      <c r="X1520" s="123">
        <v>23968143</v>
      </c>
      <c r="AA1520" s="122" t="str">
        <f t="shared" si="288"/>
        <v>0</v>
      </c>
      <c r="AB1520" s="120">
        <f t="shared" si="289"/>
        <v>1723000</v>
      </c>
      <c r="AC1520" s="123">
        <v>0</v>
      </c>
      <c r="AD1520" s="123">
        <v>1723000</v>
      </c>
      <c r="AE1520" s="123">
        <v>3222908</v>
      </c>
      <c r="AG1520" s="151">
        <f t="shared" si="293"/>
        <v>326684</v>
      </c>
      <c r="AH1520" s="123">
        <f>350684-24000</f>
        <v>326684</v>
      </c>
      <c r="AJ1520" s="123">
        <v>84000</v>
      </c>
      <c r="AO1520" s="123">
        <v>60000</v>
      </c>
    </row>
    <row r="1521" spans="1:41" s="123" customFormat="1" ht="16.2" thickBot="1" x14ac:dyDescent="0.35">
      <c r="A1521" s="21"/>
      <c r="B1521" s="212" t="s">
        <v>83</v>
      </c>
      <c r="C1521" s="31" t="str">
        <f>VLOOKUP((CONCATENATE(B1521)),ID!$A$2:$D$305,3,0)</f>
        <v>BA011</v>
      </c>
      <c r="D1521" s="21">
        <v>1</v>
      </c>
      <c r="E1521" s="21" t="s">
        <v>4005</v>
      </c>
      <c r="F1521" s="21" t="s">
        <v>3789</v>
      </c>
      <c r="G1521" s="21" t="s">
        <v>3853</v>
      </c>
      <c r="H1521" s="88">
        <v>3653</v>
      </c>
      <c r="I1521" s="43">
        <v>3671</v>
      </c>
      <c r="J1521" s="43">
        <v>3671</v>
      </c>
      <c r="K1521" s="21">
        <v>1</v>
      </c>
      <c r="L1521" s="43">
        <v>3673</v>
      </c>
      <c r="M1521" s="43">
        <v>3686</v>
      </c>
      <c r="N1521" s="43">
        <v>3686</v>
      </c>
      <c r="O1521" s="21" t="s">
        <v>4010</v>
      </c>
      <c r="P1521" s="194" t="str">
        <f t="shared" si="291"/>
        <v>1</v>
      </c>
      <c r="Q1521" s="21">
        <v>1</v>
      </c>
      <c r="R1521" s="39" t="str">
        <f t="shared" si="292"/>
        <v>-</v>
      </c>
      <c r="S1521" s="120">
        <f t="shared" si="290"/>
        <v>1934942</v>
      </c>
      <c r="T1521" s="123">
        <v>15558781</v>
      </c>
      <c r="U1521" s="123">
        <f>326022+105000+5443845+1897740</f>
        <v>7772607</v>
      </c>
      <c r="V1521" s="123">
        <f t="shared" si="286"/>
        <v>7786174</v>
      </c>
      <c r="W1521" s="122" t="str">
        <f t="shared" si="287"/>
        <v>1</v>
      </c>
      <c r="X1521" s="123">
        <v>13623839</v>
      </c>
      <c r="AA1521" s="122" t="str">
        <f t="shared" si="288"/>
        <v>0</v>
      </c>
      <c r="AB1521" s="120">
        <f t="shared" si="289"/>
        <v>0</v>
      </c>
      <c r="AC1521" s="123">
        <v>0</v>
      </c>
      <c r="AD1521" s="123">
        <v>0</v>
      </c>
      <c r="AG1521" s="151">
        <f t="shared" si="293"/>
        <v>196120</v>
      </c>
      <c r="AH1521" s="123">
        <f>203703</f>
        <v>203703</v>
      </c>
      <c r="AI1521" s="123">
        <v>7583</v>
      </c>
      <c r="AJ1521" s="123">
        <v>130000</v>
      </c>
    </row>
    <row r="1522" spans="1:41" s="123" customFormat="1" ht="16.2" thickBot="1" x14ac:dyDescent="0.35">
      <c r="A1522" s="21">
        <v>261.10000000000002</v>
      </c>
      <c r="B1522" s="212" t="s">
        <v>83</v>
      </c>
      <c r="C1522" s="31" t="str">
        <f>VLOOKUP((CONCATENATE(B1522)),ID!$A$2:$D$305,3,0)</f>
        <v>BA011</v>
      </c>
      <c r="D1522" s="21">
        <v>1</v>
      </c>
      <c r="E1522" s="21" t="s">
        <v>4005</v>
      </c>
      <c r="F1522" s="21" t="s">
        <v>3789</v>
      </c>
      <c r="G1522" s="21" t="s">
        <v>3853</v>
      </c>
      <c r="H1522" s="88">
        <v>4018</v>
      </c>
      <c r="I1522" s="43">
        <v>4029</v>
      </c>
      <c r="J1522" s="43">
        <v>4035</v>
      </c>
      <c r="K1522" s="21">
        <v>1</v>
      </c>
      <c r="L1522" s="43">
        <v>4037</v>
      </c>
      <c r="M1522" s="43">
        <v>4050</v>
      </c>
      <c r="N1522" s="43">
        <v>4050</v>
      </c>
      <c r="O1522" s="21" t="s">
        <v>4010</v>
      </c>
      <c r="P1522" s="194" t="str">
        <f t="shared" si="291"/>
        <v>1</v>
      </c>
      <c r="Q1522" s="21">
        <v>1</v>
      </c>
      <c r="R1522" s="39" t="str">
        <f t="shared" si="292"/>
        <v>-</v>
      </c>
      <c r="S1522" s="120">
        <f t="shared" si="290"/>
        <v>1975312</v>
      </c>
      <c r="T1522" s="123">
        <v>15820045</v>
      </c>
      <c r="U1522" s="123">
        <f>T1522-5025049-2468606-165144</f>
        <v>8161246</v>
      </c>
      <c r="V1522" s="123">
        <f t="shared" si="286"/>
        <v>7658799</v>
      </c>
      <c r="W1522" s="122" t="str">
        <f t="shared" si="287"/>
        <v>1</v>
      </c>
      <c r="X1522" s="123">
        <v>13844733</v>
      </c>
      <c r="AA1522" s="122" t="str">
        <f t="shared" si="288"/>
        <v>0</v>
      </c>
      <c r="AB1522" s="120">
        <f t="shared" si="289"/>
        <v>0</v>
      </c>
      <c r="AC1522" s="123">
        <v>0</v>
      </c>
      <c r="AD1522" s="123">
        <v>0</v>
      </c>
      <c r="AG1522" s="151">
        <f t="shared" si="293"/>
        <v>185370</v>
      </c>
      <c r="AH1522" s="123">
        <f>212953-AK1522</f>
        <v>192953</v>
      </c>
      <c r="AI1522" s="123">
        <v>7583</v>
      </c>
      <c r="AJ1522" s="123">
        <v>130000</v>
      </c>
      <c r="AK1522" s="123">
        <v>20000</v>
      </c>
    </row>
    <row r="1523" spans="1:41" s="123" customFormat="1" ht="16.2" thickBot="1" x14ac:dyDescent="0.35">
      <c r="A1523" s="21">
        <v>261.2</v>
      </c>
      <c r="B1523" s="212" t="s">
        <v>83</v>
      </c>
      <c r="C1523" s="31" t="str">
        <f>VLOOKUP((CONCATENATE(B1523)),ID!$A$2:$D$305,3,0)</f>
        <v>BA011</v>
      </c>
      <c r="D1523" s="21">
        <v>1</v>
      </c>
      <c r="E1523" s="21" t="s">
        <v>4005</v>
      </c>
      <c r="F1523" s="21" t="s">
        <v>3789</v>
      </c>
      <c r="G1523" s="21" t="s">
        <v>3853</v>
      </c>
      <c r="H1523" s="88">
        <v>4383</v>
      </c>
      <c r="I1523" s="43">
        <v>4393</v>
      </c>
      <c r="J1523" s="43">
        <v>4402</v>
      </c>
      <c r="K1523" s="21">
        <v>1</v>
      </c>
      <c r="L1523" s="43">
        <v>4408</v>
      </c>
      <c r="M1523" s="43">
        <v>4421</v>
      </c>
      <c r="N1523" s="43">
        <v>4421</v>
      </c>
      <c r="O1523" s="21" t="s">
        <v>4010</v>
      </c>
      <c r="P1523" s="194" t="str">
        <f t="shared" si="291"/>
        <v>1</v>
      </c>
      <c r="Q1523" s="21">
        <v>1</v>
      </c>
      <c r="R1523" s="39" t="str">
        <f t="shared" si="292"/>
        <v>-</v>
      </c>
      <c r="S1523" s="120">
        <f t="shared" si="290"/>
        <v>2027518</v>
      </c>
      <c r="T1523" s="123">
        <v>15896828</v>
      </c>
      <c r="U1523" s="123">
        <f>T1523-222269-2523695-5308256</f>
        <v>7842608</v>
      </c>
      <c r="V1523" s="123">
        <f t="shared" si="286"/>
        <v>8054220</v>
      </c>
      <c r="W1523" s="122" t="str">
        <f t="shared" si="287"/>
        <v>1</v>
      </c>
      <c r="X1523" s="123">
        <v>13869310</v>
      </c>
      <c r="AA1523" s="122" t="str">
        <f t="shared" si="288"/>
        <v>0</v>
      </c>
      <c r="AB1523" s="120">
        <f t="shared" si="289"/>
        <v>0</v>
      </c>
      <c r="AC1523" s="123">
        <v>0</v>
      </c>
      <c r="AD1523" s="123">
        <v>0</v>
      </c>
      <c r="AG1523" s="151">
        <f t="shared" si="293"/>
        <v>199056</v>
      </c>
      <c r="AH1523" s="123">
        <f>217222-AK1523</f>
        <v>207222</v>
      </c>
      <c r="AI1523" s="123">
        <v>8166</v>
      </c>
      <c r="AJ1523" s="123">
        <v>131833</v>
      </c>
      <c r="AK1523" s="123">
        <v>10000</v>
      </c>
    </row>
    <row r="1524" spans="1:41" s="123" customFormat="1" ht="16.2" thickBot="1" x14ac:dyDescent="0.35">
      <c r="A1524" s="21"/>
      <c r="B1524" s="212" t="s">
        <v>83</v>
      </c>
      <c r="C1524" s="31" t="str">
        <f>VLOOKUP((CONCATENATE(B1524)),ID!$A$2:$D$305,3,0)</f>
        <v>BA011</v>
      </c>
      <c r="D1524" s="21">
        <v>1</v>
      </c>
      <c r="E1524" s="21" t="s">
        <v>4005</v>
      </c>
      <c r="F1524" s="21" t="s">
        <v>3789</v>
      </c>
      <c r="G1524" s="21" t="s">
        <v>3853</v>
      </c>
      <c r="H1524" s="88">
        <v>4749</v>
      </c>
      <c r="I1524" s="43">
        <v>4762</v>
      </c>
      <c r="J1524" s="43">
        <v>4766</v>
      </c>
      <c r="K1524" s="21">
        <v>1</v>
      </c>
      <c r="L1524" s="43">
        <v>4772</v>
      </c>
      <c r="M1524" s="43">
        <v>4785</v>
      </c>
      <c r="N1524" s="43">
        <v>4785</v>
      </c>
      <c r="O1524" s="21" t="s">
        <v>4010</v>
      </c>
      <c r="P1524" s="194" t="str">
        <f t="shared" si="291"/>
        <v>1</v>
      </c>
      <c r="Q1524" s="21">
        <v>1</v>
      </c>
      <c r="R1524" s="39" t="str">
        <f t="shared" si="292"/>
        <v>-</v>
      </c>
      <c r="S1524" s="120">
        <f t="shared" si="290"/>
        <v>2057616</v>
      </c>
      <c r="T1524" s="123">
        <v>18251516</v>
      </c>
      <c r="U1524" s="123">
        <f>T1524-436744-3498597-4927165</f>
        <v>9389010</v>
      </c>
      <c r="V1524" s="123">
        <f t="shared" si="286"/>
        <v>8862506</v>
      </c>
      <c r="W1524" s="122" t="str">
        <f t="shared" si="287"/>
        <v>1</v>
      </c>
      <c r="X1524" s="123">
        <v>16193900</v>
      </c>
      <c r="AA1524" s="122" t="str">
        <f t="shared" si="288"/>
        <v>0</v>
      </c>
      <c r="AB1524" s="120">
        <f t="shared" si="289"/>
        <v>0</v>
      </c>
      <c r="AC1524" s="123">
        <v>0</v>
      </c>
      <c r="AD1524" s="123">
        <v>0</v>
      </c>
      <c r="AG1524" s="151">
        <f t="shared" si="293"/>
        <v>186348</v>
      </c>
      <c r="AH1524" s="123">
        <f>230098-AK1524</f>
        <v>195098</v>
      </c>
      <c r="AI1524" s="123">
        <v>8750</v>
      </c>
      <c r="AJ1524" s="123">
        <v>141250</v>
      </c>
      <c r="AK1524" s="123">
        <v>35000</v>
      </c>
    </row>
    <row r="1525" spans="1:41" s="123" customFormat="1" ht="16.2" thickBot="1" x14ac:dyDescent="0.35">
      <c r="A1525" s="21"/>
      <c r="B1525" s="212" t="s">
        <v>83</v>
      </c>
      <c r="C1525" s="31" t="str">
        <f>VLOOKUP((CONCATENATE(B1525)),ID!$A$2:$D$305,3,0)</f>
        <v>BA011</v>
      </c>
      <c r="D1525" s="21">
        <v>1</v>
      </c>
      <c r="E1525" s="21" t="s">
        <v>4005</v>
      </c>
      <c r="F1525" s="21" t="s">
        <v>3789</v>
      </c>
      <c r="G1525" s="21" t="s">
        <v>3853</v>
      </c>
      <c r="H1525" s="88">
        <v>5114</v>
      </c>
      <c r="I1525" s="43">
        <v>5130</v>
      </c>
      <c r="J1525" s="43">
        <v>5130</v>
      </c>
      <c r="K1525" s="21">
        <v>1</v>
      </c>
      <c r="L1525" s="43">
        <v>5136</v>
      </c>
      <c r="M1525" s="43">
        <v>5149</v>
      </c>
      <c r="N1525" s="43">
        <v>5149</v>
      </c>
      <c r="O1525" s="21" t="s">
        <v>4010</v>
      </c>
      <c r="P1525" s="194" t="str">
        <f t="shared" si="291"/>
        <v>1</v>
      </c>
      <c r="Q1525" s="21">
        <v>1</v>
      </c>
      <c r="R1525" s="39" t="str">
        <f t="shared" si="292"/>
        <v>-</v>
      </c>
      <c r="S1525" s="120">
        <f t="shared" si="290"/>
        <v>2070129</v>
      </c>
      <c r="T1525" s="123">
        <v>18567049</v>
      </c>
      <c r="U1525" s="123">
        <f>T1525-208260-5618843-3266727</f>
        <v>9473219</v>
      </c>
      <c r="V1525" s="123">
        <f t="shared" si="286"/>
        <v>9093830</v>
      </c>
      <c r="W1525" s="122" t="str">
        <f t="shared" si="287"/>
        <v>1</v>
      </c>
      <c r="X1525" s="123">
        <v>16496920</v>
      </c>
      <c r="AA1525" s="122" t="str">
        <f t="shared" si="288"/>
        <v>0</v>
      </c>
      <c r="AB1525" s="120">
        <f t="shared" si="289"/>
        <v>0</v>
      </c>
      <c r="AC1525" s="123">
        <v>0</v>
      </c>
      <c r="AD1525" s="123">
        <v>0</v>
      </c>
      <c r="AG1525" s="151">
        <f t="shared" si="293"/>
        <v>168762</v>
      </c>
      <c r="AH1525" s="123">
        <f>237512-AK1525</f>
        <v>177512</v>
      </c>
      <c r="AI1525" s="123">
        <v>8750</v>
      </c>
      <c r="AJ1525" s="123">
        <v>141250</v>
      </c>
      <c r="AK1525" s="123">
        <v>60000</v>
      </c>
    </row>
    <row r="1526" spans="1:41" s="123" customFormat="1" ht="16.2" thickBot="1" x14ac:dyDescent="0.35">
      <c r="A1526" s="21"/>
      <c r="B1526" s="212" t="s">
        <v>84</v>
      </c>
      <c r="C1526" s="31" t="str">
        <f>VLOOKUP((CONCATENATE(B1526)),ID!$A$2:$D$305,3,0)</f>
        <v>BA012</v>
      </c>
      <c r="D1526" s="21">
        <v>1</v>
      </c>
      <c r="E1526" s="21" t="s">
        <v>4005</v>
      </c>
      <c r="F1526" s="21" t="s">
        <v>3865</v>
      </c>
      <c r="G1526" s="21" t="s">
        <v>3853</v>
      </c>
      <c r="H1526" s="88">
        <v>3957</v>
      </c>
      <c r="I1526" s="43">
        <v>3996</v>
      </c>
      <c r="J1526" s="43">
        <v>3979</v>
      </c>
      <c r="K1526" s="21">
        <v>0</v>
      </c>
      <c r="L1526" s="43"/>
      <c r="M1526" s="43"/>
      <c r="N1526" s="43">
        <v>4004</v>
      </c>
      <c r="O1526" s="56" t="s">
        <v>4011</v>
      </c>
      <c r="P1526" s="194" t="str">
        <f t="shared" si="291"/>
        <v>1</v>
      </c>
      <c r="Q1526" s="21">
        <v>1</v>
      </c>
      <c r="R1526" s="39" t="str">
        <f t="shared" si="292"/>
        <v>-</v>
      </c>
      <c r="S1526" s="120">
        <f t="shared" si="290"/>
        <v>1922465</v>
      </c>
      <c r="T1526" s="123">
        <v>18543627</v>
      </c>
      <c r="U1526" s="123">
        <f>909510+2671250+175584+100000+239074</f>
        <v>4095418</v>
      </c>
      <c r="V1526" s="123">
        <f t="shared" si="286"/>
        <v>14448209</v>
      </c>
      <c r="W1526" s="122" t="str">
        <f t="shared" si="287"/>
        <v>1</v>
      </c>
      <c r="X1526" s="123">
        <v>16621162</v>
      </c>
      <c r="AA1526" s="122" t="str">
        <f t="shared" si="288"/>
        <v>0</v>
      </c>
      <c r="AB1526" s="120">
        <f t="shared" si="289"/>
        <v>0</v>
      </c>
      <c r="AC1526" s="123">
        <v>0</v>
      </c>
      <c r="AD1526" s="123">
        <v>0</v>
      </c>
      <c r="AE1526" s="123">
        <v>878034</v>
      </c>
      <c r="AG1526" s="151">
        <f t="shared" si="293"/>
        <v>221893</v>
      </c>
      <c r="AH1526" s="123">
        <f>226893-AK1526</f>
        <v>221893</v>
      </c>
      <c r="AJ1526" s="123">
        <v>200000</v>
      </c>
      <c r="AK1526" s="123">
        <v>5000</v>
      </c>
    </row>
    <row r="1527" spans="1:41" s="123" customFormat="1" ht="16.2" thickBot="1" x14ac:dyDescent="0.35">
      <c r="A1527" s="21">
        <v>262.10000000000002</v>
      </c>
      <c r="B1527" s="212" t="s">
        <v>84</v>
      </c>
      <c r="C1527" s="31" t="str">
        <f>VLOOKUP((CONCATENATE(B1527)),ID!$A$2:$D$305,3,0)</f>
        <v>BA012</v>
      </c>
      <c r="D1527" s="21">
        <v>1</v>
      </c>
      <c r="E1527" s="21" t="s">
        <v>4005</v>
      </c>
      <c r="F1527" s="21" t="s">
        <v>3865</v>
      </c>
      <c r="G1527" s="21" t="s">
        <v>3853</v>
      </c>
      <c r="H1527" s="88">
        <v>4322</v>
      </c>
      <c r="I1527" s="43">
        <v>4360</v>
      </c>
      <c r="J1527" s="43">
        <v>4343</v>
      </c>
      <c r="K1527" s="21">
        <v>0</v>
      </c>
      <c r="L1527" s="21"/>
      <c r="M1527" s="21"/>
      <c r="N1527" s="43">
        <v>4370</v>
      </c>
      <c r="O1527" s="56" t="s">
        <v>4011</v>
      </c>
      <c r="P1527" s="194" t="str">
        <f t="shared" si="291"/>
        <v>1</v>
      </c>
      <c r="Q1527" s="21">
        <v>1</v>
      </c>
      <c r="R1527" s="39" t="str">
        <f t="shared" si="292"/>
        <v>-</v>
      </c>
      <c r="S1527" s="120">
        <f>T1527-X1527</f>
        <v>1924588</v>
      </c>
      <c r="T1527" s="123">
        <v>18675469</v>
      </c>
      <c r="U1527" s="123">
        <f>888509+2734993+175584+100000+238207</f>
        <v>4137293</v>
      </c>
      <c r="V1527" s="123">
        <f t="shared" si="286"/>
        <v>14538176</v>
      </c>
      <c r="W1527" s="122" t="str">
        <f t="shared" si="287"/>
        <v>1</v>
      </c>
      <c r="X1527" s="123">
        <v>16750881</v>
      </c>
      <c r="AA1527" s="122" t="str">
        <f>IF(Z1527+Y1527=X1527,"1","0")</f>
        <v>0</v>
      </c>
      <c r="AB1527" s="120">
        <f t="shared" si="289"/>
        <v>0</v>
      </c>
      <c r="AC1527" s="123">
        <v>0</v>
      </c>
      <c r="AD1527" s="123">
        <v>0</v>
      </c>
      <c r="AE1527" s="123">
        <v>1050603</v>
      </c>
      <c r="AG1527" s="151">
        <f t="shared" si="293"/>
        <v>225455</v>
      </c>
      <c r="AH1527" s="123">
        <f>230455-AK1527</f>
        <v>225455</v>
      </c>
      <c r="AJ1527" s="123">
        <v>200000</v>
      </c>
      <c r="AK1527" s="123">
        <v>5000</v>
      </c>
    </row>
    <row r="1528" spans="1:41" s="123" customFormat="1" ht="16.2" thickBot="1" x14ac:dyDescent="0.35">
      <c r="A1528" s="21">
        <v>262.2</v>
      </c>
      <c r="B1528" s="212" t="s">
        <v>84</v>
      </c>
      <c r="C1528" s="31" t="str">
        <f>VLOOKUP((CONCATENATE(B1528)),ID!$A$2:$D$305,3,0)</f>
        <v>BA012</v>
      </c>
      <c r="D1528" s="21">
        <v>1</v>
      </c>
      <c r="E1528" s="21" t="s">
        <v>4005</v>
      </c>
      <c r="F1528" s="21" t="s">
        <v>3865</v>
      </c>
      <c r="G1528" s="21" t="s">
        <v>3853</v>
      </c>
      <c r="H1528" s="88">
        <v>4688</v>
      </c>
      <c r="I1528" s="43">
        <v>4728</v>
      </c>
      <c r="J1528" s="43">
        <v>4714</v>
      </c>
      <c r="K1528" s="21">
        <v>0</v>
      </c>
      <c r="L1528" s="21"/>
      <c r="M1528" s="21"/>
      <c r="N1528" s="43">
        <v>4735</v>
      </c>
      <c r="O1528" s="56" t="s">
        <v>4011</v>
      </c>
      <c r="P1528" s="194" t="str">
        <f t="shared" si="291"/>
        <v>1</v>
      </c>
      <c r="Q1528" s="21">
        <v>1</v>
      </c>
      <c r="R1528" s="39" t="str">
        <f t="shared" si="292"/>
        <v>-</v>
      </c>
      <c r="S1528" s="120">
        <f t="shared" si="290"/>
        <v>1920505</v>
      </c>
      <c r="T1528" s="123">
        <v>19926663</v>
      </c>
      <c r="U1528" s="123">
        <f>830107+3236410+175834+100000+239813</f>
        <v>4582164</v>
      </c>
      <c r="V1528" s="123">
        <f t="shared" si="286"/>
        <v>15344499</v>
      </c>
      <c r="W1528" s="122" t="str">
        <f t="shared" si="287"/>
        <v>1</v>
      </c>
      <c r="X1528" s="123">
        <v>18006158</v>
      </c>
      <c r="AA1528" s="122" t="str">
        <f t="shared" si="288"/>
        <v>0</v>
      </c>
      <c r="AB1528" s="120">
        <f t="shared" si="289"/>
        <v>0</v>
      </c>
      <c r="AC1528" s="123">
        <v>0</v>
      </c>
      <c r="AD1528" s="123">
        <v>0</v>
      </c>
      <c r="AE1528" s="123">
        <v>1022016</v>
      </c>
      <c r="AG1528" s="151">
        <f t="shared" si="293"/>
        <v>234250</v>
      </c>
      <c r="AH1528" s="123">
        <f>239250-AK1528</f>
        <v>234250</v>
      </c>
      <c r="AJ1528" s="123">
        <v>200000</v>
      </c>
      <c r="AK1528" s="123">
        <v>5000</v>
      </c>
    </row>
    <row r="1529" spans="1:41" s="123" customFormat="1" ht="16.2" thickBot="1" x14ac:dyDescent="0.35">
      <c r="A1529" s="21"/>
      <c r="B1529" s="212" t="s">
        <v>84</v>
      </c>
      <c r="C1529" s="31" t="str">
        <f>VLOOKUP((CONCATENATE(B1529)),ID!$A$2:$D$305,3,0)</f>
        <v>BA012</v>
      </c>
      <c r="D1529" s="21">
        <v>1</v>
      </c>
      <c r="E1529" s="21" t="s">
        <v>4005</v>
      </c>
      <c r="F1529" s="21" t="s">
        <v>3865</v>
      </c>
      <c r="G1529" s="21" t="s">
        <v>3853</v>
      </c>
      <c r="H1529" s="88">
        <v>5053</v>
      </c>
      <c r="I1529" s="43">
        <v>5092</v>
      </c>
      <c r="J1529" s="43">
        <v>5080</v>
      </c>
      <c r="K1529" s="21">
        <v>0</v>
      </c>
      <c r="L1529" s="21"/>
      <c r="M1529" s="21"/>
      <c r="N1529" s="43">
        <v>5100</v>
      </c>
      <c r="O1529" s="56" t="s">
        <v>4011</v>
      </c>
      <c r="P1529" s="194" t="str">
        <f t="shared" si="291"/>
        <v>1</v>
      </c>
      <c r="Q1529" s="21">
        <v>1</v>
      </c>
      <c r="R1529" s="39" t="str">
        <f t="shared" si="292"/>
        <v>-</v>
      </c>
      <c r="S1529" s="120">
        <f t="shared" si="290"/>
        <v>1922741</v>
      </c>
      <c r="T1529" s="123">
        <v>21763102</v>
      </c>
      <c r="U1529" s="123">
        <f>821507+3523711+175990+100000+242005</f>
        <v>4863213</v>
      </c>
      <c r="V1529" s="123">
        <f t="shared" si="286"/>
        <v>16899889</v>
      </c>
      <c r="W1529" s="122" t="str">
        <f t="shared" si="287"/>
        <v>1</v>
      </c>
      <c r="X1529" s="123">
        <v>19840361</v>
      </c>
      <c r="AA1529" s="122" t="str">
        <f t="shared" si="288"/>
        <v>0</v>
      </c>
      <c r="AB1529" s="120">
        <f t="shared" si="289"/>
        <v>0</v>
      </c>
      <c r="AC1529" s="123">
        <v>0</v>
      </c>
      <c r="AD1529" s="123">
        <v>0</v>
      </c>
      <c r="AE1529" s="123">
        <v>1203734</v>
      </c>
      <c r="AG1529" s="151">
        <f t="shared" si="293"/>
        <v>235569</v>
      </c>
      <c r="AH1529" s="123">
        <f>240569-AK1529</f>
        <v>235569</v>
      </c>
      <c r="AJ1529" s="123">
        <v>200000</v>
      </c>
      <c r="AK1529" s="123">
        <v>5000</v>
      </c>
    </row>
    <row r="1530" spans="1:41" s="123" customFormat="1" ht="16.2" thickBot="1" x14ac:dyDescent="0.35">
      <c r="A1530" s="21"/>
      <c r="B1530" s="212" t="s">
        <v>84</v>
      </c>
      <c r="C1530" s="31" t="str">
        <f>VLOOKUP((CONCATENATE(B1530)),ID!$A$2:$D$305,3,0)</f>
        <v>BA012</v>
      </c>
      <c r="D1530" s="21">
        <v>1</v>
      </c>
      <c r="E1530" s="21" t="s">
        <v>4005</v>
      </c>
      <c r="F1530" s="21" t="s">
        <v>3865</v>
      </c>
      <c r="G1530" s="21" t="s">
        <v>3853</v>
      </c>
      <c r="H1530" s="88">
        <v>5418</v>
      </c>
      <c r="I1530" s="43">
        <v>5460</v>
      </c>
      <c r="J1530" s="43">
        <v>5445</v>
      </c>
      <c r="K1530" s="21">
        <v>0</v>
      </c>
      <c r="L1530" s="21"/>
      <c r="M1530" s="21"/>
      <c r="N1530" s="43">
        <v>5465</v>
      </c>
      <c r="O1530" s="56" t="s">
        <v>4011</v>
      </c>
      <c r="P1530" s="194" t="str">
        <f t="shared" si="291"/>
        <v>1</v>
      </c>
      <c r="Q1530" s="21">
        <v>1</v>
      </c>
      <c r="R1530" s="39" t="str">
        <f t="shared" si="292"/>
        <v>-</v>
      </c>
      <c r="S1530" s="120">
        <f t="shared" si="290"/>
        <v>1830354</v>
      </c>
      <c r="T1530" s="123">
        <v>22723361</v>
      </c>
      <c r="U1530" s="123">
        <f>766496+4093637+177075+100000+240821</f>
        <v>5378029</v>
      </c>
      <c r="V1530" s="123">
        <f t="shared" si="286"/>
        <v>17345332</v>
      </c>
      <c r="W1530" s="122" t="str">
        <f t="shared" si="287"/>
        <v>1</v>
      </c>
      <c r="X1530" s="123">
        <v>20893007</v>
      </c>
      <c r="AA1530" s="122" t="str">
        <f t="shared" si="288"/>
        <v>0</v>
      </c>
      <c r="AB1530" s="120">
        <f t="shared" si="289"/>
        <v>0</v>
      </c>
      <c r="AC1530" s="123">
        <v>0</v>
      </c>
      <c r="AD1530" s="123">
        <v>0</v>
      </c>
      <c r="AE1530" s="123">
        <v>1049012</v>
      </c>
      <c r="AG1530" s="151">
        <f t="shared" si="293"/>
        <v>244536</v>
      </c>
      <c r="AH1530" s="123">
        <f>249536-AK1530</f>
        <v>244536</v>
      </c>
      <c r="AJ1530" s="123">
        <v>180000</v>
      </c>
      <c r="AK1530" s="123">
        <v>5000</v>
      </c>
    </row>
    <row r="1531" spans="1:41" s="123" customFormat="1" ht="16.2" thickBot="1" x14ac:dyDescent="0.35">
      <c r="A1531" s="21"/>
      <c r="B1531" s="212" t="s">
        <v>92</v>
      </c>
      <c r="C1531" s="31" t="str">
        <f>VLOOKUP((CONCATENATE(B1531)),ID!$A$2:$D$305,3,0)</f>
        <v>BA013</v>
      </c>
      <c r="D1531" s="21">
        <v>1</v>
      </c>
      <c r="E1531" s="21" t="s">
        <v>4005</v>
      </c>
      <c r="F1531" s="21" t="s">
        <v>3841</v>
      </c>
      <c r="G1531" s="21" t="s">
        <v>3853</v>
      </c>
      <c r="H1531" s="88">
        <v>3834</v>
      </c>
      <c r="I1531" s="43">
        <v>3841</v>
      </c>
      <c r="J1531" s="43">
        <v>3840</v>
      </c>
      <c r="K1531" s="21">
        <v>0</v>
      </c>
      <c r="L1531" s="21"/>
      <c r="M1531" s="21"/>
      <c r="N1531" s="43">
        <v>3852</v>
      </c>
      <c r="O1531" s="21" t="s">
        <v>3866</v>
      </c>
      <c r="P1531" s="194" t="str">
        <f t="shared" si="291"/>
        <v>1</v>
      </c>
      <c r="Q1531" s="21">
        <v>1</v>
      </c>
      <c r="R1531" s="39" t="str">
        <f t="shared" si="292"/>
        <v>-</v>
      </c>
      <c r="S1531" s="120">
        <f t="shared" si="290"/>
        <v>531612</v>
      </c>
      <c r="T1531" s="123">
        <v>5629927</v>
      </c>
      <c r="U1531" s="123">
        <f>1514641+97807</f>
        <v>1612448</v>
      </c>
      <c r="V1531" s="123">
        <f t="shared" si="286"/>
        <v>4017479</v>
      </c>
      <c r="W1531" s="122" t="str">
        <f t="shared" si="287"/>
        <v>1</v>
      </c>
      <c r="X1531" s="123">
        <v>5098315</v>
      </c>
      <c r="AA1531" s="122" t="str">
        <f t="shared" si="288"/>
        <v>0</v>
      </c>
      <c r="AB1531" s="120">
        <f t="shared" si="289"/>
        <v>0</v>
      </c>
      <c r="AC1531" s="123">
        <v>0</v>
      </c>
      <c r="AD1531" s="123">
        <v>0</v>
      </c>
      <c r="AE1531" s="123">
        <v>1006719</v>
      </c>
      <c r="AG1531" s="151">
        <f t="shared" si="293"/>
        <v>52010</v>
      </c>
      <c r="AH1531" s="123">
        <v>52010</v>
      </c>
      <c r="AJ1531" s="123">
        <v>18750</v>
      </c>
      <c r="AO1531" s="123">
        <v>62500</v>
      </c>
    </row>
    <row r="1532" spans="1:41" s="123" customFormat="1" ht="16.2" thickBot="1" x14ac:dyDescent="0.35">
      <c r="A1532" s="21">
        <v>263.10000000000002</v>
      </c>
      <c r="B1532" s="212" t="s">
        <v>92</v>
      </c>
      <c r="C1532" s="31" t="str">
        <f>VLOOKUP((CONCATENATE(B1532)),ID!$A$2:$D$305,3,0)</f>
        <v>BA013</v>
      </c>
      <c r="D1532" s="21">
        <v>1</v>
      </c>
      <c r="E1532" s="21" t="s">
        <v>4005</v>
      </c>
      <c r="F1532" s="21" t="s">
        <v>3841</v>
      </c>
      <c r="G1532" s="21" t="s">
        <v>3853</v>
      </c>
      <c r="H1532" s="88">
        <v>4199</v>
      </c>
      <c r="I1532" s="43">
        <v>4207</v>
      </c>
      <c r="J1532" s="43">
        <v>4206</v>
      </c>
      <c r="K1532" s="21">
        <v>0</v>
      </c>
      <c r="L1532" s="21"/>
      <c r="M1532" s="21"/>
      <c r="N1532" s="43">
        <v>4216</v>
      </c>
      <c r="O1532" s="21" t="s">
        <v>3866</v>
      </c>
      <c r="P1532" s="194" t="str">
        <f t="shared" si="291"/>
        <v>1</v>
      </c>
      <c r="Q1532" s="21">
        <v>1</v>
      </c>
      <c r="R1532" s="39" t="str">
        <f t="shared" si="292"/>
        <v>-</v>
      </c>
      <c r="S1532" s="120">
        <f t="shared" si="290"/>
        <v>531626</v>
      </c>
      <c r="T1532" s="123">
        <v>5863933</v>
      </c>
      <c r="U1532" s="123">
        <f>1616159+97842</f>
        <v>1714001</v>
      </c>
      <c r="V1532" s="123">
        <f t="shared" ref="V1532:V1599" si="294">T1532-U1532</f>
        <v>4149932</v>
      </c>
      <c r="W1532" s="122" t="str">
        <f t="shared" ref="W1532:W1599" si="295">IF(V1532+U1532=T1532,"1","0")</f>
        <v>1</v>
      </c>
      <c r="X1532" s="123">
        <v>5332307</v>
      </c>
      <c r="AA1532" s="122" t="str">
        <f t="shared" ref="AA1532:AA1599" si="296">IF(Z1532+Y1532=X1532,"1","0")</f>
        <v>0</v>
      </c>
      <c r="AB1532" s="120">
        <f t="shared" ref="AB1532:AB1599" si="297">SUM(AC1532+AD1532)</f>
        <v>0</v>
      </c>
      <c r="AC1532" s="123">
        <v>0</v>
      </c>
      <c r="AD1532" s="123">
        <v>0</v>
      </c>
      <c r="AE1532" s="123">
        <v>1092971</v>
      </c>
      <c r="AG1532" s="151">
        <f t="shared" si="293"/>
        <v>52887</v>
      </c>
      <c r="AH1532" s="123">
        <v>52887</v>
      </c>
      <c r="AJ1532" s="123">
        <v>18750</v>
      </c>
      <c r="AO1532" s="123">
        <v>62500</v>
      </c>
    </row>
    <row r="1533" spans="1:41" s="123" customFormat="1" ht="16.2" thickBot="1" x14ac:dyDescent="0.35">
      <c r="A1533" s="21">
        <v>263.2</v>
      </c>
      <c r="B1533" s="212" t="s">
        <v>92</v>
      </c>
      <c r="C1533" s="31" t="str">
        <f>VLOOKUP((CONCATENATE(B1533)),ID!$A$2:$D$305,3,0)</f>
        <v>BA013</v>
      </c>
      <c r="D1533" s="21">
        <v>1</v>
      </c>
      <c r="E1533" s="21" t="s">
        <v>4005</v>
      </c>
      <c r="F1533" s="21" t="s">
        <v>3841</v>
      </c>
      <c r="G1533" s="21" t="s">
        <v>3853</v>
      </c>
      <c r="H1533" s="88">
        <v>4565</v>
      </c>
      <c r="I1533" s="43">
        <v>4571</v>
      </c>
      <c r="J1533" s="43">
        <v>4570</v>
      </c>
      <c r="K1533" s="21">
        <v>0</v>
      </c>
      <c r="L1533" s="21"/>
      <c r="M1533" s="21"/>
      <c r="N1533" s="43">
        <v>4580</v>
      </c>
      <c r="O1533" s="21" t="s">
        <v>3866</v>
      </c>
      <c r="P1533" s="194" t="str">
        <f t="shared" si="291"/>
        <v>1</v>
      </c>
      <c r="Q1533" s="21">
        <v>1</v>
      </c>
      <c r="R1533" s="39" t="str">
        <f t="shared" si="292"/>
        <v>-</v>
      </c>
      <c r="S1533" s="120">
        <f t="shared" si="290"/>
        <v>511295</v>
      </c>
      <c r="T1533" s="123">
        <v>6014613</v>
      </c>
      <c r="U1533" s="123">
        <f>1724171+103464</f>
        <v>1827635</v>
      </c>
      <c r="V1533" s="123">
        <f t="shared" si="294"/>
        <v>4186978</v>
      </c>
      <c r="W1533" s="122" t="str">
        <f t="shared" si="295"/>
        <v>1</v>
      </c>
      <c r="X1533" s="123">
        <v>5503318</v>
      </c>
      <c r="AA1533" s="122" t="str">
        <f t="shared" si="296"/>
        <v>0</v>
      </c>
      <c r="AB1533" s="120">
        <f t="shared" si="297"/>
        <v>0</v>
      </c>
      <c r="AC1533" s="123">
        <v>0</v>
      </c>
      <c r="AD1533" s="123">
        <v>0</v>
      </c>
      <c r="AE1533" s="123">
        <v>867322</v>
      </c>
      <c r="AG1533" s="151">
        <f t="shared" si="293"/>
        <v>54544</v>
      </c>
      <c r="AH1533" s="123">
        <v>54544</v>
      </c>
      <c r="AJ1533" s="123">
        <v>18750</v>
      </c>
      <c r="AO1533" s="123">
        <v>62500</v>
      </c>
    </row>
    <row r="1534" spans="1:41" s="123" customFormat="1" ht="16.2" thickBot="1" x14ac:dyDescent="0.35">
      <c r="A1534" s="21"/>
      <c r="B1534" s="212" t="s">
        <v>92</v>
      </c>
      <c r="C1534" s="31" t="str">
        <f>VLOOKUP((CONCATENATE(B1534)),ID!$A$2:$D$305,3,0)</f>
        <v>BA013</v>
      </c>
      <c r="D1534" s="21">
        <v>1</v>
      </c>
      <c r="E1534" s="21" t="s">
        <v>4005</v>
      </c>
      <c r="F1534" s="21" t="s">
        <v>3841</v>
      </c>
      <c r="G1534" s="21" t="s">
        <v>3853</v>
      </c>
      <c r="H1534" s="88">
        <v>4930</v>
      </c>
      <c r="I1534" s="43">
        <v>4938</v>
      </c>
      <c r="J1534" s="43">
        <v>4937</v>
      </c>
      <c r="K1534" s="21">
        <v>0</v>
      </c>
      <c r="L1534" s="21"/>
      <c r="M1534" s="21"/>
      <c r="N1534" s="43">
        <v>4951</v>
      </c>
      <c r="O1534" s="21" t="s">
        <v>3866</v>
      </c>
      <c r="P1534" s="194" t="str">
        <f t="shared" si="291"/>
        <v>1</v>
      </c>
      <c r="Q1534" s="21">
        <v>1</v>
      </c>
      <c r="R1534" s="39" t="str">
        <f t="shared" si="292"/>
        <v>-</v>
      </c>
      <c r="S1534" s="120">
        <f t="shared" si="290"/>
        <v>481365</v>
      </c>
      <c r="T1534" s="123">
        <v>6094093</v>
      </c>
      <c r="U1534" s="123">
        <f>1647154+105580</f>
        <v>1752734</v>
      </c>
      <c r="V1534" s="123">
        <f t="shared" si="294"/>
        <v>4341359</v>
      </c>
      <c r="W1534" s="122" t="str">
        <f t="shared" si="295"/>
        <v>1</v>
      </c>
      <c r="X1534" s="123">
        <v>5612728</v>
      </c>
      <c r="AA1534" s="122" t="str">
        <f t="shared" si="296"/>
        <v>0</v>
      </c>
      <c r="AB1534" s="120">
        <f t="shared" si="297"/>
        <v>0</v>
      </c>
      <c r="AC1534" s="123">
        <v>0</v>
      </c>
      <c r="AD1534" s="123">
        <v>0</v>
      </c>
      <c r="AE1534" s="123">
        <v>1126754</v>
      </c>
      <c r="AG1534" s="151">
        <f t="shared" si="293"/>
        <v>59444</v>
      </c>
      <c r="AH1534" s="123">
        <v>59444</v>
      </c>
      <c r="AJ1534" s="123">
        <v>18750</v>
      </c>
      <c r="AO1534" s="123">
        <v>62500</v>
      </c>
    </row>
    <row r="1535" spans="1:41" s="123" customFormat="1" ht="16.2" thickBot="1" x14ac:dyDescent="0.35">
      <c r="A1535" s="21"/>
      <c r="B1535" s="212" t="s">
        <v>146</v>
      </c>
      <c r="C1535" s="31" t="str">
        <f>VLOOKUP((CONCATENATE(B1535)),ID!$A$2:$D$305,3,0)</f>
        <v>BA014</v>
      </c>
      <c r="D1535" s="21">
        <v>0</v>
      </c>
      <c r="E1535" s="21" t="s">
        <v>4005</v>
      </c>
      <c r="F1535" s="21" t="s">
        <v>3802</v>
      </c>
      <c r="G1535" s="21" t="s">
        <v>3853</v>
      </c>
      <c r="H1535" s="88">
        <v>3653</v>
      </c>
      <c r="I1535" s="43">
        <v>3666</v>
      </c>
      <c r="J1535" s="43">
        <v>3665</v>
      </c>
      <c r="K1535" s="21">
        <v>1</v>
      </c>
      <c r="L1535" s="43">
        <v>3671</v>
      </c>
      <c r="M1535" s="43">
        <v>3684</v>
      </c>
      <c r="N1535" s="43">
        <v>3684</v>
      </c>
      <c r="O1535" s="21" t="s">
        <v>4012</v>
      </c>
      <c r="P1535" s="194" t="str">
        <f t="shared" si="291"/>
        <v>1</v>
      </c>
      <c r="Q1535" s="21">
        <v>1</v>
      </c>
      <c r="R1535" s="39" t="str">
        <f t="shared" si="292"/>
        <v>-</v>
      </c>
      <c r="S1535" s="120">
        <f t="shared" si="290"/>
        <v>729123</v>
      </c>
      <c r="T1535" s="123">
        <v>4390033</v>
      </c>
      <c r="U1535" s="123">
        <f>128689+1023705</f>
        <v>1152394</v>
      </c>
      <c r="V1535" s="123">
        <f t="shared" si="294"/>
        <v>3237639</v>
      </c>
      <c r="W1535" s="122" t="str">
        <f t="shared" si="295"/>
        <v>1</v>
      </c>
      <c r="X1535" s="123">
        <v>3660910</v>
      </c>
      <c r="AA1535" s="122" t="str">
        <f t="shared" si="296"/>
        <v>0</v>
      </c>
      <c r="AB1535" s="120">
        <f t="shared" si="297"/>
        <v>0</v>
      </c>
      <c r="AC1535" s="123">
        <v>0</v>
      </c>
      <c r="AD1535" s="123">
        <v>0</v>
      </c>
      <c r="AE1535" s="123">
        <v>334489</v>
      </c>
      <c r="AG1535" s="151">
        <f t="shared" si="293"/>
        <v>23750</v>
      </c>
      <c r="AH1535" s="123">
        <f>54743-29922</f>
        <v>24821</v>
      </c>
      <c r="AI1535" s="123">
        <v>1071</v>
      </c>
      <c r="AJ1535" s="123">
        <v>15000</v>
      </c>
      <c r="AO1535" s="123">
        <v>100000</v>
      </c>
    </row>
    <row r="1536" spans="1:41" s="123" customFormat="1" ht="16.2" thickBot="1" x14ac:dyDescent="0.35">
      <c r="A1536" s="21"/>
      <c r="B1536" s="212" t="s">
        <v>146</v>
      </c>
      <c r="C1536" s="31" t="str">
        <f>VLOOKUP((CONCATENATE(B1536)),ID!$A$2:$D$305,3,0)</f>
        <v>BA014</v>
      </c>
      <c r="D1536" s="21">
        <v>0</v>
      </c>
      <c r="E1536" s="21" t="s">
        <v>4005</v>
      </c>
      <c r="F1536" s="21" t="s">
        <v>3802</v>
      </c>
      <c r="G1536" s="21" t="s">
        <v>3853</v>
      </c>
      <c r="H1536" s="88">
        <v>3834</v>
      </c>
      <c r="I1536" s="43">
        <v>3841</v>
      </c>
      <c r="J1536" s="43">
        <v>3846</v>
      </c>
      <c r="K1536" s="21">
        <v>1</v>
      </c>
      <c r="L1536" s="43">
        <v>3846</v>
      </c>
      <c r="M1536" s="43">
        <v>3859</v>
      </c>
      <c r="N1536" s="43">
        <v>3859</v>
      </c>
      <c r="O1536" s="21" t="s">
        <v>4012</v>
      </c>
      <c r="P1536" s="194" t="str">
        <f t="shared" si="291"/>
        <v>1</v>
      </c>
      <c r="Q1536" s="21">
        <v>1</v>
      </c>
      <c r="R1536" s="39" t="str">
        <f t="shared" si="292"/>
        <v>-</v>
      </c>
      <c r="S1536" s="120">
        <f t="shared" si="290"/>
        <v>738736</v>
      </c>
      <c r="T1536" s="123">
        <v>4417122</v>
      </c>
      <c r="U1536" s="123">
        <f>1120096+132267</f>
        <v>1252363</v>
      </c>
      <c r="V1536" s="123">
        <f t="shared" si="294"/>
        <v>3164759</v>
      </c>
      <c r="W1536" s="122" t="str">
        <f t="shared" si="295"/>
        <v>1</v>
      </c>
      <c r="X1536" s="123">
        <v>3678386</v>
      </c>
      <c r="AA1536" s="122" t="str">
        <f t="shared" si="296"/>
        <v>0</v>
      </c>
      <c r="AB1536" s="120">
        <f t="shared" si="297"/>
        <v>0</v>
      </c>
      <c r="AC1536" s="123">
        <v>0</v>
      </c>
      <c r="AD1536" s="123">
        <v>0</v>
      </c>
      <c r="AE1536" s="123">
        <v>177168</v>
      </c>
      <c r="AG1536" s="151">
        <f t="shared" si="293"/>
        <v>23515</v>
      </c>
      <c r="AH1536" s="123">
        <f>54176-30661</f>
        <v>23515</v>
      </c>
      <c r="AJ1536" s="123">
        <v>15000</v>
      </c>
      <c r="AO1536" s="123">
        <v>100000</v>
      </c>
    </row>
    <row r="1537" spans="1:41" s="123" customFormat="1" ht="16.2" thickBot="1" x14ac:dyDescent="0.35">
      <c r="A1537" s="21">
        <v>264.10000000000002</v>
      </c>
      <c r="B1537" s="212" t="s">
        <v>146</v>
      </c>
      <c r="C1537" s="31" t="str">
        <f>VLOOKUP((CONCATENATE(B1537)),ID!$A$2:$D$305,3,0)</f>
        <v>BA014</v>
      </c>
      <c r="D1537" s="21">
        <v>0</v>
      </c>
      <c r="E1537" s="21" t="s">
        <v>4005</v>
      </c>
      <c r="F1537" s="21" t="s">
        <v>3802</v>
      </c>
      <c r="G1537" s="21" t="s">
        <v>3853</v>
      </c>
      <c r="H1537" s="88">
        <v>4018</v>
      </c>
      <c r="I1537" s="43">
        <v>4032</v>
      </c>
      <c r="J1537" s="43">
        <v>4031</v>
      </c>
      <c r="K1537" s="21">
        <v>1</v>
      </c>
      <c r="L1537" s="43">
        <v>4035</v>
      </c>
      <c r="M1537" s="43">
        <v>4048</v>
      </c>
      <c r="N1537" s="43">
        <v>4048</v>
      </c>
      <c r="O1537" s="21" t="s">
        <v>4012</v>
      </c>
      <c r="P1537" s="194" t="str">
        <f t="shared" si="291"/>
        <v>1</v>
      </c>
      <c r="Q1537" s="21">
        <v>1</v>
      </c>
      <c r="R1537" s="39" t="str">
        <f t="shared" si="292"/>
        <v>-</v>
      </c>
      <c r="S1537" s="120">
        <f t="shared" si="290"/>
        <v>739233</v>
      </c>
      <c r="T1537" s="123">
        <v>4522412</v>
      </c>
      <c r="U1537" s="123">
        <f>1173379+136897</f>
        <v>1310276</v>
      </c>
      <c r="V1537" s="123">
        <f t="shared" si="294"/>
        <v>3212136</v>
      </c>
      <c r="W1537" s="122" t="str">
        <f t="shared" si="295"/>
        <v>1</v>
      </c>
      <c r="X1537" s="123">
        <v>3783179</v>
      </c>
      <c r="AA1537" s="122" t="str">
        <f t="shared" si="296"/>
        <v>0</v>
      </c>
      <c r="AB1537" s="120">
        <f t="shared" si="297"/>
        <v>0</v>
      </c>
      <c r="AC1537" s="123">
        <v>0</v>
      </c>
      <c r="AD1537" s="123">
        <v>0</v>
      </c>
      <c r="AE1537" s="123">
        <v>279450</v>
      </c>
      <c r="AG1537" s="151">
        <f t="shared" si="293"/>
        <v>23946</v>
      </c>
      <c r="AH1537" s="123">
        <f>54445-30499</f>
        <v>23946</v>
      </c>
      <c r="AJ1537" s="123">
        <v>15000</v>
      </c>
      <c r="AO1537" s="123">
        <v>100000</v>
      </c>
    </row>
    <row r="1538" spans="1:41" s="123" customFormat="1" ht="16.2" thickBot="1" x14ac:dyDescent="0.35">
      <c r="A1538" s="21">
        <v>264.2</v>
      </c>
      <c r="B1538" s="212" t="s">
        <v>146</v>
      </c>
      <c r="C1538" s="31" t="str">
        <f>VLOOKUP((CONCATENATE(B1538)),ID!$A$2:$D$305,3,0)</f>
        <v>BA014</v>
      </c>
      <c r="D1538" s="21">
        <v>0</v>
      </c>
      <c r="E1538" s="21" t="s">
        <v>4005</v>
      </c>
      <c r="F1538" s="21" t="s">
        <v>3802</v>
      </c>
      <c r="G1538" s="21" t="s">
        <v>3853</v>
      </c>
      <c r="H1538" s="88">
        <v>4199</v>
      </c>
      <c r="I1538" s="43">
        <v>4213</v>
      </c>
      <c r="J1538" s="43">
        <v>4213</v>
      </c>
      <c r="K1538" s="21">
        <v>1</v>
      </c>
      <c r="L1538" s="43">
        <v>4217</v>
      </c>
      <c r="M1538" s="43">
        <v>4230</v>
      </c>
      <c r="N1538" s="43">
        <v>4230</v>
      </c>
      <c r="O1538" s="21" t="s">
        <v>4012</v>
      </c>
      <c r="P1538" s="194" t="str">
        <f t="shared" si="291"/>
        <v>1</v>
      </c>
      <c r="Q1538" s="21">
        <v>1</v>
      </c>
      <c r="R1538" s="39" t="str">
        <f t="shared" si="292"/>
        <v>-</v>
      </c>
      <c r="S1538" s="120">
        <f t="shared" si="290"/>
        <v>748289</v>
      </c>
      <c r="T1538" s="123">
        <v>4517604</v>
      </c>
      <c r="U1538" s="123">
        <f>1212737+140282</f>
        <v>1353019</v>
      </c>
      <c r="V1538" s="123">
        <f t="shared" si="294"/>
        <v>3164585</v>
      </c>
      <c r="W1538" s="122" t="str">
        <f t="shared" si="295"/>
        <v>1</v>
      </c>
      <c r="X1538" s="123">
        <v>3769315</v>
      </c>
      <c r="AA1538" s="122" t="str">
        <f t="shared" si="296"/>
        <v>0</v>
      </c>
      <c r="AB1538" s="120">
        <f t="shared" si="297"/>
        <v>0</v>
      </c>
      <c r="AC1538" s="123">
        <v>0</v>
      </c>
      <c r="AD1538" s="123">
        <v>0</v>
      </c>
      <c r="AE1538" s="123">
        <v>165011</v>
      </c>
      <c r="AG1538" s="151">
        <f t="shared" si="293"/>
        <v>23529</v>
      </c>
      <c r="AH1538" s="123">
        <f>55204-31675</f>
        <v>23529</v>
      </c>
      <c r="AJ1538" s="123">
        <v>15000</v>
      </c>
      <c r="AO1538" s="123">
        <v>100000</v>
      </c>
    </row>
    <row r="1539" spans="1:41" s="123" customFormat="1" ht="16.2" thickBot="1" x14ac:dyDescent="0.35">
      <c r="A1539" s="21">
        <v>264.3</v>
      </c>
      <c r="B1539" s="212" t="s">
        <v>146</v>
      </c>
      <c r="C1539" s="31" t="str">
        <f>VLOOKUP((CONCATENATE(B1539)),ID!$A$2:$D$305,3,0)</f>
        <v>BA014</v>
      </c>
      <c r="D1539" s="21">
        <v>0</v>
      </c>
      <c r="E1539" s="21" t="s">
        <v>4005</v>
      </c>
      <c r="F1539" s="21" t="s">
        <v>3802</v>
      </c>
      <c r="G1539" s="21" t="s">
        <v>3853</v>
      </c>
      <c r="H1539" s="88">
        <v>4383</v>
      </c>
      <c r="I1539" s="43">
        <v>4394</v>
      </c>
      <c r="J1539" s="43">
        <v>4394</v>
      </c>
      <c r="K1539" s="21">
        <v>1</v>
      </c>
      <c r="L1539" s="43">
        <v>4399</v>
      </c>
      <c r="M1539" s="43">
        <v>4412</v>
      </c>
      <c r="N1539" s="43">
        <v>4412</v>
      </c>
      <c r="O1539" s="21" t="s">
        <v>4012</v>
      </c>
      <c r="P1539" s="194" t="str">
        <f t="shared" si="291"/>
        <v>1</v>
      </c>
      <c r="Q1539" s="21">
        <v>1</v>
      </c>
      <c r="R1539" s="39" t="str">
        <f t="shared" si="292"/>
        <v>-</v>
      </c>
      <c r="S1539" s="120">
        <f t="shared" si="290"/>
        <v>757075</v>
      </c>
      <c r="T1539" s="123">
        <v>4668649</v>
      </c>
      <c r="U1539" s="123">
        <f>141221+1301129</f>
        <v>1442350</v>
      </c>
      <c r="V1539" s="123">
        <f t="shared" si="294"/>
        <v>3226299</v>
      </c>
      <c r="W1539" s="122" t="str">
        <f t="shared" si="295"/>
        <v>1</v>
      </c>
      <c r="X1539" s="123">
        <v>3911574</v>
      </c>
      <c r="AA1539" s="122" t="str">
        <f t="shared" si="296"/>
        <v>0</v>
      </c>
      <c r="AB1539" s="120">
        <f t="shared" si="297"/>
        <v>0</v>
      </c>
      <c r="AC1539" s="123">
        <v>0</v>
      </c>
      <c r="AD1539" s="123">
        <v>0</v>
      </c>
      <c r="AE1539" s="123">
        <v>199158</v>
      </c>
      <c r="AG1539" s="151">
        <f t="shared" si="293"/>
        <v>24241</v>
      </c>
      <c r="AH1539" s="123">
        <f>56204-31963</f>
        <v>24241</v>
      </c>
      <c r="AJ1539" s="123">
        <v>15000</v>
      </c>
      <c r="AO1539" s="123">
        <v>100000</v>
      </c>
    </row>
    <row r="1540" spans="1:41" s="123" customFormat="1" ht="16.2" thickBot="1" x14ac:dyDescent="0.35">
      <c r="A1540" s="21">
        <v>264.39999999999998</v>
      </c>
      <c r="B1540" s="212" t="s">
        <v>146</v>
      </c>
      <c r="C1540" s="31" t="str">
        <f>VLOOKUP((CONCATENATE(B1540)),ID!$A$2:$D$305,3,0)</f>
        <v>BA014</v>
      </c>
      <c r="D1540" s="21">
        <v>0</v>
      </c>
      <c r="E1540" s="21" t="s">
        <v>4005</v>
      </c>
      <c r="F1540" s="21" t="s">
        <v>3802</v>
      </c>
      <c r="G1540" s="21" t="s">
        <v>3853</v>
      </c>
      <c r="H1540" s="88">
        <v>4565</v>
      </c>
      <c r="I1540" s="43">
        <v>4573</v>
      </c>
      <c r="J1540" s="43">
        <v>4581</v>
      </c>
      <c r="K1540" s="21">
        <v>1</v>
      </c>
      <c r="L1540" s="43">
        <v>4581</v>
      </c>
      <c r="M1540" s="43">
        <v>4594</v>
      </c>
      <c r="N1540" s="43">
        <v>4594</v>
      </c>
      <c r="O1540" s="21" t="s">
        <v>4012</v>
      </c>
      <c r="P1540" s="194" t="str">
        <f t="shared" si="291"/>
        <v>1</v>
      </c>
      <c r="Q1540" s="21">
        <v>1</v>
      </c>
      <c r="R1540" s="39" t="str">
        <f t="shared" si="292"/>
        <v>-</v>
      </c>
      <c r="S1540" s="120">
        <f t="shared" si="290"/>
        <v>715674</v>
      </c>
      <c r="T1540" s="123">
        <v>4666063</v>
      </c>
      <c r="U1540" s="123">
        <f>1194235+141344</f>
        <v>1335579</v>
      </c>
      <c r="V1540" s="123">
        <f t="shared" si="294"/>
        <v>3330484</v>
      </c>
      <c r="W1540" s="122" t="str">
        <f t="shared" si="295"/>
        <v>1</v>
      </c>
      <c r="X1540" s="123">
        <v>3950389</v>
      </c>
      <c r="AA1540" s="122" t="str">
        <f t="shared" si="296"/>
        <v>0</v>
      </c>
      <c r="AB1540" s="120">
        <f t="shared" si="297"/>
        <v>0</v>
      </c>
      <c r="AC1540" s="123">
        <v>0</v>
      </c>
      <c r="AD1540" s="123">
        <v>0</v>
      </c>
      <c r="AE1540" s="123">
        <v>170756</v>
      </c>
      <c r="AG1540" s="151">
        <f t="shared" si="293"/>
        <v>24030</v>
      </c>
      <c r="AH1540" s="123">
        <f>56339-32309</f>
        <v>24030</v>
      </c>
      <c r="AJ1540" s="123">
        <v>15000</v>
      </c>
      <c r="AO1540" s="123">
        <v>100000</v>
      </c>
    </row>
    <row r="1541" spans="1:41" s="123" customFormat="1" ht="16.2" thickBot="1" x14ac:dyDescent="0.35">
      <c r="A1541" s="21"/>
      <c r="B1541" s="212" t="s">
        <v>146</v>
      </c>
      <c r="C1541" s="31" t="str">
        <f>VLOOKUP((CONCATENATE(B1541)),ID!$A$2:$D$305,3,0)</f>
        <v>BA014</v>
      </c>
      <c r="D1541" s="21">
        <v>0</v>
      </c>
      <c r="E1541" s="21" t="s">
        <v>4005</v>
      </c>
      <c r="F1541" s="21" t="s">
        <v>3802</v>
      </c>
      <c r="G1541" s="21" t="s">
        <v>3853</v>
      </c>
      <c r="H1541" s="88">
        <v>4749</v>
      </c>
      <c r="I1541" s="43">
        <v>4762</v>
      </c>
      <c r="J1541" s="43">
        <v>4762</v>
      </c>
      <c r="K1541" s="21">
        <v>1</v>
      </c>
      <c r="L1541" s="43">
        <v>4763</v>
      </c>
      <c r="M1541" s="43">
        <v>4776</v>
      </c>
      <c r="N1541" s="43">
        <v>4776</v>
      </c>
      <c r="O1541" s="21" t="s">
        <v>4012</v>
      </c>
      <c r="P1541" s="194" t="str">
        <f t="shared" ref="P1541:P1608" si="298">IF(AJ1541=0,"?","1")</f>
        <v>1</v>
      </c>
      <c r="Q1541" s="21">
        <v>1</v>
      </c>
      <c r="R1541" s="39" t="str">
        <f t="shared" si="292"/>
        <v>-</v>
      </c>
      <c r="S1541" s="120">
        <f t="shared" ref="S1541:S1608" si="299">T1541-X1541</f>
        <v>724901</v>
      </c>
      <c r="T1541" s="123">
        <v>4793630</v>
      </c>
      <c r="U1541" s="123">
        <f>1204745+141582</f>
        <v>1346327</v>
      </c>
      <c r="V1541" s="123">
        <f t="shared" si="294"/>
        <v>3447303</v>
      </c>
      <c r="W1541" s="122" t="str">
        <f t="shared" si="295"/>
        <v>1</v>
      </c>
      <c r="X1541" s="123">
        <v>4068729</v>
      </c>
      <c r="AA1541" s="122" t="str">
        <f t="shared" si="296"/>
        <v>0</v>
      </c>
      <c r="AB1541" s="120">
        <f t="shared" si="297"/>
        <v>0</v>
      </c>
      <c r="AC1541" s="123">
        <v>0</v>
      </c>
      <c r="AD1541" s="123">
        <v>0</v>
      </c>
      <c r="AE1541" s="123">
        <v>223327</v>
      </c>
      <c r="AG1541" s="151">
        <f t="shared" si="293"/>
        <v>24642</v>
      </c>
      <c r="AH1541" s="123">
        <f>56425-31783</f>
        <v>24642</v>
      </c>
      <c r="AJ1541" s="123">
        <v>15000</v>
      </c>
      <c r="AO1541" s="123">
        <v>100000</v>
      </c>
    </row>
    <row r="1542" spans="1:41" s="123" customFormat="1" ht="16.2" thickBot="1" x14ac:dyDescent="0.35">
      <c r="A1542" s="21"/>
      <c r="B1542" s="212" t="s">
        <v>146</v>
      </c>
      <c r="C1542" s="31" t="str">
        <f>VLOOKUP((CONCATENATE(B1542)),ID!$A$2:$D$305,3,0)</f>
        <v>BA014</v>
      </c>
      <c r="D1542" s="21">
        <v>0</v>
      </c>
      <c r="E1542" s="21" t="s">
        <v>4005</v>
      </c>
      <c r="F1542" s="21" t="s">
        <v>3802</v>
      </c>
      <c r="G1542" s="21" t="s">
        <v>3853</v>
      </c>
      <c r="H1542" s="88">
        <v>4930</v>
      </c>
      <c r="I1542" s="43">
        <v>4935</v>
      </c>
      <c r="J1542" s="43">
        <v>4945</v>
      </c>
      <c r="K1542" s="21">
        <v>1</v>
      </c>
      <c r="L1542" s="43">
        <v>4945</v>
      </c>
      <c r="M1542" s="43">
        <v>4958</v>
      </c>
      <c r="N1542" s="43">
        <v>4958</v>
      </c>
      <c r="O1542" s="21" t="s">
        <v>4012</v>
      </c>
      <c r="P1542" s="194" t="str">
        <f t="shared" si="298"/>
        <v>1</v>
      </c>
      <c r="Q1542" s="21">
        <v>1</v>
      </c>
      <c r="R1542" s="39" t="str">
        <f t="shared" si="292"/>
        <v>-</v>
      </c>
      <c r="S1542" s="120">
        <f t="shared" si="299"/>
        <v>734607</v>
      </c>
      <c r="T1542" s="123">
        <v>4765852</v>
      </c>
      <c r="U1542" s="123">
        <f>1204806+142310</f>
        <v>1347116</v>
      </c>
      <c r="V1542" s="123">
        <f t="shared" si="294"/>
        <v>3418736</v>
      </c>
      <c r="W1542" s="122" t="str">
        <f t="shared" si="295"/>
        <v>1</v>
      </c>
      <c r="X1542" s="123">
        <v>4031245</v>
      </c>
      <c r="AA1542" s="122" t="str">
        <f t="shared" si="296"/>
        <v>0</v>
      </c>
      <c r="AB1542" s="120">
        <f t="shared" si="297"/>
        <v>0</v>
      </c>
      <c r="AC1542" s="123">
        <v>0</v>
      </c>
      <c r="AD1542" s="123">
        <v>0</v>
      </c>
      <c r="AE1542" s="123">
        <v>210511</v>
      </c>
      <c r="AG1542" s="151">
        <f t="shared" si="293"/>
        <v>24119</v>
      </c>
      <c r="AH1542" s="123">
        <f>56870-32751</f>
        <v>24119</v>
      </c>
      <c r="AJ1542" s="123">
        <v>15000</v>
      </c>
      <c r="AO1542" s="123">
        <v>100000</v>
      </c>
    </row>
    <row r="1543" spans="1:41" s="123" customFormat="1" ht="16.2" thickBot="1" x14ac:dyDescent="0.35">
      <c r="A1543" s="21"/>
      <c r="B1543" s="212" t="s">
        <v>146</v>
      </c>
      <c r="C1543" s="31" t="str">
        <f>VLOOKUP((CONCATENATE(B1543)),ID!$A$2:$D$305,3,0)</f>
        <v>BA014</v>
      </c>
      <c r="D1543" s="21">
        <v>0</v>
      </c>
      <c r="E1543" s="21" t="s">
        <v>4005</v>
      </c>
      <c r="F1543" s="21" t="s">
        <v>3802</v>
      </c>
      <c r="G1543" s="21" t="s">
        <v>3853</v>
      </c>
      <c r="H1543" s="88">
        <v>5114</v>
      </c>
      <c r="I1543" s="43">
        <v>5126</v>
      </c>
      <c r="J1543" s="43">
        <v>5126</v>
      </c>
      <c r="K1543" s="21">
        <v>1</v>
      </c>
      <c r="L1543" s="43">
        <v>5127</v>
      </c>
      <c r="M1543" s="43">
        <v>5140</v>
      </c>
      <c r="N1543" s="43">
        <v>5140</v>
      </c>
      <c r="O1543" s="21" t="s">
        <v>4012</v>
      </c>
      <c r="P1543" s="194" t="str">
        <f t="shared" si="298"/>
        <v>1</v>
      </c>
      <c r="Q1543" s="21">
        <v>1</v>
      </c>
      <c r="R1543" s="39" t="str">
        <f t="shared" si="292"/>
        <v>-</v>
      </c>
      <c r="S1543" s="120">
        <f t="shared" si="299"/>
        <v>745279</v>
      </c>
      <c r="T1543" s="123">
        <v>4917954</v>
      </c>
      <c r="U1543" s="123">
        <f>143484+1237232</f>
        <v>1380716</v>
      </c>
      <c r="V1543" s="123">
        <f t="shared" si="294"/>
        <v>3537238</v>
      </c>
      <c r="W1543" s="122" t="str">
        <f t="shared" si="295"/>
        <v>1</v>
      </c>
      <c r="X1543" s="123">
        <v>4172675</v>
      </c>
      <c r="AA1543" s="122" t="str">
        <f t="shared" si="296"/>
        <v>0</v>
      </c>
      <c r="AB1543" s="120">
        <f t="shared" si="297"/>
        <v>0</v>
      </c>
      <c r="AC1543" s="123">
        <v>0</v>
      </c>
      <c r="AD1543" s="123">
        <v>0</v>
      </c>
      <c r="AE1543" s="123">
        <v>388572</v>
      </c>
      <c r="AG1543" s="151">
        <f t="shared" si="293"/>
        <v>25064</v>
      </c>
      <c r="AH1543" s="123">
        <f>56688-31624</f>
        <v>25064</v>
      </c>
      <c r="AJ1543" s="123">
        <v>15000</v>
      </c>
      <c r="AO1543" s="123">
        <v>100000</v>
      </c>
    </row>
    <row r="1544" spans="1:41" s="123" customFormat="1" ht="16.2" thickBot="1" x14ac:dyDescent="0.35">
      <c r="A1544" s="21"/>
      <c r="B1544" s="212" t="s">
        <v>146</v>
      </c>
      <c r="C1544" s="31" t="str">
        <f>VLOOKUP((CONCATENATE(B1544)),ID!$A$2:$D$305,3,0)</f>
        <v>BA014</v>
      </c>
      <c r="D1544" s="21">
        <v>0</v>
      </c>
      <c r="E1544" s="21" t="s">
        <v>4005</v>
      </c>
      <c r="F1544" s="21" t="s">
        <v>3802</v>
      </c>
      <c r="G1544" s="21" t="s">
        <v>3853</v>
      </c>
      <c r="H1544" s="88">
        <v>5295</v>
      </c>
      <c r="I1544" s="43">
        <v>5308</v>
      </c>
      <c r="J1544" s="43">
        <v>5308</v>
      </c>
      <c r="K1544" s="21">
        <v>1</v>
      </c>
      <c r="L1544" s="43">
        <v>5309</v>
      </c>
      <c r="M1544" s="43">
        <v>5322</v>
      </c>
      <c r="N1544" s="43">
        <v>5322</v>
      </c>
      <c r="O1544" s="21" t="s">
        <v>4012</v>
      </c>
      <c r="P1544" s="194" t="str">
        <f t="shared" si="298"/>
        <v>1</v>
      </c>
      <c r="Q1544" s="21">
        <v>1</v>
      </c>
      <c r="R1544" s="39" t="str">
        <f t="shared" si="292"/>
        <v>-</v>
      </c>
      <c r="S1544" s="120">
        <f t="shared" si="299"/>
        <v>755734</v>
      </c>
      <c r="T1544" s="123">
        <v>4968551</v>
      </c>
      <c r="U1544" s="123">
        <f>1217872+144218</f>
        <v>1362090</v>
      </c>
      <c r="V1544" s="123">
        <f t="shared" si="294"/>
        <v>3606461</v>
      </c>
      <c r="W1544" s="122" t="str">
        <f t="shared" si="295"/>
        <v>1</v>
      </c>
      <c r="X1544" s="123">
        <v>4212817</v>
      </c>
      <c r="AA1544" s="122" t="str">
        <f t="shared" si="296"/>
        <v>0</v>
      </c>
      <c r="AB1544" s="120">
        <f t="shared" si="297"/>
        <v>0</v>
      </c>
      <c r="AC1544" s="123">
        <v>0</v>
      </c>
      <c r="AD1544" s="123">
        <v>0</v>
      </c>
      <c r="AE1544" s="123">
        <v>368230</v>
      </c>
      <c r="AG1544" s="151">
        <f t="shared" si="293"/>
        <v>24852</v>
      </c>
      <c r="AH1544" s="123">
        <f>58104-33252</f>
        <v>24852</v>
      </c>
      <c r="AJ1544" s="123">
        <v>15000</v>
      </c>
      <c r="AO1544" s="123">
        <v>100000</v>
      </c>
    </row>
    <row r="1545" spans="1:41" s="123" customFormat="1" ht="16.2" thickBot="1" x14ac:dyDescent="0.35">
      <c r="A1545" s="21"/>
      <c r="B1545" s="212" t="s">
        <v>149</v>
      </c>
      <c r="C1545" s="31" t="str">
        <f>VLOOKUP((CONCATENATE(B1545)),ID!$A$2:$D$305,3,0)</f>
        <v>BA015</v>
      </c>
      <c r="D1545" s="21">
        <v>0</v>
      </c>
      <c r="E1545" s="21" t="s">
        <v>4005</v>
      </c>
      <c r="F1545" s="21" t="s">
        <v>4014</v>
      </c>
      <c r="G1545" s="21" t="s">
        <v>3862</v>
      </c>
      <c r="H1545" s="88">
        <v>3653</v>
      </c>
      <c r="I1545" s="43">
        <v>3692</v>
      </c>
      <c r="J1545" s="43">
        <v>3692</v>
      </c>
      <c r="K1545" s="21">
        <v>0</v>
      </c>
      <c r="L1545" s="43"/>
      <c r="M1545" s="43"/>
      <c r="N1545" s="43">
        <v>3703</v>
      </c>
      <c r="O1545" s="21" t="s">
        <v>4013</v>
      </c>
      <c r="P1545" s="194" t="str">
        <f t="shared" si="298"/>
        <v>1</v>
      </c>
      <c r="Q1545" s="21">
        <v>0</v>
      </c>
      <c r="R1545" s="39" t="str">
        <f t="shared" si="292"/>
        <v>?</v>
      </c>
      <c r="S1545" s="120">
        <f t="shared" si="299"/>
        <v>51139127</v>
      </c>
      <c r="T1545" s="123">
        <v>377283079</v>
      </c>
      <c r="U1545" s="123">
        <f>15000000+14706302+2317687+2047920</f>
        <v>34071909</v>
      </c>
      <c r="V1545" s="123">
        <f t="shared" si="294"/>
        <v>343211170</v>
      </c>
      <c r="W1545" s="122" t="str">
        <f t="shared" si="295"/>
        <v>1</v>
      </c>
      <c r="X1545" s="123">
        <v>326143952</v>
      </c>
      <c r="AA1545" s="122" t="str">
        <f t="shared" si="296"/>
        <v>0</v>
      </c>
      <c r="AB1545" s="120">
        <f t="shared" si="297"/>
        <v>0</v>
      </c>
      <c r="AC1545" s="123">
        <v>0</v>
      </c>
      <c r="AD1545" s="123">
        <v>0</v>
      </c>
      <c r="AE1545" s="123">
        <v>48995989</v>
      </c>
      <c r="AG1545" s="151">
        <f t="shared" si="293"/>
        <v>3345189</v>
      </c>
      <c r="AH1545" s="123">
        <f>3360189-15000</f>
        <v>3345189</v>
      </c>
      <c r="AJ1545" s="123">
        <v>2694736</v>
      </c>
    </row>
    <row r="1546" spans="1:41" s="123" customFormat="1" ht="16.2" thickBot="1" x14ac:dyDescent="0.35">
      <c r="A1546" s="21"/>
      <c r="B1546" s="212" t="s">
        <v>149</v>
      </c>
      <c r="C1546" s="31" t="str">
        <f>VLOOKUP((CONCATENATE(B1546)),ID!$A$2:$D$305,3,0)</f>
        <v>BA015</v>
      </c>
      <c r="D1546" s="21">
        <v>0</v>
      </c>
      <c r="E1546" s="21" t="s">
        <v>4005</v>
      </c>
      <c r="F1546" s="21" t="s">
        <v>4014</v>
      </c>
      <c r="G1546" s="21" t="s">
        <v>3862</v>
      </c>
      <c r="H1546" s="88">
        <v>3834</v>
      </c>
      <c r="I1546" s="43">
        <v>3874</v>
      </c>
      <c r="J1546" s="43">
        <v>3874</v>
      </c>
      <c r="K1546" s="21">
        <v>0</v>
      </c>
      <c r="L1546" s="43"/>
      <c r="M1546" s="43"/>
      <c r="N1546" s="43">
        <v>3885</v>
      </c>
      <c r="O1546" s="21" t="s">
        <v>4013</v>
      </c>
      <c r="P1546" s="194" t="str">
        <f t="shared" si="298"/>
        <v>1</v>
      </c>
      <c r="Q1546" s="21">
        <v>0</v>
      </c>
      <c r="R1546" s="39" t="str">
        <f t="shared" si="292"/>
        <v>?</v>
      </c>
      <c r="S1546" s="120">
        <f t="shared" si="299"/>
        <v>50807921</v>
      </c>
      <c r="T1546" s="123">
        <v>359739346</v>
      </c>
      <c r="U1546" s="123">
        <f>2419349+14881698+15000000+1934346</f>
        <v>34235393</v>
      </c>
      <c r="V1546" s="123">
        <f t="shared" si="294"/>
        <v>325503953</v>
      </c>
      <c r="W1546" s="122" t="str">
        <f t="shared" si="295"/>
        <v>1</v>
      </c>
      <c r="X1546" s="123">
        <v>308931425</v>
      </c>
      <c r="AA1546" s="122" t="str">
        <f t="shared" si="296"/>
        <v>0</v>
      </c>
      <c r="AB1546" s="120">
        <f t="shared" si="297"/>
        <v>0</v>
      </c>
      <c r="AC1546" s="123">
        <v>0</v>
      </c>
      <c r="AD1546" s="123">
        <v>0</v>
      </c>
      <c r="AE1546" s="123">
        <v>49624147</v>
      </c>
      <c r="AG1546" s="151">
        <f t="shared" si="293"/>
        <v>3291122</v>
      </c>
      <c r="AH1546" s="123">
        <f>3306122-15000</f>
        <v>3291122</v>
      </c>
      <c r="AJ1546" s="123">
        <v>2679069</v>
      </c>
    </row>
    <row r="1547" spans="1:41" s="123" customFormat="1" ht="16.2" thickBot="1" x14ac:dyDescent="0.35">
      <c r="A1547" s="21">
        <v>265.10000000000002</v>
      </c>
      <c r="B1547" s="212" t="s">
        <v>149</v>
      </c>
      <c r="C1547" s="31" t="str">
        <f>VLOOKUP((CONCATENATE(B1547)),ID!$A$2:$D$305,3,0)</f>
        <v>BA015</v>
      </c>
      <c r="D1547" s="21">
        <v>0</v>
      </c>
      <c r="E1547" s="21" t="s">
        <v>4005</v>
      </c>
      <c r="F1547" s="21" t="s">
        <v>4014</v>
      </c>
      <c r="G1547" s="21" t="s">
        <v>3862</v>
      </c>
      <c r="H1547" s="88">
        <v>4018</v>
      </c>
      <c r="I1547" s="43">
        <v>4056</v>
      </c>
      <c r="J1547" s="43">
        <v>4056</v>
      </c>
      <c r="K1547" s="21">
        <v>0</v>
      </c>
      <c r="L1547" s="21"/>
      <c r="M1547" s="21"/>
      <c r="N1547" s="43">
        <v>4074</v>
      </c>
      <c r="O1547" s="21" t="s">
        <v>4013</v>
      </c>
      <c r="P1547" s="194" t="str">
        <f t="shared" si="298"/>
        <v>1</v>
      </c>
      <c r="Q1547" s="21">
        <v>0</v>
      </c>
      <c r="R1547" s="39" t="str">
        <f t="shared" si="292"/>
        <v>?</v>
      </c>
      <c r="S1547" s="120">
        <f t="shared" si="299"/>
        <v>51499607</v>
      </c>
      <c r="T1547" s="123">
        <v>346333722</v>
      </c>
      <c r="U1547" s="123">
        <f>1435763+11558685+15000000+1875163</f>
        <v>29869611</v>
      </c>
      <c r="V1547" s="123">
        <f t="shared" si="294"/>
        <v>316464111</v>
      </c>
      <c r="W1547" s="122" t="str">
        <f t="shared" si="295"/>
        <v>1</v>
      </c>
      <c r="X1547" s="123">
        <v>294834115</v>
      </c>
      <c r="AA1547" s="122" t="str">
        <f t="shared" si="296"/>
        <v>0</v>
      </c>
      <c r="AB1547" s="120">
        <f t="shared" si="297"/>
        <v>0</v>
      </c>
      <c r="AC1547" s="123">
        <v>0</v>
      </c>
      <c r="AD1547" s="123">
        <v>0</v>
      </c>
      <c r="AE1547" s="123">
        <v>42379065</v>
      </c>
      <c r="AG1547" s="151">
        <f t="shared" si="293"/>
        <v>3205215</v>
      </c>
      <c r="AH1547" s="123">
        <f>3220215-15000</f>
        <v>3205215</v>
      </c>
      <c r="AJ1547" s="123">
        <v>2945454</v>
      </c>
    </row>
    <row r="1548" spans="1:41" s="123" customFormat="1" ht="16.2" thickBot="1" x14ac:dyDescent="0.35">
      <c r="A1548" s="21">
        <v>265.2</v>
      </c>
      <c r="B1548" s="212" t="s">
        <v>149</v>
      </c>
      <c r="C1548" s="31" t="str">
        <f>VLOOKUP((CONCATENATE(B1548)),ID!$A$2:$D$305,3,0)</f>
        <v>BA015</v>
      </c>
      <c r="D1548" s="21">
        <v>0</v>
      </c>
      <c r="E1548" s="21" t="s">
        <v>4005</v>
      </c>
      <c r="F1548" s="21" t="s">
        <v>4014</v>
      </c>
      <c r="G1548" s="21" t="s">
        <v>3862</v>
      </c>
      <c r="H1548" s="88">
        <v>4199</v>
      </c>
      <c r="I1548" s="43">
        <v>4238</v>
      </c>
      <c r="J1548" s="43">
        <v>4238</v>
      </c>
      <c r="K1548" s="21">
        <v>0</v>
      </c>
      <c r="L1548" s="21"/>
      <c r="M1548" s="21"/>
      <c r="N1548" s="43">
        <v>4249</v>
      </c>
      <c r="O1548" s="21" t="s">
        <v>4013</v>
      </c>
      <c r="P1548" s="194" t="str">
        <f t="shared" si="298"/>
        <v>1</v>
      </c>
      <c r="Q1548" s="21">
        <v>0</v>
      </c>
      <c r="R1548" s="39" t="str">
        <f t="shared" si="292"/>
        <v>?</v>
      </c>
      <c r="S1548" s="120">
        <f t="shared" si="299"/>
        <v>51732840</v>
      </c>
      <c r="T1548" s="123">
        <v>359126243</v>
      </c>
      <c r="U1548" s="123">
        <f>1367919+11412907+15000000+1900590</f>
        <v>29681416</v>
      </c>
      <c r="V1548" s="123">
        <f t="shared" si="294"/>
        <v>329444827</v>
      </c>
      <c r="W1548" s="122" t="str">
        <f t="shared" si="295"/>
        <v>1</v>
      </c>
      <c r="X1548" s="123">
        <v>307393403</v>
      </c>
      <c r="AA1548" s="122" t="str">
        <f t="shared" si="296"/>
        <v>0</v>
      </c>
      <c r="AB1548" s="120">
        <f t="shared" si="297"/>
        <v>0</v>
      </c>
      <c r="AC1548" s="123">
        <v>0</v>
      </c>
      <c r="AD1548" s="123">
        <v>0</v>
      </c>
      <c r="AE1548" s="123">
        <v>49366556</v>
      </c>
      <c r="AG1548" s="151">
        <f t="shared" si="293"/>
        <v>3178692</v>
      </c>
      <c r="AH1548" s="123">
        <f>3193692-15000</f>
        <v>3178692</v>
      </c>
      <c r="AJ1548" s="123">
        <v>2679069</v>
      </c>
    </row>
    <row r="1549" spans="1:41" s="123" customFormat="1" ht="16.2" thickBot="1" x14ac:dyDescent="0.35">
      <c r="A1549" s="21">
        <v>265.3</v>
      </c>
      <c r="B1549" s="212" t="s">
        <v>149</v>
      </c>
      <c r="C1549" s="31" t="str">
        <f>VLOOKUP((CONCATENATE(B1549)),ID!$A$2:$D$305,3,0)</f>
        <v>BA015</v>
      </c>
      <c r="D1549" s="21">
        <v>0</v>
      </c>
      <c r="E1549" s="21" t="s">
        <v>4005</v>
      </c>
      <c r="F1549" s="21" t="s">
        <v>4014</v>
      </c>
      <c r="G1549" s="21" t="s">
        <v>3862</v>
      </c>
      <c r="H1549" s="88">
        <v>4383</v>
      </c>
      <c r="I1549" s="43">
        <v>4420</v>
      </c>
      <c r="J1549" s="43">
        <v>4420</v>
      </c>
      <c r="K1549" s="21">
        <v>0</v>
      </c>
      <c r="L1549" s="21"/>
      <c r="M1549" s="21"/>
      <c r="N1549" s="43">
        <v>4431</v>
      </c>
      <c r="O1549" s="21" t="s">
        <v>4013</v>
      </c>
      <c r="P1549" s="194" t="str">
        <f t="shared" si="298"/>
        <v>1</v>
      </c>
      <c r="Q1549" s="21">
        <v>0</v>
      </c>
      <c r="R1549" s="39" t="str">
        <f t="shared" si="292"/>
        <v>?</v>
      </c>
      <c r="S1549" s="120">
        <f t="shared" si="299"/>
        <v>51880496</v>
      </c>
      <c r="T1549" s="123">
        <v>394483325</v>
      </c>
      <c r="U1549" s="123">
        <f>1367919+11689879+15000000+2112129</f>
        <v>30169927</v>
      </c>
      <c r="V1549" s="123">
        <f t="shared" si="294"/>
        <v>364313398</v>
      </c>
      <c r="W1549" s="122" t="str">
        <f t="shared" si="295"/>
        <v>1</v>
      </c>
      <c r="X1549" s="123">
        <v>342602829</v>
      </c>
      <c r="AA1549" s="122" t="str">
        <f t="shared" si="296"/>
        <v>0</v>
      </c>
      <c r="AB1549" s="120">
        <f t="shared" si="297"/>
        <v>0</v>
      </c>
      <c r="AC1549" s="123">
        <v>0</v>
      </c>
      <c r="AD1549" s="123">
        <v>0</v>
      </c>
      <c r="AE1549" s="123">
        <v>48831811</v>
      </c>
      <c r="AG1549" s="151">
        <f t="shared" si="293"/>
        <v>2826720</v>
      </c>
      <c r="AH1549" s="123">
        <f>2841720-15000</f>
        <v>2826720</v>
      </c>
      <c r="AJ1549" s="123">
        <v>2912359</v>
      </c>
    </row>
    <row r="1550" spans="1:41" s="123" customFormat="1" ht="16.2" thickBot="1" x14ac:dyDescent="0.35">
      <c r="A1550" s="21">
        <v>265.39999999999998</v>
      </c>
      <c r="B1550" s="212" t="s">
        <v>149</v>
      </c>
      <c r="C1550" s="31" t="str">
        <f>VLOOKUP((CONCATENATE(B1550)),ID!$A$2:$D$305,3,0)</f>
        <v>BA015</v>
      </c>
      <c r="D1550" s="21">
        <v>0</v>
      </c>
      <c r="E1550" s="21" t="s">
        <v>4005</v>
      </c>
      <c r="F1550" s="21" t="s">
        <v>4014</v>
      </c>
      <c r="G1550" s="21" t="s">
        <v>3862</v>
      </c>
      <c r="H1550" s="88">
        <v>4565</v>
      </c>
      <c r="I1550" s="43">
        <v>4602</v>
      </c>
      <c r="J1550" s="43">
        <v>4602</v>
      </c>
      <c r="K1550" s="21">
        <v>0</v>
      </c>
      <c r="L1550" s="21"/>
      <c r="M1550" s="21"/>
      <c r="N1550" s="43">
        <v>4613</v>
      </c>
      <c r="O1550" s="21" t="s">
        <v>4013</v>
      </c>
      <c r="P1550" s="194" t="str">
        <f t="shared" si="298"/>
        <v>1</v>
      </c>
      <c r="Q1550" s="21">
        <v>0</v>
      </c>
      <c r="R1550" s="39" t="str">
        <f t="shared" si="292"/>
        <v>?</v>
      </c>
      <c r="S1550" s="120">
        <f t="shared" si="299"/>
        <v>51869057</v>
      </c>
      <c r="T1550" s="123">
        <v>380791574</v>
      </c>
      <c r="U1550" s="123">
        <f>15000000+2170986+13872966+1367919</f>
        <v>32411871</v>
      </c>
      <c r="V1550" s="123">
        <f t="shared" si="294"/>
        <v>348379703</v>
      </c>
      <c r="W1550" s="122" t="str">
        <f t="shared" si="295"/>
        <v>1</v>
      </c>
      <c r="X1550" s="123">
        <v>328922517</v>
      </c>
      <c r="AA1550" s="122" t="str">
        <f t="shared" si="296"/>
        <v>0</v>
      </c>
      <c r="AB1550" s="120">
        <f t="shared" si="297"/>
        <v>0</v>
      </c>
      <c r="AC1550" s="123">
        <v>0</v>
      </c>
      <c r="AD1550" s="123">
        <v>0</v>
      </c>
      <c r="AE1550" s="123">
        <f>48691483</f>
        <v>48691483</v>
      </c>
      <c r="AG1550" s="151">
        <f t="shared" si="293"/>
        <v>2900919</v>
      </c>
      <c r="AH1550" s="123">
        <f>2915919-15000</f>
        <v>2900919</v>
      </c>
      <c r="AJ1550" s="123">
        <v>2393766</v>
      </c>
    </row>
    <row r="1551" spans="1:41" s="123" customFormat="1" ht="16.2" thickBot="1" x14ac:dyDescent="0.35">
      <c r="A1551" s="21"/>
      <c r="B1551" s="212" t="s">
        <v>149</v>
      </c>
      <c r="C1551" s="31" t="str">
        <f>VLOOKUP((CONCATENATE(B1551)),ID!$A$2:$D$305,3,0)</f>
        <v>BA015</v>
      </c>
      <c r="D1551" s="21">
        <v>0</v>
      </c>
      <c r="E1551" s="21" t="s">
        <v>4005</v>
      </c>
      <c r="F1551" s="21" t="s">
        <v>4014</v>
      </c>
      <c r="G1551" s="21" t="s">
        <v>3862</v>
      </c>
      <c r="H1551" s="88">
        <v>4749</v>
      </c>
      <c r="I1551" s="43">
        <v>4791</v>
      </c>
      <c r="J1551" s="43">
        <v>4791</v>
      </c>
      <c r="K1551" s="21">
        <v>0</v>
      </c>
      <c r="L1551" s="21"/>
      <c r="M1551" s="21"/>
      <c r="N1551" s="43">
        <v>4802</v>
      </c>
      <c r="O1551" s="21" t="s">
        <v>4013</v>
      </c>
      <c r="P1551" s="194" t="str">
        <f t="shared" si="298"/>
        <v>1</v>
      </c>
      <c r="Q1551" s="21">
        <v>0</v>
      </c>
      <c r="R1551" s="39" t="str">
        <f t="shared" si="292"/>
        <v>?</v>
      </c>
      <c r="S1551" s="120">
        <f t="shared" si="299"/>
        <v>52281436</v>
      </c>
      <c r="T1551" s="123">
        <v>382247068</v>
      </c>
      <c r="U1551" s="123">
        <f>1493020+11015645+15000000+5360638</f>
        <v>32869303</v>
      </c>
      <c r="V1551" s="123">
        <f t="shared" si="294"/>
        <v>349377765</v>
      </c>
      <c r="W1551" s="122" t="str">
        <f t="shared" si="295"/>
        <v>1</v>
      </c>
      <c r="X1551" s="123">
        <v>329965632</v>
      </c>
      <c r="AA1551" s="122" t="str">
        <f t="shared" si="296"/>
        <v>0</v>
      </c>
      <c r="AB1551" s="120">
        <f t="shared" si="297"/>
        <v>0</v>
      </c>
      <c r="AC1551" s="123">
        <v>0</v>
      </c>
      <c r="AD1551" s="123">
        <v>0</v>
      </c>
      <c r="AE1551" s="123">
        <v>41980205</v>
      </c>
      <c r="AG1551" s="151">
        <f t="shared" si="293"/>
        <v>3056146</v>
      </c>
      <c r="AH1551" s="123">
        <f>3071146-15000</f>
        <v>3056146</v>
      </c>
      <c r="AJ1551" s="123">
        <v>2605025</v>
      </c>
    </row>
    <row r="1552" spans="1:41" s="123" customFormat="1" ht="16.2" thickBot="1" x14ac:dyDescent="0.35">
      <c r="A1552" s="21"/>
      <c r="B1552" s="212" t="s">
        <v>149</v>
      </c>
      <c r="C1552" s="31" t="str">
        <f>VLOOKUP((CONCATENATE(B1552)),ID!$A$2:$D$305,3,0)</f>
        <v>BA015</v>
      </c>
      <c r="D1552" s="21">
        <v>0</v>
      </c>
      <c r="E1552" s="21" t="s">
        <v>4005</v>
      </c>
      <c r="F1552" s="21" t="s">
        <v>4014</v>
      </c>
      <c r="G1552" s="21" t="s">
        <v>3862</v>
      </c>
      <c r="H1552" s="88">
        <v>4930</v>
      </c>
      <c r="I1552" s="43">
        <v>4966</v>
      </c>
      <c r="J1552" s="43">
        <v>4966</v>
      </c>
      <c r="K1552" s="21">
        <v>0</v>
      </c>
      <c r="L1552" s="21"/>
      <c r="M1552" s="21"/>
      <c r="N1552" s="43">
        <v>4977</v>
      </c>
      <c r="O1552" s="21" t="s">
        <v>4013</v>
      </c>
      <c r="P1552" s="194" t="str">
        <f t="shared" si="298"/>
        <v>1</v>
      </c>
      <c r="Q1552" s="21">
        <v>0</v>
      </c>
      <c r="R1552" s="39" t="str">
        <f t="shared" si="292"/>
        <v>?</v>
      </c>
      <c r="S1552" s="120">
        <f t="shared" si="299"/>
        <v>52455588</v>
      </c>
      <c r="T1552" s="123">
        <v>387545481</v>
      </c>
      <c r="U1552" s="123">
        <f>1367919+12635538+15000000+6107119</f>
        <v>35110576</v>
      </c>
      <c r="V1552" s="123">
        <f t="shared" si="294"/>
        <v>352434905</v>
      </c>
      <c r="W1552" s="122" t="str">
        <f t="shared" si="295"/>
        <v>1</v>
      </c>
      <c r="X1552" s="123">
        <v>335089893</v>
      </c>
      <c r="AA1552" s="122" t="str">
        <f t="shared" si="296"/>
        <v>0</v>
      </c>
      <c r="AB1552" s="120">
        <f t="shared" si="297"/>
        <v>0</v>
      </c>
      <c r="AC1552" s="123">
        <v>0</v>
      </c>
      <c r="AD1552" s="123">
        <v>0</v>
      </c>
      <c r="AE1552" s="123">
        <v>51549356</v>
      </c>
      <c r="AG1552" s="151">
        <f t="shared" si="293"/>
        <v>2979167</v>
      </c>
      <c r="AH1552" s="123">
        <f>2994167-15000</f>
        <v>2979167</v>
      </c>
      <c r="AJ1552" s="123">
        <v>2438095</v>
      </c>
    </row>
    <row r="1553" spans="1:41" s="123" customFormat="1" ht="16.2" thickBot="1" x14ac:dyDescent="0.35">
      <c r="A1553" s="21"/>
      <c r="B1553" s="212" t="s">
        <v>149</v>
      </c>
      <c r="C1553" s="31" t="str">
        <f>VLOOKUP((CONCATENATE(B1553)),ID!$A$2:$D$305,3,0)</f>
        <v>BA015</v>
      </c>
      <c r="D1553" s="21">
        <v>0</v>
      </c>
      <c r="E1553" s="21" t="s">
        <v>4005</v>
      </c>
      <c r="F1553" s="21" t="s">
        <v>4014</v>
      </c>
      <c r="G1553" s="21" t="s">
        <v>3862</v>
      </c>
      <c r="H1553" s="88">
        <v>5114</v>
      </c>
      <c r="I1553" s="43">
        <v>5148</v>
      </c>
      <c r="J1553" s="43">
        <v>5148</v>
      </c>
      <c r="K1553" s="21">
        <v>0</v>
      </c>
      <c r="L1553" s="21"/>
      <c r="M1553" s="21"/>
      <c r="N1553" s="43">
        <v>5159</v>
      </c>
      <c r="O1553" s="21" t="s">
        <v>4013</v>
      </c>
      <c r="P1553" s="194" t="str">
        <f t="shared" si="298"/>
        <v>1</v>
      </c>
      <c r="Q1553" s="21">
        <v>0</v>
      </c>
      <c r="R1553" s="39" t="str">
        <f t="shared" si="292"/>
        <v>?</v>
      </c>
      <c r="S1553" s="120">
        <f t="shared" si="299"/>
        <v>53076923</v>
      </c>
      <c r="T1553" s="123">
        <v>408554905</v>
      </c>
      <c r="U1553" s="123">
        <f>6799398+15000000+13268835+1367919</f>
        <v>36436152</v>
      </c>
      <c r="V1553" s="123">
        <f t="shared" si="294"/>
        <v>372118753</v>
      </c>
      <c r="W1553" s="122" t="str">
        <f t="shared" si="295"/>
        <v>1</v>
      </c>
      <c r="X1553" s="123">
        <v>355477982</v>
      </c>
      <c r="AA1553" s="122" t="str">
        <f t="shared" si="296"/>
        <v>0</v>
      </c>
      <c r="AB1553" s="120">
        <f t="shared" si="297"/>
        <v>0</v>
      </c>
      <c r="AC1553" s="123">
        <v>0</v>
      </c>
      <c r="AD1553" s="123">
        <v>0</v>
      </c>
      <c r="AE1553" s="123">
        <v>49579286</v>
      </c>
      <c r="AG1553" s="151">
        <f t="shared" si="293"/>
        <v>3309438</v>
      </c>
      <c r="AH1553" s="123">
        <f>3324438-15000</f>
        <v>3309438</v>
      </c>
      <c r="AJ1553" s="123">
        <v>2794609</v>
      </c>
    </row>
    <row r="1554" spans="1:41" s="123" customFormat="1" ht="16.2" thickBot="1" x14ac:dyDescent="0.35">
      <c r="A1554" s="21"/>
      <c r="B1554" s="212" t="s">
        <v>149</v>
      </c>
      <c r="C1554" s="31" t="str">
        <f>VLOOKUP((CONCATENATE(B1554)),ID!$A$2:$D$305,3,0)</f>
        <v>BA015</v>
      </c>
      <c r="D1554" s="21">
        <v>0</v>
      </c>
      <c r="E1554" s="21" t="s">
        <v>4005</v>
      </c>
      <c r="F1554" s="21" t="s">
        <v>4014</v>
      </c>
      <c r="G1554" s="21" t="s">
        <v>3862</v>
      </c>
      <c r="H1554" s="88">
        <v>5295</v>
      </c>
      <c r="I1554" s="43">
        <v>5337</v>
      </c>
      <c r="J1554" s="43">
        <v>5337</v>
      </c>
      <c r="K1554" s="21">
        <v>0</v>
      </c>
      <c r="L1554" s="21"/>
      <c r="M1554" s="21"/>
      <c r="N1554" s="43">
        <v>5348</v>
      </c>
      <c r="O1554" s="21" t="s">
        <v>4013</v>
      </c>
      <c r="P1554" s="194" t="str">
        <f t="shared" si="298"/>
        <v>1</v>
      </c>
      <c r="Q1554" s="21">
        <v>0</v>
      </c>
      <c r="R1554" s="39" t="str">
        <f t="shared" si="292"/>
        <v>?</v>
      </c>
      <c r="S1554" s="120">
        <f t="shared" si="299"/>
        <v>53490805</v>
      </c>
      <c r="T1554" s="123">
        <v>419772913</v>
      </c>
      <c r="U1554" s="123">
        <f>7367320+15000000+1367785+1367501</f>
        <v>25102606</v>
      </c>
      <c r="V1554" s="123">
        <f t="shared" si="294"/>
        <v>394670307</v>
      </c>
      <c r="W1554" s="122" t="str">
        <f t="shared" si="295"/>
        <v>1</v>
      </c>
      <c r="X1554" s="123">
        <v>366282108</v>
      </c>
      <c r="AA1554" s="122" t="str">
        <f t="shared" si="296"/>
        <v>0</v>
      </c>
      <c r="AB1554" s="120">
        <f t="shared" si="297"/>
        <v>0</v>
      </c>
      <c r="AC1554" s="123">
        <v>0</v>
      </c>
      <c r="AD1554" s="123">
        <v>0</v>
      </c>
      <c r="AE1554" s="123">
        <v>61550067</v>
      </c>
      <c r="AG1554" s="151">
        <f t="shared" si="293"/>
        <v>3508492</v>
      </c>
      <c r="AH1554" s="123">
        <f>3523492-15000</f>
        <v>3508492</v>
      </c>
      <c r="AJ1554" s="123">
        <v>2736795</v>
      </c>
    </row>
    <row r="1555" spans="1:41" s="123" customFormat="1" ht="16.2" thickBot="1" x14ac:dyDescent="0.35">
      <c r="A1555" s="21"/>
      <c r="B1555" s="212" t="s">
        <v>166</v>
      </c>
      <c r="C1555" s="31" t="str">
        <f>VLOOKUP((CONCATENATE(B1555)),ID!$A$2:$D$305,3,0)</f>
        <v>BA016</v>
      </c>
      <c r="D1555" s="21">
        <v>1</v>
      </c>
      <c r="E1555" s="21" t="s">
        <v>4005</v>
      </c>
      <c r="F1555" s="21" t="s">
        <v>3812</v>
      </c>
      <c r="G1555" s="21" t="s">
        <v>3853</v>
      </c>
      <c r="H1555" s="88">
        <v>3653</v>
      </c>
      <c r="I1555" s="43">
        <v>3658</v>
      </c>
      <c r="J1555" s="43">
        <v>3660</v>
      </c>
      <c r="K1555" s="21">
        <v>1</v>
      </c>
      <c r="L1555" s="43">
        <v>3664</v>
      </c>
      <c r="M1555" s="43">
        <v>3678</v>
      </c>
      <c r="N1555" s="43">
        <v>3678</v>
      </c>
      <c r="O1555" s="21" t="s">
        <v>3918</v>
      </c>
      <c r="P1555" s="194" t="str">
        <f t="shared" si="298"/>
        <v>1</v>
      </c>
      <c r="Q1555" s="21">
        <v>1</v>
      </c>
      <c r="R1555" s="39" t="str">
        <f t="shared" si="292"/>
        <v>-</v>
      </c>
      <c r="S1555" s="120">
        <f t="shared" si="299"/>
        <v>1586358</v>
      </c>
      <c r="T1555" s="123">
        <v>11563641</v>
      </c>
      <c r="U1555" s="123">
        <f>2893555+385000</f>
        <v>3278555</v>
      </c>
      <c r="V1555" s="123">
        <f t="shared" si="294"/>
        <v>8285086</v>
      </c>
      <c r="W1555" s="122" t="str">
        <f t="shared" si="295"/>
        <v>1</v>
      </c>
      <c r="X1555" s="123">
        <v>9977283</v>
      </c>
      <c r="AA1555" s="122" t="str">
        <f t="shared" si="296"/>
        <v>0</v>
      </c>
      <c r="AB1555" s="120">
        <f t="shared" si="297"/>
        <v>0</v>
      </c>
      <c r="AC1555" s="123">
        <v>0</v>
      </c>
      <c r="AD1555" s="123">
        <v>0</v>
      </c>
      <c r="AE1555" s="123">
        <v>2321141</v>
      </c>
      <c r="AG1555" s="151">
        <f t="shared" si="293"/>
        <v>146413</v>
      </c>
      <c r="AH1555" s="123">
        <f>146413</f>
        <v>146413</v>
      </c>
      <c r="AJ1555" s="123">
        <v>64699</v>
      </c>
    </row>
    <row r="1556" spans="1:41" s="123" customFormat="1" ht="16.2" thickBot="1" x14ac:dyDescent="0.35">
      <c r="A1556" s="21">
        <v>266.10000000000002</v>
      </c>
      <c r="B1556" s="212" t="s">
        <v>166</v>
      </c>
      <c r="C1556" s="31" t="str">
        <f>VLOOKUP((CONCATENATE(B1556)),ID!$A$2:$D$305,3,0)</f>
        <v>BA016</v>
      </c>
      <c r="D1556" s="21">
        <v>1</v>
      </c>
      <c r="E1556" s="21" t="s">
        <v>4005</v>
      </c>
      <c r="F1556" s="21" t="s">
        <v>3812</v>
      </c>
      <c r="G1556" s="21" t="s">
        <v>3853</v>
      </c>
      <c r="H1556" s="88">
        <v>4018</v>
      </c>
      <c r="I1556" s="43">
        <v>4025</v>
      </c>
      <c r="J1556" s="43">
        <v>4024</v>
      </c>
      <c r="K1556" s="21">
        <v>1</v>
      </c>
      <c r="L1556" s="43">
        <v>4028</v>
      </c>
      <c r="M1556" s="43">
        <v>4042</v>
      </c>
      <c r="N1556" s="43">
        <v>4042</v>
      </c>
      <c r="O1556" s="21" t="s">
        <v>3918</v>
      </c>
      <c r="P1556" s="194" t="str">
        <f t="shared" si="298"/>
        <v>1</v>
      </c>
      <c r="Q1556" s="21">
        <v>1</v>
      </c>
      <c r="R1556" s="39" t="str">
        <f t="shared" si="292"/>
        <v>-</v>
      </c>
      <c r="S1556" s="120">
        <f t="shared" si="299"/>
        <v>1602016</v>
      </c>
      <c r="T1556" s="123">
        <v>11585695</v>
      </c>
      <c r="U1556" s="123">
        <f>385000+2513549</f>
        <v>2898549</v>
      </c>
      <c r="V1556" s="123">
        <f t="shared" si="294"/>
        <v>8687146</v>
      </c>
      <c r="W1556" s="122" t="str">
        <f t="shared" si="295"/>
        <v>1</v>
      </c>
      <c r="X1556" s="123">
        <v>9983679</v>
      </c>
      <c r="AA1556" s="122" t="str">
        <f t="shared" si="296"/>
        <v>0</v>
      </c>
      <c r="AB1556" s="120">
        <f t="shared" si="297"/>
        <v>0</v>
      </c>
      <c r="AC1556" s="123">
        <v>0</v>
      </c>
      <c r="AD1556" s="123">
        <v>0</v>
      </c>
      <c r="AE1556" s="123">
        <v>2287778</v>
      </c>
      <c r="AG1556" s="151">
        <f t="shared" si="293"/>
        <v>149371</v>
      </c>
      <c r="AH1556" s="123">
        <v>149371</v>
      </c>
      <c r="AJ1556" s="123">
        <v>64699</v>
      </c>
    </row>
    <row r="1557" spans="1:41" s="123" customFormat="1" ht="16.2" thickBot="1" x14ac:dyDescent="0.35">
      <c r="A1557" s="21">
        <v>266.2</v>
      </c>
      <c r="B1557" s="212" t="s">
        <v>166</v>
      </c>
      <c r="C1557" s="31" t="str">
        <f>VLOOKUP((CONCATENATE(B1557)),ID!$A$2:$D$305,3,0)</f>
        <v>BA016</v>
      </c>
      <c r="D1557" s="21">
        <v>1</v>
      </c>
      <c r="E1557" s="21" t="s">
        <v>4005</v>
      </c>
      <c r="F1557" s="21" t="s">
        <v>3812</v>
      </c>
      <c r="G1557" s="21" t="s">
        <v>3853</v>
      </c>
      <c r="H1557" s="88">
        <v>4383</v>
      </c>
      <c r="I1557" s="43">
        <v>4389</v>
      </c>
      <c r="J1557" s="43">
        <v>4388</v>
      </c>
      <c r="K1557" s="21">
        <v>1</v>
      </c>
      <c r="L1557" s="43">
        <v>4392</v>
      </c>
      <c r="M1557" s="43">
        <v>4406</v>
      </c>
      <c r="N1557" s="43">
        <v>4406</v>
      </c>
      <c r="O1557" s="21" t="s">
        <v>3918</v>
      </c>
      <c r="P1557" s="194" t="str">
        <f t="shared" si="298"/>
        <v>1</v>
      </c>
      <c r="Q1557" s="21">
        <v>1</v>
      </c>
      <c r="R1557" s="39" t="str">
        <f t="shared" si="292"/>
        <v>-</v>
      </c>
      <c r="S1557" s="120">
        <f t="shared" si="299"/>
        <v>1602406</v>
      </c>
      <c r="T1557" s="123">
        <v>12334453</v>
      </c>
      <c r="U1557" s="123">
        <f>2534101+385000</f>
        <v>2919101</v>
      </c>
      <c r="V1557" s="123">
        <f t="shared" si="294"/>
        <v>9415352</v>
      </c>
      <c r="W1557" s="122" t="str">
        <f t="shared" si="295"/>
        <v>1</v>
      </c>
      <c r="X1557" s="123">
        <v>10732047</v>
      </c>
      <c r="AA1557" s="122" t="str">
        <f t="shared" si="296"/>
        <v>0</v>
      </c>
      <c r="AB1557" s="120">
        <f t="shared" si="297"/>
        <v>0</v>
      </c>
      <c r="AC1557" s="123">
        <v>0</v>
      </c>
      <c r="AD1557" s="123">
        <v>0</v>
      </c>
      <c r="AE1557" s="123">
        <v>2979588</v>
      </c>
      <c r="AG1557" s="151">
        <f t="shared" si="293"/>
        <v>162728</v>
      </c>
      <c r="AH1557" s="123">
        <v>162728</v>
      </c>
      <c r="AJ1557" s="123">
        <v>73326</v>
      </c>
    </row>
    <row r="1558" spans="1:41" s="123" customFormat="1" ht="16.2" thickBot="1" x14ac:dyDescent="0.35">
      <c r="A1558" s="21"/>
      <c r="B1558" s="212" t="s">
        <v>166</v>
      </c>
      <c r="C1558" s="31" t="str">
        <f>VLOOKUP((CONCATENATE(B1558)),ID!$A$2:$D$305,3,0)</f>
        <v>BA016</v>
      </c>
      <c r="D1558" s="21">
        <v>1</v>
      </c>
      <c r="E1558" s="21" t="s">
        <v>4005</v>
      </c>
      <c r="F1558" s="21" t="s">
        <v>3812</v>
      </c>
      <c r="G1558" s="21" t="s">
        <v>3853</v>
      </c>
      <c r="H1558" s="88">
        <v>4749</v>
      </c>
      <c r="I1558" s="43">
        <v>4756</v>
      </c>
      <c r="J1558" s="43">
        <v>4756</v>
      </c>
      <c r="K1558" s="21">
        <v>1</v>
      </c>
      <c r="L1558" s="43">
        <v>4759</v>
      </c>
      <c r="M1558" s="43">
        <v>4773</v>
      </c>
      <c r="N1558" s="43">
        <v>4773</v>
      </c>
      <c r="O1558" s="21" t="s">
        <v>3918</v>
      </c>
      <c r="P1558" s="194" t="str">
        <f t="shared" si="298"/>
        <v>1</v>
      </c>
      <c r="Q1558" s="21">
        <v>1</v>
      </c>
      <c r="R1558" s="39" t="str">
        <f t="shared" si="292"/>
        <v>-</v>
      </c>
      <c r="S1558" s="120">
        <f t="shared" si="299"/>
        <v>1607697</v>
      </c>
      <c r="T1558" s="123">
        <v>12873180</v>
      </c>
      <c r="U1558" s="123">
        <f>2471831+385000</f>
        <v>2856831</v>
      </c>
      <c r="V1558" s="123">
        <f t="shared" si="294"/>
        <v>10016349</v>
      </c>
      <c r="W1558" s="122" t="str">
        <f t="shared" si="295"/>
        <v>1</v>
      </c>
      <c r="X1558" s="123">
        <v>11265483</v>
      </c>
      <c r="AA1558" s="122" t="str">
        <f t="shared" si="296"/>
        <v>0</v>
      </c>
      <c r="AB1558" s="120">
        <f t="shared" si="297"/>
        <v>0</v>
      </c>
      <c r="AC1558" s="123">
        <v>0</v>
      </c>
      <c r="AD1558" s="123">
        <v>0</v>
      </c>
      <c r="AE1558" s="123">
        <v>2832206</v>
      </c>
      <c r="AG1558" s="151">
        <f t="shared" si="293"/>
        <v>161943</v>
      </c>
      <c r="AH1558" s="123">
        <v>161943</v>
      </c>
      <c r="AJ1558" s="123">
        <v>73326</v>
      </c>
    </row>
    <row r="1559" spans="1:41" s="123" customFormat="1" ht="16.2" thickBot="1" x14ac:dyDescent="0.35">
      <c r="A1559" s="21"/>
      <c r="B1559" s="212" t="s">
        <v>166</v>
      </c>
      <c r="C1559" s="31" t="str">
        <f>VLOOKUP((CONCATENATE(B1559)),ID!$A$2:$D$305,3,0)</f>
        <v>BA016</v>
      </c>
      <c r="D1559" s="21">
        <v>1</v>
      </c>
      <c r="E1559" s="21" t="s">
        <v>4005</v>
      </c>
      <c r="F1559" s="21" t="s">
        <v>3812</v>
      </c>
      <c r="G1559" s="21" t="s">
        <v>3853</v>
      </c>
      <c r="H1559" s="88">
        <v>5114</v>
      </c>
      <c r="I1559" s="43">
        <v>5121</v>
      </c>
      <c r="J1559" s="43">
        <v>5119</v>
      </c>
      <c r="K1559" s="21">
        <v>1</v>
      </c>
      <c r="L1559" s="43">
        <v>5123</v>
      </c>
      <c r="M1559" s="43">
        <v>3676</v>
      </c>
      <c r="N1559" s="43">
        <v>3676</v>
      </c>
      <c r="O1559" s="21" t="s">
        <v>3918</v>
      </c>
      <c r="P1559" s="194" t="str">
        <f t="shared" si="298"/>
        <v>1</v>
      </c>
      <c r="Q1559" s="21">
        <v>1</v>
      </c>
      <c r="R1559" s="39" t="str">
        <f t="shared" si="292"/>
        <v>-</v>
      </c>
      <c r="S1559" s="120">
        <f t="shared" si="299"/>
        <v>1616314</v>
      </c>
      <c r="T1559" s="123">
        <v>13566286</v>
      </c>
      <c r="U1559" s="123">
        <f>385000+2358952</f>
        <v>2743952</v>
      </c>
      <c r="V1559" s="123">
        <f t="shared" si="294"/>
        <v>10822334</v>
      </c>
      <c r="W1559" s="122" t="str">
        <f t="shared" si="295"/>
        <v>1</v>
      </c>
      <c r="X1559" s="123">
        <v>11949972</v>
      </c>
      <c r="AA1559" s="122" t="str">
        <f t="shared" si="296"/>
        <v>0</v>
      </c>
      <c r="AB1559" s="120">
        <f t="shared" si="297"/>
        <v>0</v>
      </c>
      <c r="AC1559" s="123">
        <v>0</v>
      </c>
      <c r="AD1559" s="123">
        <v>0</v>
      </c>
      <c r="AE1559" s="123">
        <v>3170485</v>
      </c>
      <c r="AG1559" s="151">
        <f t="shared" si="293"/>
        <v>165268</v>
      </c>
      <c r="AH1559" s="123">
        <f>165268</f>
        <v>165268</v>
      </c>
      <c r="AJ1559" s="123">
        <v>73326</v>
      </c>
    </row>
    <row r="1560" spans="1:41" s="123" customFormat="1" ht="16.2" thickBot="1" x14ac:dyDescent="0.35">
      <c r="A1560" s="21"/>
      <c r="B1560" s="212" t="s">
        <v>181</v>
      </c>
      <c r="C1560" s="31" t="str">
        <f>VLOOKUP((CONCATENATE(B1560)),ID!$A$2:$D$305,3,0)</f>
        <v>BA017</v>
      </c>
      <c r="D1560" s="21">
        <v>1</v>
      </c>
      <c r="E1560" s="21" t="s">
        <v>4005</v>
      </c>
      <c r="F1560" s="21" t="s">
        <v>3885</v>
      </c>
      <c r="G1560" s="21" t="s">
        <v>3853</v>
      </c>
      <c r="H1560" s="88">
        <v>3653</v>
      </c>
      <c r="I1560" s="43">
        <v>3678</v>
      </c>
      <c r="J1560" s="43">
        <v>3666</v>
      </c>
      <c r="K1560" s="21">
        <v>1</v>
      </c>
      <c r="L1560" s="43">
        <v>3674</v>
      </c>
      <c r="M1560" s="43">
        <v>3688</v>
      </c>
      <c r="N1560" s="43">
        <v>3688</v>
      </c>
      <c r="O1560" s="21" t="s">
        <v>3733</v>
      </c>
      <c r="P1560" s="194" t="str">
        <f t="shared" si="298"/>
        <v>?</v>
      </c>
      <c r="Q1560" s="21">
        <v>1</v>
      </c>
      <c r="R1560" s="39" t="str">
        <f t="shared" si="292"/>
        <v>-</v>
      </c>
      <c r="S1560" s="179">
        <f t="shared" si="299"/>
        <v>0</v>
      </c>
      <c r="T1560" s="199"/>
      <c r="U1560" s="199"/>
      <c r="V1560" s="199">
        <f t="shared" si="294"/>
        <v>0</v>
      </c>
      <c r="W1560" s="220" t="str">
        <f t="shared" si="295"/>
        <v>1</v>
      </c>
      <c r="X1560" s="199"/>
      <c r="Y1560" s="199"/>
      <c r="Z1560" s="199"/>
      <c r="AA1560" s="220" t="str">
        <f t="shared" si="296"/>
        <v>1</v>
      </c>
      <c r="AB1560" s="179">
        <f t="shared" si="297"/>
        <v>0</v>
      </c>
      <c r="AC1560" s="199"/>
      <c r="AD1560" s="199"/>
      <c r="AE1560" s="199"/>
      <c r="AF1560" s="199"/>
      <c r="AG1560" s="158">
        <f t="shared" si="293"/>
        <v>0</v>
      </c>
      <c r="AH1560" s="199"/>
      <c r="AI1560" s="199"/>
      <c r="AJ1560" s="199"/>
      <c r="AK1560" s="199"/>
      <c r="AL1560" s="199"/>
      <c r="AM1560" s="199"/>
      <c r="AN1560" s="199"/>
      <c r="AO1560" s="199"/>
    </row>
    <row r="1561" spans="1:41" s="123" customFormat="1" ht="16.2" thickBot="1" x14ac:dyDescent="0.35">
      <c r="A1561" s="21">
        <v>267.10000000000002</v>
      </c>
      <c r="B1561" s="212" t="s">
        <v>181</v>
      </c>
      <c r="C1561" s="31" t="str">
        <f>VLOOKUP((CONCATENATE(B1561)),ID!$A$2:$D$305,3,0)</f>
        <v>BA017</v>
      </c>
      <c r="D1561" s="21">
        <v>1</v>
      </c>
      <c r="E1561" s="21" t="s">
        <v>4005</v>
      </c>
      <c r="F1561" s="21" t="s">
        <v>3885</v>
      </c>
      <c r="G1561" s="21" t="s">
        <v>3853</v>
      </c>
      <c r="H1561" s="88">
        <v>4018</v>
      </c>
      <c r="I1561" s="43">
        <v>4042</v>
      </c>
      <c r="J1561" s="43">
        <v>4030</v>
      </c>
      <c r="K1561" s="21">
        <v>1</v>
      </c>
      <c r="L1561" s="43">
        <v>4038</v>
      </c>
      <c r="M1561" s="43">
        <v>4052</v>
      </c>
      <c r="N1561" s="43">
        <v>4052</v>
      </c>
      <c r="O1561" s="21" t="s">
        <v>3733</v>
      </c>
      <c r="P1561" s="194" t="str">
        <f t="shared" si="298"/>
        <v>1</v>
      </c>
      <c r="Q1561" s="21">
        <v>1</v>
      </c>
      <c r="R1561" s="39" t="str">
        <f t="shared" si="292"/>
        <v>-</v>
      </c>
      <c r="S1561" s="120">
        <f t="shared" si="299"/>
        <v>7605527</v>
      </c>
      <c r="T1561" s="123">
        <v>93949462</v>
      </c>
      <c r="U1561" s="123">
        <f>1908730+6170393+5539023</f>
        <v>13618146</v>
      </c>
      <c r="V1561" s="123">
        <f t="shared" si="294"/>
        <v>80331316</v>
      </c>
      <c r="W1561" s="122" t="str">
        <f t="shared" si="295"/>
        <v>1</v>
      </c>
      <c r="X1561" s="123">
        <v>86343935</v>
      </c>
      <c r="AA1561" s="122" t="str">
        <f t="shared" si="296"/>
        <v>0</v>
      </c>
      <c r="AB1561" s="120">
        <f t="shared" si="297"/>
        <v>0</v>
      </c>
      <c r="AC1561" s="123">
        <v>0</v>
      </c>
      <c r="AD1561" s="123">
        <v>0</v>
      </c>
      <c r="AE1561" s="123">
        <f>14104395</f>
        <v>14104395</v>
      </c>
      <c r="AG1561" s="151">
        <f t="shared" si="293"/>
        <v>762102</v>
      </c>
      <c r="AH1561" s="123">
        <f>1036310-220000</f>
        <v>816310</v>
      </c>
      <c r="AI1561" s="123">
        <v>54208</v>
      </c>
      <c r="AJ1561" s="123">
        <v>355998</v>
      </c>
      <c r="AK1561" s="123">
        <v>220000</v>
      </c>
      <c r="AO1561" s="123">
        <v>521450</v>
      </c>
    </row>
    <row r="1562" spans="1:41" s="123" customFormat="1" ht="16.2" thickBot="1" x14ac:dyDescent="0.35">
      <c r="A1562" s="21">
        <v>267.2</v>
      </c>
      <c r="B1562" s="212" t="s">
        <v>181</v>
      </c>
      <c r="C1562" s="31" t="str">
        <f>VLOOKUP((CONCATENATE(B1562)),ID!$A$2:$D$305,3,0)</f>
        <v>BA017</v>
      </c>
      <c r="D1562" s="21">
        <v>1</v>
      </c>
      <c r="E1562" s="21" t="s">
        <v>4005</v>
      </c>
      <c r="F1562" s="21" t="s">
        <v>3885</v>
      </c>
      <c r="G1562" s="21" t="s">
        <v>3853</v>
      </c>
      <c r="H1562" s="88">
        <v>4383</v>
      </c>
      <c r="I1562" s="43">
        <v>4402</v>
      </c>
      <c r="J1562" s="43">
        <v>4394</v>
      </c>
      <c r="K1562" s="21">
        <v>1</v>
      </c>
      <c r="L1562" s="43">
        <v>4402</v>
      </c>
      <c r="M1562" s="43">
        <v>4416</v>
      </c>
      <c r="N1562" s="43">
        <v>4416</v>
      </c>
      <c r="O1562" s="21" t="s">
        <v>3733</v>
      </c>
      <c r="P1562" s="194" t="str">
        <f t="shared" si="298"/>
        <v>1</v>
      </c>
      <c r="Q1562" s="21">
        <v>1</v>
      </c>
      <c r="R1562" s="39" t="str">
        <f t="shared" si="292"/>
        <v>-</v>
      </c>
      <c r="S1562" s="120">
        <f t="shared" si="299"/>
        <v>7545972</v>
      </c>
      <c r="T1562" s="123">
        <v>97707118</v>
      </c>
      <c r="U1562" s="123">
        <f>5142187+5910280+2024326</f>
        <v>13076793</v>
      </c>
      <c r="V1562" s="123">
        <f t="shared" si="294"/>
        <v>84630325</v>
      </c>
      <c r="W1562" s="122" t="str">
        <f t="shared" si="295"/>
        <v>1</v>
      </c>
      <c r="X1562" s="123">
        <v>90161146</v>
      </c>
      <c r="AA1562" s="122" t="str">
        <f t="shared" si="296"/>
        <v>0</v>
      </c>
      <c r="AB1562" s="120">
        <f t="shared" si="297"/>
        <v>0</v>
      </c>
      <c r="AC1562" s="123">
        <v>0</v>
      </c>
      <c r="AD1562" s="123">
        <v>0</v>
      </c>
      <c r="AE1562" s="123">
        <f>14168938</f>
        <v>14168938</v>
      </c>
      <c r="AG1562" s="151">
        <f t="shared" si="293"/>
        <v>777120</v>
      </c>
      <c r="AH1562" s="123">
        <f>933508-AK1562</f>
        <v>826008</v>
      </c>
      <c r="AI1562" s="123">
        <v>48888</v>
      </c>
      <c r="AJ1562" s="123">
        <v>357749</v>
      </c>
      <c r="AK1562" s="123">
        <v>107500</v>
      </c>
      <c r="AO1562" s="123">
        <v>526084</v>
      </c>
    </row>
    <row r="1563" spans="1:41" s="123" customFormat="1" ht="16.2" thickBot="1" x14ac:dyDescent="0.35">
      <c r="A1563" s="21"/>
      <c r="B1563" s="212" t="s">
        <v>181</v>
      </c>
      <c r="C1563" s="31" t="str">
        <f>VLOOKUP((CONCATENATE(B1563)),ID!$A$2:$D$305,3,0)</f>
        <v>BA017</v>
      </c>
      <c r="D1563" s="21">
        <v>1</v>
      </c>
      <c r="E1563" s="21" t="s">
        <v>4005</v>
      </c>
      <c r="F1563" s="21" t="s">
        <v>3885</v>
      </c>
      <c r="G1563" s="21" t="s">
        <v>3853</v>
      </c>
      <c r="H1563" s="88">
        <v>4749</v>
      </c>
      <c r="I1563" s="43">
        <v>4773</v>
      </c>
      <c r="J1563" s="43">
        <v>4766</v>
      </c>
      <c r="K1563" s="21">
        <v>1</v>
      </c>
      <c r="L1563" s="43">
        <v>4773</v>
      </c>
      <c r="M1563" s="43">
        <v>4787</v>
      </c>
      <c r="N1563" s="43">
        <v>4787</v>
      </c>
      <c r="O1563" s="21" t="s">
        <v>3733</v>
      </c>
      <c r="P1563" s="194" t="str">
        <f t="shared" si="298"/>
        <v>1</v>
      </c>
      <c r="Q1563" s="21">
        <v>1</v>
      </c>
      <c r="R1563" s="39" t="str">
        <f t="shared" si="292"/>
        <v>-</v>
      </c>
      <c r="S1563" s="120">
        <f t="shared" si="299"/>
        <v>7244050</v>
      </c>
      <c r="T1563" s="123">
        <v>104530188</v>
      </c>
      <c r="U1563" s="123">
        <f>2105574+35388+5918722+5020610</f>
        <v>13080294</v>
      </c>
      <c r="V1563" s="123">
        <f t="shared" si="294"/>
        <v>91449894</v>
      </c>
      <c r="W1563" s="122" t="str">
        <f t="shared" si="295"/>
        <v>1</v>
      </c>
      <c r="X1563" s="123">
        <v>97286138</v>
      </c>
      <c r="AA1563" s="122" t="str">
        <f t="shared" si="296"/>
        <v>0</v>
      </c>
      <c r="AB1563" s="120">
        <f t="shared" si="297"/>
        <v>0</v>
      </c>
      <c r="AC1563" s="123">
        <v>0</v>
      </c>
      <c r="AD1563" s="123">
        <v>0</v>
      </c>
      <c r="AE1563" s="123">
        <v>15582549</v>
      </c>
      <c r="AG1563" s="151">
        <f t="shared" si="293"/>
        <v>686413</v>
      </c>
      <c r="AH1563" s="123">
        <f>1122874-78137-AK1563</f>
        <v>739737</v>
      </c>
      <c r="AI1563" s="123">
        <v>53324</v>
      </c>
      <c r="AJ1563" s="123">
        <v>359261</v>
      </c>
      <c r="AK1563" s="123">
        <v>305000</v>
      </c>
      <c r="AO1563" s="123">
        <v>526084</v>
      </c>
    </row>
    <row r="1564" spans="1:41" s="123" customFormat="1" ht="16.2" thickBot="1" x14ac:dyDescent="0.35">
      <c r="A1564" s="21"/>
      <c r="B1564" s="212" t="s">
        <v>181</v>
      </c>
      <c r="C1564" s="31" t="str">
        <f>VLOOKUP((CONCATENATE(B1564)),ID!$A$2:$D$305,3,0)</f>
        <v>BA017</v>
      </c>
      <c r="D1564" s="21">
        <v>1</v>
      </c>
      <c r="E1564" s="21" t="s">
        <v>4005</v>
      </c>
      <c r="F1564" s="21" t="s">
        <v>3885</v>
      </c>
      <c r="G1564" s="21" t="s">
        <v>3853</v>
      </c>
      <c r="H1564" s="88">
        <v>5114</v>
      </c>
      <c r="I1564" s="43">
        <v>5135</v>
      </c>
      <c r="J1564" s="43">
        <v>5128</v>
      </c>
      <c r="K1564" s="21">
        <v>1</v>
      </c>
      <c r="L1564" s="43">
        <v>5135</v>
      </c>
      <c r="M1564" s="43">
        <v>5149</v>
      </c>
      <c r="N1564" s="43">
        <v>5149</v>
      </c>
      <c r="O1564" s="21" t="s">
        <v>3733</v>
      </c>
      <c r="P1564" s="194" t="str">
        <f t="shared" si="298"/>
        <v>1</v>
      </c>
      <c r="Q1564" s="21">
        <v>1</v>
      </c>
      <c r="R1564" s="39" t="str">
        <f t="shared" si="292"/>
        <v>-</v>
      </c>
      <c r="S1564" s="120">
        <f t="shared" si="299"/>
        <v>7644649</v>
      </c>
      <c r="T1564" s="123">
        <v>106618948</v>
      </c>
      <c r="U1564" s="123">
        <f>4863281+5529415+63864+2204774</f>
        <v>12661334</v>
      </c>
      <c r="V1564" s="123">
        <f t="shared" si="294"/>
        <v>93957614</v>
      </c>
      <c r="W1564" s="122" t="str">
        <f t="shared" si="295"/>
        <v>1</v>
      </c>
      <c r="X1564" s="123">
        <v>98974299</v>
      </c>
      <c r="AA1564" s="122" t="str">
        <f t="shared" si="296"/>
        <v>0</v>
      </c>
      <c r="AB1564" s="120">
        <f t="shared" si="297"/>
        <v>0</v>
      </c>
      <c r="AC1564" s="123">
        <v>0</v>
      </c>
      <c r="AD1564" s="123">
        <v>0</v>
      </c>
      <c r="AE1564" s="123">
        <v>16176860</v>
      </c>
      <c r="AG1564" s="151">
        <f t="shared" si="293"/>
        <v>878911</v>
      </c>
      <c r="AH1564" s="123">
        <f>1240427-AK1564</f>
        <v>935427</v>
      </c>
      <c r="AI1564" s="123">
        <v>56516</v>
      </c>
      <c r="AJ1564" s="123">
        <v>359161</v>
      </c>
      <c r="AK1564" s="123">
        <v>305000</v>
      </c>
      <c r="AO1564" s="123">
        <v>526084</v>
      </c>
    </row>
    <row r="1565" spans="1:41" s="123" customFormat="1" ht="16.2" thickBot="1" x14ac:dyDescent="0.35">
      <c r="A1565" s="21"/>
      <c r="B1565" s="212" t="s">
        <v>182</v>
      </c>
      <c r="C1565" s="31" t="str">
        <f>VLOOKUP((CONCATENATE(B1565)),ID!$A$2:$D$305,3,0)</f>
        <v>BA018</v>
      </c>
      <c r="D1565" s="21">
        <v>1</v>
      </c>
      <c r="E1565" s="21" t="s">
        <v>4005</v>
      </c>
      <c r="F1565" s="21" t="s">
        <v>1117</v>
      </c>
      <c r="G1565" s="21" t="s">
        <v>4016</v>
      </c>
      <c r="H1565" s="88">
        <v>3684</v>
      </c>
      <c r="I1565" s="43">
        <v>3749</v>
      </c>
      <c r="J1565" s="43">
        <v>3748</v>
      </c>
      <c r="K1565" s="21">
        <v>1</v>
      </c>
      <c r="L1565" s="43">
        <v>3752</v>
      </c>
      <c r="M1565" s="43">
        <v>3765</v>
      </c>
      <c r="N1565" s="43">
        <v>3762</v>
      </c>
      <c r="O1565" s="51" t="s">
        <v>4015</v>
      </c>
      <c r="P1565" s="194" t="str">
        <f t="shared" si="298"/>
        <v>1</v>
      </c>
      <c r="Q1565" s="21">
        <v>1</v>
      </c>
      <c r="R1565" s="39" t="str">
        <f t="shared" si="292"/>
        <v>-</v>
      </c>
      <c r="S1565" s="120">
        <f t="shared" si="299"/>
        <v>2340573</v>
      </c>
      <c r="T1565" s="123">
        <v>15791217</v>
      </c>
      <c r="U1565" s="123">
        <f>13117+127454+2247875</f>
        <v>2388446</v>
      </c>
      <c r="V1565" s="123">
        <f t="shared" si="294"/>
        <v>13402771</v>
      </c>
      <c r="W1565" s="122" t="str">
        <f t="shared" si="295"/>
        <v>1</v>
      </c>
      <c r="X1565" s="123">
        <v>13450644</v>
      </c>
      <c r="AA1565" s="122" t="str">
        <f t="shared" si="296"/>
        <v>0</v>
      </c>
      <c r="AB1565" s="120">
        <f t="shared" si="297"/>
        <v>0</v>
      </c>
      <c r="AC1565" s="123">
        <v>0</v>
      </c>
      <c r="AD1565" s="123">
        <v>0</v>
      </c>
      <c r="AE1565" s="123">
        <v>3918425</v>
      </c>
      <c r="AG1565" s="151">
        <f t="shared" si="293"/>
        <v>240022</v>
      </c>
      <c r="AH1565" s="123">
        <f>465034-192832-32180</f>
        <v>240022</v>
      </c>
      <c r="AJ1565" s="123">
        <v>50000</v>
      </c>
      <c r="AO1565" s="123">
        <v>100000</v>
      </c>
    </row>
    <row r="1566" spans="1:41" s="123" customFormat="1" ht="16.2" thickBot="1" x14ac:dyDescent="0.35">
      <c r="A1566" s="21">
        <v>268.10000000000002</v>
      </c>
      <c r="B1566" s="212" t="s">
        <v>182</v>
      </c>
      <c r="C1566" s="31" t="str">
        <f>VLOOKUP((CONCATENATE(B1566)),ID!$A$2:$D$305,3,0)</f>
        <v>BA018</v>
      </c>
      <c r="D1566" s="21">
        <v>1</v>
      </c>
      <c r="E1566" s="21" t="s">
        <v>4005</v>
      </c>
      <c r="F1566" s="21" t="s">
        <v>1117</v>
      </c>
      <c r="G1566" s="21" t="s">
        <v>4016</v>
      </c>
      <c r="H1566" s="88">
        <v>4049</v>
      </c>
      <c r="I1566" s="43">
        <v>4120</v>
      </c>
      <c r="J1566" s="43">
        <v>4119</v>
      </c>
      <c r="K1566" s="21">
        <v>1</v>
      </c>
      <c r="L1566" s="43">
        <v>4123</v>
      </c>
      <c r="M1566" s="43">
        <v>4136</v>
      </c>
      <c r="N1566" s="43">
        <v>4133</v>
      </c>
      <c r="O1566" s="51" t="s">
        <v>4015</v>
      </c>
      <c r="P1566" s="194" t="str">
        <f t="shared" si="298"/>
        <v>1</v>
      </c>
      <c r="Q1566" s="21">
        <v>1</v>
      </c>
      <c r="R1566" s="39" t="str">
        <f t="shared" si="292"/>
        <v>-</v>
      </c>
      <c r="S1566" s="120">
        <f t="shared" si="299"/>
        <v>2421760</v>
      </c>
      <c r="T1566" s="123">
        <v>18355116</v>
      </c>
      <c r="U1566" s="123">
        <f>14196+136646</f>
        <v>150842</v>
      </c>
      <c r="V1566" s="123">
        <f t="shared" si="294"/>
        <v>18204274</v>
      </c>
      <c r="W1566" s="122" t="str">
        <f t="shared" si="295"/>
        <v>1</v>
      </c>
      <c r="X1566" s="123">
        <v>15933356</v>
      </c>
      <c r="AA1566" s="122" t="str">
        <f t="shared" si="296"/>
        <v>0</v>
      </c>
      <c r="AB1566" s="120">
        <f t="shared" si="297"/>
        <v>0</v>
      </c>
      <c r="AC1566" s="123">
        <v>0</v>
      </c>
      <c r="AD1566" s="123">
        <v>0</v>
      </c>
      <c r="AE1566" s="123">
        <v>4136119</v>
      </c>
      <c r="AG1566" s="151">
        <f t="shared" si="293"/>
        <v>272688</v>
      </c>
      <c r="AH1566" s="123">
        <f>533320-224958-35674</f>
        <v>272688</v>
      </c>
      <c r="AJ1566" s="123">
        <v>60000</v>
      </c>
      <c r="AO1566" s="123">
        <v>100000</v>
      </c>
    </row>
    <row r="1567" spans="1:41" s="123" customFormat="1" ht="16.2" thickBot="1" x14ac:dyDescent="0.35">
      <c r="A1567" s="21">
        <v>268.2</v>
      </c>
      <c r="B1567" s="212" t="s">
        <v>182</v>
      </c>
      <c r="C1567" s="31" t="str">
        <f>VLOOKUP((CONCATENATE(B1567)),ID!$A$2:$D$305,3,0)</f>
        <v>BA018</v>
      </c>
      <c r="D1567" s="21">
        <v>1</v>
      </c>
      <c r="E1567" s="21" t="s">
        <v>4005</v>
      </c>
      <c r="F1567" s="21" t="s">
        <v>1117</v>
      </c>
      <c r="G1567" s="21" t="s">
        <v>4016</v>
      </c>
      <c r="H1567" s="88">
        <v>4414</v>
      </c>
      <c r="I1567" s="43">
        <v>4477</v>
      </c>
      <c r="J1567" s="43">
        <v>4476</v>
      </c>
      <c r="K1567" s="21">
        <v>1</v>
      </c>
      <c r="L1567" s="43">
        <v>4480</v>
      </c>
      <c r="M1567" s="43">
        <v>4493</v>
      </c>
      <c r="N1567" s="43">
        <v>4490</v>
      </c>
      <c r="O1567" s="51" t="s">
        <v>4015</v>
      </c>
      <c r="P1567" s="194" t="str">
        <f t="shared" si="298"/>
        <v>1</v>
      </c>
      <c r="Q1567" s="21">
        <v>1</v>
      </c>
      <c r="R1567" s="39" t="str">
        <f t="shared" si="292"/>
        <v>-</v>
      </c>
      <c r="S1567" s="120">
        <f t="shared" si="299"/>
        <v>2517980</v>
      </c>
      <c r="T1567" s="123">
        <v>20440663</v>
      </c>
      <c r="U1567" s="123">
        <f>15464+200282</f>
        <v>215746</v>
      </c>
      <c r="V1567" s="123">
        <f t="shared" si="294"/>
        <v>20224917</v>
      </c>
      <c r="W1567" s="122" t="str">
        <f t="shared" si="295"/>
        <v>1</v>
      </c>
      <c r="X1567" s="123">
        <v>17922683</v>
      </c>
      <c r="AA1567" s="122" t="str">
        <f t="shared" si="296"/>
        <v>0</v>
      </c>
      <c r="AB1567" s="120">
        <f t="shared" si="297"/>
        <v>0</v>
      </c>
      <c r="AC1567" s="123">
        <v>0</v>
      </c>
      <c r="AD1567" s="123">
        <v>0</v>
      </c>
      <c r="AE1567" s="123">
        <v>3844343</v>
      </c>
      <c r="AG1567" s="151">
        <f t="shared" si="293"/>
        <v>308220</v>
      </c>
      <c r="AH1567" s="123">
        <f>593731-247996-37515</f>
        <v>308220</v>
      </c>
      <c r="AJ1567" s="123">
        <v>60000</v>
      </c>
      <c r="AO1567" s="123">
        <v>100000</v>
      </c>
    </row>
    <row r="1568" spans="1:41" s="123" customFormat="1" ht="16.2" thickBot="1" x14ac:dyDescent="0.35">
      <c r="A1568" s="21"/>
      <c r="B1568" s="212" t="s">
        <v>182</v>
      </c>
      <c r="C1568" s="31" t="str">
        <f>VLOOKUP((CONCATENATE(B1568)),ID!$A$2:$D$305,3,0)</f>
        <v>BA018</v>
      </c>
      <c r="D1568" s="21">
        <v>1</v>
      </c>
      <c r="E1568" s="21" t="s">
        <v>4005</v>
      </c>
      <c r="F1568" s="21" t="s">
        <v>1117</v>
      </c>
      <c r="G1568" s="21" t="s">
        <v>4016</v>
      </c>
      <c r="H1568" s="88">
        <v>4780</v>
      </c>
      <c r="I1568" s="43">
        <v>4841</v>
      </c>
      <c r="J1568" s="43">
        <v>4840</v>
      </c>
      <c r="K1568" s="21">
        <v>1</v>
      </c>
      <c r="L1568" s="43">
        <v>4844</v>
      </c>
      <c r="M1568" s="43">
        <v>4857</v>
      </c>
      <c r="N1568" s="43">
        <v>4855</v>
      </c>
      <c r="O1568" s="51" t="s">
        <v>4015</v>
      </c>
      <c r="P1568" s="194" t="str">
        <f t="shared" si="298"/>
        <v>1</v>
      </c>
      <c r="Q1568" s="21">
        <v>1</v>
      </c>
      <c r="R1568" s="39" t="str">
        <f t="shared" si="292"/>
        <v>-</v>
      </c>
      <c r="S1568" s="120">
        <f t="shared" si="299"/>
        <v>3113594</v>
      </c>
      <c r="T1568" s="123">
        <v>22307654</v>
      </c>
      <c r="U1568" s="123">
        <f>226228+15667</f>
        <v>241895</v>
      </c>
      <c r="V1568" s="123">
        <f t="shared" si="294"/>
        <v>22065759</v>
      </c>
      <c r="W1568" s="122" t="str">
        <f t="shared" si="295"/>
        <v>1</v>
      </c>
      <c r="X1568" s="123">
        <v>19194060</v>
      </c>
      <c r="AA1568" s="122" t="str">
        <f t="shared" si="296"/>
        <v>0</v>
      </c>
      <c r="AB1568" s="120">
        <f t="shared" si="297"/>
        <v>0</v>
      </c>
      <c r="AC1568" s="123">
        <v>0</v>
      </c>
      <c r="AD1568" s="123">
        <v>0</v>
      </c>
      <c r="AE1568" s="123">
        <v>3442574</v>
      </c>
      <c r="AG1568" s="151">
        <f t="shared" si="293"/>
        <v>378616</v>
      </c>
      <c r="AH1568" s="123">
        <f>691146-270188-42342</f>
        <v>378616</v>
      </c>
      <c r="AJ1568" s="123">
        <v>75000</v>
      </c>
      <c r="AO1568" s="123">
        <v>125000</v>
      </c>
    </row>
    <row r="1569" spans="1:41" s="123" customFormat="1" ht="16.2" thickBot="1" x14ac:dyDescent="0.35">
      <c r="A1569" s="21"/>
      <c r="B1569" s="212" t="s">
        <v>182</v>
      </c>
      <c r="C1569" s="31" t="str">
        <f>VLOOKUP((CONCATENATE(B1569)),ID!$A$2:$D$305,3,0)</f>
        <v>BA018</v>
      </c>
      <c r="D1569" s="21">
        <v>1</v>
      </c>
      <c r="E1569" s="21" t="s">
        <v>4005</v>
      </c>
      <c r="F1569" s="21" t="s">
        <v>1117</v>
      </c>
      <c r="G1569" s="21" t="s">
        <v>4016</v>
      </c>
      <c r="H1569" s="88">
        <v>5145</v>
      </c>
      <c r="I1569" s="43">
        <v>5212</v>
      </c>
      <c r="J1569" s="43">
        <v>5211</v>
      </c>
      <c r="K1569" s="21">
        <v>1</v>
      </c>
      <c r="L1569" s="43">
        <v>5215</v>
      </c>
      <c r="M1569" s="43">
        <v>5228</v>
      </c>
      <c r="N1569" s="43">
        <v>5225</v>
      </c>
      <c r="O1569" s="51" t="s">
        <v>4015</v>
      </c>
      <c r="P1569" s="194" t="str">
        <f t="shared" si="298"/>
        <v>1</v>
      </c>
      <c r="Q1569" s="21">
        <v>1</v>
      </c>
      <c r="R1569" s="39" t="str">
        <f t="shared" ref="R1569:R1632" si="300">IF(Q1569=0,"?","-")</f>
        <v>-</v>
      </c>
      <c r="S1569" s="120">
        <f t="shared" si="299"/>
        <v>3190158</v>
      </c>
      <c r="T1569" s="123">
        <v>22312585</v>
      </c>
      <c r="U1569" s="123">
        <f>18620+279922</f>
        <v>298542</v>
      </c>
      <c r="V1569" s="123">
        <f t="shared" si="294"/>
        <v>22014043</v>
      </c>
      <c r="W1569" s="122" t="str">
        <f t="shared" si="295"/>
        <v>1</v>
      </c>
      <c r="X1569" s="123">
        <v>19122427</v>
      </c>
      <c r="AA1569" s="122" t="str">
        <f t="shared" si="296"/>
        <v>0</v>
      </c>
      <c r="AB1569" s="120">
        <f t="shared" si="297"/>
        <v>0</v>
      </c>
      <c r="AC1569" s="123">
        <v>0</v>
      </c>
      <c r="AD1569" s="123">
        <v>0</v>
      </c>
      <c r="AE1569" s="123">
        <v>3840504</v>
      </c>
      <c r="AG1569" s="151">
        <f t="shared" si="293"/>
        <v>341562</v>
      </c>
      <c r="AH1569" s="123">
        <f>679729-290954-47213</f>
        <v>341562</v>
      </c>
      <c r="AJ1569" s="123">
        <v>75000</v>
      </c>
      <c r="AO1569" s="123">
        <v>125000</v>
      </c>
    </row>
    <row r="1570" spans="1:41" s="123" customFormat="1" ht="16.2" thickBot="1" x14ac:dyDescent="0.35">
      <c r="A1570" s="21"/>
      <c r="B1570" s="212" t="s">
        <v>185</v>
      </c>
      <c r="C1570" s="31" t="str">
        <f>VLOOKUP((CONCATENATE(B1570)),ID!$A$2:$D$305,3,0)</f>
        <v>BA019</v>
      </c>
      <c r="D1570" s="21">
        <v>0</v>
      </c>
      <c r="E1570" s="21" t="s">
        <v>4005</v>
      </c>
      <c r="F1570" s="21" t="s">
        <v>1117</v>
      </c>
      <c r="G1570" s="21" t="s">
        <v>3853</v>
      </c>
      <c r="H1570" s="88">
        <v>3653</v>
      </c>
      <c r="I1570" s="43">
        <v>3666</v>
      </c>
      <c r="J1570" s="43">
        <v>3664</v>
      </c>
      <c r="K1570" s="21">
        <v>1</v>
      </c>
      <c r="L1570" s="43">
        <v>3664</v>
      </c>
      <c r="M1570" s="43">
        <v>3677</v>
      </c>
      <c r="N1570" s="43">
        <v>3677</v>
      </c>
      <c r="O1570" s="21" t="s">
        <v>4017</v>
      </c>
      <c r="P1570" s="194">
        <v>1</v>
      </c>
      <c r="Q1570" s="21">
        <v>1</v>
      </c>
      <c r="R1570" s="39" t="str">
        <f t="shared" si="300"/>
        <v>-</v>
      </c>
      <c r="S1570" s="120">
        <f t="shared" si="299"/>
        <v>2423432</v>
      </c>
      <c r="T1570" s="123">
        <v>18280877</v>
      </c>
      <c r="U1570" s="123">
        <f t="shared" ref="U1570:U1576" si="301">T1570-V1570</f>
        <v>14177683</v>
      </c>
      <c r="V1570" s="123">
        <v>4103194</v>
      </c>
      <c r="W1570" s="122" t="str">
        <f t="shared" si="295"/>
        <v>1</v>
      </c>
      <c r="X1570" s="123">
        <v>15857445</v>
      </c>
      <c r="AA1570" s="122" t="str">
        <f t="shared" si="296"/>
        <v>0</v>
      </c>
      <c r="AB1570" s="120">
        <f t="shared" si="297"/>
        <v>0</v>
      </c>
      <c r="AC1570" s="123">
        <v>0</v>
      </c>
      <c r="AD1570" s="123">
        <v>0</v>
      </c>
      <c r="AE1570" s="123">
        <v>2103194</v>
      </c>
      <c r="AG1570" s="151">
        <f t="shared" ref="AG1570:AG1637" si="302">AH1570-AL1570-AI1570</f>
        <v>93828</v>
      </c>
      <c r="AH1570" s="123">
        <f>336682-137824</f>
        <v>198858</v>
      </c>
      <c r="AL1570" s="123">
        <v>105030</v>
      </c>
      <c r="AO1570" s="123">
        <v>160000</v>
      </c>
    </row>
    <row r="1571" spans="1:41" s="123" customFormat="1" ht="16.2" thickBot="1" x14ac:dyDescent="0.35">
      <c r="A1571" s="21"/>
      <c r="B1571" s="212" t="s">
        <v>185</v>
      </c>
      <c r="C1571" s="31" t="str">
        <f>VLOOKUP((CONCATENATE(B1571)),ID!$A$2:$D$305,3,0)</f>
        <v>BA019</v>
      </c>
      <c r="D1571" s="21">
        <v>0</v>
      </c>
      <c r="E1571" s="21" t="s">
        <v>4005</v>
      </c>
      <c r="F1571" s="21" t="s">
        <v>1117</v>
      </c>
      <c r="G1571" s="21" t="s">
        <v>3853</v>
      </c>
      <c r="H1571" s="88">
        <v>3834</v>
      </c>
      <c r="I1571" s="43">
        <v>3845</v>
      </c>
      <c r="J1571" s="43">
        <v>3843</v>
      </c>
      <c r="K1571" s="21">
        <v>1</v>
      </c>
      <c r="L1571" s="43">
        <v>3846</v>
      </c>
      <c r="M1571" s="43">
        <v>3859</v>
      </c>
      <c r="N1571" s="43">
        <v>3859</v>
      </c>
      <c r="O1571" s="21" t="s">
        <v>4017</v>
      </c>
      <c r="P1571" s="194">
        <v>1</v>
      </c>
      <c r="Q1571" s="21">
        <v>1</v>
      </c>
      <c r="R1571" s="39" t="str">
        <f t="shared" si="300"/>
        <v>-</v>
      </c>
      <c r="S1571" s="120">
        <f t="shared" si="299"/>
        <v>2431831</v>
      </c>
      <c r="T1571" s="123">
        <v>18608350</v>
      </c>
      <c r="U1571" s="123">
        <f t="shared" si="301"/>
        <v>14882214</v>
      </c>
      <c r="V1571" s="123">
        <v>3726136</v>
      </c>
      <c r="W1571" s="122" t="str">
        <f>IF(V1571+U1571=T1571,"1","0")</f>
        <v>1</v>
      </c>
      <c r="X1571" s="123">
        <v>16176519</v>
      </c>
      <c r="AA1571" s="122" t="str">
        <f>IF(Z1571+Y1571=X1571,"1","0")</f>
        <v>0</v>
      </c>
      <c r="AB1571" s="120">
        <f>SUM(AC1571+AD1571)</f>
        <v>0</v>
      </c>
      <c r="AC1571" s="123">
        <v>0</v>
      </c>
      <c r="AD1571" s="123">
        <v>0</v>
      </c>
      <c r="AE1571" s="123">
        <v>2026136</v>
      </c>
      <c r="AG1571" s="151">
        <f t="shared" si="302"/>
        <v>90399</v>
      </c>
      <c r="AH1571" s="123">
        <f>340322-145088</f>
        <v>195234</v>
      </c>
      <c r="AL1571" s="123">
        <v>104835</v>
      </c>
      <c r="AO1571" s="123">
        <v>160000</v>
      </c>
    </row>
    <row r="1572" spans="1:41" s="123" customFormat="1" ht="16.2" thickBot="1" x14ac:dyDescent="0.35">
      <c r="A1572" s="21">
        <v>269.10000000000002</v>
      </c>
      <c r="B1572" s="212" t="s">
        <v>185</v>
      </c>
      <c r="C1572" s="31" t="str">
        <f>VLOOKUP((CONCATENATE(B1572)),ID!$A$2:$D$305,3,0)</f>
        <v>BA019</v>
      </c>
      <c r="D1572" s="21">
        <v>0</v>
      </c>
      <c r="E1572" s="21" t="s">
        <v>4005</v>
      </c>
      <c r="F1572" s="21" t="s">
        <v>1117</v>
      </c>
      <c r="G1572" s="21" t="s">
        <v>3853</v>
      </c>
      <c r="H1572" s="88">
        <v>4018</v>
      </c>
      <c r="I1572" s="43">
        <v>4030</v>
      </c>
      <c r="J1572" s="43">
        <v>4028</v>
      </c>
      <c r="K1572" s="21">
        <v>1</v>
      </c>
      <c r="L1572" s="43">
        <v>4028</v>
      </c>
      <c r="M1572" s="43">
        <v>4041</v>
      </c>
      <c r="N1572" s="43">
        <v>4041</v>
      </c>
      <c r="O1572" s="21" t="s">
        <v>4017</v>
      </c>
      <c r="P1572" s="194">
        <v>1</v>
      </c>
      <c r="Q1572" s="21">
        <v>1</v>
      </c>
      <c r="R1572" s="39" t="str">
        <f t="shared" si="300"/>
        <v>-</v>
      </c>
      <c r="S1572" s="120">
        <f t="shared" si="299"/>
        <v>2449729</v>
      </c>
      <c r="T1572" s="123">
        <v>18996565</v>
      </c>
      <c r="U1572" s="123">
        <f t="shared" si="301"/>
        <v>15084382</v>
      </c>
      <c r="V1572" s="123">
        <v>3912183</v>
      </c>
      <c r="W1572" s="122" t="str">
        <f t="shared" si="295"/>
        <v>1</v>
      </c>
      <c r="X1572" s="123">
        <v>16546836</v>
      </c>
      <c r="AA1572" s="122" t="str">
        <f t="shared" si="296"/>
        <v>0</v>
      </c>
      <c r="AB1572" s="120">
        <f t="shared" si="297"/>
        <v>0</v>
      </c>
      <c r="AC1572" s="123">
        <v>0</v>
      </c>
      <c r="AD1572" s="123">
        <v>0</v>
      </c>
      <c r="AE1572" s="123">
        <v>2212183</v>
      </c>
      <c r="AG1572" s="151">
        <f t="shared" si="302"/>
        <v>99900</v>
      </c>
      <c r="AH1572" s="123">
        <f>351106-140888</f>
        <v>210218</v>
      </c>
      <c r="AL1572" s="123">
        <v>110318</v>
      </c>
      <c r="AO1572" s="123">
        <v>160000</v>
      </c>
    </row>
    <row r="1573" spans="1:41" s="123" customFormat="1" ht="16.2" thickBot="1" x14ac:dyDescent="0.35">
      <c r="A1573" s="21">
        <v>269.2</v>
      </c>
      <c r="B1573" s="212" t="s">
        <v>185</v>
      </c>
      <c r="C1573" s="31" t="str">
        <f>VLOOKUP((CONCATENATE(B1573)),ID!$A$2:$D$305,3,0)</f>
        <v>BA019</v>
      </c>
      <c r="D1573" s="21">
        <v>0</v>
      </c>
      <c r="E1573" s="21" t="s">
        <v>4005</v>
      </c>
      <c r="F1573" s="21" t="s">
        <v>1117</v>
      </c>
      <c r="G1573" s="21" t="s">
        <v>3853</v>
      </c>
      <c r="H1573" s="88">
        <v>4199</v>
      </c>
      <c r="I1573" s="43">
        <v>4212</v>
      </c>
      <c r="J1573" s="43">
        <v>4210</v>
      </c>
      <c r="K1573" s="21">
        <v>1</v>
      </c>
      <c r="L1573" s="43">
        <v>4210</v>
      </c>
      <c r="M1573" s="43">
        <v>4223</v>
      </c>
      <c r="N1573" s="43">
        <v>4223</v>
      </c>
      <c r="O1573" s="21" t="s">
        <v>4017</v>
      </c>
      <c r="P1573" s="194">
        <v>1</v>
      </c>
      <c r="Q1573" s="21">
        <v>1</v>
      </c>
      <c r="R1573" s="39" t="str">
        <f t="shared" si="300"/>
        <v>-</v>
      </c>
      <c r="S1573" s="120">
        <f t="shared" si="299"/>
        <v>2423092</v>
      </c>
      <c r="T1573" s="123">
        <v>19449915</v>
      </c>
      <c r="U1573" s="123">
        <f t="shared" si="301"/>
        <v>14953340</v>
      </c>
      <c r="V1573" s="123">
        <v>4496575</v>
      </c>
      <c r="W1573" s="122" t="str">
        <f t="shared" si="295"/>
        <v>1</v>
      </c>
      <c r="X1573" s="123">
        <v>17026823</v>
      </c>
      <c r="AA1573" s="122" t="str">
        <f t="shared" si="296"/>
        <v>0</v>
      </c>
      <c r="AB1573" s="120">
        <f t="shared" si="297"/>
        <v>0</v>
      </c>
      <c r="AC1573" s="123">
        <v>0</v>
      </c>
      <c r="AD1573" s="123">
        <v>0</v>
      </c>
      <c r="AE1573" s="123">
        <v>2296575</v>
      </c>
      <c r="AG1573" s="151">
        <f t="shared" si="302"/>
        <v>100362</v>
      </c>
      <c r="AH1573" s="123">
        <f>354965-147931</f>
        <v>207034</v>
      </c>
      <c r="AL1573" s="123">
        <v>106672</v>
      </c>
      <c r="AO1573" s="123">
        <v>160000</v>
      </c>
    </row>
    <row r="1574" spans="1:41" s="123" customFormat="1" ht="16.2" thickBot="1" x14ac:dyDescent="0.35">
      <c r="A1574" s="21">
        <v>269.3</v>
      </c>
      <c r="B1574" s="212" t="s">
        <v>185</v>
      </c>
      <c r="C1574" s="31" t="str">
        <f>VLOOKUP((CONCATENATE(B1574)),ID!$A$2:$D$305,3,0)</f>
        <v>BA019</v>
      </c>
      <c r="D1574" s="21">
        <v>0</v>
      </c>
      <c r="E1574" s="21" t="s">
        <v>4005</v>
      </c>
      <c r="F1574" s="21" t="s">
        <v>1117</v>
      </c>
      <c r="G1574" s="21" t="s">
        <v>3853</v>
      </c>
      <c r="H1574" s="88">
        <v>4383</v>
      </c>
      <c r="I1574" s="43">
        <v>4394</v>
      </c>
      <c r="J1574" s="43">
        <v>4392</v>
      </c>
      <c r="K1574" s="21">
        <v>1</v>
      </c>
      <c r="L1574" s="43">
        <v>4392</v>
      </c>
      <c r="M1574" s="43">
        <v>4405</v>
      </c>
      <c r="N1574" s="43">
        <v>4405</v>
      </c>
      <c r="O1574" s="21" t="s">
        <v>4017</v>
      </c>
      <c r="P1574" s="194">
        <v>1</v>
      </c>
      <c r="Q1574" s="21">
        <v>1</v>
      </c>
      <c r="R1574" s="39" t="str">
        <f t="shared" si="300"/>
        <v>-</v>
      </c>
      <c r="S1574" s="120">
        <f t="shared" si="299"/>
        <v>2449760</v>
      </c>
      <c r="T1574" s="123">
        <v>19909688</v>
      </c>
      <c r="U1574" s="123">
        <f t="shared" si="301"/>
        <v>15425669</v>
      </c>
      <c r="V1574" s="123">
        <v>4484019</v>
      </c>
      <c r="W1574" s="122" t="str">
        <f t="shared" si="295"/>
        <v>1</v>
      </c>
      <c r="X1574" s="123">
        <v>17459928</v>
      </c>
      <c r="AA1574" s="122" t="str">
        <f t="shared" si="296"/>
        <v>0</v>
      </c>
      <c r="AB1574" s="120">
        <f t="shared" si="297"/>
        <v>0</v>
      </c>
      <c r="AC1574" s="123">
        <v>0</v>
      </c>
      <c r="AD1574" s="123">
        <v>0</v>
      </c>
      <c r="AE1574" s="123">
        <v>2384019</v>
      </c>
      <c r="AG1574" s="151">
        <f t="shared" si="302"/>
        <v>102373</v>
      </c>
      <c r="AH1574" s="123">
        <f>358466-143541</f>
        <v>214925</v>
      </c>
      <c r="AL1574" s="123">
        <v>112552</v>
      </c>
      <c r="AO1574" s="123">
        <v>160000</v>
      </c>
    </row>
    <row r="1575" spans="1:41" s="123" customFormat="1" ht="16.2" thickBot="1" x14ac:dyDescent="0.35">
      <c r="A1575" s="21"/>
      <c r="B1575" s="212" t="s">
        <v>185</v>
      </c>
      <c r="C1575" s="31" t="str">
        <f>VLOOKUP((CONCATENATE(B1575)),ID!$A$2:$D$305,3,0)</f>
        <v>BA019</v>
      </c>
      <c r="D1575" s="21">
        <v>1</v>
      </c>
      <c r="E1575" s="21" t="s">
        <v>4005</v>
      </c>
      <c r="F1575" s="21" t="s">
        <v>1117</v>
      </c>
      <c r="G1575" s="21" t="s">
        <v>3853</v>
      </c>
      <c r="H1575" s="88">
        <v>4749</v>
      </c>
      <c r="I1575" s="43">
        <v>4758</v>
      </c>
      <c r="J1575" s="43">
        <v>4758</v>
      </c>
      <c r="K1575" s="21">
        <v>1</v>
      </c>
      <c r="L1575" s="43">
        <v>4756</v>
      </c>
      <c r="M1575" s="43">
        <v>4769</v>
      </c>
      <c r="N1575" s="43">
        <v>4769</v>
      </c>
      <c r="O1575" s="21" t="s">
        <v>4017</v>
      </c>
      <c r="P1575" s="194">
        <v>1</v>
      </c>
      <c r="Q1575" s="21">
        <v>1</v>
      </c>
      <c r="R1575" s="39" t="str">
        <f t="shared" si="300"/>
        <v>-</v>
      </c>
      <c r="S1575" s="120">
        <f t="shared" si="299"/>
        <v>3282316</v>
      </c>
      <c r="T1575" s="123">
        <v>21604013</v>
      </c>
      <c r="U1575" s="123">
        <f t="shared" si="301"/>
        <v>16448488</v>
      </c>
      <c r="V1575" s="123">
        <v>5155525</v>
      </c>
      <c r="W1575" s="122" t="str">
        <f t="shared" si="295"/>
        <v>1</v>
      </c>
      <c r="X1575" s="123">
        <v>18321697</v>
      </c>
      <c r="AA1575" s="122" t="str">
        <f t="shared" si="296"/>
        <v>0</v>
      </c>
      <c r="AB1575" s="120">
        <f t="shared" si="297"/>
        <v>0</v>
      </c>
      <c r="AC1575" s="123">
        <v>0</v>
      </c>
      <c r="AD1575" s="123">
        <v>0</v>
      </c>
      <c r="AE1575" s="123">
        <v>2755525</v>
      </c>
      <c r="AG1575" s="151">
        <f t="shared" si="302"/>
        <v>254556</v>
      </c>
      <c r="AH1575" s="123">
        <f>798797-306067</f>
        <v>492730</v>
      </c>
      <c r="AL1575" s="123">
        <v>238174</v>
      </c>
      <c r="AO1575" s="123">
        <v>160000</v>
      </c>
    </row>
    <row r="1576" spans="1:41" s="123" customFormat="1" ht="16.2" thickBot="1" x14ac:dyDescent="0.35">
      <c r="A1576" s="21"/>
      <c r="B1576" s="212" t="s">
        <v>185</v>
      </c>
      <c r="C1576" s="31" t="str">
        <f>VLOOKUP((CONCATENATE(B1576)),ID!$A$2:$D$305,3,0)</f>
        <v>BA019</v>
      </c>
      <c r="D1576" s="21">
        <v>1</v>
      </c>
      <c r="E1576" s="21" t="s">
        <v>4005</v>
      </c>
      <c r="F1576" s="21" t="s">
        <v>1117</v>
      </c>
      <c r="G1576" s="21" t="s">
        <v>3853</v>
      </c>
      <c r="H1576" s="88">
        <v>5114</v>
      </c>
      <c r="I1576" s="43">
        <v>5122</v>
      </c>
      <c r="J1576" s="43">
        <v>5122</v>
      </c>
      <c r="K1576" s="21">
        <v>0</v>
      </c>
      <c r="L1576" s="43">
        <v>5121</v>
      </c>
      <c r="M1576" s="43">
        <v>5134</v>
      </c>
      <c r="N1576" s="43">
        <v>5134</v>
      </c>
      <c r="O1576" s="21" t="s">
        <v>4017</v>
      </c>
      <c r="P1576" s="194">
        <v>1</v>
      </c>
      <c r="Q1576" s="21">
        <v>1</v>
      </c>
      <c r="R1576" s="39" t="str">
        <f t="shared" si="300"/>
        <v>-</v>
      </c>
      <c r="S1576" s="120">
        <f t="shared" si="299"/>
        <v>3351686</v>
      </c>
      <c r="T1576" s="123">
        <v>23597692</v>
      </c>
      <c r="U1576" s="123">
        <f t="shared" si="301"/>
        <v>17349227</v>
      </c>
      <c r="V1576" s="123">
        <v>6248465</v>
      </c>
      <c r="W1576" s="122" t="str">
        <f t="shared" si="295"/>
        <v>1</v>
      </c>
      <c r="X1576" s="123">
        <v>20246006</v>
      </c>
      <c r="AA1576" s="122" t="str">
        <f t="shared" si="296"/>
        <v>0</v>
      </c>
      <c r="AB1576" s="120">
        <f t="shared" si="297"/>
        <v>0</v>
      </c>
      <c r="AC1576" s="123">
        <v>0</v>
      </c>
      <c r="AD1576" s="123">
        <v>0</v>
      </c>
      <c r="AE1576" s="123">
        <v>3633465</v>
      </c>
      <c r="AG1576" s="151">
        <f t="shared" si="302"/>
        <v>321451</v>
      </c>
      <c r="AH1576" s="123">
        <f>953109-330757</f>
        <v>622352</v>
      </c>
      <c r="AL1576" s="123">
        <v>300901</v>
      </c>
      <c r="AO1576" s="123">
        <v>160000</v>
      </c>
    </row>
    <row r="1577" spans="1:41" s="123" customFormat="1" ht="16.2" thickBot="1" x14ac:dyDescent="0.35">
      <c r="A1577" s="21"/>
      <c r="B1577" s="212" t="s">
        <v>187</v>
      </c>
      <c r="C1577" s="31" t="str">
        <f>VLOOKUP((CONCATENATE(B1577)),ID!$A$2:$D$305,3,0)</f>
        <v>BA020</v>
      </c>
      <c r="D1577" s="21">
        <v>1</v>
      </c>
      <c r="E1577" s="21" t="s">
        <v>4005</v>
      </c>
      <c r="F1577" s="21" t="s">
        <v>1117</v>
      </c>
      <c r="G1577" s="21" t="s">
        <v>3862</v>
      </c>
      <c r="H1577" s="88">
        <v>3926</v>
      </c>
      <c r="I1577" s="43">
        <v>3978</v>
      </c>
      <c r="J1577" s="43">
        <v>3987</v>
      </c>
      <c r="K1577" s="21">
        <v>1</v>
      </c>
      <c r="L1577" s="43">
        <v>3982</v>
      </c>
      <c r="M1577" s="43">
        <v>3994</v>
      </c>
      <c r="N1577" s="43">
        <v>4000</v>
      </c>
      <c r="O1577" s="60" t="s">
        <v>3774</v>
      </c>
      <c r="P1577" s="194" t="str">
        <f t="shared" si="298"/>
        <v>1</v>
      </c>
      <c r="Q1577" s="21">
        <v>1</v>
      </c>
      <c r="R1577" s="39" t="str">
        <f t="shared" si="300"/>
        <v>-</v>
      </c>
      <c r="S1577" s="120">
        <f t="shared" si="299"/>
        <v>2923752</v>
      </c>
      <c r="T1577" s="123">
        <v>35570071</v>
      </c>
      <c r="W1577" s="122" t="str">
        <f t="shared" si="295"/>
        <v>0</v>
      </c>
      <c r="X1577" s="123">
        <v>32646319</v>
      </c>
      <c r="AA1577" s="122" t="str">
        <f t="shared" si="296"/>
        <v>0</v>
      </c>
      <c r="AB1577" s="120">
        <f t="shared" si="297"/>
        <v>0</v>
      </c>
      <c r="AC1577" s="123">
        <v>0</v>
      </c>
      <c r="AD1577" s="123">
        <v>0</v>
      </c>
      <c r="AE1577" s="123">
        <v>7972243</v>
      </c>
      <c r="AG1577" s="151">
        <f t="shared" si="302"/>
        <v>360772</v>
      </c>
      <c r="AH1577" s="123">
        <f>732231-371459</f>
        <v>360772</v>
      </c>
      <c r="AJ1577" s="123">
        <v>96000</v>
      </c>
      <c r="AO1577" s="123">
        <v>80000</v>
      </c>
    </row>
    <row r="1578" spans="1:41" s="123" customFormat="1" ht="16.2" thickBot="1" x14ac:dyDescent="0.35">
      <c r="A1578" s="21">
        <v>270.10000000000002</v>
      </c>
      <c r="B1578" s="212" t="s">
        <v>187</v>
      </c>
      <c r="C1578" s="31" t="str">
        <f>VLOOKUP((CONCATENATE(B1578)),ID!$A$2:$D$305,3,0)</f>
        <v>BA020</v>
      </c>
      <c r="D1578" s="21">
        <v>1</v>
      </c>
      <c r="E1578" s="21" t="s">
        <v>4005</v>
      </c>
      <c r="F1578" s="21" t="s">
        <v>1117</v>
      </c>
      <c r="G1578" s="21" t="s">
        <v>3862</v>
      </c>
      <c r="H1578" s="88">
        <v>4291</v>
      </c>
      <c r="I1578" s="43">
        <v>4343</v>
      </c>
      <c r="J1578" s="43">
        <v>4351</v>
      </c>
      <c r="K1578" s="21">
        <v>1</v>
      </c>
      <c r="L1578" s="43">
        <v>4346</v>
      </c>
      <c r="M1578" s="43">
        <v>4358</v>
      </c>
      <c r="N1578" s="43">
        <v>4364</v>
      </c>
      <c r="O1578" s="60" t="s">
        <v>3774</v>
      </c>
      <c r="P1578" s="194" t="str">
        <f t="shared" si="298"/>
        <v>1</v>
      </c>
      <c r="Q1578" s="21">
        <v>1</v>
      </c>
      <c r="R1578" s="39" t="str">
        <f t="shared" si="300"/>
        <v>-</v>
      </c>
      <c r="S1578" s="120">
        <f t="shared" si="299"/>
        <v>3025350</v>
      </c>
      <c r="T1578" s="123">
        <v>35651052</v>
      </c>
      <c r="W1578" s="122" t="str">
        <f t="shared" si="295"/>
        <v>0</v>
      </c>
      <c r="X1578" s="123">
        <v>32625702</v>
      </c>
      <c r="AA1578" s="122" t="str">
        <f t="shared" si="296"/>
        <v>0</v>
      </c>
      <c r="AB1578" s="120">
        <f t="shared" si="297"/>
        <v>0</v>
      </c>
      <c r="AC1578" s="123">
        <v>0</v>
      </c>
      <c r="AD1578" s="123">
        <v>0</v>
      </c>
      <c r="AE1578" s="123">
        <v>7207447</v>
      </c>
      <c r="AG1578" s="151">
        <f t="shared" si="302"/>
        <v>391597</v>
      </c>
      <c r="AH1578" s="123">
        <f>780238-388641</f>
        <v>391597</v>
      </c>
      <c r="AJ1578" s="123">
        <v>96000</v>
      </c>
      <c r="AO1578" s="123">
        <v>80000</v>
      </c>
    </row>
    <row r="1579" spans="1:41" s="123" customFormat="1" ht="16.2" thickBot="1" x14ac:dyDescent="0.35">
      <c r="A1579" s="21">
        <v>270.2</v>
      </c>
      <c r="B1579" s="212" t="s">
        <v>187</v>
      </c>
      <c r="C1579" s="31" t="str">
        <f>VLOOKUP((CONCATENATE(B1579)),ID!$A$2:$D$305,3,0)</f>
        <v>BA020</v>
      </c>
      <c r="D1579" s="21">
        <v>1</v>
      </c>
      <c r="E1579" s="21" t="s">
        <v>4005</v>
      </c>
      <c r="F1579" s="21" t="s">
        <v>1117</v>
      </c>
      <c r="G1579" s="21" t="s">
        <v>3862</v>
      </c>
      <c r="H1579" s="88">
        <v>4657</v>
      </c>
      <c r="I1579" s="43">
        <v>4711</v>
      </c>
      <c r="J1579" s="43">
        <v>4715</v>
      </c>
      <c r="K1579" s="21">
        <v>1</v>
      </c>
      <c r="L1579" s="43">
        <v>4710</v>
      </c>
      <c r="M1579" s="43">
        <v>4722</v>
      </c>
      <c r="N1579" s="43">
        <v>4727</v>
      </c>
      <c r="O1579" s="60" t="s">
        <v>3774</v>
      </c>
      <c r="P1579" s="194" t="str">
        <f t="shared" si="298"/>
        <v>1</v>
      </c>
      <c r="Q1579" s="21">
        <v>1</v>
      </c>
      <c r="R1579" s="39" t="str">
        <f t="shared" si="300"/>
        <v>-</v>
      </c>
      <c r="S1579" s="120">
        <f t="shared" si="299"/>
        <v>4409961</v>
      </c>
      <c r="T1579" s="123">
        <v>38193519</v>
      </c>
      <c r="W1579" s="122" t="str">
        <f t="shared" si="295"/>
        <v>0</v>
      </c>
      <c r="X1579" s="123">
        <v>33783558</v>
      </c>
      <c r="AA1579" s="122" t="str">
        <f t="shared" si="296"/>
        <v>0</v>
      </c>
      <c r="AB1579" s="120">
        <f t="shared" si="297"/>
        <v>0</v>
      </c>
      <c r="AC1579" s="123">
        <v>0</v>
      </c>
      <c r="AD1579" s="123">
        <v>0</v>
      </c>
      <c r="AE1579" s="123">
        <v>7495256</v>
      </c>
      <c r="AG1579" s="151">
        <f t="shared" si="302"/>
        <v>477778</v>
      </c>
      <c r="AH1579" s="123">
        <f>892660-414882</f>
        <v>477778</v>
      </c>
      <c r="AJ1579" s="123">
        <v>96000</v>
      </c>
      <c r="AO1579" s="123">
        <v>120000</v>
      </c>
    </row>
    <row r="1580" spans="1:41" s="123" customFormat="1" ht="16.2" thickBot="1" x14ac:dyDescent="0.35">
      <c r="A1580" s="21"/>
      <c r="B1580" s="212" t="s">
        <v>187</v>
      </c>
      <c r="C1580" s="31" t="str">
        <f>VLOOKUP((CONCATENATE(B1580)),ID!$A$2:$D$305,3,0)</f>
        <v>BA020</v>
      </c>
      <c r="D1580" s="21">
        <v>1</v>
      </c>
      <c r="E1580" s="21" t="s">
        <v>4005</v>
      </c>
      <c r="F1580" s="21" t="s">
        <v>1117</v>
      </c>
      <c r="G1580" s="21" t="s">
        <v>3862</v>
      </c>
      <c r="H1580" s="88">
        <v>5022</v>
      </c>
      <c r="I1580" s="43">
        <v>5071</v>
      </c>
      <c r="J1580" s="43">
        <v>5077</v>
      </c>
      <c r="K1580" s="21">
        <v>1</v>
      </c>
      <c r="L1580" s="43" t="s">
        <v>4114</v>
      </c>
      <c r="M1580" s="43">
        <v>5086</v>
      </c>
      <c r="N1580" s="43">
        <v>5092</v>
      </c>
      <c r="O1580" s="60" t="s">
        <v>3774</v>
      </c>
      <c r="P1580" s="194" t="str">
        <f t="shared" si="298"/>
        <v>1</v>
      </c>
      <c r="Q1580" s="21">
        <v>1</v>
      </c>
      <c r="R1580" s="39" t="str">
        <f t="shared" si="300"/>
        <v>-</v>
      </c>
      <c r="S1580" s="120">
        <f t="shared" si="299"/>
        <v>4352188</v>
      </c>
      <c r="T1580" s="123">
        <v>39829818</v>
      </c>
      <c r="W1580" s="122" t="str">
        <f t="shared" si="295"/>
        <v>0</v>
      </c>
      <c r="X1580" s="123">
        <v>35477630</v>
      </c>
      <c r="AA1580" s="122" t="str">
        <f t="shared" si="296"/>
        <v>0</v>
      </c>
      <c r="AB1580" s="120">
        <f t="shared" si="297"/>
        <v>0</v>
      </c>
      <c r="AC1580" s="123">
        <v>0</v>
      </c>
      <c r="AD1580" s="123">
        <v>0</v>
      </c>
      <c r="AE1580" s="123">
        <v>7837121</v>
      </c>
      <c r="AG1580" s="151">
        <f t="shared" si="302"/>
        <v>422227</v>
      </c>
      <c r="AH1580" s="123">
        <f>868793-446566</f>
        <v>422227</v>
      </c>
      <c r="AJ1580" s="123">
        <v>144000</v>
      </c>
      <c r="AO1580" s="123">
        <v>120000</v>
      </c>
    </row>
    <row r="1581" spans="1:41" s="123" customFormat="1" ht="16.2" thickBot="1" x14ac:dyDescent="0.35">
      <c r="A1581" s="21"/>
      <c r="B1581" s="212" t="s">
        <v>187</v>
      </c>
      <c r="C1581" s="31" t="str">
        <f>VLOOKUP((CONCATENATE(B1581)),ID!$A$2:$D$305,3,0)</f>
        <v>BA020</v>
      </c>
      <c r="D1581" s="21">
        <v>1</v>
      </c>
      <c r="E1581" s="21" t="s">
        <v>4005</v>
      </c>
      <c r="F1581" s="21" t="s">
        <v>1117</v>
      </c>
      <c r="G1581" s="21" t="s">
        <v>3862</v>
      </c>
      <c r="H1581" s="88">
        <v>5387</v>
      </c>
      <c r="I1581" s="43">
        <v>5442</v>
      </c>
      <c r="J1581" s="43">
        <v>5444</v>
      </c>
      <c r="K1581" s="21">
        <v>1</v>
      </c>
      <c r="L1581" s="43">
        <v>5445</v>
      </c>
      <c r="M1581" s="43">
        <v>5457</v>
      </c>
      <c r="N1581" s="43">
        <v>5463</v>
      </c>
      <c r="O1581" s="60" t="s">
        <v>3774</v>
      </c>
      <c r="P1581" s="194" t="str">
        <f t="shared" si="298"/>
        <v>1</v>
      </c>
      <c r="Q1581" s="21">
        <v>1</v>
      </c>
      <c r="R1581" s="39" t="str">
        <f t="shared" si="300"/>
        <v>-</v>
      </c>
      <c r="S1581" s="120">
        <f t="shared" si="299"/>
        <v>4201158</v>
      </c>
      <c r="T1581" s="123">
        <v>32392385</v>
      </c>
      <c r="W1581" s="122" t="str">
        <f t="shared" si="295"/>
        <v>0</v>
      </c>
      <c r="X1581" s="123">
        <v>28191227</v>
      </c>
      <c r="AA1581" s="122" t="str">
        <f t="shared" si="296"/>
        <v>0</v>
      </c>
      <c r="AB1581" s="120">
        <f t="shared" si="297"/>
        <v>0</v>
      </c>
      <c r="AC1581" s="123">
        <v>0</v>
      </c>
      <c r="AD1581" s="123">
        <v>0</v>
      </c>
      <c r="AE1581" s="123">
        <v>10799963</v>
      </c>
      <c r="AG1581" s="151">
        <f t="shared" si="302"/>
        <v>238970</v>
      </c>
      <c r="AH1581" s="123">
        <f>660690-421720</f>
        <v>238970</v>
      </c>
      <c r="AJ1581" s="123">
        <v>144000</v>
      </c>
      <c r="AO1581" s="123">
        <v>120000</v>
      </c>
    </row>
    <row r="1582" spans="1:41" s="123" customFormat="1" ht="16.2" thickBot="1" x14ac:dyDescent="0.35">
      <c r="A1582" s="21"/>
      <c r="B1582" s="212" t="s">
        <v>188</v>
      </c>
      <c r="C1582" s="31" t="str">
        <f>VLOOKUP((CONCATENATE(B1582)),ID!$A$2:$D$305,3,0)</f>
        <v>BA021</v>
      </c>
      <c r="D1582" s="21">
        <v>0</v>
      </c>
      <c r="E1582" s="21" t="s">
        <v>4005</v>
      </c>
      <c r="F1582" s="21" t="s">
        <v>1117</v>
      </c>
      <c r="G1582" s="21" t="s">
        <v>3853</v>
      </c>
      <c r="H1582" s="88">
        <v>3653</v>
      </c>
      <c r="I1582" s="43">
        <v>3663</v>
      </c>
      <c r="J1582" s="43">
        <v>3670</v>
      </c>
      <c r="K1582" s="21">
        <v>1</v>
      </c>
      <c r="L1582" s="43">
        <v>3666</v>
      </c>
      <c r="M1582" s="43">
        <v>3680</v>
      </c>
      <c r="N1582" s="43">
        <v>3680</v>
      </c>
      <c r="O1582" s="21" t="s">
        <v>4018</v>
      </c>
      <c r="P1582" s="194">
        <v>1</v>
      </c>
      <c r="Q1582" s="21">
        <v>1</v>
      </c>
      <c r="R1582" s="39" t="str">
        <f t="shared" si="300"/>
        <v>-</v>
      </c>
      <c r="S1582" s="120">
        <f t="shared" si="299"/>
        <v>2132565</v>
      </c>
      <c r="T1582" s="123">
        <v>18052732</v>
      </c>
      <c r="U1582" s="123">
        <f>196253+539320+7553896+4034198</f>
        <v>12323667</v>
      </c>
      <c r="V1582" s="123">
        <f t="shared" si="294"/>
        <v>5729065</v>
      </c>
      <c r="W1582" s="122" t="str">
        <f t="shared" si="295"/>
        <v>1</v>
      </c>
      <c r="X1582" s="123">
        <v>15920167</v>
      </c>
      <c r="AA1582" s="122" t="str">
        <f t="shared" si="296"/>
        <v>0</v>
      </c>
      <c r="AB1582" s="120">
        <f t="shared" si="297"/>
        <v>0</v>
      </c>
      <c r="AC1582" s="123">
        <v>0</v>
      </c>
      <c r="AD1582" s="123">
        <v>0</v>
      </c>
      <c r="AE1582" s="123">
        <v>4392437</v>
      </c>
      <c r="AG1582" s="151">
        <f t="shared" si="302"/>
        <v>95102</v>
      </c>
      <c r="AH1582" s="123">
        <f>300689-152459</f>
        <v>148230</v>
      </c>
      <c r="AJ1582" s="123">
        <v>80000</v>
      </c>
      <c r="AL1582" s="123">
        <v>53128</v>
      </c>
      <c r="AO1582" s="123">
        <v>50000</v>
      </c>
    </row>
    <row r="1583" spans="1:41" s="138" customFormat="1" ht="16.2" thickBot="1" x14ac:dyDescent="0.35">
      <c r="A1583" s="77"/>
      <c r="B1583" s="212" t="s">
        <v>188</v>
      </c>
      <c r="C1583" s="31" t="str">
        <f>VLOOKUP((CONCATENATE(B1583)),ID!$A$2:$D$305,3,0)</f>
        <v>BA021</v>
      </c>
      <c r="D1583" s="21">
        <v>0</v>
      </c>
      <c r="E1583" s="77"/>
      <c r="F1583" s="77"/>
      <c r="G1583" s="77"/>
      <c r="H1583" s="107">
        <v>3834</v>
      </c>
      <c r="I1583" s="108"/>
      <c r="J1583" s="108"/>
      <c r="K1583" s="77"/>
      <c r="L1583" s="108"/>
      <c r="M1583" s="108"/>
      <c r="N1583" s="108"/>
      <c r="O1583" s="21" t="s">
        <v>4018</v>
      </c>
      <c r="P1583" s="39" t="str">
        <f t="shared" si="298"/>
        <v>1</v>
      </c>
      <c r="Q1583" s="77">
        <v>1</v>
      </c>
      <c r="R1583" s="39" t="str">
        <f t="shared" si="300"/>
        <v>-</v>
      </c>
      <c r="S1583" s="137">
        <f t="shared" si="299"/>
        <v>2120111</v>
      </c>
      <c r="T1583" s="138">
        <v>18659074</v>
      </c>
      <c r="U1583" s="138">
        <f>4128048+538927+172068+7914980</f>
        <v>12754023</v>
      </c>
      <c r="V1583" s="138">
        <f t="shared" si="294"/>
        <v>5905051</v>
      </c>
      <c r="W1583" s="122" t="str">
        <f t="shared" si="295"/>
        <v>1</v>
      </c>
      <c r="X1583" s="138">
        <f>T1583-2000000-120111</f>
        <v>16538963</v>
      </c>
      <c r="AA1583" s="122" t="str">
        <f t="shared" si="296"/>
        <v>0</v>
      </c>
      <c r="AB1583" s="137">
        <f t="shared" si="297"/>
        <v>0</v>
      </c>
      <c r="AC1583" s="138">
        <v>0</v>
      </c>
      <c r="AD1583" s="138">
        <v>0</v>
      </c>
      <c r="AE1583" s="138">
        <v>4287534</v>
      </c>
      <c r="AG1583" s="153">
        <f t="shared" si="302"/>
        <v>80547</v>
      </c>
      <c r="AH1583" s="138">
        <f>328302-168246-AK1583</f>
        <v>140056</v>
      </c>
      <c r="AJ1583" s="138">
        <v>80000</v>
      </c>
      <c r="AK1583" s="138">
        <v>20000</v>
      </c>
      <c r="AL1583" s="138">
        <v>59509</v>
      </c>
      <c r="AO1583" s="138">
        <v>50000</v>
      </c>
    </row>
    <row r="1584" spans="1:41" s="123" customFormat="1" ht="16.2" thickBot="1" x14ac:dyDescent="0.35">
      <c r="A1584" s="21">
        <v>271.10000000000002</v>
      </c>
      <c r="B1584" s="212" t="s">
        <v>188</v>
      </c>
      <c r="C1584" s="31" t="str">
        <f>VLOOKUP((CONCATENATE(B1584)),ID!$A$2:$D$305,3,0)</f>
        <v>BA021</v>
      </c>
      <c r="D1584" s="21">
        <v>0</v>
      </c>
      <c r="E1584" s="21" t="s">
        <v>4005</v>
      </c>
      <c r="F1584" s="21" t="s">
        <v>1117</v>
      </c>
      <c r="G1584" s="21" t="s">
        <v>3853</v>
      </c>
      <c r="H1584" s="88">
        <v>4018</v>
      </c>
      <c r="I1584" s="43">
        <v>4027</v>
      </c>
      <c r="J1584" s="43">
        <v>4034</v>
      </c>
      <c r="K1584" s="21">
        <v>1</v>
      </c>
      <c r="L1584" s="43">
        <v>4030</v>
      </c>
      <c r="M1584" s="43">
        <v>4044</v>
      </c>
      <c r="N1584" s="43">
        <v>4044</v>
      </c>
      <c r="O1584" s="21" t="s">
        <v>4018</v>
      </c>
      <c r="P1584" s="194" t="str">
        <f t="shared" si="298"/>
        <v>1</v>
      </c>
      <c r="Q1584" s="21">
        <v>1</v>
      </c>
      <c r="R1584" s="39" t="str">
        <f t="shared" si="300"/>
        <v>-</v>
      </c>
      <c r="S1584" s="120">
        <f t="shared" si="299"/>
        <v>2115531</v>
      </c>
      <c r="T1584" s="123">
        <v>19048114</v>
      </c>
      <c r="U1584" s="123">
        <f>150675+559053+8016211+3977781</f>
        <v>12703720</v>
      </c>
      <c r="V1584" s="123">
        <f t="shared" si="294"/>
        <v>6344394</v>
      </c>
      <c r="W1584" s="122" t="str">
        <f t="shared" si="295"/>
        <v>1</v>
      </c>
      <c r="X1584" s="123">
        <v>16932583</v>
      </c>
      <c r="AA1584" s="122" t="str">
        <f t="shared" si="296"/>
        <v>0</v>
      </c>
      <c r="AB1584" s="120">
        <f t="shared" si="297"/>
        <v>0</v>
      </c>
      <c r="AC1584" s="123">
        <v>0</v>
      </c>
      <c r="AD1584" s="123">
        <v>0</v>
      </c>
      <c r="AE1584" s="123">
        <v>4729880</v>
      </c>
      <c r="AG1584" s="151">
        <f t="shared" si="302"/>
        <v>84420</v>
      </c>
      <c r="AH1584" s="123">
        <f>336961-AK1584-159935</f>
        <v>152026</v>
      </c>
      <c r="AJ1584" s="123">
        <v>80000</v>
      </c>
      <c r="AK1584" s="123">
        <v>25000</v>
      </c>
      <c r="AL1584" s="123">
        <v>67606</v>
      </c>
      <c r="AO1584" s="123">
        <v>50000</v>
      </c>
    </row>
    <row r="1585" spans="1:41" s="123" customFormat="1" ht="16.2" thickBot="1" x14ac:dyDescent="0.35">
      <c r="A1585" s="21">
        <v>271.2</v>
      </c>
      <c r="B1585" s="212" t="s">
        <v>188</v>
      </c>
      <c r="C1585" s="31" t="str">
        <f>VLOOKUP((CONCATENATE(B1585)),ID!$A$2:$D$305,3,0)</f>
        <v>BA021</v>
      </c>
      <c r="D1585" s="21">
        <v>0</v>
      </c>
      <c r="E1585" s="21" t="s">
        <v>4005</v>
      </c>
      <c r="F1585" s="21" t="s">
        <v>1117</v>
      </c>
      <c r="G1585" s="21" t="s">
        <v>3853</v>
      </c>
      <c r="H1585" s="88">
        <v>4199</v>
      </c>
      <c r="I1585" s="43">
        <v>4209</v>
      </c>
      <c r="J1585" s="43">
        <v>40737</v>
      </c>
      <c r="K1585" s="21">
        <v>1</v>
      </c>
      <c r="L1585" s="43">
        <v>4216</v>
      </c>
      <c r="M1585" s="43">
        <v>4226</v>
      </c>
      <c r="N1585" s="43">
        <v>4226</v>
      </c>
      <c r="O1585" s="21" t="s">
        <v>4018</v>
      </c>
      <c r="P1585" s="194" t="str">
        <f t="shared" si="298"/>
        <v>1</v>
      </c>
      <c r="Q1585" s="21">
        <v>1</v>
      </c>
      <c r="R1585" s="39" t="str">
        <f t="shared" si="300"/>
        <v>-</v>
      </c>
      <c r="S1585" s="120">
        <f t="shared" si="299"/>
        <v>2125566</v>
      </c>
      <c r="T1585" s="123">
        <v>20152422</v>
      </c>
      <c r="U1585" s="123">
        <f>141918+574834+8497555+3818632</f>
        <v>13032939</v>
      </c>
      <c r="V1585" s="123">
        <f t="shared" si="294"/>
        <v>7119483</v>
      </c>
      <c r="W1585" s="122" t="str">
        <f t="shared" si="295"/>
        <v>1</v>
      </c>
      <c r="X1585" s="123">
        <v>18026856</v>
      </c>
      <c r="AA1585" s="122" t="str">
        <f t="shared" si="296"/>
        <v>0</v>
      </c>
      <c r="AB1585" s="120">
        <f t="shared" si="297"/>
        <v>0</v>
      </c>
      <c r="AC1585" s="123">
        <v>0</v>
      </c>
      <c r="AD1585" s="123">
        <v>0</v>
      </c>
      <c r="AE1585" s="123">
        <v>4890565</v>
      </c>
      <c r="AG1585" s="151">
        <f t="shared" si="302"/>
        <v>94035</v>
      </c>
      <c r="AH1585" s="123">
        <f>338185-AK1585-174227</f>
        <v>153958</v>
      </c>
      <c r="AJ1585" s="123">
        <v>80000</v>
      </c>
      <c r="AK1585" s="123">
        <v>10000</v>
      </c>
      <c r="AL1585" s="123">
        <v>59923</v>
      </c>
      <c r="AO1585" s="123">
        <v>50000</v>
      </c>
    </row>
    <row r="1586" spans="1:41" s="123" customFormat="1" ht="16.2" thickBot="1" x14ac:dyDescent="0.35">
      <c r="A1586" s="21">
        <v>271.3</v>
      </c>
      <c r="B1586" s="212" t="s">
        <v>188</v>
      </c>
      <c r="C1586" s="31" t="str">
        <f>VLOOKUP((CONCATENATE(B1586)),ID!$A$2:$D$305,3,0)</f>
        <v>BA021</v>
      </c>
      <c r="D1586" s="21">
        <v>0</v>
      </c>
      <c r="E1586" s="21" t="s">
        <v>4005</v>
      </c>
      <c r="F1586" s="21" t="s">
        <v>1117</v>
      </c>
      <c r="G1586" s="21" t="s">
        <v>3853</v>
      </c>
      <c r="H1586" s="88">
        <v>4383</v>
      </c>
      <c r="I1586" s="43">
        <v>4398</v>
      </c>
      <c r="J1586" s="43">
        <v>4398</v>
      </c>
      <c r="K1586" s="21">
        <v>1</v>
      </c>
      <c r="L1586" s="43">
        <v>4408</v>
      </c>
      <c r="M1586" s="43">
        <v>4415</v>
      </c>
      <c r="N1586" s="43">
        <v>4415</v>
      </c>
      <c r="O1586" s="21" t="s">
        <v>4018</v>
      </c>
      <c r="P1586" s="194" t="str">
        <f t="shared" si="298"/>
        <v>1</v>
      </c>
      <c r="Q1586" s="21">
        <v>1</v>
      </c>
      <c r="R1586" s="39" t="str">
        <f t="shared" si="300"/>
        <v>-</v>
      </c>
      <c r="S1586" s="120">
        <f t="shared" si="299"/>
        <v>2121081</v>
      </c>
      <c r="T1586" s="123">
        <v>21271487</v>
      </c>
      <c r="U1586" s="123">
        <f>3599096+8474561+590587+165759</f>
        <v>12830003</v>
      </c>
      <c r="V1586" s="123">
        <f t="shared" si="294"/>
        <v>8441484</v>
      </c>
      <c r="W1586" s="122" t="str">
        <f t="shared" si="295"/>
        <v>1</v>
      </c>
      <c r="X1586" s="123">
        <v>19150406</v>
      </c>
      <c r="AA1586" s="122" t="str">
        <f t="shared" si="296"/>
        <v>0</v>
      </c>
      <c r="AB1586" s="120">
        <f t="shared" si="297"/>
        <v>0</v>
      </c>
      <c r="AC1586" s="123">
        <v>0</v>
      </c>
      <c r="AD1586" s="123">
        <v>0</v>
      </c>
      <c r="AE1586" s="123">
        <v>5265539</v>
      </c>
      <c r="AG1586" s="151">
        <f t="shared" si="302"/>
        <v>75515</v>
      </c>
      <c r="AH1586" s="123">
        <f>355103-174466-AK1586</f>
        <v>150637</v>
      </c>
      <c r="AI1586" s="123">
        <v>5000</v>
      </c>
      <c r="AJ1586" s="123">
        <v>85000</v>
      </c>
      <c r="AK1586" s="123">
        <v>30000</v>
      </c>
      <c r="AL1586" s="123">
        <v>70122</v>
      </c>
      <c r="AO1586" s="123">
        <v>50000</v>
      </c>
    </row>
    <row r="1587" spans="1:41" s="123" customFormat="1" ht="16.2" thickBot="1" x14ac:dyDescent="0.35">
      <c r="A1587" s="21"/>
      <c r="B1587" s="212" t="s">
        <v>188</v>
      </c>
      <c r="C1587" s="31" t="str">
        <f>VLOOKUP((CONCATENATE(B1587)),ID!$A$2:$D$305,3,0)</f>
        <v>BA021</v>
      </c>
      <c r="D1587" s="21">
        <v>0</v>
      </c>
      <c r="E1587" s="21"/>
      <c r="F1587" s="21"/>
      <c r="G1587" s="21"/>
      <c r="H1587" s="88">
        <v>4565</v>
      </c>
      <c r="I1587" s="43"/>
      <c r="J1587" s="43"/>
      <c r="K1587" s="21"/>
      <c r="L1587" s="43"/>
      <c r="M1587" s="43"/>
      <c r="N1587" s="43"/>
      <c r="O1587" s="21" t="s">
        <v>4018</v>
      </c>
      <c r="P1587" s="194">
        <v>0</v>
      </c>
      <c r="Q1587" s="21">
        <v>1</v>
      </c>
      <c r="R1587" s="39" t="str">
        <f t="shared" si="300"/>
        <v>-</v>
      </c>
      <c r="S1587" s="120">
        <f t="shared" si="299"/>
        <v>2075000</v>
      </c>
      <c r="T1587" s="123">
        <v>22001751</v>
      </c>
      <c r="U1587" s="123">
        <f>3696601+9102088+591941+204735</f>
        <v>13595365</v>
      </c>
      <c r="V1587" s="123">
        <f t="shared" si="294"/>
        <v>8406386</v>
      </c>
      <c r="W1587" s="122" t="str">
        <f t="shared" si="295"/>
        <v>1</v>
      </c>
      <c r="X1587" s="123">
        <f>T1587-1050000-1025000</f>
        <v>19926751</v>
      </c>
      <c r="AA1587" s="122" t="str">
        <f t="shared" si="296"/>
        <v>0</v>
      </c>
      <c r="AB1587" s="120">
        <f t="shared" si="297"/>
        <v>0</v>
      </c>
      <c r="AC1587" s="123">
        <v>0</v>
      </c>
      <c r="AD1587" s="123">
        <v>0</v>
      </c>
      <c r="AE1587" s="123">
        <v>5241504</v>
      </c>
      <c r="AG1587" s="153">
        <f t="shared" si="302"/>
        <v>0</v>
      </c>
      <c r="AH1587" s="138"/>
      <c r="AI1587" s="138"/>
      <c r="AJ1587" s="138"/>
      <c r="AK1587" s="138"/>
      <c r="AL1587" s="138"/>
      <c r="AM1587" s="138"/>
      <c r="AN1587" s="138"/>
      <c r="AO1587" s="123">
        <v>250000</v>
      </c>
    </row>
    <row r="1588" spans="1:41" s="123" customFormat="1" ht="16.2" thickBot="1" x14ac:dyDescent="0.35">
      <c r="A1588" s="21"/>
      <c r="B1588" s="212" t="s">
        <v>188</v>
      </c>
      <c r="C1588" s="31" t="str">
        <f>VLOOKUP((CONCATENATE(B1588)),ID!$A$2:$D$305,3,0)</f>
        <v>BA021</v>
      </c>
      <c r="D1588" s="21">
        <v>0</v>
      </c>
      <c r="E1588" s="21" t="s">
        <v>4005</v>
      </c>
      <c r="F1588" s="21" t="s">
        <v>1117</v>
      </c>
      <c r="G1588" s="21" t="s">
        <v>3853</v>
      </c>
      <c r="H1588" s="88">
        <v>4749</v>
      </c>
      <c r="I1588" s="43">
        <v>4762</v>
      </c>
      <c r="J1588" s="43">
        <v>4762</v>
      </c>
      <c r="K1588" s="21">
        <v>1</v>
      </c>
      <c r="L1588" s="43">
        <v>4765</v>
      </c>
      <c r="M1588" s="43">
        <v>4772</v>
      </c>
      <c r="N1588" s="43">
        <v>4772</v>
      </c>
      <c r="O1588" s="21" t="s">
        <v>4018</v>
      </c>
      <c r="P1588" s="194" t="str">
        <f t="shared" si="298"/>
        <v>1</v>
      </c>
      <c r="Q1588" s="21">
        <v>1</v>
      </c>
      <c r="R1588" s="39" t="str">
        <f t="shared" si="300"/>
        <v>-</v>
      </c>
      <c r="S1588" s="120">
        <f t="shared" si="299"/>
        <v>2279625</v>
      </c>
      <c r="T1588" s="123">
        <v>23489193</v>
      </c>
      <c r="U1588" s="123">
        <f>3465422+9256322+599635+251799</f>
        <v>13573178</v>
      </c>
      <c r="V1588" s="123">
        <f t="shared" si="294"/>
        <v>9916015</v>
      </c>
      <c r="W1588" s="122" t="str">
        <f t="shared" si="295"/>
        <v>1</v>
      </c>
      <c r="X1588" s="123">
        <v>21209568</v>
      </c>
      <c r="AA1588" s="122" t="str">
        <f t="shared" si="296"/>
        <v>0</v>
      </c>
      <c r="AB1588" s="120">
        <f t="shared" si="297"/>
        <v>0</v>
      </c>
      <c r="AC1588" s="123">
        <v>0</v>
      </c>
      <c r="AD1588" s="123">
        <v>0</v>
      </c>
      <c r="AE1588" s="123">
        <v>6202923</v>
      </c>
      <c r="AG1588" s="151">
        <f t="shared" si="302"/>
        <v>169378</v>
      </c>
      <c r="AH1588" s="123">
        <f>814769-70000-404758</f>
        <v>340011</v>
      </c>
      <c r="AJ1588" s="123">
        <v>80833</v>
      </c>
      <c r="AK1588" s="123">
        <v>70000</v>
      </c>
      <c r="AL1588" s="123">
        <v>170633</v>
      </c>
      <c r="AO1588" s="123">
        <v>250000</v>
      </c>
    </row>
    <row r="1589" spans="1:41" s="123" customFormat="1" ht="16.2" thickBot="1" x14ac:dyDescent="0.35">
      <c r="A1589" s="21"/>
      <c r="B1589" s="212" t="s">
        <v>188</v>
      </c>
      <c r="C1589" s="31" t="str">
        <f>VLOOKUP((CONCATENATE(B1589)),ID!$A$2:$D$305,3,0)</f>
        <v>BA021</v>
      </c>
      <c r="D1589" s="21">
        <v>0</v>
      </c>
      <c r="E1589" s="21"/>
      <c r="F1589" s="21"/>
      <c r="G1589" s="21"/>
      <c r="H1589" s="88">
        <v>4930</v>
      </c>
      <c r="I1589" s="43"/>
      <c r="J1589" s="43"/>
      <c r="K1589" s="21"/>
      <c r="L1589" s="43"/>
      <c r="M1589" s="43"/>
      <c r="N1589" s="43"/>
      <c r="O1589" s="21" t="s">
        <v>4018</v>
      </c>
      <c r="P1589" s="194">
        <v>0</v>
      </c>
      <c r="Q1589" s="21">
        <v>1</v>
      </c>
      <c r="R1589" s="39" t="str">
        <f t="shared" si="300"/>
        <v>-</v>
      </c>
      <c r="S1589" s="120">
        <f t="shared" si="299"/>
        <v>2250000</v>
      </c>
      <c r="T1589" s="123">
        <v>24407369</v>
      </c>
      <c r="U1589" s="123">
        <f>3623026+9841336+599669+313964</f>
        <v>14377995</v>
      </c>
      <c r="V1589" s="123">
        <f t="shared" si="294"/>
        <v>10029374</v>
      </c>
      <c r="W1589" s="122" t="str">
        <f t="shared" si="295"/>
        <v>1</v>
      </c>
      <c r="X1589" s="123">
        <f>T1589-1125000-1125000</f>
        <v>22157369</v>
      </c>
      <c r="AA1589" s="122" t="str">
        <f t="shared" si="296"/>
        <v>0</v>
      </c>
      <c r="AB1589" s="120">
        <f t="shared" si="297"/>
        <v>0</v>
      </c>
      <c r="AC1589" s="123">
        <v>0</v>
      </c>
      <c r="AD1589" s="123">
        <v>0</v>
      </c>
      <c r="AE1589" s="123">
        <v>5906674</v>
      </c>
      <c r="AG1589" s="151"/>
      <c r="AO1589" s="123">
        <v>250000</v>
      </c>
    </row>
    <row r="1590" spans="1:41" s="123" customFormat="1" ht="16.2" thickBot="1" x14ac:dyDescent="0.35">
      <c r="A1590" s="21"/>
      <c r="B1590" s="212" t="s">
        <v>188</v>
      </c>
      <c r="C1590" s="31" t="str">
        <f>VLOOKUP((CONCATENATE(B1590)),ID!$A$2:$D$305,3,0)</f>
        <v>BA021</v>
      </c>
      <c r="D1590" s="21">
        <v>0</v>
      </c>
      <c r="E1590" s="21" t="s">
        <v>4005</v>
      </c>
      <c r="F1590" s="21" t="s">
        <v>1117</v>
      </c>
      <c r="G1590" s="21" t="s">
        <v>3853</v>
      </c>
      <c r="H1590" s="88">
        <v>5114</v>
      </c>
      <c r="I1590" s="43">
        <v>5126</v>
      </c>
      <c r="J1590" s="43">
        <v>5126</v>
      </c>
      <c r="K1590" s="21">
        <v>0</v>
      </c>
      <c r="L1590" s="21"/>
      <c r="M1590" s="21"/>
      <c r="N1590" s="43">
        <v>5136</v>
      </c>
      <c r="O1590" s="21" t="s">
        <v>4018</v>
      </c>
      <c r="P1590" s="194" t="str">
        <f t="shared" si="298"/>
        <v>1</v>
      </c>
      <c r="Q1590" s="21">
        <v>1</v>
      </c>
      <c r="R1590" s="39" t="str">
        <f t="shared" si="300"/>
        <v>-</v>
      </c>
      <c r="S1590" s="120">
        <f t="shared" si="299"/>
        <v>3929581</v>
      </c>
      <c r="T1590" s="123">
        <v>25450598</v>
      </c>
      <c r="U1590" s="123">
        <f>3492824+9799181+647403+283708</f>
        <v>14223116</v>
      </c>
      <c r="V1590" s="123">
        <f t="shared" si="294"/>
        <v>11227482</v>
      </c>
      <c r="W1590" s="122" t="str">
        <f t="shared" si="295"/>
        <v>1</v>
      </c>
      <c r="X1590" s="123">
        <v>21521017</v>
      </c>
      <c r="AA1590" s="122" t="str">
        <f t="shared" si="296"/>
        <v>0</v>
      </c>
      <c r="AB1590" s="120">
        <f t="shared" si="297"/>
        <v>0</v>
      </c>
      <c r="AC1590" s="123">
        <v>0</v>
      </c>
      <c r="AD1590" s="123">
        <v>0</v>
      </c>
      <c r="AE1590" s="123">
        <v>6520085</v>
      </c>
      <c r="AG1590" s="151">
        <f t="shared" si="302"/>
        <v>193185</v>
      </c>
      <c r="AH1590" s="123">
        <f>938012-AK1590-401582</f>
        <v>461430</v>
      </c>
      <c r="AJ1590" s="123">
        <v>88333</v>
      </c>
      <c r="AK1590" s="123">
        <v>75000</v>
      </c>
      <c r="AL1590" s="123">
        <v>268245</v>
      </c>
      <c r="AO1590" s="123">
        <v>250000</v>
      </c>
    </row>
    <row r="1591" spans="1:41" s="123" customFormat="1" ht="16.2" thickBot="1" x14ac:dyDescent="0.35">
      <c r="A1591" s="21"/>
      <c r="B1591" s="212" t="s">
        <v>188</v>
      </c>
      <c r="C1591" s="31" t="str">
        <f>VLOOKUP((CONCATENATE(B1591)),ID!$A$2:$D$305,3,0)</f>
        <v>BA021</v>
      </c>
      <c r="D1591" s="21">
        <v>0</v>
      </c>
      <c r="E1591" s="21"/>
      <c r="F1591" s="21"/>
      <c r="G1591" s="21"/>
      <c r="H1591" s="88">
        <v>5295</v>
      </c>
      <c r="I1591" s="43"/>
      <c r="J1591" s="43"/>
      <c r="K1591" s="21"/>
      <c r="L1591" s="21"/>
      <c r="M1591" s="21"/>
      <c r="N1591" s="43"/>
      <c r="O1591" s="21" t="s">
        <v>4018</v>
      </c>
      <c r="P1591" s="194">
        <v>0</v>
      </c>
      <c r="Q1591" s="21">
        <v>1</v>
      </c>
      <c r="R1591" s="39" t="str">
        <f t="shared" si="300"/>
        <v>-</v>
      </c>
      <c r="S1591" s="120">
        <f t="shared" si="299"/>
        <v>2600000</v>
      </c>
      <c r="T1591" s="123">
        <v>26110535</v>
      </c>
      <c r="U1591" s="123">
        <f>3849868+10514975+647405+482404</f>
        <v>15494652</v>
      </c>
      <c r="V1591" s="123">
        <f t="shared" si="294"/>
        <v>10615883</v>
      </c>
      <c r="W1591" s="122" t="str">
        <f t="shared" si="295"/>
        <v>1</v>
      </c>
      <c r="X1591" s="123">
        <f>T1591-1350000-1250000</f>
        <v>23510535</v>
      </c>
      <c r="AA1591" s="122" t="str">
        <f t="shared" si="296"/>
        <v>0</v>
      </c>
      <c r="AB1591" s="120">
        <f t="shared" si="297"/>
        <v>0</v>
      </c>
      <c r="AC1591" s="123">
        <v>0</v>
      </c>
      <c r="AD1591" s="123">
        <v>0</v>
      </c>
      <c r="AE1591" s="123">
        <v>6629581</v>
      </c>
      <c r="AG1591" s="151"/>
      <c r="AO1591" s="123">
        <v>250000</v>
      </c>
    </row>
    <row r="1592" spans="1:41" s="123" customFormat="1" ht="16.2" thickBot="1" x14ac:dyDescent="0.35">
      <c r="A1592" s="21"/>
      <c r="B1592" s="212" t="s">
        <v>190</v>
      </c>
      <c r="C1592" s="31" t="str">
        <f>VLOOKUP((CONCATENATE(B1592)),ID!$A$2:$D$305,3,0)</f>
        <v>BA022</v>
      </c>
      <c r="D1592" s="21">
        <v>1</v>
      </c>
      <c r="E1592" s="21" t="s">
        <v>4005</v>
      </c>
      <c r="F1592" s="21" t="s">
        <v>1117</v>
      </c>
      <c r="G1592" s="21" t="s">
        <v>3862</v>
      </c>
      <c r="H1592" s="88">
        <v>3653</v>
      </c>
      <c r="I1592" s="43">
        <v>3761</v>
      </c>
      <c r="J1592" s="43">
        <v>3750</v>
      </c>
      <c r="K1592" s="21">
        <v>1</v>
      </c>
      <c r="L1592" s="43">
        <v>3761</v>
      </c>
      <c r="M1592" s="43">
        <v>3775</v>
      </c>
      <c r="N1592" s="43">
        <v>3775</v>
      </c>
      <c r="O1592" s="21" t="s">
        <v>3733</v>
      </c>
      <c r="P1592" s="194">
        <v>1</v>
      </c>
      <c r="Q1592" s="21">
        <v>1</v>
      </c>
      <c r="R1592" s="39" t="str">
        <f t="shared" si="300"/>
        <v>-</v>
      </c>
      <c r="S1592" s="120">
        <f t="shared" si="299"/>
        <v>647690</v>
      </c>
      <c r="T1592" s="123">
        <v>5983901</v>
      </c>
      <c r="U1592" s="123">
        <f>384959+786585+126659</f>
        <v>1298203</v>
      </c>
      <c r="V1592" s="123">
        <f t="shared" si="294"/>
        <v>4685698</v>
      </c>
      <c r="W1592" s="122" t="str">
        <f t="shared" si="295"/>
        <v>1</v>
      </c>
      <c r="X1592" s="123">
        <v>5336211</v>
      </c>
      <c r="AA1592" s="122" t="str">
        <f t="shared" si="296"/>
        <v>0</v>
      </c>
      <c r="AB1592" s="120">
        <f t="shared" si="297"/>
        <v>0</v>
      </c>
      <c r="AC1592" s="123">
        <v>0</v>
      </c>
      <c r="AD1592" s="123">
        <v>0</v>
      </c>
      <c r="AG1592" s="151">
        <f t="shared" si="302"/>
        <v>42971</v>
      </c>
      <c r="AH1592" s="123">
        <f>84739+AI1592</f>
        <v>89621</v>
      </c>
      <c r="AI1592" s="123">
        <v>4882</v>
      </c>
      <c r="AL1592" s="123">
        <v>41768</v>
      </c>
      <c r="AO1592" s="123">
        <f>49103+17193</f>
        <v>66296</v>
      </c>
    </row>
    <row r="1593" spans="1:41" s="123" customFormat="1" ht="16.2" thickBot="1" x14ac:dyDescent="0.35">
      <c r="A1593" s="21">
        <v>272.10000000000002</v>
      </c>
      <c r="B1593" s="212" t="s">
        <v>190</v>
      </c>
      <c r="C1593" s="31" t="str">
        <f>VLOOKUP((CONCATENATE(B1593)),ID!$A$2:$D$305,3,0)</f>
        <v>BA022</v>
      </c>
      <c r="D1593" s="21">
        <v>1</v>
      </c>
      <c r="E1593" s="21" t="s">
        <v>4005</v>
      </c>
      <c r="F1593" s="21" t="s">
        <v>1117</v>
      </c>
      <c r="G1593" s="21" t="s">
        <v>3862</v>
      </c>
      <c r="H1593" s="88">
        <v>4018</v>
      </c>
      <c r="I1593" s="43">
        <v>4126</v>
      </c>
      <c r="J1593" s="43">
        <v>4112</v>
      </c>
      <c r="K1593" s="21">
        <v>1</v>
      </c>
      <c r="L1593" s="43">
        <v>4126</v>
      </c>
      <c r="M1593" s="43">
        <v>4141</v>
      </c>
      <c r="N1593" s="43">
        <v>4141</v>
      </c>
      <c r="O1593" s="21" t="s">
        <v>3733</v>
      </c>
      <c r="P1593" s="194">
        <v>1</v>
      </c>
      <c r="Q1593" s="21">
        <v>1</v>
      </c>
      <c r="R1593" s="39" t="str">
        <f t="shared" si="300"/>
        <v>-</v>
      </c>
      <c r="S1593" s="120">
        <f t="shared" si="299"/>
        <v>688540</v>
      </c>
      <c r="T1593" s="123">
        <v>6608409</v>
      </c>
      <c r="U1593" s="123">
        <f>385904+1065200+140028</f>
        <v>1591132</v>
      </c>
      <c r="V1593" s="123">
        <f t="shared" si="294"/>
        <v>5017277</v>
      </c>
      <c r="W1593" s="122" t="str">
        <f t="shared" si="295"/>
        <v>1</v>
      </c>
      <c r="X1593" s="123">
        <v>5919869</v>
      </c>
      <c r="AA1593" s="122" t="str">
        <f t="shared" si="296"/>
        <v>0</v>
      </c>
      <c r="AB1593" s="120">
        <f t="shared" si="297"/>
        <v>0</v>
      </c>
      <c r="AC1593" s="123">
        <v>0</v>
      </c>
      <c r="AD1593" s="123">
        <v>0</v>
      </c>
      <c r="AG1593" s="151">
        <f t="shared" si="302"/>
        <v>68708</v>
      </c>
      <c r="AH1593" s="123">
        <f>99609+AI1593</f>
        <v>106767</v>
      </c>
      <c r="AI1593" s="123">
        <v>7158</v>
      </c>
      <c r="AL1593" s="123">
        <v>30901</v>
      </c>
      <c r="AO1593" s="123">
        <f>49103+17193</f>
        <v>66296</v>
      </c>
    </row>
    <row r="1594" spans="1:41" s="123" customFormat="1" ht="16.2" thickBot="1" x14ac:dyDescent="0.35">
      <c r="A1594" s="21">
        <v>272.2</v>
      </c>
      <c r="B1594" s="212" t="s">
        <v>190</v>
      </c>
      <c r="C1594" s="31" t="str">
        <f>VLOOKUP((CONCATENATE(B1594)),ID!$A$2:$D$305,3,0)</f>
        <v>BA022</v>
      </c>
      <c r="D1594" s="21">
        <v>1</v>
      </c>
      <c r="E1594" s="21" t="s">
        <v>4005</v>
      </c>
      <c r="F1594" s="21" t="s">
        <v>1117</v>
      </c>
      <c r="G1594" s="21" t="s">
        <v>3862</v>
      </c>
      <c r="H1594" s="88">
        <v>4383</v>
      </c>
      <c r="I1594" s="43">
        <v>4491</v>
      </c>
      <c r="J1594" s="43">
        <v>4486</v>
      </c>
      <c r="K1594" s="21">
        <v>1</v>
      </c>
      <c r="L1594" s="43">
        <v>4489</v>
      </c>
      <c r="M1594" s="43">
        <v>4504</v>
      </c>
      <c r="N1594" s="43">
        <v>4504</v>
      </c>
      <c r="O1594" s="21" t="s">
        <v>3733</v>
      </c>
      <c r="P1594" s="194">
        <v>1</v>
      </c>
      <c r="Q1594" s="21">
        <v>1</v>
      </c>
      <c r="R1594" s="39" t="str">
        <f t="shared" si="300"/>
        <v>-</v>
      </c>
      <c r="S1594" s="120">
        <f t="shared" si="299"/>
        <v>723710</v>
      </c>
      <c r="T1594" s="123">
        <v>6990493</v>
      </c>
      <c r="U1594" s="123">
        <f>929221+34798+382559</f>
        <v>1346578</v>
      </c>
      <c r="V1594" s="123">
        <f t="shared" si="294"/>
        <v>5643915</v>
      </c>
      <c r="W1594" s="122" t="str">
        <f t="shared" si="295"/>
        <v>1</v>
      </c>
      <c r="X1594" s="123">
        <v>6266783</v>
      </c>
      <c r="AA1594" s="122" t="str">
        <f t="shared" si="296"/>
        <v>0</v>
      </c>
      <c r="AB1594" s="120">
        <f t="shared" si="297"/>
        <v>0</v>
      </c>
      <c r="AC1594" s="123">
        <v>0</v>
      </c>
      <c r="AD1594" s="123">
        <v>0</v>
      </c>
      <c r="AG1594" s="151">
        <f t="shared" si="302"/>
        <v>72532</v>
      </c>
      <c r="AH1594" s="123">
        <f>99696+AI1594</f>
        <v>109059</v>
      </c>
      <c r="AI1594" s="123">
        <v>9363</v>
      </c>
      <c r="AL1594" s="123">
        <v>27164</v>
      </c>
      <c r="AO1594" s="123">
        <f>49103+17193</f>
        <v>66296</v>
      </c>
    </row>
    <row r="1595" spans="1:41" s="123" customFormat="1" ht="16.2" thickBot="1" x14ac:dyDescent="0.35">
      <c r="A1595" s="21"/>
      <c r="B1595" s="212" t="s">
        <v>190</v>
      </c>
      <c r="C1595" s="31" t="str">
        <f>VLOOKUP((CONCATENATE(B1595)),ID!$A$2:$D$305,3,0)</f>
        <v>BA022</v>
      </c>
      <c r="D1595" s="21">
        <v>1</v>
      </c>
      <c r="E1595" s="21" t="s">
        <v>4005</v>
      </c>
      <c r="F1595" s="21" t="s">
        <v>1117</v>
      </c>
      <c r="G1595" s="21" t="s">
        <v>3862</v>
      </c>
      <c r="H1595" s="88">
        <v>4749</v>
      </c>
      <c r="I1595" s="43">
        <v>4856</v>
      </c>
      <c r="J1595" s="43">
        <v>4850</v>
      </c>
      <c r="K1595" s="21">
        <v>1</v>
      </c>
      <c r="L1595" s="43">
        <v>4854</v>
      </c>
      <c r="M1595" s="43">
        <v>4869</v>
      </c>
      <c r="N1595" s="43">
        <v>4869</v>
      </c>
      <c r="O1595" s="21" t="s">
        <v>3733</v>
      </c>
      <c r="P1595" s="194">
        <v>1</v>
      </c>
      <c r="Q1595" s="21">
        <v>1</v>
      </c>
      <c r="R1595" s="39" t="str">
        <f t="shared" si="300"/>
        <v>-</v>
      </c>
      <c r="S1595" s="120">
        <f t="shared" si="299"/>
        <v>773933</v>
      </c>
      <c r="T1595" s="123">
        <v>7388938</v>
      </c>
      <c r="U1595" s="123">
        <f>391994+1164573+13500</f>
        <v>1570067</v>
      </c>
      <c r="V1595" s="123">
        <f t="shared" si="294"/>
        <v>5818871</v>
      </c>
      <c r="W1595" s="122" t="str">
        <f t="shared" si="295"/>
        <v>1</v>
      </c>
      <c r="X1595" s="123">
        <v>6615005</v>
      </c>
      <c r="AA1595" s="122" t="str">
        <f t="shared" si="296"/>
        <v>0</v>
      </c>
      <c r="AB1595" s="120">
        <f t="shared" si="297"/>
        <v>0</v>
      </c>
      <c r="AC1595" s="123">
        <v>0</v>
      </c>
      <c r="AD1595" s="123">
        <v>0</v>
      </c>
      <c r="AG1595" s="151">
        <f t="shared" si="302"/>
        <v>85999</v>
      </c>
      <c r="AH1595" s="123">
        <f>112719+AI1595</f>
        <v>122511</v>
      </c>
      <c r="AI1595" s="123">
        <v>9792</v>
      </c>
      <c r="AL1595" s="123">
        <v>26720</v>
      </c>
      <c r="AO1595" s="123">
        <f>49103+17193</f>
        <v>66296</v>
      </c>
    </row>
    <row r="1596" spans="1:41" s="123" customFormat="1" ht="16.2" thickBot="1" x14ac:dyDescent="0.35">
      <c r="A1596" s="21"/>
      <c r="B1596" s="212" t="s">
        <v>190</v>
      </c>
      <c r="C1596" s="31" t="str">
        <f>VLOOKUP((CONCATENATE(B1596)),ID!$A$2:$D$305,3,0)</f>
        <v>BA022</v>
      </c>
      <c r="D1596" s="21">
        <v>1</v>
      </c>
      <c r="E1596" s="21" t="s">
        <v>4005</v>
      </c>
      <c r="F1596" s="21" t="s">
        <v>1117</v>
      </c>
      <c r="G1596" s="21" t="s">
        <v>3862</v>
      </c>
      <c r="H1596" s="88">
        <v>5114</v>
      </c>
      <c r="I1596" s="43">
        <v>5220</v>
      </c>
      <c r="J1596" s="43">
        <v>5210</v>
      </c>
      <c r="K1596" s="21">
        <v>1</v>
      </c>
      <c r="L1596" s="43">
        <v>5218</v>
      </c>
      <c r="M1596" s="43">
        <v>5233</v>
      </c>
      <c r="N1596" s="43">
        <v>5233</v>
      </c>
      <c r="O1596" s="21" t="s">
        <v>3733</v>
      </c>
      <c r="P1596" s="194">
        <v>1</v>
      </c>
      <c r="Q1596" s="21">
        <v>1</v>
      </c>
      <c r="R1596" s="39" t="str">
        <f t="shared" si="300"/>
        <v>-</v>
      </c>
      <c r="S1596" s="120">
        <f t="shared" si="299"/>
        <v>862371</v>
      </c>
      <c r="T1596" s="123">
        <v>7332890</v>
      </c>
      <c r="U1596" s="123">
        <f>282870+1402357+12500</f>
        <v>1697727</v>
      </c>
      <c r="V1596" s="123">
        <f t="shared" si="294"/>
        <v>5635163</v>
      </c>
      <c r="W1596" s="122" t="str">
        <f t="shared" si="295"/>
        <v>1</v>
      </c>
      <c r="X1596" s="123">
        <v>6470519</v>
      </c>
      <c r="AA1596" s="122" t="str">
        <f t="shared" si="296"/>
        <v>0</v>
      </c>
      <c r="AB1596" s="120">
        <f t="shared" si="297"/>
        <v>0</v>
      </c>
      <c r="AC1596" s="123">
        <v>0</v>
      </c>
      <c r="AD1596" s="123">
        <v>0</v>
      </c>
      <c r="AG1596" s="151">
        <f t="shared" si="302"/>
        <v>86110</v>
      </c>
      <c r="AH1596" s="123">
        <f>111437+AI1596</f>
        <v>123716</v>
      </c>
      <c r="AI1596" s="123">
        <v>12279</v>
      </c>
      <c r="AL1596" s="123">
        <v>25327</v>
      </c>
      <c r="AO1596" s="123">
        <f>49103+17193</f>
        <v>66296</v>
      </c>
    </row>
    <row r="1597" spans="1:41" s="123" customFormat="1" ht="16.2" thickBot="1" x14ac:dyDescent="0.35">
      <c r="A1597" s="21"/>
      <c r="B1597" s="212" t="s">
        <v>193</v>
      </c>
      <c r="C1597" s="31" t="str">
        <f>VLOOKUP((CONCATENATE(B1597)),ID!$A$2:$D$305,3,0)</f>
        <v>BA023</v>
      </c>
      <c r="D1597" s="21">
        <v>0</v>
      </c>
      <c r="E1597" s="21" t="s">
        <v>4005</v>
      </c>
      <c r="F1597" s="21" t="s">
        <v>1117</v>
      </c>
      <c r="G1597" s="21" t="s">
        <v>3853</v>
      </c>
      <c r="H1597" s="88">
        <v>3653</v>
      </c>
      <c r="I1597" s="43">
        <v>3663</v>
      </c>
      <c r="J1597" s="43">
        <v>3661</v>
      </c>
      <c r="K1597" s="21">
        <v>1</v>
      </c>
      <c r="L1597" s="43">
        <v>3671</v>
      </c>
      <c r="M1597" s="43">
        <v>3685</v>
      </c>
      <c r="N1597" s="43">
        <v>3712</v>
      </c>
      <c r="O1597" s="21" t="s">
        <v>3974</v>
      </c>
      <c r="P1597" s="194" t="str">
        <f t="shared" si="298"/>
        <v>1</v>
      </c>
      <c r="Q1597" s="21">
        <v>1</v>
      </c>
      <c r="R1597" s="39" t="str">
        <f t="shared" si="300"/>
        <v>-</v>
      </c>
      <c r="S1597" s="120">
        <f t="shared" si="299"/>
        <v>7398030</v>
      </c>
      <c r="T1597" s="123">
        <v>82513386</v>
      </c>
      <c r="U1597" s="123">
        <f>8988302+1771609+36897233</f>
        <v>47657144</v>
      </c>
      <c r="V1597" s="123">
        <f t="shared" si="294"/>
        <v>34856242</v>
      </c>
      <c r="W1597" s="122" t="str">
        <f t="shared" si="295"/>
        <v>1</v>
      </c>
      <c r="X1597" s="123">
        <v>75115356</v>
      </c>
      <c r="AA1597" s="122" t="str">
        <f t="shared" si="296"/>
        <v>0</v>
      </c>
      <c r="AB1597" s="120">
        <f t="shared" si="297"/>
        <v>0</v>
      </c>
      <c r="AC1597" s="123">
        <v>0</v>
      </c>
      <c r="AD1597" s="123">
        <v>0</v>
      </c>
      <c r="AE1597" s="123">
        <v>22931995</v>
      </c>
      <c r="AG1597" s="151">
        <f t="shared" si="302"/>
        <v>372746</v>
      </c>
      <c r="AH1597" s="123">
        <v>372746</v>
      </c>
      <c r="AJ1597" s="123">
        <v>341919</v>
      </c>
      <c r="AO1597" s="123">
        <v>303928</v>
      </c>
    </row>
    <row r="1598" spans="1:41" s="123" customFormat="1" ht="16.2" thickBot="1" x14ac:dyDescent="0.35">
      <c r="A1598" s="21"/>
      <c r="B1598" s="212" t="s">
        <v>193</v>
      </c>
      <c r="C1598" s="31" t="str">
        <f>VLOOKUP((CONCATENATE(B1598)),ID!$A$2:$D$305,3,0)</f>
        <v>BA023</v>
      </c>
      <c r="D1598" s="21">
        <v>0</v>
      </c>
      <c r="E1598" s="21" t="s">
        <v>4005</v>
      </c>
      <c r="F1598" s="21" t="s">
        <v>1117</v>
      </c>
      <c r="G1598" s="21" t="s">
        <v>3853</v>
      </c>
      <c r="H1598" s="88">
        <v>3834</v>
      </c>
      <c r="I1598" s="43">
        <v>3845</v>
      </c>
      <c r="J1598" s="43">
        <v>3842</v>
      </c>
      <c r="K1598" s="21">
        <v>1</v>
      </c>
      <c r="L1598" s="43">
        <v>3853</v>
      </c>
      <c r="M1598" s="43">
        <v>3867</v>
      </c>
      <c r="N1598" s="43"/>
      <c r="O1598" s="21" t="s">
        <v>3974</v>
      </c>
      <c r="P1598" s="194" t="str">
        <f t="shared" si="298"/>
        <v>1</v>
      </c>
      <c r="Q1598" s="21">
        <v>1</v>
      </c>
      <c r="R1598" s="39" t="str">
        <f t="shared" si="300"/>
        <v>-</v>
      </c>
      <c r="S1598" s="120">
        <f t="shared" si="299"/>
        <v>7762791</v>
      </c>
      <c r="T1598" s="123">
        <v>83842256</v>
      </c>
      <c r="U1598" s="123">
        <f>8997507+40792927+1787130</f>
        <v>51577564</v>
      </c>
      <c r="V1598" s="123">
        <f t="shared" si="294"/>
        <v>32264692</v>
      </c>
      <c r="W1598" s="122" t="str">
        <f t="shared" si="295"/>
        <v>1</v>
      </c>
      <c r="X1598" s="123">
        <v>76079465</v>
      </c>
      <c r="AA1598" s="122" t="str">
        <f t="shared" si="296"/>
        <v>0</v>
      </c>
      <c r="AB1598" s="120">
        <f t="shared" si="297"/>
        <v>0</v>
      </c>
      <c r="AC1598" s="123">
        <v>0</v>
      </c>
      <c r="AD1598" s="123">
        <v>0</v>
      </c>
      <c r="AE1598" s="123">
        <v>21656445</v>
      </c>
      <c r="AG1598" s="151">
        <f t="shared" si="302"/>
        <v>387530</v>
      </c>
      <c r="AH1598" s="123">
        <v>387530</v>
      </c>
      <c r="AJ1598" s="123">
        <v>359031</v>
      </c>
      <c r="AO1598" s="123">
        <v>319139</v>
      </c>
    </row>
    <row r="1599" spans="1:41" s="123" customFormat="1" ht="16.2" thickBot="1" x14ac:dyDescent="0.35">
      <c r="A1599" s="21">
        <v>273.10000000000002</v>
      </c>
      <c r="B1599" s="212" t="s">
        <v>193</v>
      </c>
      <c r="C1599" s="31" t="str">
        <f>VLOOKUP((CONCATENATE(B1599)),ID!$A$2:$D$305,3,0)</f>
        <v>BA023</v>
      </c>
      <c r="D1599" s="21">
        <v>0</v>
      </c>
      <c r="E1599" s="21" t="s">
        <v>4005</v>
      </c>
      <c r="F1599" s="21" t="s">
        <v>1117</v>
      </c>
      <c r="G1599" s="21" t="s">
        <v>3853</v>
      </c>
      <c r="H1599" s="88">
        <v>4018</v>
      </c>
      <c r="I1599" s="43">
        <v>4031</v>
      </c>
      <c r="J1599" s="43">
        <v>4027</v>
      </c>
      <c r="K1599" s="21">
        <v>1</v>
      </c>
      <c r="L1599" s="43">
        <v>4036</v>
      </c>
      <c r="M1599" s="43">
        <v>4050</v>
      </c>
      <c r="N1599" s="43">
        <v>4044</v>
      </c>
      <c r="O1599" s="21" t="s">
        <v>3974</v>
      </c>
      <c r="P1599" s="194" t="str">
        <f t="shared" si="298"/>
        <v>1</v>
      </c>
      <c r="Q1599" s="21">
        <v>1</v>
      </c>
      <c r="R1599" s="39" t="str">
        <f t="shared" si="300"/>
        <v>-</v>
      </c>
      <c r="S1599" s="120">
        <f t="shared" si="299"/>
        <v>7681853</v>
      </c>
      <c r="T1599" s="123">
        <v>87917334</v>
      </c>
      <c r="U1599" s="123">
        <f>1840671+41088146+8697124</f>
        <v>51625941</v>
      </c>
      <c r="V1599" s="123">
        <f t="shared" si="294"/>
        <v>36291393</v>
      </c>
      <c r="W1599" s="122" t="str">
        <f t="shared" si="295"/>
        <v>1</v>
      </c>
      <c r="X1599" s="123">
        <v>80235481</v>
      </c>
      <c r="AA1599" s="122" t="str">
        <f t="shared" si="296"/>
        <v>0</v>
      </c>
      <c r="AB1599" s="120">
        <f t="shared" si="297"/>
        <v>0</v>
      </c>
      <c r="AC1599" s="123">
        <v>0</v>
      </c>
      <c r="AD1599" s="123">
        <v>0</v>
      </c>
      <c r="AE1599" s="123">
        <v>23143310</v>
      </c>
      <c r="AG1599" s="151">
        <f t="shared" si="302"/>
        <v>414251</v>
      </c>
      <c r="AH1599" s="123">
        <v>414251</v>
      </c>
      <c r="AJ1599" s="123">
        <v>359031</v>
      </c>
      <c r="AO1599" s="123">
        <v>319139</v>
      </c>
    </row>
    <row r="1600" spans="1:41" s="123" customFormat="1" ht="16.2" thickBot="1" x14ac:dyDescent="0.35">
      <c r="A1600" s="21">
        <v>273.2</v>
      </c>
      <c r="B1600" s="212" t="s">
        <v>193</v>
      </c>
      <c r="C1600" s="31" t="str">
        <f>VLOOKUP((CONCATENATE(B1600)),ID!$A$2:$D$305,3,0)</f>
        <v>BA023</v>
      </c>
      <c r="D1600" s="21">
        <v>0</v>
      </c>
      <c r="E1600" s="21" t="s">
        <v>4005</v>
      </c>
      <c r="F1600" s="21" t="s">
        <v>1117</v>
      </c>
      <c r="G1600" s="21" t="s">
        <v>3853</v>
      </c>
      <c r="H1600" s="88">
        <v>4199</v>
      </c>
      <c r="I1600" s="43">
        <v>4210</v>
      </c>
      <c r="J1600" s="43">
        <v>4207</v>
      </c>
      <c r="K1600" s="21">
        <v>1</v>
      </c>
      <c r="L1600" s="43">
        <v>4217</v>
      </c>
      <c r="M1600" s="43">
        <v>4231</v>
      </c>
      <c r="N1600" s="43"/>
      <c r="O1600" s="21" t="s">
        <v>3974</v>
      </c>
      <c r="P1600" s="194" t="str">
        <f t="shared" si="298"/>
        <v>1</v>
      </c>
      <c r="Q1600" s="21">
        <v>1</v>
      </c>
      <c r="R1600" s="39" t="str">
        <f t="shared" si="300"/>
        <v>-</v>
      </c>
      <c r="S1600" s="120">
        <f t="shared" si="299"/>
        <v>7692488</v>
      </c>
      <c r="T1600" s="123">
        <v>87964465</v>
      </c>
      <c r="U1600" s="123">
        <f>1883216+42616026+8770002</f>
        <v>53269244</v>
      </c>
      <c r="V1600" s="123">
        <f t="shared" ref="V1600:V1663" si="303">T1600-U1600</f>
        <v>34695221</v>
      </c>
      <c r="W1600" s="122" t="str">
        <f t="shared" ref="W1600:W1663" si="304">IF(V1600+U1600=T1600,"1","0")</f>
        <v>1</v>
      </c>
      <c r="X1600" s="123">
        <v>80271977</v>
      </c>
      <c r="AA1600" s="122" t="str">
        <f t="shared" ref="AA1600:AA1663" si="305">IF(Z1600+Y1600=X1600,"1","0")</f>
        <v>0</v>
      </c>
      <c r="AB1600" s="120">
        <f t="shared" ref="AB1600:AB1663" si="306">SUM(AC1600+AD1600)</f>
        <v>0</v>
      </c>
      <c r="AC1600" s="123">
        <v>0</v>
      </c>
      <c r="AD1600" s="123">
        <v>0</v>
      </c>
      <c r="AE1600" s="123">
        <v>22853369</v>
      </c>
      <c r="AG1600" s="151">
        <f t="shared" si="302"/>
        <v>394666</v>
      </c>
      <c r="AH1600" s="123">
        <v>394666</v>
      </c>
      <c r="AJ1600" s="123">
        <v>359031</v>
      </c>
      <c r="AO1600" s="123">
        <v>319139</v>
      </c>
    </row>
    <row r="1601" spans="1:41" s="123" customFormat="1" ht="16.2" thickBot="1" x14ac:dyDescent="0.35">
      <c r="A1601" s="21">
        <v>273.3</v>
      </c>
      <c r="B1601" s="212" t="s">
        <v>193</v>
      </c>
      <c r="C1601" s="31" t="str">
        <f>VLOOKUP((CONCATENATE(B1601)),ID!$A$2:$D$305,3,0)</f>
        <v>BA023</v>
      </c>
      <c r="D1601" s="21">
        <v>0</v>
      </c>
      <c r="E1601" s="21" t="s">
        <v>4005</v>
      </c>
      <c r="F1601" s="21" t="s">
        <v>1117</v>
      </c>
      <c r="G1601" s="21" t="s">
        <v>3853</v>
      </c>
      <c r="H1601" s="88">
        <v>4383</v>
      </c>
      <c r="I1601" s="43">
        <v>4392</v>
      </c>
      <c r="J1601" s="43">
        <v>4391</v>
      </c>
      <c r="K1601" s="21">
        <v>1</v>
      </c>
      <c r="L1601" s="43">
        <v>4401</v>
      </c>
      <c r="M1601" s="43">
        <v>4415</v>
      </c>
      <c r="N1601" s="43">
        <v>4409</v>
      </c>
      <c r="O1601" s="21" t="s">
        <v>3974</v>
      </c>
      <c r="P1601" s="194" t="str">
        <f t="shared" si="298"/>
        <v>1</v>
      </c>
      <c r="Q1601" s="21">
        <v>1</v>
      </c>
      <c r="R1601" s="39" t="str">
        <f t="shared" si="300"/>
        <v>-</v>
      </c>
      <c r="S1601" s="120">
        <f t="shared" si="299"/>
        <v>7502545</v>
      </c>
      <c r="T1601" s="123">
        <v>91606454</v>
      </c>
      <c r="U1601" s="123">
        <f>8757243+41434768+1996563</f>
        <v>52188574</v>
      </c>
      <c r="V1601" s="123">
        <f t="shared" si="303"/>
        <v>39417880</v>
      </c>
      <c r="W1601" s="122" t="str">
        <f t="shared" si="304"/>
        <v>1</v>
      </c>
      <c r="X1601" s="123">
        <v>84103909</v>
      </c>
      <c r="AA1601" s="122" t="str">
        <f t="shared" si="305"/>
        <v>0</v>
      </c>
      <c r="AB1601" s="120">
        <f t="shared" si="306"/>
        <v>0</v>
      </c>
      <c r="AC1601" s="123">
        <v>0</v>
      </c>
      <c r="AD1601" s="123">
        <v>0</v>
      </c>
      <c r="AE1601" s="123">
        <v>23497428</v>
      </c>
      <c r="AG1601" s="151">
        <f t="shared" si="302"/>
        <v>394088</v>
      </c>
      <c r="AH1601" s="123">
        <v>394088</v>
      </c>
      <c r="AJ1601" s="123">
        <v>359031</v>
      </c>
      <c r="AO1601" s="123">
        <v>319139</v>
      </c>
    </row>
    <row r="1602" spans="1:41" s="123" customFormat="1" ht="16.2" thickBot="1" x14ac:dyDescent="0.35">
      <c r="A1602" s="21"/>
      <c r="B1602" s="212" t="s">
        <v>193</v>
      </c>
      <c r="C1602" s="31" t="str">
        <f>VLOOKUP((CONCATENATE(B1602)),ID!$A$2:$D$305,3,0)</f>
        <v>BA023</v>
      </c>
      <c r="D1602" s="21">
        <v>1</v>
      </c>
      <c r="E1602" s="21" t="s">
        <v>4005</v>
      </c>
      <c r="F1602" s="21" t="s">
        <v>1117</v>
      </c>
      <c r="G1602" s="21" t="s">
        <v>3853</v>
      </c>
      <c r="H1602" s="88">
        <v>4749</v>
      </c>
      <c r="I1602" s="43">
        <v>4759</v>
      </c>
      <c r="J1602" s="43">
        <v>4757</v>
      </c>
      <c r="K1602" s="21">
        <v>1</v>
      </c>
      <c r="L1602" s="43">
        <v>4767</v>
      </c>
      <c r="M1602" s="43">
        <v>4781</v>
      </c>
      <c r="N1602" s="43">
        <v>4773</v>
      </c>
      <c r="O1602" s="21" t="s">
        <v>3974</v>
      </c>
      <c r="P1602" s="194" t="str">
        <f t="shared" si="298"/>
        <v>1</v>
      </c>
      <c r="Q1602" s="21">
        <v>1</v>
      </c>
      <c r="R1602" s="39" t="str">
        <f t="shared" si="300"/>
        <v>-</v>
      </c>
      <c r="S1602" s="120">
        <f t="shared" si="299"/>
        <v>7512546</v>
      </c>
      <c r="T1602" s="123">
        <v>98276934</v>
      </c>
      <c r="U1602" s="123">
        <f>8289211+46441282+2054396</f>
        <v>56784889</v>
      </c>
      <c r="V1602" s="123">
        <f t="shared" si="303"/>
        <v>41492045</v>
      </c>
      <c r="W1602" s="122" t="str">
        <f t="shared" si="304"/>
        <v>1</v>
      </c>
      <c r="X1602" s="123">
        <v>90764388</v>
      </c>
      <c r="AA1602" s="122" t="str">
        <f t="shared" si="305"/>
        <v>0</v>
      </c>
      <c r="AB1602" s="120">
        <f t="shared" si="306"/>
        <v>0</v>
      </c>
      <c r="AC1602" s="123">
        <v>0</v>
      </c>
      <c r="AD1602" s="123">
        <v>0</v>
      </c>
      <c r="AE1602" s="123">
        <v>24289778</v>
      </c>
      <c r="AG1602" s="151">
        <f t="shared" si="302"/>
        <v>968063</v>
      </c>
      <c r="AH1602" s="123">
        <f>1009949</f>
        <v>1009949</v>
      </c>
      <c r="AI1602" s="123">
        <v>41886</v>
      </c>
      <c r="AJ1602" s="123">
        <f>359031</f>
        <v>359031</v>
      </c>
      <c r="AO1602" s="123">
        <v>319139</v>
      </c>
    </row>
    <row r="1603" spans="1:41" s="123" customFormat="1" ht="16.2" thickBot="1" x14ac:dyDescent="0.35">
      <c r="A1603" s="21"/>
      <c r="B1603" s="212" t="s">
        <v>193</v>
      </c>
      <c r="C1603" s="31" t="str">
        <f>VLOOKUP((CONCATENATE(B1603)),ID!$A$2:$D$305,3,0)</f>
        <v>BA023</v>
      </c>
      <c r="D1603" s="21">
        <v>1</v>
      </c>
      <c r="E1603" s="21" t="s">
        <v>4005</v>
      </c>
      <c r="F1603" s="21" t="s">
        <v>1117</v>
      </c>
      <c r="G1603" s="21" t="s">
        <v>3853</v>
      </c>
      <c r="H1603" s="88">
        <v>5114</v>
      </c>
      <c r="I1603" s="43">
        <v>5123</v>
      </c>
      <c r="J1603" s="43">
        <v>5122</v>
      </c>
      <c r="K1603" s="21">
        <v>1</v>
      </c>
      <c r="L1603" s="43">
        <v>5133</v>
      </c>
      <c r="M1603" s="43">
        <v>5147</v>
      </c>
      <c r="N1603" s="43">
        <v>5137</v>
      </c>
      <c r="O1603" s="21" t="s">
        <v>3974</v>
      </c>
      <c r="P1603" s="194" t="str">
        <f t="shared" si="298"/>
        <v>1</v>
      </c>
      <c r="Q1603" s="21">
        <v>1</v>
      </c>
      <c r="R1603" s="39" t="str">
        <f t="shared" si="300"/>
        <v>-</v>
      </c>
      <c r="S1603" s="120">
        <f t="shared" si="299"/>
        <v>8196644</v>
      </c>
      <c r="T1603" s="123">
        <v>108584213</v>
      </c>
      <c r="U1603" s="123">
        <f>51309563+2308457+7824891</f>
        <v>61442911</v>
      </c>
      <c r="V1603" s="123">
        <f t="shared" si="303"/>
        <v>47141302</v>
      </c>
      <c r="W1603" s="122" t="str">
        <f t="shared" si="304"/>
        <v>1</v>
      </c>
      <c r="X1603" s="123">
        <v>100387569</v>
      </c>
      <c r="AA1603" s="122" t="str">
        <f t="shared" si="305"/>
        <v>0</v>
      </c>
      <c r="AB1603" s="120">
        <f t="shared" si="306"/>
        <v>0</v>
      </c>
      <c r="AC1603" s="123">
        <v>0</v>
      </c>
      <c r="AD1603" s="123">
        <v>0</v>
      </c>
      <c r="AE1603" s="123">
        <v>29188048</v>
      </c>
      <c r="AG1603" s="151">
        <f t="shared" si="302"/>
        <v>1161410</v>
      </c>
      <c r="AH1603" s="123">
        <f>1235183-30000</f>
        <v>1205183</v>
      </c>
      <c r="AI1603" s="123">
        <v>43773</v>
      </c>
      <c r="AJ1603" s="123">
        <v>359031</v>
      </c>
      <c r="AO1603" s="123">
        <v>347892</v>
      </c>
    </row>
    <row r="1604" spans="1:41" s="123" customFormat="1" ht="16.2" thickBot="1" x14ac:dyDescent="0.35">
      <c r="A1604" s="21"/>
      <c r="B1604" s="212" t="s">
        <v>194</v>
      </c>
      <c r="C1604" s="31" t="str">
        <f>VLOOKUP((CONCATENATE(B1604)),ID!$A$2:$D$305,3,0)</f>
        <v>BA024</v>
      </c>
      <c r="D1604" s="21">
        <v>0</v>
      </c>
      <c r="E1604" s="21" t="s">
        <v>4005</v>
      </c>
      <c r="F1604" s="21" t="s">
        <v>1117</v>
      </c>
      <c r="G1604" s="21" t="s">
        <v>3853</v>
      </c>
      <c r="H1604" s="88">
        <v>3652</v>
      </c>
      <c r="I1604" s="43">
        <v>3672</v>
      </c>
      <c r="J1604" s="43">
        <v>3671</v>
      </c>
      <c r="K1604" s="21">
        <v>1</v>
      </c>
      <c r="L1604" s="43">
        <v>3654</v>
      </c>
      <c r="M1604" s="43">
        <v>3654</v>
      </c>
      <c r="N1604" s="43">
        <v>3680</v>
      </c>
      <c r="O1604" s="77" t="s">
        <v>4019</v>
      </c>
      <c r="P1604" s="194" t="str">
        <f t="shared" si="298"/>
        <v>1</v>
      </c>
      <c r="Q1604" s="21">
        <v>1</v>
      </c>
      <c r="R1604" s="39" t="str">
        <f t="shared" si="300"/>
        <v>-</v>
      </c>
      <c r="S1604" s="120">
        <f t="shared" si="299"/>
        <v>8247790</v>
      </c>
      <c r="T1604" s="123">
        <v>83794456</v>
      </c>
      <c r="U1604" s="123">
        <f>10989087+30988092+1558763</f>
        <v>43535942</v>
      </c>
      <c r="V1604" s="123">
        <f t="shared" si="303"/>
        <v>40258514</v>
      </c>
      <c r="W1604" s="122" t="str">
        <f t="shared" si="304"/>
        <v>1</v>
      </c>
      <c r="X1604" s="123">
        <v>75546666</v>
      </c>
      <c r="AA1604" s="122" t="str">
        <f t="shared" si="305"/>
        <v>0</v>
      </c>
      <c r="AB1604" s="120">
        <f t="shared" si="306"/>
        <v>0</v>
      </c>
      <c r="AC1604" s="123">
        <v>0</v>
      </c>
      <c r="AD1604" s="123">
        <v>0</v>
      </c>
      <c r="AE1604" s="123">
        <v>24098173</v>
      </c>
      <c r="AG1604" s="151">
        <f t="shared" si="302"/>
        <v>665765</v>
      </c>
      <c r="AH1604" s="123">
        <f>2004984-906220-AK1604</f>
        <v>1048764</v>
      </c>
      <c r="AJ1604" s="123">
        <f>200000</f>
        <v>200000</v>
      </c>
      <c r="AK1604" s="123">
        <v>50000</v>
      </c>
      <c r="AL1604" s="123">
        <v>382999</v>
      </c>
      <c r="AO1604" s="123">
        <v>700000</v>
      </c>
    </row>
    <row r="1605" spans="1:41" s="123" customFormat="1" ht="16.2" thickBot="1" x14ac:dyDescent="0.35">
      <c r="A1605" s="21"/>
      <c r="B1605" s="212" t="s">
        <v>194</v>
      </c>
      <c r="C1605" s="31" t="str">
        <f>VLOOKUP((CONCATENATE(B1605)),ID!$A$2:$D$305,3,0)</f>
        <v>BA024</v>
      </c>
      <c r="D1605" s="21">
        <v>0</v>
      </c>
      <c r="E1605" s="21" t="s">
        <v>4005</v>
      </c>
      <c r="F1605" s="21" t="s">
        <v>1117</v>
      </c>
      <c r="G1605" s="21" t="s">
        <v>3853</v>
      </c>
      <c r="H1605" s="88">
        <v>3834</v>
      </c>
      <c r="I1605" s="43">
        <v>3854</v>
      </c>
      <c r="J1605" s="43">
        <v>3848</v>
      </c>
      <c r="K1605" s="21">
        <v>1</v>
      </c>
      <c r="L1605" s="43">
        <v>3835</v>
      </c>
      <c r="M1605" s="43">
        <v>3835</v>
      </c>
      <c r="N1605" s="21"/>
      <c r="O1605" s="77" t="s">
        <v>4019</v>
      </c>
      <c r="P1605" s="194" t="str">
        <f t="shared" si="298"/>
        <v>1</v>
      </c>
      <c r="Q1605" s="21">
        <v>1</v>
      </c>
      <c r="R1605" s="39" t="str">
        <f t="shared" si="300"/>
        <v>-</v>
      </c>
      <c r="S1605" s="120">
        <f t="shared" si="299"/>
        <v>8016888</v>
      </c>
      <c r="T1605" s="123">
        <v>89359485</v>
      </c>
      <c r="U1605" s="123">
        <f>10093710+35255892+1589943</f>
        <v>46939545</v>
      </c>
      <c r="V1605" s="123">
        <f t="shared" si="303"/>
        <v>42419940</v>
      </c>
      <c r="W1605" s="122" t="str">
        <f t="shared" si="304"/>
        <v>1</v>
      </c>
      <c r="X1605" s="123">
        <v>81342597</v>
      </c>
      <c r="AA1605" s="122" t="str">
        <f t="shared" si="305"/>
        <v>0</v>
      </c>
      <c r="AB1605" s="120">
        <f t="shared" si="306"/>
        <v>0</v>
      </c>
      <c r="AC1605" s="123">
        <v>0</v>
      </c>
      <c r="AD1605" s="123">
        <v>0</v>
      </c>
      <c r="AE1605" s="123">
        <v>23683398</v>
      </c>
      <c r="AG1605" s="151">
        <f t="shared" si="302"/>
        <v>469098</v>
      </c>
      <c r="AH1605" s="123">
        <v>469098</v>
      </c>
      <c r="AJ1605" s="123">
        <v>350000</v>
      </c>
      <c r="AO1605" s="123">
        <v>700000</v>
      </c>
    </row>
    <row r="1606" spans="1:41" s="123" customFormat="1" ht="16.2" thickBot="1" x14ac:dyDescent="0.35">
      <c r="A1606" s="21">
        <v>274.10000000000002</v>
      </c>
      <c r="B1606" s="212" t="s">
        <v>194</v>
      </c>
      <c r="C1606" s="31" t="str">
        <f>VLOOKUP((CONCATENATE(B1606)),ID!$A$2:$D$305,3,0)</f>
        <v>BA024</v>
      </c>
      <c r="D1606" s="21">
        <v>0</v>
      </c>
      <c r="E1606" s="21" t="s">
        <v>4005</v>
      </c>
      <c r="F1606" s="21" t="s">
        <v>1117</v>
      </c>
      <c r="G1606" s="21" t="s">
        <v>3853</v>
      </c>
      <c r="H1606" s="88">
        <v>4017</v>
      </c>
      <c r="I1606" s="43">
        <v>4036</v>
      </c>
      <c r="J1606" s="43">
        <v>4035</v>
      </c>
      <c r="K1606" s="21">
        <v>1</v>
      </c>
      <c r="L1606" s="43">
        <v>4020</v>
      </c>
      <c r="M1606" s="108">
        <v>4020</v>
      </c>
      <c r="N1606" s="108">
        <v>4044</v>
      </c>
      <c r="O1606" s="77" t="s">
        <v>4019</v>
      </c>
      <c r="P1606" s="194" t="str">
        <f t="shared" si="298"/>
        <v>1</v>
      </c>
      <c r="Q1606" s="21">
        <v>1</v>
      </c>
      <c r="R1606" s="39" t="str">
        <f t="shared" si="300"/>
        <v>-</v>
      </c>
      <c r="S1606" s="120">
        <f t="shared" si="299"/>
        <v>8056230</v>
      </c>
      <c r="T1606" s="123">
        <v>91386453</v>
      </c>
      <c r="U1606" s="123">
        <f>9830237+36143765+1574842</f>
        <v>47548844</v>
      </c>
      <c r="V1606" s="123">
        <f t="shared" si="303"/>
        <v>43837609</v>
      </c>
      <c r="W1606" s="122" t="str">
        <f t="shared" si="304"/>
        <v>1</v>
      </c>
      <c r="X1606" s="123">
        <v>83330223</v>
      </c>
      <c r="AA1606" s="122" t="str">
        <f t="shared" si="305"/>
        <v>0</v>
      </c>
      <c r="AB1606" s="120">
        <f t="shared" si="306"/>
        <v>0</v>
      </c>
      <c r="AC1606" s="123">
        <v>0</v>
      </c>
      <c r="AD1606" s="123">
        <v>0</v>
      </c>
      <c r="AE1606" s="123">
        <v>24443453</v>
      </c>
      <c r="AG1606" s="151">
        <f t="shared" si="302"/>
        <v>946138</v>
      </c>
      <c r="AH1606" s="123">
        <f>2820770-1159192</f>
        <v>1661578</v>
      </c>
      <c r="AJ1606" s="123">
        <v>350000</v>
      </c>
      <c r="AL1606" s="123">
        <v>715440</v>
      </c>
      <c r="AO1606" s="123">
        <v>700000</v>
      </c>
    </row>
    <row r="1607" spans="1:41" s="123" customFormat="1" ht="16.2" thickBot="1" x14ac:dyDescent="0.35">
      <c r="A1607" s="21">
        <v>274.2</v>
      </c>
      <c r="B1607" s="212" t="s">
        <v>194</v>
      </c>
      <c r="C1607" s="31" t="str">
        <f>VLOOKUP((CONCATENATE(B1607)),ID!$A$2:$D$305,3,0)</f>
        <v>BA024</v>
      </c>
      <c r="D1607" s="21">
        <v>0</v>
      </c>
      <c r="E1607" s="21" t="s">
        <v>4005</v>
      </c>
      <c r="F1607" s="21" t="s">
        <v>1117</v>
      </c>
      <c r="G1607" s="21" t="s">
        <v>3853</v>
      </c>
      <c r="H1607" s="88">
        <v>4199</v>
      </c>
      <c r="I1607" s="43">
        <v>4218</v>
      </c>
      <c r="J1607" s="43">
        <v>4225</v>
      </c>
      <c r="K1607" s="21">
        <v>1</v>
      </c>
      <c r="L1607" s="43">
        <v>4200</v>
      </c>
      <c r="M1607" s="108">
        <v>4200</v>
      </c>
      <c r="N1607" s="77"/>
      <c r="O1607" s="77" t="s">
        <v>4019</v>
      </c>
      <c r="P1607" s="194" t="str">
        <f t="shared" si="298"/>
        <v>1</v>
      </c>
      <c r="Q1607" s="21">
        <v>1</v>
      </c>
      <c r="R1607" s="39" t="str">
        <f t="shared" si="300"/>
        <v>-</v>
      </c>
      <c r="S1607" s="120">
        <f t="shared" si="299"/>
        <v>7809743</v>
      </c>
      <c r="T1607" s="123">
        <v>93399883</v>
      </c>
      <c r="U1607" s="123">
        <f>9383076+35197543+1608662</f>
        <v>46189281</v>
      </c>
      <c r="V1607" s="123">
        <f t="shared" si="303"/>
        <v>47210602</v>
      </c>
      <c r="W1607" s="122" t="str">
        <f t="shared" si="304"/>
        <v>1</v>
      </c>
      <c r="X1607" s="123">
        <v>85590140</v>
      </c>
      <c r="AA1607" s="122" t="str">
        <f t="shared" si="305"/>
        <v>0</v>
      </c>
      <c r="AB1607" s="120">
        <f t="shared" si="306"/>
        <v>0</v>
      </c>
      <c r="AC1607" s="123">
        <v>0</v>
      </c>
      <c r="AD1607" s="123">
        <v>0</v>
      </c>
      <c r="AE1607" s="123">
        <v>23343461</v>
      </c>
      <c r="AG1607" s="151">
        <f t="shared" si="302"/>
        <v>475386</v>
      </c>
      <c r="AH1607" s="123">
        <v>475386</v>
      </c>
      <c r="AJ1607" s="123">
        <v>371875</v>
      </c>
      <c r="AO1607" s="123">
        <v>700000</v>
      </c>
    </row>
    <row r="1608" spans="1:41" s="123" customFormat="1" ht="16.2" thickBot="1" x14ac:dyDescent="0.35">
      <c r="A1608" s="21">
        <v>274.3</v>
      </c>
      <c r="B1608" s="212" t="s">
        <v>194</v>
      </c>
      <c r="C1608" s="31" t="str">
        <f>VLOOKUP((CONCATENATE(B1608)),ID!$A$2:$D$305,3,0)</f>
        <v>BA024</v>
      </c>
      <c r="D1608" s="21">
        <v>0</v>
      </c>
      <c r="E1608" s="21" t="s">
        <v>4005</v>
      </c>
      <c r="F1608" s="21" t="s">
        <v>1117</v>
      </c>
      <c r="G1608" s="21" t="s">
        <v>3853</v>
      </c>
      <c r="H1608" s="88">
        <v>4382</v>
      </c>
      <c r="I1608" s="43">
        <v>4400</v>
      </c>
      <c r="J1608" s="43">
        <v>4398</v>
      </c>
      <c r="K1608" s="21">
        <v>1</v>
      </c>
      <c r="L1608" s="43">
        <v>4384</v>
      </c>
      <c r="M1608" s="108">
        <v>4384</v>
      </c>
      <c r="N1608" s="108">
        <v>4408</v>
      </c>
      <c r="O1608" s="77" t="s">
        <v>4019</v>
      </c>
      <c r="P1608" s="194" t="str">
        <f t="shared" si="298"/>
        <v>1</v>
      </c>
      <c r="Q1608" s="21">
        <v>1</v>
      </c>
      <c r="R1608" s="39" t="str">
        <f t="shared" si="300"/>
        <v>-</v>
      </c>
      <c r="S1608" s="120">
        <f t="shared" si="299"/>
        <v>8015644</v>
      </c>
      <c r="T1608" s="123">
        <v>96094148</v>
      </c>
      <c r="U1608" s="123">
        <f>9667610+36465019+1581477</f>
        <v>47714106</v>
      </c>
      <c r="V1608" s="123">
        <f t="shared" si="303"/>
        <v>48380042</v>
      </c>
      <c r="W1608" s="122" t="str">
        <f t="shared" si="304"/>
        <v>1</v>
      </c>
      <c r="X1608" s="123">
        <v>88078504</v>
      </c>
      <c r="AA1608" s="122" t="str">
        <f t="shared" si="305"/>
        <v>0</v>
      </c>
      <c r="AB1608" s="120">
        <f t="shared" si="306"/>
        <v>0</v>
      </c>
      <c r="AC1608" s="123">
        <v>0</v>
      </c>
      <c r="AD1608" s="123">
        <v>0</v>
      </c>
      <c r="AE1608" s="123">
        <v>25348402</v>
      </c>
      <c r="AG1608" s="151">
        <f t="shared" si="302"/>
        <v>996017</v>
      </c>
      <c r="AH1608" s="123">
        <f>2871016-1148428</f>
        <v>1722588</v>
      </c>
      <c r="AJ1608" s="123">
        <v>371875</v>
      </c>
      <c r="AL1608" s="123">
        <v>726571</v>
      </c>
      <c r="AO1608" s="123">
        <v>700000</v>
      </c>
    </row>
    <row r="1609" spans="1:41" s="123" customFormat="1" ht="16.2" thickBot="1" x14ac:dyDescent="0.35">
      <c r="A1609" s="21">
        <v>274.39999999999998</v>
      </c>
      <c r="B1609" s="212" t="s">
        <v>194</v>
      </c>
      <c r="C1609" s="31" t="str">
        <f>VLOOKUP((CONCATENATE(B1609)),ID!$A$2:$D$305,3,0)</f>
        <v>BA024</v>
      </c>
      <c r="D1609" s="21">
        <v>0</v>
      </c>
      <c r="E1609" s="21" t="s">
        <v>4005</v>
      </c>
      <c r="F1609" s="21" t="s">
        <v>1117</v>
      </c>
      <c r="G1609" s="21" t="s">
        <v>3853</v>
      </c>
      <c r="H1609" s="88">
        <v>4565</v>
      </c>
      <c r="I1609" s="43">
        <v>4576</v>
      </c>
      <c r="J1609" s="43">
        <v>4582</v>
      </c>
      <c r="K1609" s="21">
        <v>1</v>
      </c>
      <c r="L1609" s="43">
        <v>4566</v>
      </c>
      <c r="M1609" s="108">
        <v>4566</v>
      </c>
      <c r="N1609" s="77"/>
      <c r="O1609" s="77" t="s">
        <v>4019</v>
      </c>
      <c r="P1609" s="194" t="str">
        <f t="shared" ref="P1609:P1672" si="307">IF(AJ1609=0,"?","1")</f>
        <v>1</v>
      </c>
      <c r="Q1609" s="21">
        <v>1</v>
      </c>
      <c r="R1609" s="39" t="str">
        <f t="shared" si="300"/>
        <v>-</v>
      </c>
      <c r="S1609" s="120">
        <f t="shared" ref="S1609:S1672" si="308">T1609-X1609</f>
        <v>7762775</v>
      </c>
      <c r="T1609" s="123">
        <v>96177401</v>
      </c>
      <c r="U1609" s="123">
        <f>1620049+39220664+9310310</f>
        <v>50151023</v>
      </c>
      <c r="V1609" s="123">
        <f t="shared" si="303"/>
        <v>46026378</v>
      </c>
      <c r="W1609" s="122" t="str">
        <f t="shared" si="304"/>
        <v>1</v>
      </c>
      <c r="X1609" s="123">
        <v>88414626</v>
      </c>
      <c r="AA1609" s="122" t="str">
        <f t="shared" si="305"/>
        <v>0</v>
      </c>
      <c r="AB1609" s="120">
        <f t="shared" si="306"/>
        <v>0</v>
      </c>
      <c r="AC1609" s="123">
        <v>0</v>
      </c>
      <c r="AD1609" s="123">
        <v>0</v>
      </c>
      <c r="AE1609" s="123">
        <v>22330872</v>
      </c>
      <c r="AG1609" s="151">
        <f t="shared" si="302"/>
        <v>490881</v>
      </c>
      <c r="AH1609" s="123">
        <v>490881</v>
      </c>
      <c r="AJ1609" s="123">
        <v>371875</v>
      </c>
      <c r="AO1609" s="123">
        <v>700000</v>
      </c>
    </row>
    <row r="1610" spans="1:41" s="123" customFormat="1" ht="16.2" thickBot="1" x14ac:dyDescent="0.35">
      <c r="A1610" s="21"/>
      <c r="B1610" s="212" t="s">
        <v>194</v>
      </c>
      <c r="C1610" s="31" t="str">
        <f>VLOOKUP((CONCATENATE(B1610)),ID!$A$2:$D$305,3,0)</f>
        <v>BA024</v>
      </c>
      <c r="D1610" s="21">
        <v>0</v>
      </c>
      <c r="E1610" s="21" t="s">
        <v>4005</v>
      </c>
      <c r="F1610" s="21" t="s">
        <v>1117</v>
      </c>
      <c r="G1610" s="21" t="s">
        <v>3853</v>
      </c>
      <c r="H1610" s="88">
        <v>4748</v>
      </c>
      <c r="I1610" s="43">
        <v>4771</v>
      </c>
      <c r="J1610" s="43">
        <v>4764</v>
      </c>
      <c r="K1610" s="21">
        <v>1</v>
      </c>
      <c r="L1610" s="43">
        <v>4750</v>
      </c>
      <c r="M1610" s="108">
        <v>4750</v>
      </c>
      <c r="N1610" s="108">
        <v>4779</v>
      </c>
      <c r="O1610" s="77" t="s">
        <v>4019</v>
      </c>
      <c r="P1610" s="194" t="str">
        <f t="shared" si="307"/>
        <v>1</v>
      </c>
      <c r="Q1610" s="21">
        <v>1</v>
      </c>
      <c r="R1610" s="39" t="str">
        <f t="shared" si="300"/>
        <v>-</v>
      </c>
      <c r="S1610" s="120">
        <f t="shared" si="308"/>
        <v>8027372</v>
      </c>
      <c r="T1610" s="123">
        <v>100434316</v>
      </c>
      <c r="U1610" s="123">
        <f>9134196+1672659+42230672</f>
        <v>53037527</v>
      </c>
      <c r="V1610" s="123">
        <f t="shared" si="303"/>
        <v>47396789</v>
      </c>
      <c r="W1610" s="122" t="str">
        <f t="shared" si="304"/>
        <v>1</v>
      </c>
      <c r="X1610" s="123">
        <v>92406944</v>
      </c>
      <c r="AA1610" s="122" t="str">
        <f t="shared" si="305"/>
        <v>0</v>
      </c>
      <c r="AB1610" s="120">
        <f t="shared" si="306"/>
        <v>0</v>
      </c>
      <c r="AC1610" s="123">
        <v>0</v>
      </c>
      <c r="AD1610" s="123">
        <v>0</v>
      </c>
      <c r="AE1610" s="123">
        <v>21671792</v>
      </c>
      <c r="AG1610" s="151">
        <f t="shared" si="302"/>
        <v>1150208</v>
      </c>
      <c r="AH1610" s="123">
        <f>3161957-1175824</f>
        <v>1986133</v>
      </c>
      <c r="AJ1610" s="123">
        <v>371875</v>
      </c>
      <c r="AL1610" s="123">
        <v>835925</v>
      </c>
      <c r="AO1610" s="123">
        <v>700000</v>
      </c>
    </row>
    <row r="1611" spans="1:41" s="123" customFormat="1" ht="16.2" thickBot="1" x14ac:dyDescent="0.35">
      <c r="A1611" s="21"/>
      <c r="B1611" s="212" t="s">
        <v>194</v>
      </c>
      <c r="C1611" s="31" t="str">
        <f>VLOOKUP((CONCATENATE(B1611)),ID!$A$2:$D$305,3,0)</f>
        <v>BA024</v>
      </c>
      <c r="D1611" s="21">
        <v>0</v>
      </c>
      <c r="E1611" s="21" t="s">
        <v>4005</v>
      </c>
      <c r="F1611" s="21" t="s">
        <v>1117</v>
      </c>
      <c r="G1611" s="21" t="s">
        <v>3853</v>
      </c>
      <c r="H1611" s="88">
        <v>4930</v>
      </c>
      <c r="I1611" s="43">
        <v>4946</v>
      </c>
      <c r="J1611" s="43">
        <v>4940</v>
      </c>
      <c r="K1611" s="21">
        <v>1</v>
      </c>
      <c r="L1611" s="43">
        <v>4931</v>
      </c>
      <c r="M1611" s="108">
        <v>4931</v>
      </c>
      <c r="N1611" s="77"/>
      <c r="O1611" s="77" t="s">
        <v>4019</v>
      </c>
      <c r="P1611" s="194" t="str">
        <f t="shared" si="307"/>
        <v>1</v>
      </c>
      <c r="Q1611" s="21">
        <v>1</v>
      </c>
      <c r="R1611" s="39" t="str">
        <f t="shared" si="300"/>
        <v>-</v>
      </c>
      <c r="S1611" s="120">
        <f t="shared" si="308"/>
        <v>7804111</v>
      </c>
      <c r="T1611" s="123">
        <v>101079034</v>
      </c>
      <c r="U1611" s="123">
        <f>9152174+1719624+43304995</f>
        <v>54176793</v>
      </c>
      <c r="V1611" s="123">
        <f t="shared" si="303"/>
        <v>46902241</v>
      </c>
      <c r="W1611" s="122" t="str">
        <f t="shared" si="304"/>
        <v>1</v>
      </c>
      <c r="X1611" s="123">
        <v>93274923</v>
      </c>
      <c r="AA1611" s="122" t="str">
        <f t="shared" si="305"/>
        <v>0</v>
      </c>
      <c r="AB1611" s="120">
        <f t="shared" si="306"/>
        <v>0</v>
      </c>
      <c r="AC1611" s="123">
        <v>0</v>
      </c>
      <c r="AD1611" s="123">
        <v>0</v>
      </c>
      <c r="AE1611" s="123">
        <v>20776059</v>
      </c>
      <c r="AG1611" s="151">
        <f t="shared" si="302"/>
        <v>520490</v>
      </c>
      <c r="AH1611" s="123">
        <v>520490</v>
      </c>
      <c r="AJ1611" s="123">
        <v>371875</v>
      </c>
      <c r="AO1611" s="123">
        <v>700000</v>
      </c>
    </row>
    <row r="1612" spans="1:41" s="123" customFormat="1" ht="16.2" thickBot="1" x14ac:dyDescent="0.35">
      <c r="A1612" s="21"/>
      <c r="B1612" s="212" t="s">
        <v>194</v>
      </c>
      <c r="C1612" s="31" t="str">
        <f>VLOOKUP((CONCATENATE(B1612)),ID!$A$2:$D$305,3,0)</f>
        <v>BA024</v>
      </c>
      <c r="D1612" s="21">
        <v>0</v>
      </c>
      <c r="E1612" s="21" t="s">
        <v>4005</v>
      </c>
      <c r="F1612" s="21" t="s">
        <v>1117</v>
      </c>
      <c r="G1612" s="21" t="s">
        <v>3853</v>
      </c>
      <c r="H1612" s="88">
        <v>5113</v>
      </c>
      <c r="I1612" s="43">
        <v>5135</v>
      </c>
      <c r="J1612" s="43">
        <v>5133</v>
      </c>
      <c r="K1612" s="21">
        <v>1</v>
      </c>
      <c r="L1612" s="43">
        <v>5115</v>
      </c>
      <c r="M1612" s="108">
        <v>5115</v>
      </c>
      <c r="N1612" s="108">
        <v>5143</v>
      </c>
      <c r="O1612" s="77" t="s">
        <v>4019</v>
      </c>
      <c r="P1612" s="194" t="str">
        <f t="shared" si="307"/>
        <v>1</v>
      </c>
      <c r="Q1612" s="21">
        <v>1</v>
      </c>
      <c r="R1612" s="39" t="str">
        <f t="shared" si="300"/>
        <v>-</v>
      </c>
      <c r="S1612" s="120">
        <f t="shared" si="308"/>
        <v>8378231</v>
      </c>
      <c r="T1612" s="123">
        <v>104248238</v>
      </c>
      <c r="U1612" s="123">
        <f>8713516+200000+44089225+1649226</f>
        <v>54651967</v>
      </c>
      <c r="V1612" s="123">
        <f t="shared" si="303"/>
        <v>49596271</v>
      </c>
      <c r="W1612" s="122" t="str">
        <f t="shared" si="304"/>
        <v>1</v>
      </c>
      <c r="X1612" s="123">
        <v>95870007</v>
      </c>
      <c r="AA1612" s="122" t="str">
        <f t="shared" si="305"/>
        <v>0</v>
      </c>
      <c r="AB1612" s="120">
        <f t="shared" si="306"/>
        <v>0</v>
      </c>
      <c r="AC1612" s="123">
        <v>0</v>
      </c>
      <c r="AD1612" s="123">
        <v>0</v>
      </c>
      <c r="AE1612" s="123">
        <v>26140006</v>
      </c>
      <c r="AG1612" s="151">
        <f t="shared" si="302"/>
        <v>1294610</v>
      </c>
      <c r="AH1612" s="123">
        <f>3748244-1219541</f>
        <v>2528703</v>
      </c>
      <c r="AJ1612" s="123">
        <v>371875</v>
      </c>
      <c r="AL1612" s="123">
        <v>1234093</v>
      </c>
      <c r="AO1612" s="123">
        <v>700000</v>
      </c>
    </row>
    <row r="1613" spans="1:41" s="123" customFormat="1" ht="16.2" thickBot="1" x14ac:dyDescent="0.35">
      <c r="A1613" s="21"/>
      <c r="B1613" s="212" t="s">
        <v>194</v>
      </c>
      <c r="C1613" s="31" t="str">
        <f>VLOOKUP((CONCATENATE(B1613)),ID!$A$2:$D$305,3,0)</f>
        <v>BA024</v>
      </c>
      <c r="D1613" s="21">
        <v>0</v>
      </c>
      <c r="E1613" s="21" t="s">
        <v>4005</v>
      </c>
      <c r="F1613" s="21" t="s">
        <v>1117</v>
      </c>
      <c r="G1613" s="21" t="s">
        <v>3853</v>
      </c>
      <c r="H1613" s="88">
        <v>5295</v>
      </c>
      <c r="I1613" s="43">
        <v>5317</v>
      </c>
      <c r="J1613" s="43">
        <v>5311</v>
      </c>
      <c r="K1613" s="21">
        <v>1</v>
      </c>
      <c r="L1613" s="43">
        <v>5296</v>
      </c>
      <c r="M1613" s="108">
        <v>5296</v>
      </c>
      <c r="N1613" s="77"/>
      <c r="O1613" s="77" t="s">
        <v>4019</v>
      </c>
      <c r="P1613" s="194" t="str">
        <f t="shared" si="307"/>
        <v>1</v>
      </c>
      <c r="Q1613" s="21">
        <v>1</v>
      </c>
      <c r="R1613" s="39" t="str">
        <f t="shared" si="300"/>
        <v>-</v>
      </c>
      <c r="S1613" s="120">
        <f t="shared" si="308"/>
        <v>8020551</v>
      </c>
      <c r="T1613" s="123">
        <v>105353123</v>
      </c>
      <c r="U1613" s="123">
        <f>9674142+200000+1671325+42026669</f>
        <v>53572136</v>
      </c>
      <c r="V1613" s="123">
        <f t="shared" si="303"/>
        <v>51780987</v>
      </c>
      <c r="W1613" s="122" t="str">
        <f t="shared" si="304"/>
        <v>1</v>
      </c>
      <c r="X1613" s="123">
        <v>97332572</v>
      </c>
      <c r="AA1613" s="122" t="str">
        <f t="shared" si="305"/>
        <v>0</v>
      </c>
      <c r="AB1613" s="120">
        <f t="shared" si="306"/>
        <v>0</v>
      </c>
      <c r="AC1613" s="123">
        <v>0</v>
      </c>
      <c r="AD1613" s="123">
        <v>0</v>
      </c>
      <c r="AE1613" s="123">
        <v>26167935</v>
      </c>
      <c r="AG1613" s="151">
        <f t="shared" si="302"/>
        <v>485779</v>
      </c>
      <c r="AH1613" s="123">
        <v>485779</v>
      </c>
      <c r="AJ1613" s="123">
        <v>371875</v>
      </c>
      <c r="AO1613" s="123">
        <v>700000</v>
      </c>
    </row>
    <row r="1614" spans="1:41" s="123" customFormat="1" ht="16.2" thickBot="1" x14ac:dyDescent="0.35">
      <c r="A1614" s="21"/>
      <c r="B1614" s="212" t="s">
        <v>196</v>
      </c>
      <c r="C1614" s="31" t="str">
        <f>VLOOKUP((CONCATENATE(B1614)),ID!$A$2:$D$305,3,0)</f>
        <v>BA025</v>
      </c>
      <c r="D1614" s="21">
        <v>0</v>
      </c>
      <c r="E1614" s="21" t="s">
        <v>4005</v>
      </c>
      <c r="F1614" s="21" t="s">
        <v>1117</v>
      </c>
      <c r="G1614" s="21" t="s">
        <v>3853</v>
      </c>
      <c r="H1614" s="88">
        <v>3653</v>
      </c>
      <c r="I1614" s="43">
        <v>3671</v>
      </c>
      <c r="J1614" s="43">
        <v>3671</v>
      </c>
      <c r="K1614" s="21">
        <v>0</v>
      </c>
      <c r="L1614" s="43"/>
      <c r="M1614" s="108"/>
      <c r="N1614" s="108">
        <v>3680</v>
      </c>
      <c r="O1614" s="118" t="s">
        <v>4020</v>
      </c>
      <c r="P1614" s="194" t="str">
        <f t="shared" si="307"/>
        <v>1</v>
      </c>
      <c r="Q1614" s="21">
        <v>1</v>
      </c>
      <c r="R1614" s="39" t="str">
        <f t="shared" si="300"/>
        <v>-</v>
      </c>
      <c r="S1614" s="120">
        <f t="shared" si="308"/>
        <v>4325170</v>
      </c>
      <c r="T1614" s="123">
        <v>38093104</v>
      </c>
      <c r="U1614" s="123">
        <f>7649336+927197+17008923</f>
        <v>25585456</v>
      </c>
      <c r="V1614" s="123">
        <f t="shared" si="303"/>
        <v>12507648</v>
      </c>
      <c r="W1614" s="122" t="str">
        <f t="shared" si="304"/>
        <v>1</v>
      </c>
      <c r="X1614" s="123">
        <v>33767934</v>
      </c>
      <c r="AA1614" s="122" t="str">
        <f t="shared" si="305"/>
        <v>0</v>
      </c>
      <c r="AB1614" s="120">
        <f t="shared" si="306"/>
        <v>0</v>
      </c>
      <c r="AC1614" s="123">
        <v>0</v>
      </c>
      <c r="AD1614" s="123">
        <v>0</v>
      </c>
      <c r="AE1614" s="123">
        <v>10905896</v>
      </c>
      <c r="AG1614" s="151">
        <f t="shared" si="302"/>
        <v>185766</v>
      </c>
      <c r="AH1614" s="123">
        <f>376404-190638</f>
        <v>185766</v>
      </c>
      <c r="AJ1614" s="123">
        <v>148500</v>
      </c>
      <c r="AO1614" s="123">
        <v>198000</v>
      </c>
    </row>
    <row r="1615" spans="1:41" s="123" customFormat="1" ht="16.2" thickBot="1" x14ac:dyDescent="0.35">
      <c r="A1615" s="21"/>
      <c r="B1615" s="212" t="s">
        <v>196</v>
      </c>
      <c r="C1615" s="31" t="str">
        <f>VLOOKUP((CONCATENATE(B1615)),ID!$A$2:$D$305,3,0)</f>
        <v>BA025</v>
      </c>
      <c r="D1615" s="21">
        <v>0</v>
      </c>
      <c r="E1615" s="21" t="s">
        <v>4005</v>
      </c>
      <c r="F1615" s="21" t="s">
        <v>1117</v>
      </c>
      <c r="G1615" s="21" t="s">
        <v>3853</v>
      </c>
      <c r="H1615" s="88">
        <v>3834</v>
      </c>
      <c r="I1615" s="43">
        <v>3853</v>
      </c>
      <c r="J1615" s="43"/>
      <c r="K1615" s="21">
        <v>0</v>
      </c>
      <c r="L1615" s="43"/>
      <c r="M1615" s="108"/>
      <c r="N1615" s="77"/>
      <c r="O1615" s="118" t="s">
        <v>4020</v>
      </c>
      <c r="P1615" s="194" t="str">
        <f t="shared" si="307"/>
        <v>1</v>
      </c>
      <c r="Q1615" s="21">
        <v>1</v>
      </c>
      <c r="R1615" s="39" t="str">
        <f t="shared" si="300"/>
        <v>-</v>
      </c>
      <c r="S1615" s="120">
        <f t="shared" si="308"/>
        <v>4336055</v>
      </c>
      <c r="T1615" s="123">
        <v>40575457</v>
      </c>
      <c r="U1615" s="123">
        <f>7631396+18219752+930940</f>
        <v>26782088</v>
      </c>
      <c r="V1615" s="123">
        <f t="shared" si="303"/>
        <v>13793369</v>
      </c>
      <c r="W1615" s="122" t="str">
        <f t="shared" si="304"/>
        <v>1</v>
      </c>
      <c r="X1615" s="123">
        <v>36239402</v>
      </c>
      <c r="AA1615" s="122" t="str">
        <f t="shared" si="305"/>
        <v>0</v>
      </c>
      <c r="AB1615" s="120">
        <f t="shared" si="306"/>
        <v>0</v>
      </c>
      <c r="AC1615" s="123">
        <v>0</v>
      </c>
      <c r="AD1615" s="123">
        <v>0</v>
      </c>
      <c r="AE1615" s="123">
        <v>12199313</v>
      </c>
      <c r="AG1615" s="151">
        <f t="shared" si="302"/>
        <v>194086</v>
      </c>
      <c r="AH1615" s="123">
        <f>406865-197779-AK1615</f>
        <v>194086</v>
      </c>
      <c r="AJ1615" s="123">
        <v>148500</v>
      </c>
      <c r="AK1615" s="123">
        <v>15000</v>
      </c>
      <c r="AO1615" s="123">
        <v>198000</v>
      </c>
    </row>
    <row r="1616" spans="1:41" s="123" customFormat="1" ht="16.2" thickBot="1" x14ac:dyDescent="0.35">
      <c r="A1616" s="21">
        <v>275.10000000000002</v>
      </c>
      <c r="B1616" s="212" t="s">
        <v>196</v>
      </c>
      <c r="C1616" s="31" t="str">
        <f>VLOOKUP((CONCATENATE(B1616)),ID!$A$2:$D$305,3,0)</f>
        <v>BA025</v>
      </c>
      <c r="D1616" s="21">
        <v>0</v>
      </c>
      <c r="E1616" s="21" t="s">
        <v>4005</v>
      </c>
      <c r="F1616" s="21" t="s">
        <v>1117</v>
      </c>
      <c r="G1616" s="21" t="s">
        <v>3853</v>
      </c>
      <c r="H1616" s="88">
        <v>4018</v>
      </c>
      <c r="I1616" s="43">
        <v>4035</v>
      </c>
      <c r="J1616" s="43">
        <v>40560</v>
      </c>
      <c r="K1616" s="21">
        <v>0</v>
      </c>
      <c r="L1616" s="21"/>
      <c r="M1616" s="77"/>
      <c r="N1616" s="108">
        <v>4044</v>
      </c>
      <c r="O1616" s="118" t="s">
        <v>4020</v>
      </c>
      <c r="P1616" s="194" t="str">
        <f t="shared" si="307"/>
        <v>1</v>
      </c>
      <c r="Q1616" s="21">
        <v>1</v>
      </c>
      <c r="R1616" s="39" t="str">
        <f t="shared" si="300"/>
        <v>-</v>
      </c>
      <c r="S1616" s="120">
        <f t="shared" si="308"/>
        <v>4267300</v>
      </c>
      <c r="T1616" s="123">
        <v>39920542</v>
      </c>
      <c r="U1616" s="123">
        <f>8084978+17626087+938596</f>
        <v>26649661</v>
      </c>
      <c r="V1616" s="123">
        <f t="shared" si="303"/>
        <v>13270881</v>
      </c>
      <c r="W1616" s="122" t="str">
        <f t="shared" si="304"/>
        <v>1</v>
      </c>
      <c r="X1616" s="123">
        <v>35653242</v>
      </c>
      <c r="AA1616" s="122" t="str">
        <f t="shared" si="305"/>
        <v>0</v>
      </c>
      <c r="AB1616" s="120">
        <f t="shared" si="306"/>
        <v>0</v>
      </c>
      <c r="AC1616" s="123">
        <v>0</v>
      </c>
      <c r="AD1616" s="123">
        <v>0</v>
      </c>
      <c r="AE1616" s="123">
        <v>11230138</v>
      </c>
      <c r="AG1616" s="151">
        <f t="shared" si="302"/>
        <v>209168</v>
      </c>
      <c r="AH1616" s="123">
        <f>404151-194983</f>
        <v>209168</v>
      </c>
      <c r="AJ1616" s="123">
        <v>148500</v>
      </c>
      <c r="AO1616" s="123">
        <v>198000</v>
      </c>
    </row>
    <row r="1617" spans="1:41" s="123" customFormat="1" ht="16.2" thickBot="1" x14ac:dyDescent="0.35">
      <c r="A1617" s="21">
        <v>275.2</v>
      </c>
      <c r="B1617" s="212" t="s">
        <v>196</v>
      </c>
      <c r="C1617" s="31" t="str">
        <f>VLOOKUP((CONCATENATE(B1617)),ID!$A$2:$D$305,3,0)</f>
        <v>BA025</v>
      </c>
      <c r="D1617" s="21">
        <v>0</v>
      </c>
      <c r="E1617" s="21" t="s">
        <v>4005</v>
      </c>
      <c r="F1617" s="21" t="s">
        <v>1117</v>
      </c>
      <c r="G1617" s="21" t="s">
        <v>3853</v>
      </c>
      <c r="H1617" s="88">
        <v>4199</v>
      </c>
      <c r="I1617" s="43">
        <v>4219</v>
      </c>
      <c r="J1617" s="43"/>
      <c r="K1617" s="21">
        <v>0</v>
      </c>
      <c r="L1617" s="21"/>
      <c r="M1617" s="77"/>
      <c r="N1617" s="77"/>
      <c r="O1617" s="118" t="s">
        <v>4020</v>
      </c>
      <c r="P1617" s="194">
        <v>1</v>
      </c>
      <c r="Q1617" s="21">
        <v>1</v>
      </c>
      <c r="R1617" s="39" t="str">
        <f t="shared" si="300"/>
        <v>-</v>
      </c>
      <c r="S1617" s="120">
        <f t="shared" si="308"/>
        <v>4070000</v>
      </c>
      <c r="T1617" s="123">
        <v>40123034</v>
      </c>
      <c r="U1617" s="123">
        <f>7643380+948638+18112467</f>
        <v>26704485</v>
      </c>
      <c r="V1617" s="123">
        <f t="shared" si="303"/>
        <v>13418549</v>
      </c>
      <c r="W1617" s="122" t="str">
        <f t="shared" si="304"/>
        <v>1</v>
      </c>
      <c r="X1617" s="123">
        <v>36053034</v>
      </c>
      <c r="AA1617" s="122" t="str">
        <f t="shared" si="305"/>
        <v>0</v>
      </c>
      <c r="AB1617" s="120">
        <f t="shared" si="306"/>
        <v>0</v>
      </c>
      <c r="AC1617" s="123">
        <v>0</v>
      </c>
      <c r="AD1617" s="123">
        <v>0</v>
      </c>
      <c r="AE1617" s="123">
        <v>12122381</v>
      </c>
      <c r="AG1617" s="153">
        <f t="shared" si="302"/>
        <v>0</v>
      </c>
      <c r="AH1617" s="138"/>
      <c r="AI1617" s="138"/>
      <c r="AJ1617" s="138"/>
      <c r="AK1617" s="138"/>
      <c r="AL1617" s="138"/>
      <c r="AM1617" s="138"/>
      <c r="AN1617" s="138"/>
      <c r="AO1617" s="138">
        <v>198000</v>
      </c>
    </row>
    <row r="1618" spans="1:41" s="123" customFormat="1" ht="16.2" thickBot="1" x14ac:dyDescent="0.35">
      <c r="A1618" s="21">
        <v>275.3</v>
      </c>
      <c r="B1618" s="212" t="s">
        <v>196</v>
      </c>
      <c r="C1618" s="31" t="str">
        <f>VLOOKUP((CONCATENATE(B1618)),ID!$A$2:$D$305,3,0)</f>
        <v>BA025</v>
      </c>
      <c r="D1618" s="21">
        <v>0</v>
      </c>
      <c r="E1618" s="21" t="s">
        <v>4005</v>
      </c>
      <c r="F1618" s="21" t="s">
        <v>1117</v>
      </c>
      <c r="G1618" s="21" t="s">
        <v>3853</v>
      </c>
      <c r="H1618" s="88">
        <v>4383</v>
      </c>
      <c r="I1618" s="43">
        <v>4398</v>
      </c>
      <c r="J1618" s="43">
        <v>4398</v>
      </c>
      <c r="K1618" s="21">
        <v>0</v>
      </c>
      <c r="L1618" s="21"/>
      <c r="M1618" s="77"/>
      <c r="N1618" s="108">
        <v>4408</v>
      </c>
      <c r="O1618" s="118" t="s">
        <v>4020</v>
      </c>
      <c r="P1618" s="194" t="str">
        <f t="shared" si="307"/>
        <v>1</v>
      </c>
      <c r="Q1618" s="21">
        <v>1</v>
      </c>
      <c r="R1618" s="39" t="str">
        <f t="shared" si="300"/>
        <v>-</v>
      </c>
      <c r="S1618" s="120">
        <f t="shared" si="308"/>
        <v>4281145</v>
      </c>
      <c r="T1618" s="123">
        <v>41024722</v>
      </c>
      <c r="U1618" s="123">
        <f>7610791+14551380+958938</f>
        <v>23121109</v>
      </c>
      <c r="V1618" s="123">
        <f t="shared" si="303"/>
        <v>17903613</v>
      </c>
      <c r="W1618" s="122" t="str">
        <f t="shared" si="304"/>
        <v>1</v>
      </c>
      <c r="X1618" s="123">
        <v>36743577</v>
      </c>
      <c r="AA1618" s="122" t="str">
        <f t="shared" si="305"/>
        <v>0</v>
      </c>
      <c r="AB1618" s="120">
        <f t="shared" si="306"/>
        <v>0</v>
      </c>
      <c r="AC1618" s="123">
        <v>0</v>
      </c>
      <c r="AD1618" s="123">
        <v>0</v>
      </c>
      <c r="AE1618" s="123">
        <v>10959533</v>
      </c>
      <c r="AG1618" s="151">
        <f t="shared" si="302"/>
        <v>359643</v>
      </c>
      <c r="AH1618" s="123">
        <f>441843-AK1618</f>
        <v>359643</v>
      </c>
      <c r="AJ1618" s="123">
        <v>148500</v>
      </c>
      <c r="AK1618" s="123">
        <v>82200</v>
      </c>
      <c r="AO1618" s="123">
        <v>198000</v>
      </c>
    </row>
    <row r="1619" spans="1:41" s="123" customFormat="1" ht="16.2" thickBot="1" x14ac:dyDescent="0.35">
      <c r="A1619" s="21">
        <v>275.39999999999998</v>
      </c>
      <c r="B1619" s="212" t="s">
        <v>196</v>
      </c>
      <c r="C1619" s="31" t="str">
        <f>VLOOKUP((CONCATENATE(B1619)),ID!$A$2:$D$305,3,0)</f>
        <v>BA025</v>
      </c>
      <c r="D1619" s="21">
        <v>0</v>
      </c>
      <c r="E1619" s="21" t="s">
        <v>4005</v>
      </c>
      <c r="F1619" s="21" t="s">
        <v>1117</v>
      </c>
      <c r="G1619" s="21" t="s">
        <v>3853</v>
      </c>
      <c r="H1619" s="88">
        <v>4565</v>
      </c>
      <c r="I1619" s="43">
        <v>4580</v>
      </c>
      <c r="J1619" s="21"/>
      <c r="K1619" s="21">
        <v>0</v>
      </c>
      <c r="L1619" s="21"/>
      <c r="M1619" s="77"/>
      <c r="N1619" s="77"/>
      <c r="O1619" s="118" t="s">
        <v>4020</v>
      </c>
      <c r="P1619" s="194">
        <v>1</v>
      </c>
      <c r="Q1619" s="21">
        <v>1</v>
      </c>
      <c r="R1619" s="39" t="str">
        <f t="shared" si="300"/>
        <v>-</v>
      </c>
      <c r="S1619" s="120">
        <f t="shared" si="308"/>
        <v>4070001</v>
      </c>
      <c r="T1619" s="123">
        <v>40891570</v>
      </c>
      <c r="U1619" s="123">
        <f>7548675+14412786+976053</f>
        <v>22937514</v>
      </c>
      <c r="V1619" s="123">
        <f t="shared" si="303"/>
        <v>17954056</v>
      </c>
      <c r="W1619" s="122" t="s">
        <v>4131</v>
      </c>
      <c r="X1619" s="123">
        <v>36821569</v>
      </c>
      <c r="AA1619" s="122" t="str">
        <f t="shared" si="305"/>
        <v>0</v>
      </c>
      <c r="AB1619" s="120">
        <f t="shared" si="306"/>
        <v>0</v>
      </c>
      <c r="AC1619" s="123">
        <v>0</v>
      </c>
      <c r="AD1619" s="123">
        <v>0</v>
      </c>
      <c r="AE1619" s="123">
        <v>11403005</v>
      </c>
      <c r="AG1619" s="151">
        <f t="shared" si="302"/>
        <v>0</v>
      </c>
      <c r="AO1619" s="123">
        <v>198000</v>
      </c>
    </row>
    <row r="1620" spans="1:41" s="123" customFormat="1" ht="16.2" thickBot="1" x14ac:dyDescent="0.35">
      <c r="A1620" s="21"/>
      <c r="B1620" s="212" t="s">
        <v>196</v>
      </c>
      <c r="C1620" s="31" t="str">
        <f>VLOOKUP((CONCATENATE(B1620)),ID!$A$2:$D$305,3,0)</f>
        <v>BA025</v>
      </c>
      <c r="D1620" s="21">
        <v>0</v>
      </c>
      <c r="E1620" s="21" t="s">
        <v>4005</v>
      </c>
      <c r="F1620" s="21" t="s">
        <v>1117</v>
      </c>
      <c r="G1620" s="21" t="s">
        <v>3853</v>
      </c>
      <c r="H1620" s="88">
        <v>4749</v>
      </c>
      <c r="I1620" s="43">
        <v>4763</v>
      </c>
      <c r="J1620" s="43">
        <v>4763</v>
      </c>
      <c r="K1620" s="21">
        <v>0</v>
      </c>
      <c r="L1620" s="21"/>
      <c r="M1620" s="77"/>
      <c r="N1620" s="108">
        <v>4772</v>
      </c>
      <c r="O1620" s="118" t="s">
        <v>4020</v>
      </c>
      <c r="P1620" s="194" t="str">
        <f t="shared" si="307"/>
        <v>1</v>
      </c>
      <c r="Q1620" s="21">
        <v>1</v>
      </c>
      <c r="R1620" s="39" t="str">
        <f t="shared" si="300"/>
        <v>-</v>
      </c>
      <c r="S1620" s="120">
        <f t="shared" si="308"/>
        <v>4289970</v>
      </c>
      <c r="T1620" s="123">
        <v>41395548</v>
      </c>
      <c r="U1620" s="123">
        <f>6621477+14294577+986254</f>
        <v>21902308</v>
      </c>
      <c r="V1620" s="123">
        <f t="shared" si="303"/>
        <v>19493240</v>
      </c>
      <c r="W1620" s="122" t="str">
        <f t="shared" si="304"/>
        <v>1</v>
      </c>
      <c r="X1620" s="123">
        <v>37105578</v>
      </c>
      <c r="AA1620" s="122" t="str">
        <f t="shared" si="305"/>
        <v>0</v>
      </c>
      <c r="AB1620" s="120">
        <f t="shared" si="306"/>
        <v>0</v>
      </c>
      <c r="AC1620" s="123">
        <v>0</v>
      </c>
      <c r="AD1620" s="123">
        <v>0</v>
      </c>
      <c r="AE1620" s="123">
        <v>10640362</v>
      </c>
      <c r="AG1620" s="151">
        <f t="shared" si="302"/>
        <v>377697</v>
      </c>
      <c r="AH1620" s="123">
        <f>908936-410639-AK1620</f>
        <v>377697</v>
      </c>
      <c r="AJ1620" s="123">
        <v>158400</v>
      </c>
      <c r="AK1620" s="123">
        <v>120600</v>
      </c>
      <c r="AO1620" s="123">
        <v>198000</v>
      </c>
    </row>
    <row r="1621" spans="1:41" s="123" customFormat="1" ht="16.2" thickBot="1" x14ac:dyDescent="0.35">
      <c r="A1621" s="21"/>
      <c r="B1621" s="212" t="s">
        <v>196</v>
      </c>
      <c r="C1621" s="31" t="str">
        <f>VLOOKUP((CONCATENATE(B1621)),ID!$A$2:$D$305,3,0)</f>
        <v>BA025</v>
      </c>
      <c r="D1621" s="21">
        <v>0</v>
      </c>
      <c r="E1621" s="21" t="s">
        <v>4005</v>
      </c>
      <c r="F1621" s="21" t="s">
        <v>1117</v>
      </c>
      <c r="G1621" s="21" t="s">
        <v>3853</v>
      </c>
      <c r="H1621" s="88">
        <v>4930</v>
      </c>
      <c r="I1621" s="43">
        <v>4944</v>
      </c>
      <c r="J1621" s="21"/>
      <c r="K1621" s="21">
        <v>0</v>
      </c>
      <c r="L1621" s="21"/>
      <c r="M1621" s="77"/>
      <c r="N1621" s="77"/>
      <c r="O1621" s="118" t="s">
        <v>4020</v>
      </c>
      <c r="P1621" s="194">
        <v>1</v>
      </c>
      <c r="Q1621" s="21">
        <v>1</v>
      </c>
      <c r="R1621" s="39" t="str">
        <f t="shared" si="300"/>
        <v>-</v>
      </c>
      <c r="S1621" s="120">
        <f t="shared" si="308"/>
        <v>4070000</v>
      </c>
      <c r="T1621" s="123">
        <v>40823884</v>
      </c>
      <c r="U1621" s="123">
        <f>6342455+16210083+1001117</f>
        <v>23553655</v>
      </c>
      <c r="V1621" s="123">
        <f t="shared" si="303"/>
        <v>17270229</v>
      </c>
      <c r="W1621" s="122" t="str">
        <f t="shared" si="304"/>
        <v>1</v>
      </c>
      <c r="X1621" s="123">
        <v>36753884</v>
      </c>
      <c r="AA1621" s="122" t="str">
        <f t="shared" si="305"/>
        <v>0</v>
      </c>
      <c r="AB1621" s="120">
        <f t="shared" si="306"/>
        <v>0</v>
      </c>
      <c r="AC1621" s="123">
        <v>0</v>
      </c>
      <c r="AD1621" s="123">
        <v>0</v>
      </c>
      <c r="AE1621" s="123">
        <v>10456002</v>
      </c>
      <c r="AG1621" s="151">
        <f t="shared" si="302"/>
        <v>0</v>
      </c>
      <c r="AO1621" s="123">
        <v>198000</v>
      </c>
    </row>
    <row r="1622" spans="1:41" s="123" customFormat="1" ht="16.2" thickBot="1" x14ac:dyDescent="0.35">
      <c r="A1622" s="21"/>
      <c r="B1622" s="212" t="s">
        <v>196</v>
      </c>
      <c r="C1622" s="31" t="str">
        <f>VLOOKUP((CONCATENATE(B1622)),ID!$A$2:$D$305,3,0)</f>
        <v>BA025</v>
      </c>
      <c r="D1622" s="21">
        <v>0</v>
      </c>
      <c r="E1622" s="21" t="s">
        <v>4005</v>
      </c>
      <c r="F1622" s="21" t="s">
        <v>1117</v>
      </c>
      <c r="G1622" s="21" t="s">
        <v>3853</v>
      </c>
      <c r="H1622" s="88">
        <v>5114</v>
      </c>
      <c r="I1622" s="43">
        <v>5127</v>
      </c>
      <c r="J1622" s="43">
        <v>5127</v>
      </c>
      <c r="K1622" s="21">
        <v>0</v>
      </c>
      <c r="L1622" s="21"/>
      <c r="M1622" s="77"/>
      <c r="N1622" s="108">
        <v>5136</v>
      </c>
      <c r="O1622" s="118" t="s">
        <v>4020</v>
      </c>
      <c r="P1622" s="194" t="str">
        <f t="shared" si="307"/>
        <v>1</v>
      </c>
      <c r="Q1622" s="21">
        <v>1</v>
      </c>
      <c r="R1622" s="39" t="str">
        <f t="shared" si="300"/>
        <v>-</v>
      </c>
      <c r="S1622" s="120">
        <f t="shared" si="308"/>
        <v>4320677</v>
      </c>
      <c r="T1622" s="123">
        <v>45111049</v>
      </c>
      <c r="U1622" s="123">
        <f>6260705+16218748+1025252</f>
        <v>23504705</v>
      </c>
      <c r="V1622" s="123">
        <f t="shared" si="303"/>
        <v>21606344</v>
      </c>
      <c r="W1622" s="122" t="str">
        <f t="shared" si="304"/>
        <v>1</v>
      </c>
      <c r="X1622" s="123">
        <v>40790372</v>
      </c>
      <c r="AA1622" s="122" t="str">
        <f t="shared" si="305"/>
        <v>0</v>
      </c>
      <c r="AB1622" s="120">
        <f t="shared" si="306"/>
        <v>0</v>
      </c>
      <c r="AC1622" s="123">
        <v>0</v>
      </c>
      <c r="AD1622" s="123">
        <v>0</v>
      </c>
      <c r="AE1622" s="123">
        <v>11641143</v>
      </c>
      <c r="AG1622" s="151">
        <f t="shared" si="302"/>
        <v>411315</v>
      </c>
      <c r="AH1622" s="123">
        <f>1003429-429114-AK1622</f>
        <v>411315</v>
      </c>
      <c r="AJ1622" s="123">
        <v>158400</v>
      </c>
      <c r="AK1622" s="123">
        <v>163000</v>
      </c>
      <c r="AO1622" s="123">
        <v>198000</v>
      </c>
    </row>
    <row r="1623" spans="1:41" s="123" customFormat="1" ht="16.2" thickBot="1" x14ac:dyDescent="0.35">
      <c r="A1623" s="21"/>
      <c r="B1623" s="212" t="s">
        <v>196</v>
      </c>
      <c r="C1623" s="31" t="str">
        <f>VLOOKUP((CONCATENATE(B1623)),ID!$A$2:$D$305,3,0)</f>
        <v>BA025</v>
      </c>
      <c r="D1623" s="21">
        <v>0</v>
      </c>
      <c r="E1623" s="21" t="s">
        <v>4005</v>
      </c>
      <c r="F1623" s="21" t="s">
        <v>1117</v>
      </c>
      <c r="G1623" s="21" t="s">
        <v>3853</v>
      </c>
      <c r="H1623" s="88">
        <v>5295</v>
      </c>
      <c r="I1623" s="43">
        <v>5309</v>
      </c>
      <c r="J1623" s="21"/>
      <c r="K1623" s="21">
        <v>0</v>
      </c>
      <c r="L1623" s="21"/>
      <c r="M1623" s="77"/>
      <c r="N1623" s="77"/>
      <c r="O1623" s="118" t="s">
        <v>4020</v>
      </c>
      <c r="P1623" s="194">
        <v>0</v>
      </c>
      <c r="Q1623" s="21">
        <v>1</v>
      </c>
      <c r="R1623" s="39" t="str">
        <f t="shared" si="300"/>
        <v>-</v>
      </c>
      <c r="S1623" s="120">
        <f t="shared" si="308"/>
        <v>4095000</v>
      </c>
      <c r="T1623" s="123">
        <v>43834580</v>
      </c>
      <c r="U1623" s="123">
        <f>6405607+16745530+1045744</f>
        <v>24196881</v>
      </c>
      <c r="V1623" s="123">
        <f t="shared" si="303"/>
        <v>19637699</v>
      </c>
      <c r="W1623" s="122" t="str">
        <f t="shared" si="304"/>
        <v>1</v>
      </c>
      <c r="X1623" s="123">
        <v>39739580</v>
      </c>
      <c r="AA1623" s="122" t="str">
        <f t="shared" si="305"/>
        <v>0</v>
      </c>
      <c r="AB1623" s="120">
        <f t="shared" si="306"/>
        <v>0</v>
      </c>
      <c r="AC1623" s="123">
        <v>0</v>
      </c>
      <c r="AD1623" s="123">
        <v>0</v>
      </c>
      <c r="AE1623" s="123">
        <v>11326374</v>
      </c>
      <c r="AG1623" s="151">
        <f t="shared" si="302"/>
        <v>0</v>
      </c>
      <c r="AO1623" s="123">
        <v>198000</v>
      </c>
    </row>
    <row r="1624" spans="1:41" s="123" customFormat="1" ht="16.2" thickBot="1" x14ac:dyDescent="0.35">
      <c r="A1624" s="21"/>
      <c r="B1624" s="212" t="s">
        <v>201</v>
      </c>
      <c r="C1624" s="31" t="str">
        <f>VLOOKUP((CONCATENATE(B1624)),ID!$A$2:$D$305,3,0)</f>
        <v>BA026</v>
      </c>
      <c r="D1624" s="21">
        <v>0</v>
      </c>
      <c r="E1624" s="21" t="s">
        <v>4005</v>
      </c>
      <c r="F1624" s="21" t="s">
        <v>3812</v>
      </c>
      <c r="G1624" s="21" t="s">
        <v>3853</v>
      </c>
      <c r="H1624" s="88">
        <v>3653</v>
      </c>
      <c r="I1624" s="43">
        <v>3660</v>
      </c>
      <c r="J1624" s="43">
        <v>3659</v>
      </c>
      <c r="K1624" s="21">
        <v>0</v>
      </c>
      <c r="L1624" s="21"/>
      <c r="M1624" s="77"/>
      <c r="N1624" s="108">
        <v>3670</v>
      </c>
      <c r="O1624" s="21" t="s">
        <v>4021</v>
      </c>
      <c r="P1624" s="194" t="str">
        <f t="shared" si="307"/>
        <v>1</v>
      </c>
      <c r="Q1624" s="21">
        <v>1</v>
      </c>
      <c r="R1624" s="39" t="str">
        <f t="shared" si="300"/>
        <v>-</v>
      </c>
      <c r="S1624" s="120">
        <f t="shared" si="308"/>
        <v>3844894</v>
      </c>
      <c r="T1624" s="123">
        <v>27528402</v>
      </c>
      <c r="U1624" s="123">
        <f>3932892+13184720+500000</f>
        <v>17617612</v>
      </c>
      <c r="V1624" s="123">
        <f t="shared" si="303"/>
        <v>9910790</v>
      </c>
      <c r="W1624" s="122" t="str">
        <f t="shared" si="304"/>
        <v>1</v>
      </c>
      <c r="X1624" s="123">
        <v>23683508</v>
      </c>
      <c r="AA1624" s="122" t="str">
        <f t="shared" si="305"/>
        <v>0</v>
      </c>
      <c r="AB1624" s="120">
        <f t="shared" si="306"/>
        <v>0</v>
      </c>
      <c r="AC1624" s="123">
        <v>0</v>
      </c>
      <c r="AD1624" s="123">
        <v>0</v>
      </c>
      <c r="AE1624" s="123">
        <v>5636318</v>
      </c>
      <c r="AG1624" s="151">
        <f t="shared" si="302"/>
        <v>182626</v>
      </c>
      <c r="AH1624" s="123">
        <f>238893-56267</f>
        <v>182626</v>
      </c>
      <c r="AJ1624" s="123">
        <v>165900</v>
      </c>
      <c r="AO1624" s="123">
        <v>158000</v>
      </c>
    </row>
    <row r="1625" spans="1:41" s="123" customFormat="1" ht="16.2" thickBot="1" x14ac:dyDescent="0.35">
      <c r="A1625" s="21"/>
      <c r="B1625" s="212" t="s">
        <v>201</v>
      </c>
      <c r="C1625" s="31" t="str">
        <f>VLOOKUP((CONCATENATE(B1625)),ID!$A$2:$D$305,3,0)</f>
        <v>BA026</v>
      </c>
      <c r="D1625" s="21">
        <v>0</v>
      </c>
      <c r="E1625" s="21" t="s">
        <v>4005</v>
      </c>
      <c r="F1625" s="21" t="s">
        <v>3812</v>
      </c>
      <c r="G1625" s="21" t="s">
        <v>3853</v>
      </c>
      <c r="H1625" s="88">
        <v>3834</v>
      </c>
      <c r="I1625" s="43">
        <v>3841</v>
      </c>
      <c r="J1625" s="43">
        <v>3840</v>
      </c>
      <c r="K1625" s="21">
        <v>0</v>
      </c>
      <c r="L1625" s="21"/>
      <c r="M1625" s="77"/>
      <c r="N1625" s="108">
        <v>3849</v>
      </c>
      <c r="O1625" s="21" t="s">
        <v>4021</v>
      </c>
      <c r="P1625" s="194" t="str">
        <f t="shared" si="307"/>
        <v>1</v>
      </c>
      <c r="Q1625" s="21">
        <v>1</v>
      </c>
      <c r="R1625" s="39" t="str">
        <f t="shared" si="300"/>
        <v>-</v>
      </c>
      <c r="S1625" s="120">
        <f t="shared" si="308"/>
        <v>3858371</v>
      </c>
      <c r="T1625" s="123">
        <v>25649248</v>
      </c>
      <c r="U1625" s="123">
        <f>3909967+13018209+500000</f>
        <v>17428176</v>
      </c>
      <c r="V1625" s="123">
        <f t="shared" si="303"/>
        <v>8221072</v>
      </c>
      <c r="W1625" s="122" t="str">
        <f t="shared" si="304"/>
        <v>1</v>
      </c>
      <c r="X1625" s="123">
        <v>21790877</v>
      </c>
      <c r="AA1625" s="122" t="str">
        <f t="shared" si="305"/>
        <v>0</v>
      </c>
      <c r="AB1625" s="120">
        <f t="shared" si="306"/>
        <v>0</v>
      </c>
      <c r="AC1625" s="123">
        <v>0</v>
      </c>
      <c r="AD1625" s="123">
        <v>0</v>
      </c>
      <c r="AE1625" s="123">
        <v>5017566</v>
      </c>
      <c r="AG1625" s="151">
        <f t="shared" si="302"/>
        <v>184377</v>
      </c>
      <c r="AH1625" s="123">
        <f>242370-57993</f>
        <v>184377</v>
      </c>
      <c r="AJ1625" s="123">
        <v>165900</v>
      </c>
      <c r="AO1625" s="123">
        <v>158000</v>
      </c>
    </row>
    <row r="1626" spans="1:41" s="123" customFormat="1" ht="16.2" thickBot="1" x14ac:dyDescent="0.35">
      <c r="A1626" s="21">
        <v>276.10000000000002</v>
      </c>
      <c r="B1626" s="212" t="s">
        <v>201</v>
      </c>
      <c r="C1626" s="31" t="str">
        <f>VLOOKUP((CONCATENATE(B1626)),ID!$A$2:$D$305,3,0)</f>
        <v>BA026</v>
      </c>
      <c r="D1626" s="21">
        <v>0</v>
      </c>
      <c r="E1626" s="21" t="s">
        <v>4005</v>
      </c>
      <c r="F1626" s="21" t="s">
        <v>3812</v>
      </c>
      <c r="G1626" s="21" t="s">
        <v>3853</v>
      </c>
      <c r="H1626" s="88">
        <v>4018</v>
      </c>
      <c r="I1626" s="43">
        <v>4027</v>
      </c>
      <c r="J1626" s="43">
        <v>4024</v>
      </c>
      <c r="K1626" s="21">
        <v>0</v>
      </c>
      <c r="L1626" s="21"/>
      <c r="M1626" s="21"/>
      <c r="N1626" s="43">
        <v>4035</v>
      </c>
      <c r="O1626" s="21" t="s">
        <v>4021</v>
      </c>
      <c r="P1626" s="194" t="str">
        <f t="shared" si="307"/>
        <v>1</v>
      </c>
      <c r="Q1626" s="21">
        <v>1</v>
      </c>
      <c r="R1626" s="39" t="str">
        <f t="shared" si="300"/>
        <v>-</v>
      </c>
      <c r="S1626" s="120">
        <f t="shared" si="308"/>
        <v>3822888</v>
      </c>
      <c r="T1626" s="123">
        <v>28748078</v>
      </c>
      <c r="U1626" s="123">
        <f>3826792+12975067+500000</f>
        <v>17301859</v>
      </c>
      <c r="V1626" s="123">
        <f t="shared" si="303"/>
        <v>11446219</v>
      </c>
      <c r="W1626" s="122" t="str">
        <f t="shared" si="304"/>
        <v>1</v>
      </c>
      <c r="X1626" s="123">
        <v>24925190</v>
      </c>
      <c r="AA1626" s="122" t="str">
        <f t="shared" si="305"/>
        <v>0</v>
      </c>
      <c r="AB1626" s="120">
        <f t="shared" si="306"/>
        <v>0</v>
      </c>
      <c r="AC1626" s="123">
        <v>0</v>
      </c>
      <c r="AD1626" s="123">
        <v>0</v>
      </c>
      <c r="AE1626" s="123">
        <v>5454932</v>
      </c>
      <c r="AG1626" s="151">
        <f t="shared" si="302"/>
        <v>190417</v>
      </c>
      <c r="AH1626" s="123">
        <f>251887-61470</f>
        <v>190417</v>
      </c>
      <c r="AJ1626" s="123">
        <v>165900</v>
      </c>
      <c r="AO1626" s="123">
        <v>158000</v>
      </c>
    </row>
    <row r="1627" spans="1:41" s="123" customFormat="1" ht="16.2" thickBot="1" x14ac:dyDescent="0.35">
      <c r="A1627" s="21">
        <v>276.2</v>
      </c>
      <c r="B1627" s="212" t="s">
        <v>201</v>
      </c>
      <c r="C1627" s="31" t="str">
        <f>VLOOKUP((CONCATENATE(B1627)),ID!$A$2:$D$305,3,0)</f>
        <v>BA026</v>
      </c>
      <c r="D1627" s="21">
        <v>0</v>
      </c>
      <c r="E1627" s="21" t="s">
        <v>4005</v>
      </c>
      <c r="F1627" s="21" t="s">
        <v>3812</v>
      </c>
      <c r="G1627" s="21" t="s">
        <v>3853</v>
      </c>
      <c r="H1627" s="88">
        <v>4199</v>
      </c>
      <c r="I1627" s="43">
        <v>4206</v>
      </c>
      <c r="J1627" s="43">
        <v>4205</v>
      </c>
      <c r="K1627" s="21">
        <v>0</v>
      </c>
      <c r="L1627" s="21"/>
      <c r="M1627" s="21"/>
      <c r="N1627" s="43">
        <v>4216</v>
      </c>
      <c r="O1627" s="21" t="s">
        <v>4021</v>
      </c>
      <c r="P1627" s="194" t="str">
        <f t="shared" si="307"/>
        <v>1</v>
      </c>
      <c r="Q1627" s="21">
        <v>1</v>
      </c>
      <c r="R1627" s="39" t="str">
        <f t="shared" si="300"/>
        <v>-</v>
      </c>
      <c r="S1627" s="120">
        <f t="shared" si="308"/>
        <v>3830375</v>
      </c>
      <c r="T1627" s="123">
        <v>28393566</v>
      </c>
      <c r="U1627" s="123">
        <f>3827386+14148169+500000</f>
        <v>18475555</v>
      </c>
      <c r="V1627" s="123">
        <f t="shared" si="303"/>
        <v>9918011</v>
      </c>
      <c r="W1627" s="122" t="str">
        <f t="shared" si="304"/>
        <v>1</v>
      </c>
      <c r="X1627" s="123">
        <v>24563191</v>
      </c>
      <c r="AA1627" s="122" t="str">
        <f t="shared" si="305"/>
        <v>0</v>
      </c>
      <c r="AB1627" s="120">
        <f t="shared" si="306"/>
        <v>0</v>
      </c>
      <c r="AC1627" s="123">
        <v>0</v>
      </c>
      <c r="AD1627" s="123">
        <v>0</v>
      </c>
      <c r="AE1627" s="123">
        <v>5933732</v>
      </c>
      <c r="AG1627" s="151">
        <f t="shared" si="302"/>
        <v>183385</v>
      </c>
      <c r="AH1627" s="123">
        <f>194372-10987</f>
        <v>183385</v>
      </c>
      <c r="AJ1627" s="123">
        <v>165900</v>
      </c>
      <c r="AO1627" s="123">
        <v>158000</v>
      </c>
    </row>
    <row r="1628" spans="1:41" s="123" customFormat="1" ht="16.2" thickBot="1" x14ac:dyDescent="0.35">
      <c r="A1628" s="21">
        <v>276.3</v>
      </c>
      <c r="B1628" s="212" t="s">
        <v>201</v>
      </c>
      <c r="C1628" s="31" t="str">
        <f>VLOOKUP((CONCATENATE(B1628)),ID!$A$2:$D$305,3,0)</f>
        <v>BA026</v>
      </c>
      <c r="D1628" s="21">
        <v>0</v>
      </c>
      <c r="E1628" s="21" t="s">
        <v>4005</v>
      </c>
      <c r="F1628" s="21" t="s">
        <v>3812</v>
      </c>
      <c r="G1628" s="21" t="s">
        <v>3853</v>
      </c>
      <c r="H1628" s="88">
        <v>4383</v>
      </c>
      <c r="I1628" s="43">
        <v>4391</v>
      </c>
      <c r="J1628" s="43">
        <v>4388</v>
      </c>
      <c r="K1628" s="21">
        <v>0</v>
      </c>
      <c r="L1628" s="21"/>
      <c r="M1628" s="21"/>
      <c r="N1628" s="43">
        <v>4399</v>
      </c>
      <c r="O1628" s="21" t="s">
        <v>4021</v>
      </c>
      <c r="P1628" s="194" t="str">
        <f t="shared" si="307"/>
        <v>1</v>
      </c>
      <c r="Q1628" s="21">
        <v>1</v>
      </c>
      <c r="R1628" s="39" t="str">
        <f t="shared" si="300"/>
        <v>-</v>
      </c>
      <c r="S1628" s="120">
        <f t="shared" si="308"/>
        <v>3750613</v>
      </c>
      <c r="T1628" s="123">
        <v>29417500</v>
      </c>
      <c r="U1628" s="123">
        <f>12871932+500000+3727364</f>
        <v>17099296</v>
      </c>
      <c r="V1628" s="123">
        <f t="shared" si="303"/>
        <v>12318204</v>
      </c>
      <c r="W1628" s="122" t="str">
        <f t="shared" si="304"/>
        <v>1</v>
      </c>
      <c r="X1628" s="123">
        <v>25666887</v>
      </c>
      <c r="AA1628" s="122" t="str">
        <f t="shared" si="305"/>
        <v>0</v>
      </c>
      <c r="AB1628" s="120">
        <f t="shared" si="306"/>
        <v>0</v>
      </c>
      <c r="AC1628" s="123">
        <v>0</v>
      </c>
      <c r="AD1628" s="123">
        <v>0</v>
      </c>
      <c r="AE1628" s="123">
        <v>6334021</v>
      </c>
      <c r="AG1628" s="151">
        <f t="shared" si="302"/>
        <v>191139</v>
      </c>
      <c r="AH1628" s="123">
        <f>209611-18472</f>
        <v>191139</v>
      </c>
      <c r="AJ1628" s="123">
        <v>165900</v>
      </c>
      <c r="AO1628" s="123">
        <v>158000</v>
      </c>
    </row>
    <row r="1629" spans="1:41" s="123" customFormat="1" ht="16.2" thickBot="1" x14ac:dyDescent="0.35">
      <c r="A1629" s="21">
        <v>276.39999999999998</v>
      </c>
      <c r="B1629" s="212" t="s">
        <v>201</v>
      </c>
      <c r="C1629" s="31" t="str">
        <f>VLOOKUP((CONCATENATE(B1629)),ID!$A$2:$D$305,3,0)</f>
        <v>BA026</v>
      </c>
      <c r="D1629" s="21">
        <v>0</v>
      </c>
      <c r="E1629" s="21" t="s">
        <v>4005</v>
      </c>
      <c r="F1629" s="21" t="s">
        <v>3812</v>
      </c>
      <c r="G1629" s="21" t="s">
        <v>3853</v>
      </c>
      <c r="H1629" s="88">
        <v>4565</v>
      </c>
      <c r="I1629" s="43">
        <v>4574</v>
      </c>
      <c r="J1629" s="43">
        <v>4573</v>
      </c>
      <c r="K1629" s="21">
        <v>0</v>
      </c>
      <c r="L1629" s="21"/>
      <c r="M1629" s="21"/>
      <c r="N1629" s="43">
        <v>4582</v>
      </c>
      <c r="O1629" s="21" t="s">
        <v>4021</v>
      </c>
      <c r="P1629" s="194" t="str">
        <f t="shared" si="307"/>
        <v>1</v>
      </c>
      <c r="Q1629" s="21">
        <v>1</v>
      </c>
      <c r="R1629" s="39" t="str">
        <f t="shared" si="300"/>
        <v>-</v>
      </c>
      <c r="S1629" s="120">
        <f t="shared" si="308"/>
        <v>3768390</v>
      </c>
      <c r="T1629" s="123">
        <v>28413551</v>
      </c>
      <c r="U1629" s="123">
        <f>3724304+14279106+500000</f>
        <v>18503410</v>
      </c>
      <c r="V1629" s="123">
        <f t="shared" si="303"/>
        <v>9910141</v>
      </c>
      <c r="W1629" s="122" t="str">
        <f t="shared" si="304"/>
        <v>1</v>
      </c>
      <c r="X1629" s="123">
        <v>24645161</v>
      </c>
      <c r="AA1629" s="122" t="str">
        <f t="shared" si="305"/>
        <v>0</v>
      </c>
      <c r="AB1629" s="120">
        <f t="shared" si="306"/>
        <v>0</v>
      </c>
      <c r="AC1629" s="123">
        <v>0</v>
      </c>
      <c r="AD1629" s="123">
        <v>0</v>
      </c>
      <c r="AE1629" s="123">
        <v>5505189</v>
      </c>
      <c r="AG1629" s="151">
        <f t="shared" si="302"/>
        <v>188678</v>
      </c>
      <c r="AH1629" s="123">
        <f>217389-28711</f>
        <v>188678</v>
      </c>
      <c r="AJ1629" s="123">
        <v>165900</v>
      </c>
      <c r="AO1629" s="123">
        <v>158000</v>
      </c>
    </row>
    <row r="1630" spans="1:41" s="123" customFormat="1" ht="16.2" thickBot="1" x14ac:dyDescent="0.35">
      <c r="A1630" s="21"/>
      <c r="B1630" s="212" t="s">
        <v>201</v>
      </c>
      <c r="C1630" s="31" t="str">
        <f>VLOOKUP((CONCATENATE(B1630)),ID!$A$2:$D$305,3,0)</f>
        <v>BA026</v>
      </c>
      <c r="D1630" s="21">
        <v>0</v>
      </c>
      <c r="E1630" s="21" t="s">
        <v>4005</v>
      </c>
      <c r="F1630" s="21" t="s">
        <v>3812</v>
      </c>
      <c r="G1630" s="21" t="s">
        <v>3853</v>
      </c>
      <c r="H1630" s="88">
        <v>4749</v>
      </c>
      <c r="I1630" s="43">
        <v>4756</v>
      </c>
      <c r="J1630" s="43">
        <v>4755</v>
      </c>
      <c r="K1630" s="21">
        <v>0</v>
      </c>
      <c r="L1630" s="21"/>
      <c r="M1630" s="21"/>
      <c r="N1630" s="43">
        <v>4764</v>
      </c>
      <c r="O1630" s="21" t="s">
        <v>4021</v>
      </c>
      <c r="P1630" s="194" t="str">
        <f t="shared" si="307"/>
        <v>1</v>
      </c>
      <c r="Q1630" s="21">
        <v>1</v>
      </c>
      <c r="R1630" s="39" t="str">
        <f t="shared" si="300"/>
        <v>-</v>
      </c>
      <c r="S1630" s="120">
        <f t="shared" si="308"/>
        <v>3784732</v>
      </c>
      <c r="T1630" s="123">
        <v>31806557</v>
      </c>
      <c r="U1630" s="123">
        <f>3646348+13220500+500000</f>
        <v>17366848</v>
      </c>
      <c r="V1630" s="123">
        <f t="shared" si="303"/>
        <v>14439709</v>
      </c>
      <c r="W1630" s="122" t="str">
        <f t="shared" si="304"/>
        <v>1</v>
      </c>
      <c r="X1630" s="123">
        <v>28021825</v>
      </c>
      <c r="AA1630" s="122" t="str">
        <f t="shared" si="305"/>
        <v>0</v>
      </c>
      <c r="AB1630" s="120">
        <f t="shared" si="306"/>
        <v>0</v>
      </c>
      <c r="AC1630" s="123">
        <v>0</v>
      </c>
      <c r="AD1630" s="123">
        <v>0</v>
      </c>
      <c r="AE1630" s="123">
        <v>6988737</v>
      </c>
      <c r="AG1630" s="151">
        <f t="shared" si="302"/>
        <v>192241</v>
      </c>
      <c r="AH1630" s="123">
        <f>228730-36489</f>
        <v>192241</v>
      </c>
      <c r="AJ1630" s="123">
        <v>165900</v>
      </c>
      <c r="AO1630" s="123">
        <v>158000</v>
      </c>
    </row>
    <row r="1631" spans="1:41" s="123" customFormat="1" ht="16.2" thickBot="1" x14ac:dyDescent="0.35">
      <c r="A1631" s="21"/>
      <c r="B1631" s="212" t="s">
        <v>201</v>
      </c>
      <c r="C1631" s="31" t="str">
        <f>VLOOKUP((CONCATENATE(B1631)),ID!$A$2:$D$305,3,0)</f>
        <v>BA026</v>
      </c>
      <c r="D1631" s="21">
        <v>0</v>
      </c>
      <c r="E1631" s="21" t="s">
        <v>4005</v>
      </c>
      <c r="F1631" s="21" t="s">
        <v>3812</v>
      </c>
      <c r="G1631" s="21" t="s">
        <v>3853</v>
      </c>
      <c r="H1631" s="88">
        <v>4930</v>
      </c>
      <c r="I1631" s="43">
        <v>4938</v>
      </c>
      <c r="J1631" s="43">
        <v>4937</v>
      </c>
      <c r="K1631" s="21">
        <v>0</v>
      </c>
      <c r="L1631" s="21"/>
      <c r="M1631" s="21"/>
      <c r="N1631" s="43">
        <v>4946</v>
      </c>
      <c r="O1631" s="21" t="s">
        <v>4021</v>
      </c>
      <c r="P1631" s="194" t="str">
        <f t="shared" si="307"/>
        <v>1</v>
      </c>
      <c r="Q1631" s="21">
        <v>1</v>
      </c>
      <c r="R1631" s="39" t="str">
        <f t="shared" si="300"/>
        <v>-</v>
      </c>
      <c r="S1631" s="120">
        <f t="shared" si="308"/>
        <v>3699233</v>
      </c>
      <c r="T1631" s="123">
        <v>28943953</v>
      </c>
      <c r="U1631" s="123">
        <f>3523821+14535946+500000</f>
        <v>18559767</v>
      </c>
      <c r="V1631" s="123">
        <f t="shared" si="303"/>
        <v>10384186</v>
      </c>
      <c r="W1631" s="122" t="str">
        <f t="shared" si="304"/>
        <v>1</v>
      </c>
      <c r="X1631" s="123">
        <v>25244720</v>
      </c>
      <c r="AA1631" s="122" t="str">
        <f t="shared" si="305"/>
        <v>0</v>
      </c>
      <c r="AB1631" s="120">
        <f t="shared" si="306"/>
        <v>0</v>
      </c>
      <c r="AC1631" s="123">
        <v>0</v>
      </c>
      <c r="AD1631" s="123">
        <v>0</v>
      </c>
      <c r="AE1631" s="123">
        <v>5005704</v>
      </c>
      <c r="AG1631" s="151">
        <f t="shared" si="302"/>
        <v>190401</v>
      </c>
      <c r="AH1631" s="123">
        <f>233231-42830</f>
        <v>190401</v>
      </c>
      <c r="AJ1631" s="123">
        <v>165900</v>
      </c>
      <c r="AO1631" s="123">
        <v>158000</v>
      </c>
    </row>
    <row r="1632" spans="1:41" s="123" customFormat="1" ht="16.2" thickBot="1" x14ac:dyDescent="0.35">
      <c r="A1632" s="21"/>
      <c r="B1632" s="212" t="s">
        <v>201</v>
      </c>
      <c r="C1632" s="31" t="str">
        <f>VLOOKUP((CONCATENATE(B1632)),ID!$A$2:$D$305,3,0)</f>
        <v>BA026</v>
      </c>
      <c r="D1632" s="21">
        <v>0</v>
      </c>
      <c r="E1632" s="21" t="s">
        <v>4005</v>
      </c>
      <c r="F1632" s="21" t="s">
        <v>3812</v>
      </c>
      <c r="G1632" s="21" t="s">
        <v>3853</v>
      </c>
      <c r="H1632" s="88">
        <v>5114</v>
      </c>
      <c r="I1632" s="43">
        <v>5121</v>
      </c>
      <c r="J1632" s="43">
        <v>5120</v>
      </c>
      <c r="K1632" s="21">
        <v>0</v>
      </c>
      <c r="L1632" s="21"/>
      <c r="M1632" s="21"/>
      <c r="N1632" s="43">
        <v>5130</v>
      </c>
      <c r="O1632" s="21" t="s">
        <v>4021</v>
      </c>
      <c r="P1632" s="194" t="str">
        <f t="shared" si="307"/>
        <v>1</v>
      </c>
      <c r="Q1632" s="21">
        <v>1</v>
      </c>
      <c r="R1632" s="39" t="str">
        <f t="shared" si="300"/>
        <v>-</v>
      </c>
      <c r="S1632" s="120">
        <f t="shared" si="308"/>
        <v>3711366</v>
      </c>
      <c r="T1632" s="123">
        <v>32318169</v>
      </c>
      <c r="U1632" s="123">
        <f>3530352+13571143+500000</f>
        <v>17601495</v>
      </c>
      <c r="V1632" s="123">
        <f t="shared" si="303"/>
        <v>14716674</v>
      </c>
      <c r="W1632" s="122" t="str">
        <f t="shared" si="304"/>
        <v>1</v>
      </c>
      <c r="X1632" s="123">
        <v>28606803</v>
      </c>
      <c r="AA1632" s="122" t="str">
        <f t="shared" si="305"/>
        <v>0</v>
      </c>
      <c r="AB1632" s="120">
        <f t="shared" si="306"/>
        <v>0</v>
      </c>
      <c r="AC1632" s="123">
        <v>0</v>
      </c>
      <c r="AD1632" s="123">
        <v>0</v>
      </c>
      <c r="AE1632" s="123">
        <v>7221621</v>
      </c>
      <c r="AG1632" s="151">
        <f t="shared" si="302"/>
        <v>188034</v>
      </c>
      <c r="AH1632" s="123">
        <f>235365-47331</f>
        <v>188034</v>
      </c>
      <c r="AJ1632" s="123">
        <v>165900</v>
      </c>
      <c r="AO1632" s="123">
        <v>158000</v>
      </c>
    </row>
    <row r="1633" spans="1:41" s="123" customFormat="1" ht="16.2" thickBot="1" x14ac:dyDescent="0.35">
      <c r="A1633" s="21"/>
      <c r="B1633" s="212" t="s">
        <v>201</v>
      </c>
      <c r="C1633" s="31" t="str">
        <f>VLOOKUP((CONCATENATE(B1633)),ID!$A$2:$D$305,3,0)</f>
        <v>BA026</v>
      </c>
      <c r="D1633" s="21">
        <v>0</v>
      </c>
      <c r="E1633" s="21" t="s">
        <v>4005</v>
      </c>
      <c r="F1633" s="21" t="s">
        <v>3812</v>
      </c>
      <c r="G1633" s="21" t="s">
        <v>3853</v>
      </c>
      <c r="H1633" s="88">
        <v>5295</v>
      </c>
      <c r="I1633" s="43">
        <v>5303</v>
      </c>
      <c r="J1633" s="43">
        <v>5302</v>
      </c>
      <c r="K1633" s="21">
        <v>0</v>
      </c>
      <c r="L1633" s="21"/>
      <c r="M1633" s="21"/>
      <c r="N1633" s="43">
        <v>5312</v>
      </c>
      <c r="O1633" s="21" t="s">
        <v>4021</v>
      </c>
      <c r="P1633" s="194" t="str">
        <f t="shared" si="307"/>
        <v>1</v>
      </c>
      <c r="Q1633" s="21">
        <v>1</v>
      </c>
      <c r="R1633" s="39" t="str">
        <f t="shared" ref="R1633:R1696" si="309">IF(Q1633=0,"?","-")</f>
        <v>-</v>
      </c>
      <c r="S1633" s="120">
        <f t="shared" si="308"/>
        <v>3724022</v>
      </c>
      <c r="T1633" s="123">
        <v>30232465</v>
      </c>
      <c r="U1633" s="123">
        <f>3589154+13820275+500000</f>
        <v>17909429</v>
      </c>
      <c r="V1633" s="123">
        <f t="shared" si="303"/>
        <v>12323036</v>
      </c>
      <c r="W1633" s="122" t="str">
        <f t="shared" si="304"/>
        <v>1</v>
      </c>
      <c r="X1633" s="123">
        <v>26508443</v>
      </c>
      <c r="AA1633" s="122" t="str">
        <f t="shared" si="305"/>
        <v>0</v>
      </c>
      <c r="AB1633" s="120">
        <f t="shared" si="306"/>
        <v>0</v>
      </c>
      <c r="AC1633" s="123">
        <v>0</v>
      </c>
      <c r="AD1633" s="123">
        <v>0</v>
      </c>
      <c r="AE1633" s="123">
        <v>6525714</v>
      </c>
      <c r="AG1633" s="151">
        <f t="shared" si="302"/>
        <v>188556</v>
      </c>
      <c r="AH1633" s="123">
        <f>238021-49465</f>
        <v>188556</v>
      </c>
      <c r="AJ1633" s="123">
        <v>165900</v>
      </c>
      <c r="AO1633" s="123">
        <v>158000</v>
      </c>
    </row>
    <row r="1634" spans="1:41" s="123" customFormat="1" ht="16.2" thickBot="1" x14ac:dyDescent="0.35">
      <c r="A1634" s="21"/>
      <c r="B1634" s="212" t="s">
        <v>202</v>
      </c>
      <c r="C1634" s="31" t="str">
        <f>VLOOKUP((CONCATENATE(B1634)),ID!$A$2:$D$305,3,0)</f>
        <v>BA027</v>
      </c>
      <c r="D1634" s="21">
        <v>0</v>
      </c>
      <c r="E1634" s="21" t="s">
        <v>4005</v>
      </c>
      <c r="F1634" s="21" t="s">
        <v>3812</v>
      </c>
      <c r="G1634" s="21" t="s">
        <v>3853</v>
      </c>
      <c r="H1634" s="88">
        <v>3653</v>
      </c>
      <c r="I1634" s="43">
        <v>3661</v>
      </c>
      <c r="J1634" s="43">
        <v>3660</v>
      </c>
      <c r="K1634" s="21">
        <v>0</v>
      </c>
      <c r="L1634" s="21"/>
      <c r="M1634" s="21"/>
      <c r="N1634" s="43">
        <v>3674</v>
      </c>
      <c r="O1634" s="27" t="s">
        <v>4053</v>
      </c>
      <c r="P1634" s="194" t="str">
        <f t="shared" si="307"/>
        <v>1</v>
      </c>
      <c r="Q1634" s="21">
        <v>1</v>
      </c>
      <c r="R1634" s="39" t="str">
        <f t="shared" si="309"/>
        <v>-</v>
      </c>
      <c r="S1634" s="120">
        <f t="shared" si="308"/>
        <v>2082574</v>
      </c>
      <c r="T1634" s="123">
        <v>11648447</v>
      </c>
      <c r="U1634" s="123">
        <f>1577510+203000+5157776</f>
        <v>6938286</v>
      </c>
      <c r="V1634" s="123">
        <f t="shared" si="303"/>
        <v>4710161</v>
      </c>
      <c r="W1634" s="122" t="str">
        <f t="shared" si="304"/>
        <v>1</v>
      </c>
      <c r="X1634" s="123">
        <v>9565873</v>
      </c>
      <c r="AA1634" s="122" t="str">
        <f t="shared" si="305"/>
        <v>0</v>
      </c>
      <c r="AB1634" s="120">
        <f t="shared" si="306"/>
        <v>0</v>
      </c>
      <c r="AC1634" s="123">
        <v>0</v>
      </c>
      <c r="AD1634" s="123">
        <v>0</v>
      </c>
      <c r="AE1634" s="123">
        <v>2430896</v>
      </c>
      <c r="AG1634" s="151">
        <f t="shared" si="302"/>
        <v>87200</v>
      </c>
      <c r="AH1634" s="123">
        <v>87200</v>
      </c>
      <c r="AJ1634" s="123">
        <v>74957</v>
      </c>
      <c r="AO1634" s="123">
        <v>54602</v>
      </c>
    </row>
    <row r="1635" spans="1:41" s="123" customFormat="1" ht="16.2" thickBot="1" x14ac:dyDescent="0.35">
      <c r="A1635" s="21"/>
      <c r="B1635" s="212" t="s">
        <v>202</v>
      </c>
      <c r="C1635" s="31" t="str">
        <f>VLOOKUP((CONCATENATE(B1635)),ID!$A$2:$D$305,3,0)</f>
        <v>BA027</v>
      </c>
      <c r="D1635" s="21">
        <v>0</v>
      </c>
      <c r="E1635" s="21" t="s">
        <v>4005</v>
      </c>
      <c r="F1635" s="21" t="s">
        <v>3812</v>
      </c>
      <c r="G1635" s="21" t="s">
        <v>3853</v>
      </c>
      <c r="H1635" s="88">
        <v>3834</v>
      </c>
      <c r="I1635" s="43">
        <v>3843</v>
      </c>
      <c r="J1635" s="43">
        <v>3841</v>
      </c>
      <c r="K1635" s="21">
        <v>0</v>
      </c>
      <c r="L1635" s="21"/>
      <c r="M1635" s="21"/>
      <c r="N1635" s="43">
        <v>3856</v>
      </c>
      <c r="O1635" s="27" t="s">
        <v>4053</v>
      </c>
      <c r="P1635" s="194" t="str">
        <f t="shared" si="307"/>
        <v>1</v>
      </c>
      <c r="Q1635" s="21">
        <v>1</v>
      </c>
      <c r="R1635" s="39" t="str">
        <f t="shared" si="309"/>
        <v>-</v>
      </c>
      <c r="S1635" s="120">
        <f t="shared" si="308"/>
        <v>2095595</v>
      </c>
      <c r="T1635" s="123">
        <v>11000464</v>
      </c>
      <c r="U1635" s="123">
        <f>1564910+5492842+215000</f>
        <v>7272752</v>
      </c>
      <c r="V1635" s="123">
        <f t="shared" si="303"/>
        <v>3727712</v>
      </c>
      <c r="W1635" s="122" t="str">
        <f t="shared" si="304"/>
        <v>1</v>
      </c>
      <c r="X1635" s="123">
        <v>8904869</v>
      </c>
      <c r="AA1635" s="122" t="str">
        <f t="shared" si="305"/>
        <v>0</v>
      </c>
      <c r="AB1635" s="120">
        <f t="shared" si="306"/>
        <v>0</v>
      </c>
      <c r="AC1635" s="123">
        <v>0</v>
      </c>
      <c r="AD1635" s="123">
        <v>0</v>
      </c>
      <c r="AE1635" s="123">
        <v>2129785</v>
      </c>
      <c r="AG1635" s="151">
        <f t="shared" si="302"/>
        <v>90978</v>
      </c>
      <c r="AH1635" s="123">
        <v>90978</v>
      </c>
      <c r="AJ1635" s="123">
        <v>74828</v>
      </c>
      <c r="AO1635" s="123">
        <v>54602</v>
      </c>
    </row>
    <row r="1636" spans="1:41" s="123" customFormat="1" ht="16.2" thickBot="1" x14ac:dyDescent="0.35">
      <c r="A1636" s="21">
        <v>277.10000000000002</v>
      </c>
      <c r="B1636" s="212" t="s">
        <v>202</v>
      </c>
      <c r="C1636" s="31" t="str">
        <f>VLOOKUP((CONCATENATE(B1636)),ID!$A$2:$D$305,3,0)</f>
        <v>BA027</v>
      </c>
      <c r="D1636" s="21">
        <v>0</v>
      </c>
      <c r="E1636" s="21" t="s">
        <v>4005</v>
      </c>
      <c r="F1636" s="21" t="s">
        <v>3812</v>
      </c>
      <c r="G1636" s="21" t="s">
        <v>3853</v>
      </c>
      <c r="H1636" s="88">
        <v>4018</v>
      </c>
      <c r="I1636" s="43">
        <v>4025</v>
      </c>
      <c r="J1636" s="43">
        <v>40549</v>
      </c>
      <c r="K1636" s="21">
        <v>0</v>
      </c>
      <c r="L1636" s="21"/>
      <c r="M1636" s="21"/>
      <c r="N1636" s="43">
        <v>4038</v>
      </c>
      <c r="O1636" s="27" t="s">
        <v>4053</v>
      </c>
      <c r="P1636" s="194" t="str">
        <f t="shared" si="307"/>
        <v>1</v>
      </c>
      <c r="Q1636" s="21">
        <v>1</v>
      </c>
      <c r="R1636" s="39" t="str">
        <f t="shared" si="309"/>
        <v>-</v>
      </c>
      <c r="S1636" s="120">
        <f t="shared" si="308"/>
        <v>2107084</v>
      </c>
      <c r="T1636" s="123">
        <v>12175064</v>
      </c>
      <c r="U1636" s="123">
        <f>210000+4868941+1578340</f>
        <v>6657281</v>
      </c>
      <c r="V1636" s="123">
        <f t="shared" si="303"/>
        <v>5517783</v>
      </c>
      <c r="W1636" s="122" t="str">
        <f t="shared" si="304"/>
        <v>1</v>
      </c>
      <c r="X1636" s="123">
        <v>10067980</v>
      </c>
      <c r="AA1636" s="122" t="str">
        <f t="shared" si="305"/>
        <v>0</v>
      </c>
      <c r="AB1636" s="120">
        <f t="shared" si="306"/>
        <v>0</v>
      </c>
      <c r="AC1636" s="123">
        <v>0</v>
      </c>
      <c r="AD1636" s="123">
        <v>0</v>
      </c>
      <c r="AE1636" s="123">
        <v>2919953</v>
      </c>
      <c r="AG1636" s="151">
        <f t="shared" si="302"/>
        <v>91318</v>
      </c>
      <c r="AH1636" s="123">
        <v>91318</v>
      </c>
      <c r="AJ1636" s="123">
        <v>75077</v>
      </c>
      <c r="AO1636" s="123">
        <v>54602</v>
      </c>
    </row>
    <row r="1637" spans="1:41" s="123" customFormat="1" ht="16.2" thickBot="1" x14ac:dyDescent="0.35">
      <c r="A1637" s="21">
        <v>277.2</v>
      </c>
      <c r="B1637" s="212" t="s">
        <v>202</v>
      </c>
      <c r="C1637" s="31" t="str">
        <f>VLOOKUP((CONCATENATE(B1637)),ID!$A$2:$D$305,3,0)</f>
        <v>BA027</v>
      </c>
      <c r="D1637" s="21">
        <v>0</v>
      </c>
      <c r="E1637" s="21" t="s">
        <v>4005</v>
      </c>
      <c r="F1637" s="21" t="s">
        <v>3812</v>
      </c>
      <c r="G1637" s="21" t="s">
        <v>3853</v>
      </c>
      <c r="H1637" s="88">
        <v>4199</v>
      </c>
      <c r="I1637" s="43">
        <v>4207</v>
      </c>
      <c r="J1637" s="43">
        <v>40731</v>
      </c>
      <c r="K1637" s="21">
        <v>0</v>
      </c>
      <c r="L1637" s="21"/>
      <c r="M1637" s="21"/>
      <c r="N1637" s="43">
        <v>4220</v>
      </c>
      <c r="O1637" s="27" t="s">
        <v>4053</v>
      </c>
      <c r="P1637" s="194" t="str">
        <f t="shared" si="307"/>
        <v>1</v>
      </c>
      <c r="Q1637" s="21">
        <v>1</v>
      </c>
      <c r="R1637" s="39" t="str">
        <f t="shared" si="309"/>
        <v>-</v>
      </c>
      <c r="S1637" s="120">
        <f t="shared" si="308"/>
        <v>2201293</v>
      </c>
      <c r="T1637" s="123">
        <v>11499425</v>
      </c>
      <c r="U1637" s="123">
        <f>1550340+4994975+212500</f>
        <v>6757815</v>
      </c>
      <c r="V1637" s="123">
        <f t="shared" si="303"/>
        <v>4741610</v>
      </c>
      <c r="W1637" s="122" t="str">
        <f t="shared" si="304"/>
        <v>1</v>
      </c>
      <c r="X1637" s="123">
        <v>9298132</v>
      </c>
      <c r="AA1637" s="122" t="str">
        <f t="shared" si="305"/>
        <v>0</v>
      </c>
      <c r="AB1637" s="120">
        <f t="shared" si="306"/>
        <v>0</v>
      </c>
      <c r="AC1637" s="123">
        <v>0</v>
      </c>
      <c r="AD1637" s="123">
        <v>0</v>
      </c>
      <c r="AE1637" s="123">
        <v>2649393</v>
      </c>
      <c r="AG1637" s="151">
        <f t="shared" si="302"/>
        <v>92659</v>
      </c>
      <c r="AH1637" s="123">
        <v>92659</v>
      </c>
      <c r="AJ1637" s="123">
        <v>75077</v>
      </c>
      <c r="AO1637" s="123">
        <v>54602</v>
      </c>
    </row>
    <row r="1638" spans="1:41" s="123" customFormat="1" ht="16.2" thickBot="1" x14ac:dyDescent="0.35">
      <c r="A1638" s="21">
        <v>277.3</v>
      </c>
      <c r="B1638" s="212" t="s">
        <v>202</v>
      </c>
      <c r="C1638" s="31" t="str">
        <f>VLOOKUP((CONCATENATE(B1638)),ID!$A$2:$D$305,3,0)</f>
        <v>BA027</v>
      </c>
      <c r="D1638" s="21">
        <v>0</v>
      </c>
      <c r="E1638" s="21" t="s">
        <v>4005</v>
      </c>
      <c r="F1638" s="21" t="s">
        <v>3812</v>
      </c>
      <c r="G1638" s="21" t="s">
        <v>3853</v>
      </c>
      <c r="H1638" s="88">
        <v>4383</v>
      </c>
      <c r="I1638" s="43">
        <v>4389</v>
      </c>
      <c r="J1638" s="43">
        <v>4388</v>
      </c>
      <c r="K1638" s="21">
        <v>0</v>
      </c>
      <c r="L1638" s="21"/>
      <c r="M1638" s="21"/>
      <c r="N1638" s="43">
        <v>4402</v>
      </c>
      <c r="O1638" s="27" t="s">
        <v>4053</v>
      </c>
      <c r="P1638" s="194" t="str">
        <f t="shared" si="307"/>
        <v>1</v>
      </c>
      <c r="Q1638" s="21">
        <v>1</v>
      </c>
      <c r="R1638" s="39" t="str">
        <f t="shared" si="309"/>
        <v>-</v>
      </c>
      <c r="S1638" s="120">
        <f t="shared" si="308"/>
        <v>2120749</v>
      </c>
      <c r="T1638" s="123">
        <v>12863538</v>
      </c>
      <c r="U1638" s="123">
        <f>1612840+4541184+220000</f>
        <v>6374024</v>
      </c>
      <c r="V1638" s="123">
        <f t="shared" si="303"/>
        <v>6489514</v>
      </c>
      <c r="W1638" s="122" t="str">
        <f t="shared" si="304"/>
        <v>1</v>
      </c>
      <c r="X1638" s="123">
        <v>10742789</v>
      </c>
      <c r="AA1638" s="122" t="str">
        <f t="shared" si="305"/>
        <v>0</v>
      </c>
      <c r="AB1638" s="120">
        <f t="shared" si="306"/>
        <v>0</v>
      </c>
      <c r="AC1638" s="123">
        <v>0</v>
      </c>
      <c r="AD1638" s="123">
        <v>0</v>
      </c>
      <c r="AE1638" s="123">
        <v>3232627</v>
      </c>
      <c r="AG1638" s="151">
        <f t="shared" ref="AG1638:AG1701" si="310">AH1638-AL1638-AI1638</f>
        <v>93660</v>
      </c>
      <c r="AH1638" s="123">
        <v>93660</v>
      </c>
      <c r="AJ1638" s="123">
        <v>75077</v>
      </c>
      <c r="AO1638" s="123">
        <v>54602</v>
      </c>
    </row>
    <row r="1639" spans="1:41" s="123" customFormat="1" ht="16.2" thickBot="1" x14ac:dyDescent="0.35">
      <c r="A1639" s="21">
        <v>277.39999999999998</v>
      </c>
      <c r="B1639" s="212" t="s">
        <v>202</v>
      </c>
      <c r="C1639" s="31" t="str">
        <f>VLOOKUP((CONCATENATE(B1639)),ID!$A$2:$D$305,3,0)</f>
        <v>BA027</v>
      </c>
      <c r="D1639" s="21">
        <v>0</v>
      </c>
      <c r="E1639" s="21" t="s">
        <v>4005</v>
      </c>
      <c r="F1639" s="21" t="s">
        <v>3812</v>
      </c>
      <c r="G1639" s="21" t="s">
        <v>3853</v>
      </c>
      <c r="H1639" s="88">
        <v>4565</v>
      </c>
      <c r="I1639" s="43">
        <v>4571</v>
      </c>
      <c r="J1639" s="43">
        <v>4570</v>
      </c>
      <c r="K1639" s="21">
        <v>0</v>
      </c>
      <c r="L1639" s="21"/>
      <c r="M1639" s="21"/>
      <c r="N1639" s="43">
        <v>4584</v>
      </c>
      <c r="O1639" s="27" t="s">
        <v>4053</v>
      </c>
      <c r="P1639" s="194" t="str">
        <f t="shared" si="307"/>
        <v>1</v>
      </c>
      <c r="Q1639" s="21">
        <v>1</v>
      </c>
      <c r="R1639" s="39" t="str">
        <f t="shared" si="309"/>
        <v>-</v>
      </c>
      <c r="S1639" s="120">
        <f t="shared" si="308"/>
        <v>2109897</v>
      </c>
      <c r="T1639" s="123">
        <v>12595153</v>
      </c>
      <c r="U1639" s="123">
        <f>1578740+4555344+230000</f>
        <v>6364084</v>
      </c>
      <c r="V1639" s="123">
        <f t="shared" si="303"/>
        <v>6231069</v>
      </c>
      <c r="W1639" s="122" t="str">
        <f t="shared" si="304"/>
        <v>1</v>
      </c>
      <c r="X1639" s="123">
        <v>10485256</v>
      </c>
      <c r="AA1639" s="122" t="str">
        <f t="shared" si="305"/>
        <v>0</v>
      </c>
      <c r="AB1639" s="120">
        <f t="shared" si="306"/>
        <v>0</v>
      </c>
      <c r="AC1639" s="123">
        <v>0</v>
      </c>
      <c r="AD1639" s="123">
        <v>0</v>
      </c>
      <c r="AE1639" s="123">
        <v>3436734</v>
      </c>
      <c r="AG1639" s="151">
        <f t="shared" si="310"/>
        <v>94225</v>
      </c>
      <c r="AH1639" s="123">
        <v>94225</v>
      </c>
      <c r="AJ1639" s="123">
        <v>77352</v>
      </c>
      <c r="AO1639" s="123">
        <v>54602</v>
      </c>
    </row>
    <row r="1640" spans="1:41" s="123" customFormat="1" ht="16.2" thickBot="1" x14ac:dyDescent="0.35">
      <c r="A1640" s="21"/>
      <c r="B1640" s="212" t="s">
        <v>202</v>
      </c>
      <c r="C1640" s="31" t="str">
        <f>VLOOKUP((CONCATENATE(B1640)),ID!$A$2:$D$305,3,0)</f>
        <v>BA027</v>
      </c>
      <c r="D1640" s="21">
        <v>0</v>
      </c>
      <c r="E1640" s="21" t="s">
        <v>4005</v>
      </c>
      <c r="F1640" s="21" t="s">
        <v>3812</v>
      </c>
      <c r="G1640" s="21" t="s">
        <v>3853</v>
      </c>
      <c r="H1640" s="88">
        <v>4749</v>
      </c>
      <c r="I1640" s="43">
        <v>4757</v>
      </c>
      <c r="J1640" s="43">
        <v>4756</v>
      </c>
      <c r="K1640" s="21">
        <v>0</v>
      </c>
      <c r="L1640" s="21"/>
      <c r="M1640" s="21"/>
      <c r="N1640" s="43">
        <v>4766</v>
      </c>
      <c r="O1640" s="27" t="s">
        <v>4053</v>
      </c>
      <c r="P1640" s="194" t="str">
        <f t="shared" si="307"/>
        <v>1</v>
      </c>
      <c r="Q1640" s="21">
        <v>1</v>
      </c>
      <c r="R1640" s="39" t="str">
        <f t="shared" si="309"/>
        <v>-</v>
      </c>
      <c r="S1640" s="120">
        <f t="shared" si="308"/>
        <v>2100697</v>
      </c>
      <c r="T1640" s="123">
        <v>13488234</v>
      </c>
      <c r="U1640" s="123">
        <f>1742000+4772899+235000</f>
        <v>6749899</v>
      </c>
      <c r="V1640" s="123">
        <f t="shared" si="303"/>
        <v>6738335</v>
      </c>
      <c r="W1640" s="122" t="str">
        <f t="shared" si="304"/>
        <v>1</v>
      </c>
      <c r="X1640" s="123">
        <v>11387537</v>
      </c>
      <c r="AA1640" s="122" t="str">
        <f t="shared" si="305"/>
        <v>0</v>
      </c>
      <c r="AB1640" s="120">
        <f t="shared" si="306"/>
        <v>0</v>
      </c>
      <c r="AC1640" s="123">
        <v>0</v>
      </c>
      <c r="AD1640" s="123">
        <v>0</v>
      </c>
      <c r="AE1640" s="123">
        <v>3272647</v>
      </c>
      <c r="AG1640" s="151">
        <f t="shared" si="310"/>
        <v>78152</v>
      </c>
      <c r="AH1640" s="123">
        <f>98152-AK1640</f>
        <v>78152</v>
      </c>
      <c r="AJ1640" s="123">
        <v>77352</v>
      </c>
      <c r="AK1640" s="123">
        <v>20000</v>
      </c>
      <c r="AO1640" s="123">
        <v>273010</v>
      </c>
    </row>
    <row r="1641" spans="1:41" s="123" customFormat="1" ht="16.2" thickBot="1" x14ac:dyDescent="0.35">
      <c r="A1641" s="21"/>
      <c r="B1641" s="212" t="s">
        <v>202</v>
      </c>
      <c r="C1641" s="31" t="str">
        <f>VLOOKUP((CONCATENATE(B1641)),ID!$A$2:$D$305,3,0)</f>
        <v>BA027</v>
      </c>
      <c r="D1641" s="21">
        <v>0</v>
      </c>
      <c r="E1641" s="21" t="s">
        <v>4005</v>
      </c>
      <c r="F1641" s="21" t="s">
        <v>3812</v>
      </c>
      <c r="G1641" s="21" t="s">
        <v>3853</v>
      </c>
      <c r="H1641" s="88">
        <v>4930</v>
      </c>
      <c r="I1641" s="43">
        <v>4939</v>
      </c>
      <c r="J1641" s="43">
        <v>4938</v>
      </c>
      <c r="K1641" s="21">
        <v>0</v>
      </c>
      <c r="L1641" s="21"/>
      <c r="M1641" s="21"/>
      <c r="N1641" s="43"/>
      <c r="O1641" s="27" t="s">
        <v>4053</v>
      </c>
      <c r="P1641" s="194">
        <v>1</v>
      </c>
      <c r="Q1641" s="21">
        <v>1</v>
      </c>
      <c r="R1641" s="39" t="str">
        <f t="shared" si="309"/>
        <v>-</v>
      </c>
      <c r="S1641" s="120">
        <f t="shared" si="308"/>
        <v>2120893</v>
      </c>
      <c r="T1641" s="123">
        <v>12664162</v>
      </c>
      <c r="U1641" s="123">
        <f>1794126+235000+5101804</f>
        <v>7130930</v>
      </c>
      <c r="V1641" s="123">
        <f t="shared" si="303"/>
        <v>5533232</v>
      </c>
      <c r="W1641" s="122" t="str">
        <f t="shared" si="304"/>
        <v>1</v>
      </c>
      <c r="X1641" s="123">
        <v>10543269</v>
      </c>
      <c r="AA1641" s="122" t="str">
        <f t="shared" si="305"/>
        <v>0</v>
      </c>
      <c r="AB1641" s="120">
        <f t="shared" si="306"/>
        <v>0</v>
      </c>
      <c r="AC1641" s="123">
        <v>0</v>
      </c>
      <c r="AD1641" s="123">
        <v>0</v>
      </c>
      <c r="AE1641" s="123">
        <v>2722818</v>
      </c>
      <c r="AG1641" s="151">
        <f t="shared" si="310"/>
        <v>97549</v>
      </c>
      <c r="AH1641" s="123">
        <v>97549</v>
      </c>
      <c r="AO1641" s="123">
        <v>273010</v>
      </c>
    </row>
    <row r="1642" spans="1:41" s="123" customFormat="1" ht="16.2" thickBot="1" x14ac:dyDescent="0.35">
      <c r="A1642" s="21"/>
      <c r="B1642" s="212" t="s">
        <v>202</v>
      </c>
      <c r="C1642" s="31" t="str">
        <f>VLOOKUP((CONCATENATE(B1642)),ID!$A$2:$D$305,3,0)</f>
        <v>BA027</v>
      </c>
      <c r="D1642" s="21">
        <v>0</v>
      </c>
      <c r="E1642" s="21" t="s">
        <v>4005</v>
      </c>
      <c r="F1642" s="21" t="s">
        <v>3812</v>
      </c>
      <c r="G1642" s="21" t="s">
        <v>3853</v>
      </c>
      <c r="H1642" s="88">
        <v>5114</v>
      </c>
      <c r="I1642" s="43">
        <v>5124</v>
      </c>
      <c r="J1642" s="43">
        <v>5123</v>
      </c>
      <c r="K1642" s="21">
        <v>0</v>
      </c>
      <c r="L1642" s="21"/>
      <c r="M1642" s="21"/>
      <c r="N1642" s="43">
        <v>5137</v>
      </c>
      <c r="O1642" s="27" t="s">
        <v>4053</v>
      </c>
      <c r="P1642" s="194" t="str">
        <f t="shared" si="307"/>
        <v>1</v>
      </c>
      <c r="Q1642" s="21">
        <v>1</v>
      </c>
      <c r="R1642" s="39" t="str">
        <f t="shared" si="309"/>
        <v>-</v>
      </c>
      <c r="S1642" s="120">
        <f t="shared" si="308"/>
        <v>2044920</v>
      </c>
      <c r="T1642" s="123">
        <v>13639335</v>
      </c>
      <c r="U1642" s="123">
        <f>1765881+5069146+225000</f>
        <v>7060027</v>
      </c>
      <c r="V1642" s="123">
        <f t="shared" si="303"/>
        <v>6579308</v>
      </c>
      <c r="W1642" s="122" t="str">
        <f t="shared" si="304"/>
        <v>1</v>
      </c>
      <c r="X1642" s="123">
        <v>11594415</v>
      </c>
      <c r="AA1642" s="122" t="str">
        <f t="shared" si="305"/>
        <v>0</v>
      </c>
      <c r="AB1642" s="120">
        <f t="shared" si="306"/>
        <v>0</v>
      </c>
      <c r="AC1642" s="123">
        <v>0</v>
      </c>
      <c r="AD1642" s="123">
        <v>0</v>
      </c>
      <c r="AE1642" s="123">
        <v>3373192</v>
      </c>
      <c r="AG1642" s="151">
        <f t="shared" si="310"/>
        <v>183929</v>
      </c>
      <c r="AH1642" s="123">
        <f>193929-AK1642</f>
        <v>183929</v>
      </c>
      <c r="AJ1642" s="123">
        <v>77352</v>
      </c>
      <c r="AK1642" s="123">
        <v>10000</v>
      </c>
      <c r="AO1642" s="123">
        <v>273010</v>
      </c>
    </row>
    <row r="1643" spans="1:41" s="123" customFormat="1" ht="16.2" thickBot="1" x14ac:dyDescent="0.35">
      <c r="A1643" s="21"/>
      <c r="B1643" s="212" t="s">
        <v>202</v>
      </c>
      <c r="C1643" s="31" t="str">
        <f>VLOOKUP((CONCATENATE(B1643)),ID!$A$2:$D$305,3,0)</f>
        <v>BA027</v>
      </c>
      <c r="D1643" s="21">
        <v>0</v>
      </c>
      <c r="E1643" s="21" t="s">
        <v>4005</v>
      </c>
      <c r="F1643" s="21" t="s">
        <v>3812</v>
      </c>
      <c r="G1643" s="21" t="s">
        <v>3853</v>
      </c>
      <c r="H1643" s="88">
        <v>5295</v>
      </c>
      <c r="I1643" s="43">
        <v>5305</v>
      </c>
      <c r="J1643" s="43">
        <v>5302</v>
      </c>
      <c r="K1643" s="21">
        <v>0</v>
      </c>
      <c r="L1643" s="21"/>
      <c r="M1643" s="21"/>
      <c r="N1643" s="43"/>
      <c r="O1643" s="27" t="s">
        <v>4053</v>
      </c>
      <c r="P1643" s="194">
        <v>1</v>
      </c>
      <c r="Q1643" s="21">
        <v>1</v>
      </c>
      <c r="R1643" s="39" t="str">
        <f t="shared" si="309"/>
        <v>-</v>
      </c>
      <c r="S1643" s="120">
        <f t="shared" si="308"/>
        <v>2064009</v>
      </c>
      <c r="T1643" s="123">
        <v>12694326</v>
      </c>
      <c r="U1643" s="123">
        <f>1697772+5474896+275000</f>
        <v>7447668</v>
      </c>
      <c r="V1643" s="123">
        <f t="shared" si="303"/>
        <v>5246658</v>
      </c>
      <c r="W1643" s="122" t="str">
        <f t="shared" si="304"/>
        <v>1</v>
      </c>
      <c r="X1643" s="123">
        <v>10630317</v>
      </c>
      <c r="AA1643" s="122" t="str">
        <f t="shared" si="305"/>
        <v>0</v>
      </c>
      <c r="AB1643" s="120">
        <f t="shared" si="306"/>
        <v>0</v>
      </c>
      <c r="AC1643" s="123">
        <v>0</v>
      </c>
      <c r="AD1643" s="123">
        <v>0</v>
      </c>
      <c r="AE1643" s="123">
        <v>2960696</v>
      </c>
      <c r="AG1643" s="151">
        <f t="shared" si="310"/>
        <v>96441</v>
      </c>
      <c r="AH1643" s="123">
        <v>96441</v>
      </c>
      <c r="AO1643" s="123">
        <v>273010</v>
      </c>
    </row>
    <row r="1644" spans="1:41" s="123" customFormat="1" ht="16.2" thickBot="1" x14ac:dyDescent="0.35">
      <c r="A1644" s="21"/>
      <c r="B1644" s="212" t="s">
        <v>208</v>
      </c>
      <c r="C1644" s="31" t="str">
        <f>VLOOKUP((CONCATENATE(B1644)),ID!$A$2:$D$305,3,0)</f>
        <v>BA028</v>
      </c>
      <c r="D1644" s="21">
        <v>0</v>
      </c>
      <c r="E1644" s="21" t="s">
        <v>4005</v>
      </c>
      <c r="F1644" s="21" t="s">
        <v>1117</v>
      </c>
      <c r="G1644" s="21" t="s">
        <v>3853</v>
      </c>
      <c r="H1644" s="88">
        <v>3653</v>
      </c>
      <c r="I1644" s="43">
        <v>3679</v>
      </c>
      <c r="J1644" s="43">
        <v>3679</v>
      </c>
      <c r="K1644" s="21">
        <v>0</v>
      </c>
      <c r="L1644" s="21"/>
      <c r="M1644" s="21"/>
      <c r="N1644" s="43"/>
      <c r="O1644" s="21" t="s">
        <v>4022</v>
      </c>
      <c r="P1644" s="194">
        <v>1</v>
      </c>
      <c r="Q1644" s="21">
        <v>1</v>
      </c>
      <c r="R1644" s="39" t="str">
        <f t="shared" si="309"/>
        <v>-</v>
      </c>
      <c r="S1644" s="120">
        <f t="shared" si="308"/>
        <v>706222</v>
      </c>
      <c r="T1644" s="123">
        <v>4263578</v>
      </c>
      <c r="U1644" s="123">
        <f>338000+99794+132000+1021979</f>
        <v>1591773</v>
      </c>
      <c r="V1644" s="123">
        <f t="shared" si="303"/>
        <v>2671805</v>
      </c>
      <c r="W1644" s="122" t="str">
        <f t="shared" si="304"/>
        <v>1</v>
      </c>
      <c r="X1644" s="123">
        <v>3557356</v>
      </c>
      <c r="AA1644" s="122" t="str">
        <f t="shared" si="305"/>
        <v>0</v>
      </c>
      <c r="AB1644" s="120">
        <f t="shared" si="306"/>
        <v>0</v>
      </c>
      <c r="AC1644" s="123">
        <v>0</v>
      </c>
      <c r="AD1644" s="123">
        <v>0</v>
      </c>
      <c r="AE1644" s="123">
        <v>733459</v>
      </c>
      <c r="AG1644" s="151">
        <f t="shared" si="310"/>
        <v>25248</v>
      </c>
      <c r="AH1644" s="123">
        <f>59229-20501</f>
        <v>38728</v>
      </c>
      <c r="AL1644" s="123">
        <v>13480</v>
      </c>
      <c r="AO1644" s="123">
        <v>50000</v>
      </c>
    </row>
    <row r="1645" spans="1:41" s="123" customFormat="1" ht="16.2" thickBot="1" x14ac:dyDescent="0.35">
      <c r="A1645" s="21"/>
      <c r="B1645" s="212" t="s">
        <v>208</v>
      </c>
      <c r="C1645" s="31" t="str">
        <f>VLOOKUP((CONCATENATE(B1645)),ID!$A$2:$D$305,3,0)</f>
        <v>BA028</v>
      </c>
      <c r="D1645" s="21">
        <v>0</v>
      </c>
      <c r="E1645" s="21" t="s">
        <v>4005</v>
      </c>
      <c r="F1645" s="21" t="s">
        <v>1117</v>
      </c>
      <c r="G1645" s="21" t="s">
        <v>3853</v>
      </c>
      <c r="H1645" s="88">
        <v>3834</v>
      </c>
      <c r="I1645" s="43">
        <v>3860</v>
      </c>
      <c r="J1645" s="43">
        <v>3860</v>
      </c>
      <c r="K1645" s="21">
        <v>0</v>
      </c>
      <c r="L1645" s="21"/>
      <c r="M1645" s="21"/>
      <c r="N1645" s="43"/>
      <c r="O1645" s="21" t="s">
        <v>4022</v>
      </c>
      <c r="P1645" s="194">
        <v>1</v>
      </c>
      <c r="Q1645" s="21">
        <v>1</v>
      </c>
      <c r="R1645" s="39" t="str">
        <f t="shared" si="309"/>
        <v>-</v>
      </c>
      <c r="S1645" s="120">
        <f t="shared" si="308"/>
        <v>708646</v>
      </c>
      <c r="T1645" s="123">
        <v>4279017</v>
      </c>
      <c r="U1645" s="123">
        <f>312700+186511+132000+869416</f>
        <v>1500627</v>
      </c>
      <c r="V1645" s="123">
        <f t="shared" si="303"/>
        <v>2778390</v>
      </c>
      <c r="W1645" s="122" t="str">
        <f t="shared" si="304"/>
        <v>1</v>
      </c>
      <c r="X1645" s="123">
        <v>3570371</v>
      </c>
      <c r="AA1645" s="122" t="str">
        <f t="shared" si="305"/>
        <v>0</v>
      </c>
      <c r="AB1645" s="120">
        <f t="shared" si="306"/>
        <v>0</v>
      </c>
      <c r="AC1645" s="123">
        <v>0</v>
      </c>
      <c r="AD1645" s="123">
        <v>0</v>
      </c>
      <c r="AE1645" s="123">
        <v>834916</v>
      </c>
      <c r="AG1645" s="151">
        <f t="shared" si="310"/>
        <v>26176</v>
      </c>
      <c r="AH1645" s="123">
        <f>63987-21672</f>
        <v>42315</v>
      </c>
      <c r="AL1645" s="123">
        <v>16139</v>
      </c>
      <c r="AO1645" s="123">
        <v>50000</v>
      </c>
    </row>
    <row r="1646" spans="1:41" s="123" customFormat="1" ht="16.2" thickBot="1" x14ac:dyDescent="0.35">
      <c r="A1646" s="21">
        <v>278.10000000000002</v>
      </c>
      <c r="B1646" s="212" t="s">
        <v>208</v>
      </c>
      <c r="C1646" s="31" t="str">
        <f>VLOOKUP((CONCATENATE(B1646)),ID!$A$2:$D$305,3,0)</f>
        <v>BA028</v>
      </c>
      <c r="D1646" s="21">
        <v>0</v>
      </c>
      <c r="E1646" s="21" t="s">
        <v>4005</v>
      </c>
      <c r="F1646" s="21" t="s">
        <v>1117</v>
      </c>
      <c r="G1646" s="21" t="s">
        <v>3853</v>
      </c>
      <c r="H1646" s="88">
        <v>4018</v>
      </c>
      <c r="I1646" s="43">
        <v>4044</v>
      </c>
      <c r="J1646" s="43">
        <v>4044</v>
      </c>
      <c r="K1646" s="21">
        <v>0</v>
      </c>
      <c r="L1646" s="21"/>
      <c r="M1646" s="21"/>
      <c r="N1646" s="21"/>
      <c r="O1646" s="21" t="s">
        <v>4022</v>
      </c>
      <c r="P1646" s="194">
        <v>1</v>
      </c>
      <c r="Q1646" s="21">
        <v>1</v>
      </c>
      <c r="R1646" s="39" t="str">
        <f t="shared" si="309"/>
        <v>-</v>
      </c>
      <c r="S1646" s="120">
        <f t="shared" si="308"/>
        <v>704094</v>
      </c>
      <c r="T1646" s="123">
        <v>4093133</v>
      </c>
      <c r="U1646" s="123">
        <f>305930+118725+132000+978119</f>
        <v>1534774</v>
      </c>
      <c r="V1646" s="123">
        <f t="shared" si="303"/>
        <v>2558359</v>
      </c>
      <c r="W1646" s="122" t="str">
        <f t="shared" si="304"/>
        <v>1</v>
      </c>
      <c r="X1646" s="123">
        <v>3389039</v>
      </c>
      <c r="AA1646" s="122" t="str">
        <f t="shared" si="305"/>
        <v>0</v>
      </c>
      <c r="AB1646" s="120">
        <f t="shared" si="306"/>
        <v>0</v>
      </c>
      <c r="AC1646" s="123">
        <v>0</v>
      </c>
      <c r="AD1646" s="123">
        <v>0</v>
      </c>
      <c r="AE1646" s="123">
        <v>703824</v>
      </c>
      <c r="AG1646" s="151">
        <f t="shared" si="310"/>
        <v>24468</v>
      </c>
      <c r="AH1646" s="123">
        <f>58638-20136</f>
        <v>38502</v>
      </c>
      <c r="AL1646" s="123">
        <v>14034</v>
      </c>
      <c r="AO1646" s="123">
        <v>50000</v>
      </c>
    </row>
    <row r="1647" spans="1:41" s="123" customFormat="1" ht="16.2" thickBot="1" x14ac:dyDescent="0.35">
      <c r="A1647" s="21">
        <v>278.2</v>
      </c>
      <c r="B1647" s="212" t="s">
        <v>208</v>
      </c>
      <c r="C1647" s="31" t="str">
        <f>VLOOKUP((CONCATENATE(B1647)),ID!$A$2:$D$305,3,0)</f>
        <v>BA028</v>
      </c>
      <c r="D1647" s="21">
        <v>0</v>
      </c>
      <c r="E1647" s="21" t="s">
        <v>4005</v>
      </c>
      <c r="F1647" s="21" t="s">
        <v>1117</v>
      </c>
      <c r="G1647" s="21" t="s">
        <v>3853</v>
      </c>
      <c r="H1647" s="88">
        <v>4199</v>
      </c>
      <c r="I1647" s="43">
        <v>4225</v>
      </c>
      <c r="J1647" s="43">
        <v>4225</v>
      </c>
      <c r="K1647" s="21">
        <v>0</v>
      </c>
      <c r="L1647" s="21"/>
      <c r="M1647" s="21"/>
      <c r="N1647" s="21"/>
      <c r="O1647" s="21" t="s">
        <v>4022</v>
      </c>
      <c r="P1647" s="194">
        <v>1</v>
      </c>
      <c r="Q1647" s="21">
        <v>1</v>
      </c>
      <c r="R1647" s="39" t="str">
        <f t="shared" si="309"/>
        <v>-</v>
      </c>
      <c r="S1647" s="120">
        <f t="shared" si="308"/>
        <v>704694</v>
      </c>
      <c r="T1647" s="123">
        <v>4275932</v>
      </c>
      <c r="U1647" s="123">
        <f>301900+133102+132000+1060823</f>
        <v>1627825</v>
      </c>
      <c r="V1647" s="123">
        <f t="shared" si="303"/>
        <v>2648107</v>
      </c>
      <c r="W1647" s="122" t="str">
        <f t="shared" si="304"/>
        <v>1</v>
      </c>
      <c r="X1647" s="123">
        <v>3571238</v>
      </c>
      <c r="AA1647" s="122" t="str">
        <f t="shared" si="305"/>
        <v>0</v>
      </c>
      <c r="AB1647" s="120">
        <f t="shared" si="306"/>
        <v>0</v>
      </c>
      <c r="AC1647" s="123">
        <v>0</v>
      </c>
      <c r="AD1647" s="123">
        <v>0</v>
      </c>
      <c r="AE1647" s="123">
        <v>777813</v>
      </c>
      <c r="AG1647" s="151">
        <f t="shared" si="310"/>
        <v>24058</v>
      </c>
      <c r="AH1647" s="123">
        <f>57618-20985</f>
        <v>36633</v>
      </c>
      <c r="AL1647" s="123">
        <v>12575</v>
      </c>
      <c r="AO1647" s="123">
        <v>50000</v>
      </c>
    </row>
    <row r="1648" spans="1:41" s="123" customFormat="1" ht="16.2" thickBot="1" x14ac:dyDescent="0.35">
      <c r="A1648" s="21">
        <v>278.3</v>
      </c>
      <c r="B1648" s="212" t="s">
        <v>208</v>
      </c>
      <c r="C1648" s="31" t="str">
        <f>VLOOKUP((CONCATENATE(B1648)),ID!$A$2:$D$305,3,0)</f>
        <v>BA028</v>
      </c>
      <c r="D1648" s="21">
        <v>0</v>
      </c>
      <c r="E1648" s="21" t="s">
        <v>4005</v>
      </c>
      <c r="F1648" s="21" t="s">
        <v>1117</v>
      </c>
      <c r="G1648" s="21" t="s">
        <v>3853</v>
      </c>
      <c r="H1648" s="88">
        <v>4383</v>
      </c>
      <c r="I1648" s="43">
        <v>4408</v>
      </c>
      <c r="J1648" s="43">
        <v>4408</v>
      </c>
      <c r="K1648" s="21">
        <v>0</v>
      </c>
      <c r="L1648" s="21"/>
      <c r="M1648" s="21"/>
      <c r="N1648" s="21"/>
      <c r="O1648" s="21" t="s">
        <v>4022</v>
      </c>
      <c r="P1648" s="194">
        <v>1</v>
      </c>
      <c r="Q1648" s="21">
        <v>1</v>
      </c>
      <c r="R1648" s="39" t="str">
        <f t="shared" si="309"/>
        <v>-</v>
      </c>
      <c r="S1648" s="120">
        <f t="shared" si="308"/>
        <v>704796</v>
      </c>
      <c r="T1648" s="123">
        <v>4303767</v>
      </c>
      <c r="U1648" s="123">
        <f>320400+1081292+116646+132000</f>
        <v>1650338</v>
      </c>
      <c r="V1648" s="123">
        <f t="shared" si="303"/>
        <v>2653429</v>
      </c>
      <c r="W1648" s="122" t="str">
        <f t="shared" si="304"/>
        <v>1</v>
      </c>
      <c r="X1648" s="123">
        <v>3598971</v>
      </c>
      <c r="AA1648" s="122" t="str">
        <f t="shared" si="305"/>
        <v>0</v>
      </c>
      <c r="AB1648" s="120">
        <f t="shared" si="306"/>
        <v>0</v>
      </c>
      <c r="AC1648" s="123">
        <v>0</v>
      </c>
      <c r="AD1648" s="123">
        <v>0</v>
      </c>
      <c r="AE1648" s="123">
        <v>1036789</v>
      </c>
      <c r="AG1648" s="151">
        <f t="shared" si="310"/>
        <v>23124</v>
      </c>
      <c r="AH1648" s="123">
        <f>55968-20257</f>
        <v>35711</v>
      </c>
      <c r="AL1648" s="123">
        <v>12587</v>
      </c>
      <c r="AO1648" s="123">
        <v>50000</v>
      </c>
    </row>
    <row r="1649" spans="1:41" s="123" customFormat="1" ht="16.2" thickBot="1" x14ac:dyDescent="0.35">
      <c r="A1649" s="21">
        <v>278.39999999999998</v>
      </c>
      <c r="B1649" s="212" t="s">
        <v>208</v>
      </c>
      <c r="C1649" s="31" t="str">
        <f>VLOOKUP((CONCATENATE(B1649)),ID!$A$2:$D$305,3,0)</f>
        <v>BA028</v>
      </c>
      <c r="D1649" s="21">
        <v>0</v>
      </c>
      <c r="E1649" s="21" t="s">
        <v>4005</v>
      </c>
      <c r="F1649" s="21" t="s">
        <v>1117</v>
      </c>
      <c r="G1649" s="21" t="s">
        <v>3853</v>
      </c>
      <c r="H1649" s="88">
        <v>4565</v>
      </c>
      <c r="I1649" s="43">
        <v>4590</v>
      </c>
      <c r="J1649" s="43">
        <v>4590</v>
      </c>
      <c r="K1649" s="21">
        <v>0</v>
      </c>
      <c r="L1649" s="21"/>
      <c r="M1649" s="21"/>
      <c r="N1649" s="21"/>
      <c r="O1649" s="21" t="s">
        <v>4022</v>
      </c>
      <c r="P1649" s="194">
        <v>1</v>
      </c>
      <c r="Q1649" s="21">
        <v>1</v>
      </c>
      <c r="R1649" s="39" t="str">
        <f t="shared" si="309"/>
        <v>-</v>
      </c>
      <c r="S1649" s="120">
        <f t="shared" si="308"/>
        <v>705637</v>
      </c>
      <c r="T1649" s="123">
        <v>4297223</v>
      </c>
      <c r="U1649" s="123">
        <f>308640+868940+177231+132000</f>
        <v>1486811</v>
      </c>
      <c r="V1649" s="123">
        <f t="shared" si="303"/>
        <v>2810412</v>
      </c>
      <c r="W1649" s="122" t="str">
        <f t="shared" si="304"/>
        <v>1</v>
      </c>
      <c r="X1649" s="123">
        <v>3591586</v>
      </c>
      <c r="AA1649" s="122" t="str">
        <f t="shared" si="305"/>
        <v>0</v>
      </c>
      <c r="AB1649" s="120">
        <f t="shared" si="306"/>
        <v>0</v>
      </c>
      <c r="AC1649" s="123">
        <v>0</v>
      </c>
      <c r="AD1649" s="123">
        <v>0</v>
      </c>
      <c r="AE1649" s="123">
        <v>863002</v>
      </c>
      <c r="AG1649" s="151">
        <f t="shared" si="310"/>
        <v>32742</v>
      </c>
      <c r="AH1649" s="123">
        <f>57058-12158</f>
        <v>44900</v>
      </c>
      <c r="AL1649" s="123">
        <v>12158</v>
      </c>
      <c r="AO1649" s="123">
        <v>50000</v>
      </c>
    </row>
    <row r="1650" spans="1:41" s="123" customFormat="1" ht="16.2" thickBot="1" x14ac:dyDescent="0.35">
      <c r="A1650" s="21"/>
      <c r="B1650" s="212" t="s">
        <v>208</v>
      </c>
      <c r="C1650" s="31" t="str">
        <f>VLOOKUP((CONCATENATE(B1650)),ID!$A$2:$D$305,3,0)</f>
        <v>BA028</v>
      </c>
      <c r="D1650" s="21">
        <v>0</v>
      </c>
      <c r="E1650" s="21" t="s">
        <v>4005</v>
      </c>
      <c r="F1650" s="21" t="s">
        <v>1117</v>
      </c>
      <c r="G1650" s="21" t="s">
        <v>3853</v>
      </c>
      <c r="H1650" s="88">
        <v>4749</v>
      </c>
      <c r="I1650" s="43">
        <v>4774</v>
      </c>
      <c r="J1650" s="43">
        <v>4774</v>
      </c>
      <c r="K1650" s="21">
        <v>0</v>
      </c>
      <c r="L1650" s="21"/>
      <c r="M1650" s="21"/>
      <c r="N1650" s="21"/>
      <c r="O1650" s="21" t="s">
        <v>4022</v>
      </c>
      <c r="P1650" s="194">
        <v>1</v>
      </c>
      <c r="Q1650" s="21">
        <v>1</v>
      </c>
      <c r="R1650" s="39" t="str">
        <f t="shared" si="309"/>
        <v>-</v>
      </c>
      <c r="S1650" s="120">
        <f t="shared" si="308"/>
        <v>704158</v>
      </c>
      <c r="T1650" s="123">
        <v>3962547</v>
      </c>
      <c r="U1650" s="123">
        <f>287290+1049010+151037+132000</f>
        <v>1619337</v>
      </c>
      <c r="V1650" s="123">
        <f t="shared" si="303"/>
        <v>2343210</v>
      </c>
      <c r="W1650" s="122" t="str">
        <f t="shared" si="304"/>
        <v>1</v>
      </c>
      <c r="X1650" s="123">
        <v>3258389</v>
      </c>
      <c r="AA1650" s="122" t="str">
        <f t="shared" si="305"/>
        <v>0</v>
      </c>
      <c r="AB1650" s="120">
        <f t="shared" si="306"/>
        <v>0</v>
      </c>
      <c r="AC1650" s="123">
        <v>0</v>
      </c>
      <c r="AD1650" s="123">
        <v>0</v>
      </c>
      <c r="AE1650" s="123">
        <v>741853</v>
      </c>
      <c r="AG1650" s="151">
        <f t="shared" si="310"/>
        <v>29104</v>
      </c>
      <c r="AH1650" s="123">
        <f>66926-20743</f>
        <v>46183</v>
      </c>
      <c r="AL1650" s="123">
        <v>17079</v>
      </c>
      <c r="AO1650" s="123">
        <v>50000</v>
      </c>
    </row>
    <row r="1651" spans="1:41" s="123" customFormat="1" ht="16.2" thickBot="1" x14ac:dyDescent="0.35">
      <c r="A1651" s="21"/>
      <c r="B1651" s="212" t="s">
        <v>208</v>
      </c>
      <c r="C1651" s="31" t="str">
        <f>VLOOKUP((CONCATENATE(B1651)),ID!$A$2:$D$305,3,0)</f>
        <v>BA028</v>
      </c>
      <c r="D1651" s="21">
        <v>0</v>
      </c>
      <c r="E1651" s="21" t="s">
        <v>4005</v>
      </c>
      <c r="F1651" s="21" t="s">
        <v>1117</v>
      </c>
      <c r="G1651" s="21" t="s">
        <v>3853</v>
      </c>
      <c r="H1651" s="88">
        <v>4930</v>
      </c>
      <c r="I1651" s="43">
        <v>4955</v>
      </c>
      <c r="J1651" s="43">
        <v>4955</v>
      </c>
      <c r="K1651" s="21">
        <v>0</v>
      </c>
      <c r="L1651" s="21"/>
      <c r="M1651" s="21"/>
      <c r="N1651" s="21"/>
      <c r="O1651" s="21" t="s">
        <v>4022</v>
      </c>
      <c r="P1651" s="194">
        <v>1</v>
      </c>
      <c r="Q1651" s="21">
        <v>1</v>
      </c>
      <c r="R1651" s="39" t="str">
        <f t="shared" si="309"/>
        <v>-</v>
      </c>
      <c r="S1651" s="120">
        <f t="shared" si="308"/>
        <v>720944</v>
      </c>
      <c r="T1651" s="123">
        <v>4236964</v>
      </c>
      <c r="U1651" s="123">
        <f>264000+1096615+137883+132000</f>
        <v>1630498</v>
      </c>
      <c r="V1651" s="123">
        <f t="shared" si="303"/>
        <v>2606466</v>
      </c>
      <c r="W1651" s="122" t="str">
        <f t="shared" si="304"/>
        <v>1</v>
      </c>
      <c r="X1651" s="123">
        <v>3516020</v>
      </c>
      <c r="AA1651" s="122" t="str">
        <f t="shared" si="305"/>
        <v>0</v>
      </c>
      <c r="AB1651" s="120">
        <f t="shared" si="306"/>
        <v>0</v>
      </c>
      <c r="AC1651" s="123">
        <v>0</v>
      </c>
      <c r="AD1651" s="123">
        <v>0</v>
      </c>
      <c r="AE1651" s="123">
        <v>800272</v>
      </c>
      <c r="AG1651" s="151">
        <f t="shared" si="310"/>
        <v>31895</v>
      </c>
      <c r="AH1651" s="123">
        <f>76554-21512</f>
        <v>55042</v>
      </c>
      <c r="AL1651" s="123">
        <f>23147</f>
        <v>23147</v>
      </c>
      <c r="AO1651" s="123">
        <v>50000</v>
      </c>
    </row>
    <row r="1652" spans="1:41" s="123" customFormat="1" ht="16.2" thickBot="1" x14ac:dyDescent="0.35">
      <c r="A1652" s="21"/>
      <c r="B1652" s="212" t="s">
        <v>208</v>
      </c>
      <c r="C1652" s="31" t="str">
        <f>VLOOKUP((CONCATENATE(B1652)),ID!$A$2:$D$305,3,0)</f>
        <v>BA028</v>
      </c>
      <c r="D1652" s="21">
        <v>0</v>
      </c>
      <c r="E1652" s="21" t="s">
        <v>4005</v>
      </c>
      <c r="F1652" s="21" t="s">
        <v>1117</v>
      </c>
      <c r="G1652" s="21" t="s">
        <v>3853</v>
      </c>
      <c r="H1652" s="88">
        <v>5114</v>
      </c>
      <c r="I1652" s="43">
        <v>5140</v>
      </c>
      <c r="J1652" s="43">
        <v>5140</v>
      </c>
      <c r="K1652" s="21">
        <v>0</v>
      </c>
      <c r="L1652" s="21"/>
      <c r="M1652" s="21"/>
      <c r="N1652" s="21"/>
      <c r="O1652" s="21" t="s">
        <v>4022</v>
      </c>
      <c r="P1652" s="194">
        <v>1</v>
      </c>
      <c r="Q1652" s="21">
        <v>1</v>
      </c>
      <c r="R1652" s="39" t="str">
        <f t="shared" si="309"/>
        <v>-</v>
      </c>
      <c r="S1652" s="120">
        <f t="shared" si="308"/>
        <v>726373</v>
      </c>
      <c r="T1652" s="123">
        <v>3930916</v>
      </c>
      <c r="U1652" s="123">
        <f>272260+1166826+167729+132000</f>
        <v>1738815</v>
      </c>
      <c r="V1652" s="123">
        <f t="shared" si="303"/>
        <v>2192101</v>
      </c>
      <c r="W1652" s="122" t="str">
        <f t="shared" si="304"/>
        <v>1</v>
      </c>
      <c r="X1652" s="123">
        <v>3204543</v>
      </c>
      <c r="AA1652" s="122" t="str">
        <f t="shared" si="305"/>
        <v>0</v>
      </c>
      <c r="AB1652" s="120">
        <f t="shared" si="306"/>
        <v>0</v>
      </c>
      <c r="AC1652" s="123">
        <v>0</v>
      </c>
      <c r="AD1652" s="123">
        <v>0</v>
      </c>
      <c r="AE1652" s="123">
        <v>739062</v>
      </c>
      <c r="AG1652" s="151">
        <f t="shared" si="310"/>
        <v>30542</v>
      </c>
      <c r="AH1652" s="123">
        <f>75319-20215</f>
        <v>55104</v>
      </c>
      <c r="AL1652" s="123">
        <v>24562</v>
      </c>
      <c r="AO1652" s="123">
        <v>50000</v>
      </c>
    </row>
    <row r="1653" spans="1:41" s="123" customFormat="1" ht="16.2" thickBot="1" x14ac:dyDescent="0.35">
      <c r="A1653" s="21"/>
      <c r="B1653" s="212" t="s">
        <v>208</v>
      </c>
      <c r="C1653" s="31" t="str">
        <f>VLOOKUP((CONCATENATE(B1653)),ID!$A$2:$D$305,3,0)</f>
        <v>BA028</v>
      </c>
      <c r="D1653" s="21">
        <v>0</v>
      </c>
      <c r="E1653" s="21" t="s">
        <v>4005</v>
      </c>
      <c r="F1653" s="21" t="s">
        <v>1117</v>
      </c>
      <c r="G1653" s="21" t="s">
        <v>3853</v>
      </c>
      <c r="H1653" s="88">
        <v>5295</v>
      </c>
      <c r="I1653" s="43">
        <v>5320</v>
      </c>
      <c r="J1653" s="43">
        <v>5320</v>
      </c>
      <c r="K1653" s="21">
        <v>0</v>
      </c>
      <c r="L1653" s="21"/>
      <c r="M1653" s="21"/>
      <c r="N1653" s="21"/>
      <c r="O1653" s="21" t="s">
        <v>4022</v>
      </c>
      <c r="P1653" s="194">
        <v>1</v>
      </c>
      <c r="Q1653" s="21">
        <v>1</v>
      </c>
      <c r="R1653" s="39" t="str">
        <f t="shared" si="309"/>
        <v>-</v>
      </c>
      <c r="S1653" s="120">
        <f t="shared" si="308"/>
        <v>727139</v>
      </c>
      <c r="T1653" s="123">
        <v>4206278</v>
      </c>
      <c r="U1653" s="123">
        <f>260300+1075429+203597+132000</f>
        <v>1671326</v>
      </c>
      <c r="V1653" s="123">
        <f t="shared" si="303"/>
        <v>2534952</v>
      </c>
      <c r="W1653" s="122" t="str">
        <f t="shared" si="304"/>
        <v>1</v>
      </c>
      <c r="X1653" s="123">
        <v>3479139</v>
      </c>
      <c r="AA1653" s="122" t="str">
        <f t="shared" si="305"/>
        <v>0</v>
      </c>
      <c r="AB1653" s="120">
        <f t="shared" si="306"/>
        <v>0</v>
      </c>
      <c r="AC1653" s="123">
        <v>0</v>
      </c>
      <c r="AD1653" s="123">
        <v>0</v>
      </c>
      <c r="AE1653" s="123">
        <v>836966</v>
      </c>
      <c r="AG1653" s="151">
        <f t="shared" si="310"/>
        <v>23970</v>
      </c>
      <c r="AH1653" s="123">
        <f>57949-21934</f>
        <v>36015</v>
      </c>
      <c r="AL1653" s="123">
        <v>12045</v>
      </c>
      <c r="AO1653" s="123">
        <v>50000</v>
      </c>
    </row>
    <row r="1654" spans="1:41" s="123" customFormat="1" ht="16.2" thickBot="1" x14ac:dyDescent="0.35">
      <c r="A1654" s="21"/>
      <c r="B1654" s="212" t="s">
        <v>214</v>
      </c>
      <c r="C1654" s="31" t="str">
        <f>VLOOKUP((CONCATENATE(B1654)),ID!$A$2:$D$305,3,0)</f>
        <v>BA029</v>
      </c>
      <c r="D1654" s="21">
        <v>1</v>
      </c>
      <c r="E1654" s="21" t="s">
        <v>4005</v>
      </c>
      <c r="F1654" s="21" t="s">
        <v>3885</v>
      </c>
      <c r="G1654" s="21" t="s">
        <v>3853</v>
      </c>
      <c r="H1654" s="88">
        <v>3653</v>
      </c>
      <c r="I1654" s="43">
        <v>3671</v>
      </c>
      <c r="J1654" s="43">
        <v>3668</v>
      </c>
      <c r="K1654" s="21">
        <v>1</v>
      </c>
      <c r="L1654" s="43">
        <v>3671</v>
      </c>
      <c r="M1654" s="43">
        <v>3684</v>
      </c>
      <c r="N1654" s="43">
        <v>3680</v>
      </c>
      <c r="O1654" s="21" t="s">
        <v>3785</v>
      </c>
      <c r="P1654" s="194" t="str">
        <f t="shared" si="307"/>
        <v>1</v>
      </c>
      <c r="Q1654" s="21">
        <v>1</v>
      </c>
      <c r="R1654" s="39" t="str">
        <f t="shared" si="309"/>
        <v>-</v>
      </c>
      <c r="S1654" s="120">
        <f t="shared" si="308"/>
        <v>1024073</v>
      </c>
      <c r="T1654" s="123">
        <v>11235154</v>
      </c>
      <c r="U1654" s="123">
        <f>1494540+339781+5845142</f>
        <v>7679463</v>
      </c>
      <c r="V1654" s="123">
        <f t="shared" si="303"/>
        <v>3555691</v>
      </c>
      <c r="W1654" s="122" t="str">
        <f t="shared" si="304"/>
        <v>1</v>
      </c>
      <c r="X1654" s="123">
        <v>10211081</v>
      </c>
      <c r="AA1654" s="122" t="str">
        <f t="shared" si="305"/>
        <v>0</v>
      </c>
      <c r="AB1654" s="120">
        <f t="shared" si="306"/>
        <v>0</v>
      </c>
      <c r="AC1654" s="123">
        <v>0</v>
      </c>
      <c r="AD1654" s="123">
        <v>0</v>
      </c>
      <c r="AE1654" s="123">
        <v>2791878</v>
      </c>
      <c r="AG1654" s="151">
        <f t="shared" si="310"/>
        <v>99866</v>
      </c>
      <c r="AH1654" s="123">
        <f>104506</f>
        <v>104506</v>
      </c>
      <c r="AI1654" s="123">
        <v>4640</v>
      </c>
      <c r="AJ1654" s="123">
        <v>41250</v>
      </c>
    </row>
    <row r="1655" spans="1:41" s="123" customFormat="1" ht="16.2" thickBot="1" x14ac:dyDescent="0.35">
      <c r="A1655" s="21">
        <v>279.10000000000002</v>
      </c>
      <c r="B1655" s="212" t="s">
        <v>214</v>
      </c>
      <c r="C1655" s="31" t="str">
        <f>VLOOKUP((CONCATENATE(B1655)),ID!$A$2:$D$305,3,0)</f>
        <v>BA029</v>
      </c>
      <c r="D1655" s="21">
        <v>1</v>
      </c>
      <c r="E1655" s="21" t="s">
        <v>4005</v>
      </c>
      <c r="F1655" s="21" t="s">
        <v>3885</v>
      </c>
      <c r="G1655" s="21" t="s">
        <v>3853</v>
      </c>
      <c r="H1655" s="88">
        <v>4018</v>
      </c>
      <c r="I1655" s="43">
        <v>4032</v>
      </c>
      <c r="J1655" s="43">
        <v>4032</v>
      </c>
      <c r="K1655" s="21">
        <v>1</v>
      </c>
      <c r="L1655" s="43">
        <v>4036</v>
      </c>
      <c r="M1655" s="43">
        <v>4049</v>
      </c>
      <c r="N1655" s="43">
        <v>4044</v>
      </c>
      <c r="O1655" s="21" t="s">
        <v>3785</v>
      </c>
      <c r="P1655" s="194" t="str">
        <f t="shared" si="307"/>
        <v>1</v>
      </c>
      <c r="Q1655" s="21">
        <v>1</v>
      </c>
      <c r="R1655" s="39" t="str">
        <f t="shared" si="309"/>
        <v>-</v>
      </c>
      <c r="S1655" s="120">
        <f t="shared" si="308"/>
        <v>1013088</v>
      </c>
      <c r="T1655" s="123">
        <v>11524743</v>
      </c>
      <c r="U1655" s="123">
        <f>1639646+6153954+355111</f>
        <v>8148711</v>
      </c>
      <c r="V1655" s="123">
        <f t="shared" si="303"/>
        <v>3376032</v>
      </c>
      <c r="W1655" s="122" t="str">
        <f t="shared" si="304"/>
        <v>1</v>
      </c>
      <c r="X1655" s="123">
        <v>10511655</v>
      </c>
      <c r="AA1655" s="122" t="str">
        <f t="shared" si="305"/>
        <v>0</v>
      </c>
      <c r="AB1655" s="120">
        <f t="shared" si="306"/>
        <v>0</v>
      </c>
      <c r="AC1655" s="123">
        <v>0</v>
      </c>
      <c r="AD1655" s="123">
        <v>0</v>
      </c>
      <c r="AE1655" s="123">
        <v>2688602</v>
      </c>
      <c r="AG1655" s="151">
        <f t="shared" si="310"/>
        <v>116613</v>
      </c>
      <c r="AH1655" s="123">
        <v>119019</v>
      </c>
      <c r="AI1655" s="123">
        <v>2406</v>
      </c>
      <c r="AJ1655" s="123">
        <v>41250</v>
      </c>
    </row>
    <row r="1656" spans="1:41" s="123" customFormat="1" ht="16.2" thickBot="1" x14ac:dyDescent="0.35">
      <c r="A1656" s="21">
        <v>279.2</v>
      </c>
      <c r="B1656" s="212" t="s">
        <v>214</v>
      </c>
      <c r="C1656" s="31" t="str">
        <f>VLOOKUP((CONCATENATE(B1656)),ID!$A$2:$D$305,3,0)</f>
        <v>BA029</v>
      </c>
      <c r="D1656" s="21">
        <v>1</v>
      </c>
      <c r="E1656" s="21" t="s">
        <v>4005</v>
      </c>
      <c r="F1656" s="21" t="s">
        <v>3885</v>
      </c>
      <c r="G1656" s="21" t="s">
        <v>3853</v>
      </c>
      <c r="H1656" s="88">
        <v>4383</v>
      </c>
      <c r="I1656" s="43">
        <v>4398</v>
      </c>
      <c r="J1656" s="43">
        <v>4396</v>
      </c>
      <c r="K1656" s="21">
        <v>1</v>
      </c>
      <c r="L1656" s="43">
        <v>4401</v>
      </c>
      <c r="M1656" s="43">
        <v>4414</v>
      </c>
      <c r="N1656" s="43">
        <v>4408</v>
      </c>
      <c r="O1656" s="21" t="s">
        <v>3785</v>
      </c>
      <c r="P1656" s="194" t="str">
        <f t="shared" si="307"/>
        <v>1</v>
      </c>
      <c r="Q1656" s="21">
        <v>1</v>
      </c>
      <c r="R1656" s="39" t="str">
        <f t="shared" si="309"/>
        <v>-</v>
      </c>
      <c r="S1656" s="120">
        <f t="shared" si="308"/>
        <v>1009346</v>
      </c>
      <c r="T1656" s="123">
        <v>11848146</v>
      </c>
      <c r="U1656" s="123">
        <f>358719+6193582+1680394</f>
        <v>8232695</v>
      </c>
      <c r="V1656" s="123">
        <f t="shared" si="303"/>
        <v>3615451</v>
      </c>
      <c r="W1656" s="122" t="str">
        <f t="shared" si="304"/>
        <v>1</v>
      </c>
      <c r="X1656" s="123">
        <v>10838800</v>
      </c>
      <c r="AA1656" s="122" t="str">
        <f t="shared" si="305"/>
        <v>0</v>
      </c>
      <c r="AB1656" s="120">
        <f t="shared" si="306"/>
        <v>0</v>
      </c>
      <c r="AC1656" s="123">
        <v>0</v>
      </c>
      <c r="AD1656" s="123">
        <v>0</v>
      </c>
      <c r="AE1656" s="123">
        <v>2805015</v>
      </c>
      <c r="AG1656" s="151">
        <f t="shared" si="310"/>
        <v>110421</v>
      </c>
      <c r="AH1656" s="123">
        <v>110421</v>
      </c>
      <c r="AJ1656" s="123">
        <v>41250</v>
      </c>
    </row>
    <row r="1657" spans="1:41" s="123" customFormat="1" ht="16.2" thickBot="1" x14ac:dyDescent="0.35">
      <c r="A1657" s="21"/>
      <c r="B1657" s="212" t="s">
        <v>214</v>
      </c>
      <c r="C1657" s="31" t="str">
        <f>VLOOKUP((CONCATENATE(B1657)),ID!$A$2:$D$305,3,0)</f>
        <v>BA029</v>
      </c>
      <c r="D1657" s="21">
        <v>1</v>
      </c>
      <c r="E1657" s="21" t="s">
        <v>4005</v>
      </c>
      <c r="F1657" s="21" t="s">
        <v>3885</v>
      </c>
      <c r="G1657" s="21" t="s">
        <v>3853</v>
      </c>
      <c r="H1657" s="88">
        <v>4749</v>
      </c>
      <c r="I1657" s="43">
        <v>4767</v>
      </c>
      <c r="J1657" s="43">
        <v>4766</v>
      </c>
      <c r="K1657" s="21">
        <v>1</v>
      </c>
      <c r="L1657" s="43">
        <v>4767</v>
      </c>
      <c r="M1657" s="43">
        <v>4780</v>
      </c>
      <c r="N1657" s="43">
        <v>4779</v>
      </c>
      <c r="O1657" s="21" t="s">
        <v>3785</v>
      </c>
      <c r="P1657" s="194" t="str">
        <f t="shared" si="307"/>
        <v>1</v>
      </c>
      <c r="Q1657" s="21">
        <v>1</v>
      </c>
      <c r="R1657" s="39" t="str">
        <f t="shared" si="309"/>
        <v>-</v>
      </c>
      <c r="S1657" s="120">
        <f t="shared" si="308"/>
        <v>1010297</v>
      </c>
      <c r="T1657" s="123">
        <v>12060694</v>
      </c>
      <c r="U1657" s="123">
        <f>361057+6647820+1625146</f>
        <v>8634023</v>
      </c>
      <c r="V1657" s="123">
        <f t="shared" si="303"/>
        <v>3426671</v>
      </c>
      <c r="W1657" s="122" t="str">
        <f t="shared" si="304"/>
        <v>1</v>
      </c>
      <c r="X1657" s="123">
        <v>11050397</v>
      </c>
      <c r="AA1657" s="122" t="str">
        <f t="shared" si="305"/>
        <v>0</v>
      </c>
      <c r="AB1657" s="120">
        <f t="shared" si="306"/>
        <v>0</v>
      </c>
      <c r="AC1657" s="123">
        <v>0</v>
      </c>
      <c r="AD1657" s="123">
        <v>0</v>
      </c>
      <c r="AE1657" s="123">
        <v>2747916</v>
      </c>
      <c r="AG1657" s="151">
        <f t="shared" si="310"/>
        <v>128684</v>
      </c>
      <c r="AH1657" s="123">
        <v>128684</v>
      </c>
      <c r="AJ1657" s="123">
        <v>41250</v>
      </c>
    </row>
    <row r="1658" spans="1:41" s="123" customFormat="1" ht="16.2" thickBot="1" x14ac:dyDescent="0.35">
      <c r="A1658" s="21"/>
      <c r="B1658" s="212" t="s">
        <v>214</v>
      </c>
      <c r="C1658" s="31" t="str">
        <f>VLOOKUP((CONCATENATE(B1658)),ID!$A$2:$D$305,3,0)</f>
        <v>BA029</v>
      </c>
      <c r="D1658" s="21">
        <v>1</v>
      </c>
      <c r="E1658" s="21" t="s">
        <v>4005</v>
      </c>
      <c r="F1658" s="21" t="s">
        <v>3885</v>
      </c>
      <c r="G1658" s="21" t="s">
        <v>3853</v>
      </c>
      <c r="H1658" s="88">
        <v>5114</v>
      </c>
      <c r="I1658" s="43">
        <v>5130</v>
      </c>
      <c r="J1658" s="43">
        <v>5130</v>
      </c>
      <c r="K1658" s="21">
        <v>1</v>
      </c>
      <c r="L1658" s="43">
        <v>5133</v>
      </c>
      <c r="M1658" s="43">
        <v>5145</v>
      </c>
      <c r="N1658" s="43">
        <v>5143</v>
      </c>
      <c r="O1658" s="21" t="s">
        <v>3785</v>
      </c>
      <c r="P1658" s="194" t="str">
        <f t="shared" si="307"/>
        <v>1</v>
      </c>
      <c r="Q1658" s="21">
        <v>1</v>
      </c>
      <c r="R1658" s="39" t="str">
        <f t="shared" si="309"/>
        <v>-</v>
      </c>
      <c r="S1658" s="120">
        <f t="shared" si="308"/>
        <v>980983</v>
      </c>
      <c r="T1658" s="123">
        <v>12987086</v>
      </c>
      <c r="U1658" s="123">
        <f>1562297+6691425+374246</f>
        <v>8627968</v>
      </c>
      <c r="V1658" s="123">
        <f t="shared" si="303"/>
        <v>4359118</v>
      </c>
      <c r="W1658" s="122" t="str">
        <f t="shared" si="304"/>
        <v>1</v>
      </c>
      <c r="X1658" s="123">
        <v>12006103</v>
      </c>
      <c r="AA1658" s="122" t="str">
        <f t="shared" si="305"/>
        <v>0</v>
      </c>
      <c r="AB1658" s="120">
        <f t="shared" si="306"/>
        <v>0</v>
      </c>
      <c r="AC1658" s="123">
        <v>0</v>
      </c>
      <c r="AD1658" s="123">
        <v>0</v>
      </c>
      <c r="AE1658" s="123">
        <v>3249164</v>
      </c>
      <c r="AG1658" s="151">
        <f t="shared" si="310"/>
        <v>108468</v>
      </c>
      <c r="AH1658" s="123">
        <v>108468</v>
      </c>
      <c r="AJ1658" s="123">
        <v>41250</v>
      </c>
    </row>
    <row r="1659" spans="1:41" s="123" customFormat="1" ht="16.2" thickBot="1" x14ac:dyDescent="0.35">
      <c r="A1659" s="21"/>
      <c r="B1659" s="212" t="s">
        <v>225</v>
      </c>
      <c r="C1659" s="31" t="str">
        <f>VLOOKUP((CONCATENATE(B1659)),ID!$A$2:$D$305,3,0)</f>
        <v>BA030</v>
      </c>
      <c r="D1659" s="21">
        <v>1</v>
      </c>
      <c r="E1659" s="21" t="s">
        <v>4005</v>
      </c>
      <c r="F1659" s="21" t="s">
        <v>4024</v>
      </c>
      <c r="G1659" s="21" t="s">
        <v>3862</v>
      </c>
      <c r="H1659" s="88">
        <v>3653</v>
      </c>
      <c r="I1659" s="43">
        <v>3681</v>
      </c>
      <c r="J1659" s="43">
        <v>3678</v>
      </c>
      <c r="K1659" s="21">
        <v>0</v>
      </c>
      <c r="L1659" s="43"/>
      <c r="M1659" s="43"/>
      <c r="N1659" s="43">
        <v>3694</v>
      </c>
      <c r="O1659" s="21" t="s">
        <v>4023</v>
      </c>
      <c r="P1659" s="194" t="str">
        <f t="shared" si="307"/>
        <v>1</v>
      </c>
      <c r="Q1659" s="21">
        <v>1</v>
      </c>
      <c r="R1659" s="39" t="str">
        <f t="shared" si="309"/>
        <v>-</v>
      </c>
      <c r="S1659" s="120">
        <f t="shared" si="308"/>
        <v>947486</v>
      </c>
      <c r="T1659" s="123">
        <v>5644290</v>
      </c>
      <c r="U1659" s="123">
        <f>10289+171027+3260943+66960+198063</f>
        <v>3707282</v>
      </c>
      <c r="V1659" s="123">
        <f t="shared" si="303"/>
        <v>1937008</v>
      </c>
      <c r="W1659" s="122" t="str">
        <f t="shared" si="304"/>
        <v>1</v>
      </c>
      <c r="X1659" s="123">
        <v>4696804</v>
      </c>
      <c r="AA1659" s="122" t="str">
        <f t="shared" si="305"/>
        <v>0</v>
      </c>
      <c r="AB1659" s="120">
        <f t="shared" si="306"/>
        <v>0</v>
      </c>
      <c r="AC1659" s="123">
        <v>0</v>
      </c>
      <c r="AD1659" s="123">
        <v>0</v>
      </c>
      <c r="AG1659" s="151">
        <f t="shared" si="310"/>
        <v>49687</v>
      </c>
      <c r="AH1659" s="123">
        <f>128055-78368</f>
        <v>49687</v>
      </c>
      <c r="AJ1659" s="123">
        <v>20000</v>
      </c>
      <c r="AO1659" s="123">
        <f>25884+148232</f>
        <v>174116</v>
      </c>
    </row>
    <row r="1660" spans="1:41" s="123" customFormat="1" ht="16.2" thickBot="1" x14ac:dyDescent="0.35">
      <c r="A1660" s="21">
        <v>280.10000000000002</v>
      </c>
      <c r="B1660" s="212" t="s">
        <v>225</v>
      </c>
      <c r="C1660" s="31" t="str">
        <f>VLOOKUP((CONCATENATE(B1660)),ID!$A$2:$D$305,3,0)</f>
        <v>BA030</v>
      </c>
      <c r="D1660" s="21">
        <v>1</v>
      </c>
      <c r="E1660" s="21" t="s">
        <v>4005</v>
      </c>
      <c r="F1660" s="21" t="s">
        <v>4024</v>
      </c>
      <c r="G1660" s="21" t="s">
        <v>3862</v>
      </c>
      <c r="H1660" s="88">
        <v>4018</v>
      </c>
      <c r="I1660" s="43">
        <v>4048</v>
      </c>
      <c r="J1660" s="43">
        <v>4048</v>
      </c>
      <c r="K1660" s="21">
        <v>0</v>
      </c>
      <c r="L1660" s="21"/>
      <c r="M1660" s="21"/>
      <c r="N1660" s="43">
        <v>4058</v>
      </c>
      <c r="O1660" s="21" t="s">
        <v>4023</v>
      </c>
      <c r="P1660" s="194" t="str">
        <f t="shared" si="307"/>
        <v>1</v>
      </c>
      <c r="Q1660" s="21">
        <v>1</v>
      </c>
      <c r="R1660" s="39" t="str">
        <f t="shared" si="309"/>
        <v>-</v>
      </c>
      <c r="S1660" s="120">
        <f t="shared" si="308"/>
        <v>886311</v>
      </c>
      <c r="T1660" s="123">
        <v>6395335</v>
      </c>
      <c r="U1660" s="123">
        <f>190538+66542+171485+10306+3411277</f>
        <v>3850148</v>
      </c>
      <c r="V1660" s="123">
        <f t="shared" si="303"/>
        <v>2545187</v>
      </c>
      <c r="W1660" s="122" t="str">
        <f t="shared" si="304"/>
        <v>1</v>
      </c>
      <c r="X1660" s="123">
        <v>5509024</v>
      </c>
      <c r="AA1660" s="122" t="str">
        <f t="shared" si="305"/>
        <v>0</v>
      </c>
      <c r="AB1660" s="120">
        <f t="shared" si="306"/>
        <v>0</v>
      </c>
      <c r="AC1660" s="123">
        <v>0</v>
      </c>
      <c r="AD1660" s="123">
        <v>0</v>
      </c>
      <c r="AG1660" s="151">
        <f t="shared" si="310"/>
        <v>45462</v>
      </c>
      <c r="AH1660" s="123">
        <f>124883-79421</f>
        <v>45462</v>
      </c>
      <c r="AJ1660" s="123">
        <v>20000</v>
      </c>
      <c r="AO1660" s="123">
        <f>25884+148232</f>
        <v>174116</v>
      </c>
    </row>
    <row r="1661" spans="1:41" s="123" customFormat="1" ht="16.2" thickBot="1" x14ac:dyDescent="0.35">
      <c r="A1661" s="21">
        <v>280.2</v>
      </c>
      <c r="B1661" s="212" t="s">
        <v>225</v>
      </c>
      <c r="C1661" s="31" t="str">
        <f>VLOOKUP((CONCATENATE(B1661)),ID!$A$2:$D$305,3,0)</f>
        <v>BA030</v>
      </c>
      <c r="D1661" s="21">
        <v>1</v>
      </c>
      <c r="E1661" s="21" t="s">
        <v>4005</v>
      </c>
      <c r="F1661" s="21" t="s">
        <v>4024</v>
      </c>
      <c r="G1661" s="21" t="s">
        <v>3862</v>
      </c>
      <c r="H1661" s="88">
        <v>4383</v>
      </c>
      <c r="I1661" s="43">
        <v>4412</v>
      </c>
      <c r="J1661" s="43">
        <v>4412</v>
      </c>
      <c r="K1661" s="21">
        <v>0</v>
      </c>
      <c r="L1661" s="21"/>
      <c r="M1661" s="21"/>
      <c r="N1661" s="43">
        <v>4422</v>
      </c>
      <c r="O1661" s="21" t="s">
        <v>4023</v>
      </c>
      <c r="P1661" s="194" t="str">
        <f t="shared" si="307"/>
        <v>1</v>
      </c>
      <c r="Q1661" s="21">
        <v>1</v>
      </c>
      <c r="R1661" s="39" t="str">
        <f t="shared" si="309"/>
        <v>-</v>
      </c>
      <c r="S1661" s="120">
        <f t="shared" si="308"/>
        <v>902538</v>
      </c>
      <c r="T1661" s="123">
        <v>6302159</v>
      </c>
      <c r="U1661" s="123">
        <f>11729+172109+66542+190538+3585519</f>
        <v>4026437</v>
      </c>
      <c r="V1661" s="123">
        <f t="shared" si="303"/>
        <v>2275722</v>
      </c>
      <c r="W1661" s="122" t="str">
        <f t="shared" si="304"/>
        <v>1</v>
      </c>
      <c r="X1661" s="123">
        <v>5399621</v>
      </c>
      <c r="AA1661" s="122" t="str">
        <f t="shared" si="305"/>
        <v>0</v>
      </c>
      <c r="AB1661" s="120">
        <f t="shared" si="306"/>
        <v>0</v>
      </c>
      <c r="AC1661" s="123">
        <v>0</v>
      </c>
      <c r="AD1661" s="123">
        <v>0</v>
      </c>
      <c r="AG1661" s="151">
        <f t="shared" si="310"/>
        <v>54717</v>
      </c>
      <c r="AH1661" s="123">
        <f>138900-84183</f>
        <v>54717</v>
      </c>
      <c r="AJ1661" s="123">
        <v>20000</v>
      </c>
      <c r="AO1661" s="123">
        <f>25884+148232</f>
        <v>174116</v>
      </c>
    </row>
    <row r="1662" spans="1:41" s="123" customFormat="1" ht="16.2" thickBot="1" x14ac:dyDescent="0.35">
      <c r="A1662" s="21"/>
      <c r="B1662" s="212" t="s">
        <v>225</v>
      </c>
      <c r="C1662" s="31" t="str">
        <f>VLOOKUP((CONCATENATE(B1662)),ID!$A$2:$D$305,3,0)</f>
        <v>BA030</v>
      </c>
      <c r="D1662" s="21">
        <v>1</v>
      </c>
      <c r="E1662" s="21" t="s">
        <v>4005</v>
      </c>
      <c r="F1662" s="21" t="s">
        <v>4024</v>
      </c>
      <c r="G1662" s="21" t="s">
        <v>3862</v>
      </c>
      <c r="H1662" s="88">
        <v>4749</v>
      </c>
      <c r="I1662" s="43">
        <v>4777</v>
      </c>
      <c r="J1662" s="43">
        <v>4777</v>
      </c>
      <c r="K1662" s="21">
        <v>0</v>
      </c>
      <c r="L1662" s="21"/>
      <c r="M1662" s="21"/>
      <c r="N1662" s="43">
        <v>4799</v>
      </c>
      <c r="O1662" s="21" t="s">
        <v>4023</v>
      </c>
      <c r="P1662" s="194" t="str">
        <f t="shared" si="307"/>
        <v>1</v>
      </c>
      <c r="Q1662" s="21">
        <v>1</v>
      </c>
      <c r="R1662" s="39" t="str">
        <f t="shared" si="309"/>
        <v>-</v>
      </c>
      <c r="S1662" s="120">
        <f t="shared" si="308"/>
        <v>839165</v>
      </c>
      <c r="T1662" s="123">
        <v>6369159</v>
      </c>
      <c r="U1662" s="123">
        <f>12005+170577+3623934+66542+190538</f>
        <v>4063596</v>
      </c>
      <c r="V1662" s="123">
        <f t="shared" si="303"/>
        <v>2305563</v>
      </c>
      <c r="W1662" s="122" t="str">
        <f t="shared" si="304"/>
        <v>1</v>
      </c>
      <c r="X1662" s="123">
        <v>5529994</v>
      </c>
      <c r="AA1662" s="122" t="str">
        <f t="shared" si="305"/>
        <v>0</v>
      </c>
      <c r="AB1662" s="120">
        <f t="shared" si="306"/>
        <v>0</v>
      </c>
      <c r="AC1662" s="123">
        <v>0</v>
      </c>
      <c r="AD1662" s="123">
        <v>0</v>
      </c>
      <c r="AG1662" s="151">
        <f t="shared" si="310"/>
        <v>54064</v>
      </c>
      <c r="AH1662" s="123">
        <f>143667-89603</f>
        <v>54064</v>
      </c>
      <c r="AJ1662" s="123">
        <v>20000</v>
      </c>
      <c r="AO1662" s="123">
        <f>25884+148232</f>
        <v>174116</v>
      </c>
    </row>
    <row r="1663" spans="1:41" s="123" customFormat="1" ht="16.2" thickBot="1" x14ac:dyDescent="0.35">
      <c r="A1663" s="21"/>
      <c r="B1663" s="212" t="s">
        <v>225</v>
      </c>
      <c r="C1663" s="31" t="str">
        <f>VLOOKUP((CONCATENATE(B1663)),ID!$A$2:$D$305,3,0)</f>
        <v>BA030</v>
      </c>
      <c r="D1663" s="21">
        <v>1</v>
      </c>
      <c r="E1663" s="21" t="s">
        <v>4005</v>
      </c>
      <c r="F1663" s="21" t="s">
        <v>4024</v>
      </c>
      <c r="G1663" s="21" t="s">
        <v>3862</v>
      </c>
      <c r="H1663" s="88">
        <v>5114</v>
      </c>
      <c r="I1663" s="43">
        <v>5147</v>
      </c>
      <c r="J1663" s="43">
        <v>5142</v>
      </c>
      <c r="K1663" s="21">
        <v>0</v>
      </c>
      <c r="L1663" s="21"/>
      <c r="M1663" s="21"/>
      <c r="N1663" s="43">
        <v>5157</v>
      </c>
      <c r="O1663" s="21" t="s">
        <v>4023</v>
      </c>
      <c r="P1663" s="194" t="str">
        <f t="shared" si="307"/>
        <v>1</v>
      </c>
      <c r="Q1663" s="21">
        <v>1</v>
      </c>
      <c r="R1663" s="39" t="str">
        <f t="shared" si="309"/>
        <v>-</v>
      </c>
      <c r="S1663" s="120">
        <f t="shared" si="308"/>
        <v>869803</v>
      </c>
      <c r="T1663" s="123">
        <v>5925930</v>
      </c>
      <c r="U1663" s="123">
        <f>12696+169934+66542+190538+3399265</f>
        <v>3838975</v>
      </c>
      <c r="V1663" s="123">
        <f t="shared" si="303"/>
        <v>2086955</v>
      </c>
      <c r="W1663" s="122" t="str">
        <f t="shared" si="304"/>
        <v>1</v>
      </c>
      <c r="X1663" s="123">
        <v>5056127</v>
      </c>
      <c r="AA1663" s="122" t="str">
        <f t="shared" si="305"/>
        <v>0</v>
      </c>
      <c r="AB1663" s="120">
        <f t="shared" si="306"/>
        <v>0</v>
      </c>
      <c r="AC1663" s="123">
        <v>0</v>
      </c>
      <c r="AD1663" s="123">
        <v>0</v>
      </c>
      <c r="AG1663" s="151">
        <f t="shared" si="310"/>
        <v>55637</v>
      </c>
      <c r="AH1663" s="123">
        <f>149656-94019</f>
        <v>55637</v>
      </c>
      <c r="AJ1663" s="123">
        <v>20000</v>
      </c>
      <c r="AO1663" s="123">
        <f>25884+148232</f>
        <v>174116</v>
      </c>
    </row>
    <row r="1664" spans="1:41" s="123" customFormat="1" ht="16.2" thickBot="1" x14ac:dyDescent="0.35">
      <c r="A1664" s="21"/>
      <c r="B1664" s="212" t="s">
        <v>226</v>
      </c>
      <c r="C1664" s="31" t="str">
        <f>VLOOKUP((CONCATENATE(B1664)),ID!$A$2:$D$305,3,0)</f>
        <v>BA031</v>
      </c>
      <c r="D1664" s="21">
        <v>0</v>
      </c>
      <c r="E1664" s="21" t="s">
        <v>4005</v>
      </c>
      <c r="F1664" s="21" t="s">
        <v>1117</v>
      </c>
      <c r="G1664" s="21" t="s">
        <v>3853</v>
      </c>
      <c r="H1664" s="88">
        <v>3653</v>
      </c>
      <c r="I1664" s="43">
        <v>3671</v>
      </c>
      <c r="J1664" s="43">
        <v>3671</v>
      </c>
      <c r="K1664" s="21">
        <v>0</v>
      </c>
      <c r="L1664" s="21"/>
      <c r="M1664" s="21"/>
      <c r="N1664" s="43">
        <v>3680</v>
      </c>
      <c r="O1664" s="21" t="s">
        <v>4025</v>
      </c>
      <c r="P1664" s="194" t="str">
        <f t="shared" si="307"/>
        <v>1</v>
      </c>
      <c r="Q1664" s="21">
        <v>1</v>
      </c>
      <c r="R1664" s="39" t="str">
        <f t="shared" si="309"/>
        <v>-</v>
      </c>
      <c r="S1664" s="120">
        <f t="shared" si="308"/>
        <v>1661815</v>
      </c>
      <c r="T1664" s="123">
        <v>16517623</v>
      </c>
      <c r="U1664" s="123">
        <f>1808175+459624+175500+302658+5940229</f>
        <v>8686186</v>
      </c>
      <c r="V1664" s="123">
        <f t="shared" ref="V1664:V1727" si="311">T1664-U1664</f>
        <v>7831437</v>
      </c>
      <c r="W1664" s="122" t="str">
        <f t="shared" ref="W1664:W1727" si="312">IF(V1664+U1664=T1664,"1","0")</f>
        <v>1</v>
      </c>
      <c r="X1664" s="123">
        <v>14855808</v>
      </c>
      <c r="AA1664" s="122" t="str">
        <f t="shared" ref="AA1664:AA1727" si="313">IF(Z1664+Y1664=X1664,"1","0")</f>
        <v>0</v>
      </c>
      <c r="AB1664" s="120">
        <f t="shared" ref="AB1664:AB1727" si="314">SUM(AC1664+AD1664)</f>
        <v>0</v>
      </c>
      <c r="AC1664" s="123">
        <v>0</v>
      </c>
      <c r="AD1664" s="123">
        <v>0</v>
      </c>
      <c r="AE1664" s="123">
        <v>1952537</v>
      </c>
      <c r="AG1664" s="151">
        <f t="shared" si="310"/>
        <v>192941</v>
      </c>
      <c r="AH1664" s="123">
        <f>192941</f>
        <v>192941</v>
      </c>
      <c r="AJ1664" s="123">
        <v>75000</v>
      </c>
      <c r="AO1664" s="123">
        <v>150000</v>
      </c>
    </row>
    <row r="1665" spans="1:41" s="123" customFormat="1" ht="16.2" thickBot="1" x14ac:dyDescent="0.35">
      <c r="A1665" s="21"/>
      <c r="B1665" s="212" t="s">
        <v>226</v>
      </c>
      <c r="C1665" s="31" t="str">
        <f>VLOOKUP((CONCATENATE(B1665)),ID!$A$2:$D$305,3,0)</f>
        <v>BA031</v>
      </c>
      <c r="D1665" s="21">
        <v>0</v>
      </c>
      <c r="E1665" s="21" t="s">
        <v>4005</v>
      </c>
      <c r="F1665" s="21" t="s">
        <v>1117</v>
      </c>
      <c r="G1665" s="21" t="s">
        <v>3853</v>
      </c>
      <c r="H1665" s="88">
        <v>3834</v>
      </c>
      <c r="I1665" s="43">
        <v>3853</v>
      </c>
      <c r="J1665" s="43">
        <v>3853</v>
      </c>
      <c r="K1665" s="21">
        <v>0</v>
      </c>
      <c r="L1665" s="21"/>
      <c r="M1665" s="21"/>
      <c r="N1665" s="43">
        <v>3862</v>
      </c>
      <c r="O1665" s="21" t="s">
        <v>4025</v>
      </c>
      <c r="P1665" s="194" t="str">
        <f t="shared" si="307"/>
        <v>1</v>
      </c>
      <c r="Q1665" s="21">
        <v>1</v>
      </c>
      <c r="R1665" s="39" t="str">
        <f t="shared" si="309"/>
        <v>-</v>
      </c>
      <c r="S1665" s="120">
        <f t="shared" si="308"/>
        <v>1663659</v>
      </c>
      <c r="T1665" s="123">
        <v>16575448</v>
      </c>
      <c r="U1665" s="123">
        <f>302953+124680+6472797+1937258</f>
        <v>8837688</v>
      </c>
      <c r="V1665" s="123">
        <f t="shared" si="311"/>
        <v>7737760</v>
      </c>
      <c r="W1665" s="122" t="str">
        <f t="shared" si="312"/>
        <v>1</v>
      </c>
      <c r="X1665" s="123">
        <v>14911789</v>
      </c>
      <c r="AA1665" s="122" t="str">
        <f t="shared" si="313"/>
        <v>0</v>
      </c>
      <c r="AB1665" s="120">
        <f t="shared" si="314"/>
        <v>0</v>
      </c>
      <c r="AC1665" s="123">
        <v>0</v>
      </c>
      <c r="AD1665" s="123">
        <v>0</v>
      </c>
      <c r="AE1665" s="123">
        <v>1895529</v>
      </c>
      <c r="AG1665" s="151">
        <f t="shared" si="310"/>
        <v>194854</v>
      </c>
      <c r="AH1665" s="123">
        <v>194854</v>
      </c>
      <c r="AJ1665" s="123">
        <v>75000</v>
      </c>
      <c r="AO1665" s="123">
        <v>150000</v>
      </c>
    </row>
    <row r="1666" spans="1:41" s="123" customFormat="1" ht="16.2" thickBot="1" x14ac:dyDescent="0.35">
      <c r="A1666" s="21">
        <v>281.10000000000002</v>
      </c>
      <c r="B1666" s="212" t="s">
        <v>226</v>
      </c>
      <c r="C1666" s="31" t="str">
        <f>VLOOKUP((CONCATENATE(B1666)),ID!$A$2:$D$305,3,0)</f>
        <v>BA031</v>
      </c>
      <c r="D1666" s="21">
        <v>0</v>
      </c>
      <c r="E1666" s="21" t="s">
        <v>4005</v>
      </c>
      <c r="F1666" s="21" t="s">
        <v>1117</v>
      </c>
      <c r="G1666" s="21" t="s">
        <v>3853</v>
      </c>
      <c r="H1666" s="88">
        <v>4018</v>
      </c>
      <c r="I1666" s="43">
        <v>4035</v>
      </c>
      <c r="J1666" s="43">
        <v>4035</v>
      </c>
      <c r="K1666" s="21">
        <v>0</v>
      </c>
      <c r="L1666" s="21"/>
      <c r="M1666" s="21"/>
      <c r="N1666" s="43">
        <v>4044</v>
      </c>
      <c r="O1666" s="21" t="s">
        <v>4025</v>
      </c>
      <c r="P1666" s="194" t="str">
        <f t="shared" si="307"/>
        <v>1</v>
      </c>
      <c r="Q1666" s="21">
        <v>1</v>
      </c>
      <c r="R1666" s="39" t="str">
        <f t="shared" si="309"/>
        <v>-</v>
      </c>
      <c r="S1666" s="120">
        <f t="shared" si="308"/>
        <v>1679741</v>
      </c>
      <c r="T1666" s="123">
        <v>16926968</v>
      </c>
      <c r="U1666" s="123">
        <f>297476+105908+6232695+459956+1988328</f>
        <v>9084363</v>
      </c>
      <c r="V1666" s="123">
        <f t="shared" si="311"/>
        <v>7842605</v>
      </c>
      <c r="W1666" s="122" t="str">
        <f t="shared" si="312"/>
        <v>1</v>
      </c>
      <c r="X1666" s="123">
        <v>15247227</v>
      </c>
      <c r="AA1666" s="122" t="str">
        <f t="shared" si="313"/>
        <v>0</v>
      </c>
      <c r="AB1666" s="120">
        <f t="shared" si="314"/>
        <v>0</v>
      </c>
      <c r="AC1666" s="123">
        <v>0</v>
      </c>
      <c r="AD1666" s="123">
        <v>0</v>
      </c>
      <c r="AE1666" s="123">
        <v>2050283</v>
      </c>
      <c r="AG1666" s="151">
        <f t="shared" si="310"/>
        <v>93608</v>
      </c>
      <c r="AH1666" s="123">
        <f>187415-93807</f>
        <v>93608</v>
      </c>
      <c r="AJ1666" s="123">
        <v>82500</v>
      </c>
      <c r="AO1666" s="123">
        <v>150000</v>
      </c>
    </row>
    <row r="1667" spans="1:41" s="123" customFormat="1" ht="16.2" thickBot="1" x14ac:dyDescent="0.35">
      <c r="A1667" s="21">
        <v>281.2</v>
      </c>
      <c r="B1667" s="212" t="s">
        <v>226</v>
      </c>
      <c r="C1667" s="31" t="str">
        <f>VLOOKUP((CONCATENATE(B1667)),ID!$A$2:$D$305,3,0)</f>
        <v>BA031</v>
      </c>
      <c r="D1667" s="21">
        <v>0</v>
      </c>
      <c r="E1667" s="21" t="s">
        <v>4005</v>
      </c>
      <c r="F1667" s="21" t="s">
        <v>1117</v>
      </c>
      <c r="G1667" s="21" t="s">
        <v>3853</v>
      </c>
      <c r="H1667" s="88">
        <v>4199</v>
      </c>
      <c r="I1667" s="43">
        <v>4213</v>
      </c>
      <c r="J1667" s="43">
        <v>4213</v>
      </c>
      <c r="K1667" s="21">
        <v>0</v>
      </c>
      <c r="L1667" s="21"/>
      <c r="M1667" s="21"/>
      <c r="N1667" s="43">
        <v>4226</v>
      </c>
      <c r="O1667" s="21" t="s">
        <v>4025</v>
      </c>
      <c r="P1667" s="194" t="str">
        <f t="shared" si="307"/>
        <v>1</v>
      </c>
      <c r="Q1667" s="21">
        <v>1</v>
      </c>
      <c r="R1667" s="39" t="str">
        <f t="shared" si="309"/>
        <v>-</v>
      </c>
      <c r="S1667" s="120">
        <f t="shared" si="308"/>
        <v>1698693</v>
      </c>
      <c r="T1667" s="123">
        <v>16765059</v>
      </c>
      <c r="U1667" s="123">
        <f>1975216+459956+6384567+133279+296392</f>
        <v>9249410</v>
      </c>
      <c r="V1667" s="123">
        <f t="shared" si="311"/>
        <v>7515649</v>
      </c>
      <c r="W1667" s="122" t="str">
        <f t="shared" si="312"/>
        <v>1</v>
      </c>
      <c r="X1667" s="123">
        <v>15066366</v>
      </c>
      <c r="AA1667" s="122" t="str">
        <f t="shared" si="313"/>
        <v>0</v>
      </c>
      <c r="AB1667" s="120">
        <f t="shared" si="314"/>
        <v>0</v>
      </c>
      <c r="AC1667" s="123">
        <v>0</v>
      </c>
      <c r="AD1667" s="123">
        <v>0</v>
      </c>
      <c r="AE1667" s="123">
        <v>2157052</v>
      </c>
      <c r="AG1667" s="151">
        <f t="shared" si="310"/>
        <v>111306</v>
      </c>
      <c r="AH1667" s="123">
        <f>206009-94703</f>
        <v>111306</v>
      </c>
      <c r="AJ1667" s="123">
        <v>82500</v>
      </c>
      <c r="AO1667" s="123">
        <v>150000</v>
      </c>
    </row>
    <row r="1668" spans="1:41" s="123" customFormat="1" ht="16.2" thickBot="1" x14ac:dyDescent="0.35">
      <c r="A1668" s="21">
        <v>281.3</v>
      </c>
      <c r="B1668" s="212" t="s">
        <v>226</v>
      </c>
      <c r="C1668" s="31" t="str">
        <f>VLOOKUP((CONCATENATE(B1668)),ID!$A$2:$D$305,3,0)</f>
        <v>BA031</v>
      </c>
      <c r="D1668" s="21">
        <v>0</v>
      </c>
      <c r="E1668" s="21" t="s">
        <v>4005</v>
      </c>
      <c r="F1668" s="21" t="s">
        <v>1117</v>
      </c>
      <c r="G1668" s="21" t="s">
        <v>3853</v>
      </c>
      <c r="H1668" s="88">
        <v>4383</v>
      </c>
      <c r="I1668" s="43">
        <v>4399</v>
      </c>
      <c r="J1668" s="43">
        <v>40924</v>
      </c>
      <c r="K1668" s="21">
        <v>0</v>
      </c>
      <c r="L1668" s="21"/>
      <c r="M1668" s="21"/>
      <c r="N1668" s="43">
        <v>40933</v>
      </c>
      <c r="O1668" s="21" t="s">
        <v>4025</v>
      </c>
      <c r="P1668" s="194" t="str">
        <f t="shared" si="307"/>
        <v>1</v>
      </c>
      <c r="Q1668" s="21">
        <v>1</v>
      </c>
      <c r="R1668" s="39" t="str">
        <f t="shared" si="309"/>
        <v>-</v>
      </c>
      <c r="S1668" s="120">
        <f t="shared" si="308"/>
        <v>1773129</v>
      </c>
      <c r="T1668" s="123">
        <v>17186132</v>
      </c>
      <c r="U1668" s="123">
        <f>1946716+460022+6478703+202448+295248</f>
        <v>9383137</v>
      </c>
      <c r="V1668" s="123">
        <f t="shared" si="311"/>
        <v>7802995</v>
      </c>
      <c r="W1668" s="122" t="str">
        <f t="shared" si="312"/>
        <v>1</v>
      </c>
      <c r="X1668" s="123">
        <v>15413003</v>
      </c>
      <c r="AA1668" s="122" t="str">
        <f t="shared" si="313"/>
        <v>0</v>
      </c>
      <c r="AB1668" s="120">
        <f t="shared" si="314"/>
        <v>0</v>
      </c>
      <c r="AC1668" s="123">
        <v>0</v>
      </c>
      <c r="AD1668" s="123">
        <v>0</v>
      </c>
      <c r="AE1668" s="123">
        <v>2009151</v>
      </c>
      <c r="AG1668" s="151">
        <f t="shared" si="310"/>
        <v>91748</v>
      </c>
      <c r="AH1668" s="123">
        <f>184138-92390</f>
        <v>91748</v>
      </c>
      <c r="AJ1668" s="123">
        <v>75000</v>
      </c>
      <c r="AO1668" s="123">
        <v>150000</v>
      </c>
    </row>
    <row r="1669" spans="1:41" s="123" customFormat="1" ht="16.2" thickBot="1" x14ac:dyDescent="0.35">
      <c r="A1669" s="21">
        <v>281.39999999999998</v>
      </c>
      <c r="B1669" s="212" t="s">
        <v>226</v>
      </c>
      <c r="C1669" s="31" t="str">
        <f>VLOOKUP((CONCATENATE(B1669)),ID!$A$2:$D$305,3,0)</f>
        <v>BA031</v>
      </c>
      <c r="D1669" s="21">
        <v>0</v>
      </c>
      <c r="E1669" s="21" t="s">
        <v>4005</v>
      </c>
      <c r="F1669" s="21" t="s">
        <v>1117</v>
      </c>
      <c r="G1669" s="21" t="s">
        <v>3853</v>
      </c>
      <c r="H1669" s="88">
        <v>4565</v>
      </c>
      <c r="I1669" s="43">
        <v>4577</v>
      </c>
      <c r="J1669" s="43">
        <v>4577</v>
      </c>
      <c r="K1669" s="21">
        <v>0</v>
      </c>
      <c r="L1669" s="21"/>
      <c r="M1669" s="21"/>
      <c r="N1669" s="43">
        <v>4590</v>
      </c>
      <c r="O1669" s="21" t="s">
        <v>4025</v>
      </c>
      <c r="P1669" s="194" t="str">
        <f t="shared" si="307"/>
        <v>1</v>
      </c>
      <c r="Q1669" s="21">
        <v>1</v>
      </c>
      <c r="R1669" s="39" t="str">
        <f t="shared" si="309"/>
        <v>-</v>
      </c>
      <c r="S1669" s="120">
        <f t="shared" si="308"/>
        <v>1616353</v>
      </c>
      <c r="T1669" s="123">
        <v>16862161</v>
      </c>
      <c r="U1669" s="123">
        <f>296753+219703+6694441+434060+1776995</f>
        <v>9421952</v>
      </c>
      <c r="V1669" s="123">
        <f t="shared" si="311"/>
        <v>7440209</v>
      </c>
      <c r="W1669" s="122" t="str">
        <f t="shared" si="312"/>
        <v>1</v>
      </c>
      <c r="X1669" s="123">
        <v>15245808</v>
      </c>
      <c r="AA1669" s="122" t="str">
        <f t="shared" si="313"/>
        <v>0</v>
      </c>
      <c r="AB1669" s="120">
        <f t="shared" si="314"/>
        <v>0</v>
      </c>
      <c r="AC1669" s="123">
        <v>0</v>
      </c>
      <c r="AD1669" s="123">
        <v>0</v>
      </c>
      <c r="AE1669" s="123">
        <v>1916038</v>
      </c>
      <c r="AG1669" s="151">
        <f t="shared" si="310"/>
        <v>106106</v>
      </c>
      <c r="AH1669" s="123">
        <f>203594-97488</f>
        <v>106106</v>
      </c>
      <c r="AJ1669" s="123">
        <v>75000</v>
      </c>
      <c r="AO1669" s="123">
        <v>150000</v>
      </c>
    </row>
    <row r="1670" spans="1:41" s="123" customFormat="1" ht="16.2" thickBot="1" x14ac:dyDescent="0.35">
      <c r="A1670" s="21"/>
      <c r="B1670" s="212" t="s">
        <v>226</v>
      </c>
      <c r="C1670" s="31" t="str">
        <f>VLOOKUP((CONCATENATE(B1670)),ID!$A$2:$D$305,3,0)</f>
        <v>BA031</v>
      </c>
      <c r="D1670" s="21">
        <v>0</v>
      </c>
      <c r="E1670" s="21" t="s">
        <v>4005</v>
      </c>
      <c r="F1670" s="21" t="s">
        <v>1117</v>
      </c>
      <c r="G1670" s="21" t="s">
        <v>3853</v>
      </c>
      <c r="H1670" s="88">
        <v>4749</v>
      </c>
      <c r="I1670" s="43">
        <v>4759</v>
      </c>
      <c r="J1670" s="43">
        <v>4759</v>
      </c>
      <c r="K1670" s="21">
        <v>0</v>
      </c>
      <c r="L1670" s="21"/>
      <c r="M1670" s="21"/>
      <c r="N1670" s="43">
        <v>4772</v>
      </c>
      <c r="O1670" s="21" t="s">
        <v>4025</v>
      </c>
      <c r="P1670" s="194" t="str">
        <f t="shared" si="307"/>
        <v>1</v>
      </c>
      <c r="Q1670" s="21">
        <v>1</v>
      </c>
      <c r="R1670" s="39" t="str">
        <f t="shared" si="309"/>
        <v>-</v>
      </c>
      <c r="S1670" s="120">
        <f t="shared" si="308"/>
        <v>1618811</v>
      </c>
      <c r="T1670" s="123">
        <v>17120183</v>
      </c>
      <c r="U1670" s="123">
        <f>291224+194763+6599113+433986+1886465</f>
        <v>9405551</v>
      </c>
      <c r="V1670" s="123">
        <f t="shared" si="311"/>
        <v>7714632</v>
      </c>
      <c r="W1670" s="122" t="str">
        <f t="shared" si="312"/>
        <v>1</v>
      </c>
      <c r="X1670" s="123">
        <v>15501372</v>
      </c>
      <c r="AA1670" s="122" t="str">
        <f t="shared" si="313"/>
        <v>0</v>
      </c>
      <c r="AB1670" s="120">
        <f t="shared" si="314"/>
        <v>0</v>
      </c>
      <c r="AC1670" s="123">
        <v>0</v>
      </c>
      <c r="AD1670" s="123">
        <v>0</v>
      </c>
      <c r="AE1670" s="123">
        <v>2036129</v>
      </c>
      <c r="AG1670" s="151">
        <f t="shared" si="310"/>
        <v>108007</v>
      </c>
      <c r="AH1670" s="123">
        <f>202218-94211</f>
        <v>108007</v>
      </c>
      <c r="AJ1670" s="123">
        <v>75000</v>
      </c>
      <c r="AO1670" s="123">
        <v>150000</v>
      </c>
    </row>
    <row r="1671" spans="1:41" s="123" customFormat="1" ht="16.2" thickBot="1" x14ac:dyDescent="0.35">
      <c r="A1671" s="21"/>
      <c r="B1671" s="212" t="s">
        <v>226</v>
      </c>
      <c r="C1671" s="31" t="str">
        <f>VLOOKUP((CONCATENATE(B1671)),ID!$A$2:$D$305,3,0)</f>
        <v>BA031</v>
      </c>
      <c r="D1671" s="21">
        <v>0</v>
      </c>
      <c r="E1671" s="21" t="s">
        <v>4005</v>
      </c>
      <c r="F1671" s="21" t="s">
        <v>1117</v>
      </c>
      <c r="G1671" s="21" t="s">
        <v>3853</v>
      </c>
      <c r="H1671" s="88">
        <v>4930</v>
      </c>
      <c r="I1671" s="43">
        <v>4941</v>
      </c>
      <c r="J1671" s="43">
        <v>4941</v>
      </c>
      <c r="K1671" s="21">
        <v>0</v>
      </c>
      <c r="L1671" s="21"/>
      <c r="M1671" s="21"/>
      <c r="N1671" s="43">
        <v>4954</v>
      </c>
      <c r="O1671" s="21" t="s">
        <v>4025</v>
      </c>
      <c r="P1671" s="194" t="str">
        <f t="shared" si="307"/>
        <v>1</v>
      </c>
      <c r="Q1671" s="21">
        <v>1</v>
      </c>
      <c r="R1671" s="39" t="str">
        <f t="shared" si="309"/>
        <v>-</v>
      </c>
      <c r="S1671" s="120">
        <f t="shared" si="308"/>
        <v>1615709</v>
      </c>
      <c r="T1671" s="123">
        <v>17335039</v>
      </c>
      <c r="U1671" s="123">
        <f>1901789+433986+6852449+163415+290185</f>
        <v>9641824</v>
      </c>
      <c r="V1671" s="123">
        <f t="shared" si="311"/>
        <v>7693215</v>
      </c>
      <c r="W1671" s="122" t="str">
        <f t="shared" si="312"/>
        <v>1</v>
      </c>
      <c r="X1671" s="123">
        <v>15719330</v>
      </c>
      <c r="AA1671" s="122" t="str">
        <f t="shared" si="313"/>
        <v>0</v>
      </c>
      <c r="AB1671" s="120">
        <f t="shared" si="314"/>
        <v>0</v>
      </c>
      <c r="AC1671" s="123">
        <v>0</v>
      </c>
      <c r="AD1671" s="123">
        <v>0</v>
      </c>
      <c r="AE1671" s="123">
        <v>2027505</v>
      </c>
      <c r="AG1671" s="151">
        <f t="shared" si="310"/>
        <v>102194</v>
      </c>
      <c r="AH1671" s="123">
        <f>199754-97560</f>
        <v>102194</v>
      </c>
      <c r="AJ1671" s="123">
        <v>75000</v>
      </c>
      <c r="AO1671" s="123">
        <v>150000</v>
      </c>
    </row>
    <row r="1672" spans="1:41" s="123" customFormat="1" ht="16.2" thickBot="1" x14ac:dyDescent="0.35">
      <c r="A1672" s="21"/>
      <c r="B1672" s="212" t="s">
        <v>226</v>
      </c>
      <c r="C1672" s="31" t="str">
        <f>VLOOKUP((CONCATENATE(B1672)),ID!$A$2:$D$305,3,0)</f>
        <v>BA031</v>
      </c>
      <c r="D1672" s="21">
        <v>0</v>
      </c>
      <c r="E1672" s="21" t="s">
        <v>4005</v>
      </c>
      <c r="F1672" s="21" t="s">
        <v>1117</v>
      </c>
      <c r="G1672" s="21" t="s">
        <v>3853</v>
      </c>
      <c r="H1672" s="88">
        <v>5114</v>
      </c>
      <c r="I1672" s="43">
        <v>5123</v>
      </c>
      <c r="J1672" s="43">
        <v>5123</v>
      </c>
      <c r="K1672" s="21">
        <v>0</v>
      </c>
      <c r="L1672" s="21"/>
      <c r="M1672" s="21"/>
      <c r="N1672" s="43">
        <v>5136</v>
      </c>
      <c r="O1672" s="21" t="s">
        <v>4025</v>
      </c>
      <c r="P1672" s="194" t="str">
        <f t="shared" si="307"/>
        <v>1</v>
      </c>
      <c r="Q1672" s="21">
        <v>1</v>
      </c>
      <c r="R1672" s="39" t="str">
        <f t="shared" si="309"/>
        <v>-</v>
      </c>
      <c r="S1672" s="120">
        <f t="shared" si="308"/>
        <v>1616116</v>
      </c>
      <c r="T1672" s="123">
        <v>18063274</v>
      </c>
      <c r="U1672" s="123">
        <f>1877635+483133+6672092+197526+289700</f>
        <v>9520086</v>
      </c>
      <c r="V1672" s="123">
        <f t="shared" si="311"/>
        <v>8543188</v>
      </c>
      <c r="W1672" s="122" t="str">
        <f t="shared" si="312"/>
        <v>1</v>
      </c>
      <c r="X1672" s="123">
        <v>16447158</v>
      </c>
      <c r="AA1672" s="122" t="str">
        <f t="shared" si="313"/>
        <v>0</v>
      </c>
      <c r="AB1672" s="120">
        <f t="shared" si="314"/>
        <v>0</v>
      </c>
      <c r="AC1672" s="123">
        <v>0</v>
      </c>
      <c r="AD1672" s="123">
        <v>0</v>
      </c>
      <c r="AE1672" s="123">
        <v>2244881</v>
      </c>
      <c r="AG1672" s="151">
        <f t="shared" si="310"/>
        <v>105884</v>
      </c>
      <c r="AH1672" s="123">
        <f>202345-96461</f>
        <v>105884</v>
      </c>
      <c r="AJ1672" s="123">
        <v>75000</v>
      </c>
      <c r="AO1672" s="123">
        <v>150000</v>
      </c>
    </row>
    <row r="1673" spans="1:41" s="123" customFormat="1" ht="16.2" thickBot="1" x14ac:dyDescent="0.35">
      <c r="A1673" s="21"/>
      <c r="B1673" s="212" t="s">
        <v>226</v>
      </c>
      <c r="C1673" s="31" t="str">
        <f>VLOOKUP((CONCATENATE(B1673)),ID!$A$2:$D$305,3,0)</f>
        <v>BA031</v>
      </c>
      <c r="D1673" s="21">
        <v>0</v>
      </c>
      <c r="E1673" s="21" t="s">
        <v>4005</v>
      </c>
      <c r="F1673" s="21" t="s">
        <v>1117</v>
      </c>
      <c r="G1673" s="21" t="s">
        <v>3853</v>
      </c>
      <c r="H1673" s="88">
        <v>5295</v>
      </c>
      <c r="I1673" s="43">
        <v>5305</v>
      </c>
      <c r="J1673" s="43">
        <v>5305</v>
      </c>
      <c r="K1673" s="21">
        <v>0</v>
      </c>
      <c r="L1673" s="21"/>
      <c r="M1673" s="21"/>
      <c r="N1673" s="43">
        <v>5318</v>
      </c>
      <c r="O1673" s="21" t="s">
        <v>4025</v>
      </c>
      <c r="P1673" s="194" t="str">
        <f t="shared" ref="P1673:P1736" si="315">IF(AJ1673=0,"?","1")</f>
        <v>1</v>
      </c>
      <c r="Q1673" s="21">
        <v>1</v>
      </c>
      <c r="R1673" s="39" t="str">
        <f t="shared" si="309"/>
        <v>-</v>
      </c>
      <c r="S1673" s="120">
        <f t="shared" ref="S1673:S1736" si="316">T1673-X1673</f>
        <v>1512253</v>
      </c>
      <c r="T1673" s="123">
        <v>17882211</v>
      </c>
      <c r="U1673" s="123">
        <f>296574+91496+7228333+556634+1768030</f>
        <v>9941067</v>
      </c>
      <c r="V1673" s="123">
        <f t="shared" si="311"/>
        <v>7941144</v>
      </c>
      <c r="W1673" s="122" t="str">
        <f t="shared" si="312"/>
        <v>1</v>
      </c>
      <c r="X1673" s="123">
        <v>16369958</v>
      </c>
      <c r="AA1673" s="122" t="str">
        <f t="shared" si="313"/>
        <v>0</v>
      </c>
      <c r="AB1673" s="120">
        <f t="shared" si="314"/>
        <v>0</v>
      </c>
      <c r="AC1673" s="123">
        <v>0</v>
      </c>
      <c r="AD1673" s="123">
        <v>0</v>
      </c>
      <c r="AE1673" s="123">
        <v>2101023</v>
      </c>
      <c r="AG1673" s="151">
        <f t="shared" si="310"/>
        <v>111620</v>
      </c>
      <c r="AH1673" s="123">
        <f>209087-97467</f>
        <v>111620</v>
      </c>
      <c r="AJ1673" s="123">
        <v>75000</v>
      </c>
      <c r="AO1673" s="123">
        <v>150000</v>
      </c>
    </row>
    <row r="1674" spans="1:41" s="123" customFormat="1" ht="16.2" thickBot="1" x14ac:dyDescent="0.35">
      <c r="A1674" s="21"/>
      <c r="B1674" s="212" t="s">
        <v>227</v>
      </c>
      <c r="C1674" s="31" t="str">
        <f>VLOOKUP((CONCATENATE(B1674)),ID!$A$2:$D$305,3,0)</f>
        <v>BA032</v>
      </c>
      <c r="D1674" s="21">
        <v>1</v>
      </c>
      <c r="E1674" s="21" t="s">
        <v>4005</v>
      </c>
      <c r="F1674" s="21" t="s">
        <v>4026</v>
      </c>
      <c r="G1674" s="21" t="s">
        <v>3806</v>
      </c>
      <c r="H1674" s="88">
        <v>3653</v>
      </c>
      <c r="I1674" s="43">
        <v>3714</v>
      </c>
      <c r="J1674" s="43">
        <v>3714</v>
      </c>
      <c r="K1674" s="21">
        <v>0</v>
      </c>
      <c r="L1674" s="21"/>
      <c r="M1674" s="21"/>
      <c r="N1674" s="43">
        <v>3731</v>
      </c>
      <c r="O1674" s="21" t="s">
        <v>4027</v>
      </c>
      <c r="P1674" s="194" t="str">
        <f t="shared" si="315"/>
        <v>1</v>
      </c>
      <c r="Q1674" s="21">
        <v>1</v>
      </c>
      <c r="R1674" s="39" t="str">
        <f t="shared" si="309"/>
        <v>-</v>
      </c>
      <c r="S1674" s="120">
        <f t="shared" si="316"/>
        <v>3309403</v>
      </c>
      <c r="T1674" s="123">
        <v>11595999</v>
      </c>
      <c r="U1674" s="123">
        <f>1784733+100561+266974+1401972+1745213+376138</f>
        <v>5675591</v>
      </c>
      <c r="V1674" s="123">
        <f t="shared" si="311"/>
        <v>5920408</v>
      </c>
      <c r="W1674" s="122" t="str">
        <f t="shared" si="312"/>
        <v>1</v>
      </c>
      <c r="X1674" s="123">
        <v>8286596</v>
      </c>
      <c r="AA1674" s="122" t="str">
        <f t="shared" si="313"/>
        <v>0</v>
      </c>
      <c r="AB1674" s="120">
        <f t="shared" si="314"/>
        <v>0</v>
      </c>
      <c r="AC1674" s="123">
        <v>0</v>
      </c>
      <c r="AD1674" s="123">
        <v>0</v>
      </c>
      <c r="AE1674" s="123">
        <v>1769598</v>
      </c>
      <c r="AG1674" s="151">
        <f t="shared" si="310"/>
        <v>279938</v>
      </c>
      <c r="AH1674" s="123">
        <f>403395-12195-111262</f>
        <v>279938</v>
      </c>
      <c r="AJ1674" s="123">
        <v>270000</v>
      </c>
      <c r="AO1674" s="123">
        <v>300000</v>
      </c>
    </row>
    <row r="1675" spans="1:41" s="123" customFormat="1" ht="16.2" thickBot="1" x14ac:dyDescent="0.35">
      <c r="A1675" s="21">
        <v>282.10000000000002</v>
      </c>
      <c r="B1675" s="212" t="s">
        <v>227</v>
      </c>
      <c r="C1675" s="31" t="str">
        <f>VLOOKUP((CONCATENATE(B1675)),ID!$A$2:$D$305,3,0)</f>
        <v>BA032</v>
      </c>
      <c r="D1675" s="21">
        <v>1</v>
      </c>
      <c r="E1675" s="21" t="s">
        <v>4005</v>
      </c>
      <c r="F1675" s="21" t="s">
        <v>4026</v>
      </c>
      <c r="G1675" s="21" t="s">
        <v>3806</v>
      </c>
      <c r="H1675" s="88">
        <v>4018</v>
      </c>
      <c r="I1675" s="43">
        <v>4079</v>
      </c>
      <c r="J1675" s="43">
        <v>4079</v>
      </c>
      <c r="K1675" s="21">
        <v>0</v>
      </c>
      <c r="L1675" s="21"/>
      <c r="M1675" s="21"/>
      <c r="N1675" s="43">
        <v>4095</v>
      </c>
      <c r="O1675" s="21" t="s">
        <v>4027</v>
      </c>
      <c r="P1675" s="194" t="str">
        <f t="shared" si="315"/>
        <v>1</v>
      </c>
      <c r="Q1675" s="21">
        <v>1</v>
      </c>
      <c r="R1675" s="39" t="str">
        <f t="shared" si="309"/>
        <v>-</v>
      </c>
      <c r="S1675" s="120">
        <f t="shared" si="316"/>
        <v>4731754</v>
      </c>
      <c r="T1675" s="123">
        <v>11413617</v>
      </c>
      <c r="U1675" s="123">
        <f>1079643+175863+2395213+1793952+286803</f>
        <v>5731474</v>
      </c>
      <c r="V1675" s="123">
        <f t="shared" si="311"/>
        <v>5682143</v>
      </c>
      <c r="W1675" s="122" t="str">
        <f t="shared" si="312"/>
        <v>1</v>
      </c>
      <c r="X1675" s="123">
        <v>6681863</v>
      </c>
      <c r="AA1675" s="122" t="str">
        <f t="shared" si="313"/>
        <v>0</v>
      </c>
      <c r="AB1675" s="120">
        <f t="shared" si="314"/>
        <v>0</v>
      </c>
      <c r="AC1675" s="123">
        <v>0</v>
      </c>
      <c r="AD1675" s="123">
        <v>0</v>
      </c>
      <c r="AE1675" s="123">
        <v>1528875</v>
      </c>
      <c r="AG1675" s="151">
        <f t="shared" si="310"/>
        <v>284551</v>
      </c>
      <c r="AH1675" s="123">
        <f>412377-11452-116374</f>
        <v>284551</v>
      </c>
      <c r="AJ1675" s="123">
        <v>270000</v>
      </c>
      <c r="AO1675" s="123">
        <v>300000</v>
      </c>
    </row>
    <row r="1676" spans="1:41" s="123" customFormat="1" ht="16.2" thickBot="1" x14ac:dyDescent="0.35">
      <c r="A1676" s="21">
        <v>282.2</v>
      </c>
      <c r="B1676" s="212" t="s">
        <v>227</v>
      </c>
      <c r="C1676" s="31" t="str">
        <f>VLOOKUP((CONCATENATE(B1676)),ID!$A$2:$D$305,3,0)</f>
        <v>BA032</v>
      </c>
      <c r="D1676" s="21">
        <v>1</v>
      </c>
      <c r="E1676" s="21" t="s">
        <v>4005</v>
      </c>
      <c r="F1676" s="21" t="s">
        <v>4026</v>
      </c>
      <c r="G1676" s="21" t="s">
        <v>3806</v>
      </c>
      <c r="H1676" s="88">
        <v>4383</v>
      </c>
      <c r="I1676" s="43">
        <v>4449</v>
      </c>
      <c r="J1676" s="43">
        <v>4449</v>
      </c>
      <c r="K1676" s="21">
        <v>0</v>
      </c>
      <c r="L1676" s="21"/>
      <c r="M1676" s="21"/>
      <c r="N1676" s="43">
        <v>4466</v>
      </c>
      <c r="O1676" s="21" t="s">
        <v>4027</v>
      </c>
      <c r="P1676" s="194" t="str">
        <f t="shared" si="315"/>
        <v>1</v>
      </c>
      <c r="Q1676" s="21">
        <v>1</v>
      </c>
      <c r="R1676" s="39" t="str">
        <f t="shared" si="309"/>
        <v>-</v>
      </c>
      <c r="S1676" s="120">
        <f t="shared" si="316"/>
        <v>4758417</v>
      </c>
      <c r="T1676" s="123">
        <v>12763604</v>
      </c>
      <c r="U1676" s="123">
        <f>823227+659258+1209489+1894864+277910+1281208</f>
        <v>6145956</v>
      </c>
      <c r="V1676" s="123">
        <f t="shared" si="311"/>
        <v>6617648</v>
      </c>
      <c r="W1676" s="122" t="str">
        <f t="shared" si="312"/>
        <v>1</v>
      </c>
      <c r="X1676" s="123">
        <v>8005187</v>
      </c>
      <c r="AA1676" s="122" t="str">
        <f t="shared" si="313"/>
        <v>0</v>
      </c>
      <c r="AB1676" s="120">
        <f t="shared" si="314"/>
        <v>0</v>
      </c>
      <c r="AC1676" s="123">
        <v>0</v>
      </c>
      <c r="AD1676" s="123">
        <v>0</v>
      </c>
      <c r="AE1676" s="123">
        <v>1790706</v>
      </c>
      <c r="AG1676" s="151">
        <f t="shared" si="310"/>
        <v>276206</v>
      </c>
      <c r="AH1676" s="123">
        <f>411228-10195-124827</f>
        <v>276206</v>
      </c>
      <c r="AJ1676" s="123">
        <v>270000</v>
      </c>
      <c r="AO1676" s="123">
        <v>300000</v>
      </c>
    </row>
    <row r="1677" spans="1:41" s="123" customFormat="1" ht="16.2" thickBot="1" x14ac:dyDescent="0.35">
      <c r="A1677" s="21"/>
      <c r="B1677" s="212" t="s">
        <v>227</v>
      </c>
      <c r="C1677" s="31" t="str">
        <f>VLOOKUP((CONCATENATE(B1677)),ID!$A$2:$D$305,3,0)</f>
        <v>BA032</v>
      </c>
      <c r="D1677" s="21">
        <v>1</v>
      </c>
      <c r="E1677" s="21" t="s">
        <v>4005</v>
      </c>
      <c r="F1677" s="21" t="s">
        <v>4026</v>
      </c>
      <c r="G1677" s="21" t="s">
        <v>3806</v>
      </c>
      <c r="H1677" s="88">
        <v>4749</v>
      </c>
      <c r="I1677" s="43" t="s">
        <v>3783</v>
      </c>
      <c r="J1677" s="43" t="s">
        <v>3783</v>
      </c>
      <c r="K1677" s="21">
        <v>0</v>
      </c>
      <c r="L1677" s="21"/>
      <c r="M1677" s="21"/>
      <c r="N1677" s="43">
        <v>4830</v>
      </c>
      <c r="O1677" s="21" t="s">
        <v>4027</v>
      </c>
      <c r="P1677" s="194" t="str">
        <f t="shared" si="315"/>
        <v>1</v>
      </c>
      <c r="Q1677" s="21">
        <v>1</v>
      </c>
      <c r="R1677" s="39" t="str">
        <f t="shared" si="309"/>
        <v>-</v>
      </c>
      <c r="S1677" s="120">
        <f t="shared" si="316"/>
        <v>4731851</v>
      </c>
      <c r="T1677" s="123">
        <v>13481952</v>
      </c>
      <c r="U1677" s="123">
        <f>760399+276984+1882883+1586636+963574+809174+286592</f>
        <v>6566242</v>
      </c>
      <c r="V1677" s="123">
        <f t="shared" si="311"/>
        <v>6915710</v>
      </c>
      <c r="W1677" s="122" t="str">
        <f t="shared" si="312"/>
        <v>1</v>
      </c>
      <c r="X1677" s="123">
        <v>8750101</v>
      </c>
      <c r="AA1677" s="122" t="str">
        <f t="shared" si="313"/>
        <v>0</v>
      </c>
      <c r="AB1677" s="120">
        <f t="shared" si="314"/>
        <v>0</v>
      </c>
      <c r="AC1677" s="123">
        <v>0</v>
      </c>
      <c r="AD1677" s="123">
        <v>0</v>
      </c>
      <c r="AE1677" s="123">
        <v>1687413</v>
      </c>
      <c r="AG1677" s="151">
        <f t="shared" si="310"/>
        <v>264085</v>
      </c>
      <c r="AH1677" s="123">
        <f>409976-9375-136516</f>
        <v>264085</v>
      </c>
      <c r="AJ1677" s="123">
        <v>240000</v>
      </c>
      <c r="AO1677" s="123">
        <v>300000</v>
      </c>
    </row>
    <row r="1678" spans="1:41" s="123" customFormat="1" ht="16.2" thickBot="1" x14ac:dyDescent="0.35">
      <c r="A1678" s="21"/>
      <c r="B1678" s="212" t="s">
        <v>227</v>
      </c>
      <c r="C1678" s="31" t="str">
        <f>VLOOKUP((CONCATENATE(B1678)),ID!$A$2:$D$305,3,0)</f>
        <v>BA032</v>
      </c>
      <c r="D1678" s="21">
        <v>1</v>
      </c>
      <c r="E1678" s="21" t="s">
        <v>4005</v>
      </c>
      <c r="F1678" s="21" t="s">
        <v>4026</v>
      </c>
      <c r="G1678" s="21" t="s">
        <v>3806</v>
      </c>
      <c r="H1678" s="88">
        <v>5114</v>
      </c>
      <c r="I1678" s="43">
        <v>5173</v>
      </c>
      <c r="J1678" s="43">
        <v>5173</v>
      </c>
      <c r="K1678" s="21">
        <v>0</v>
      </c>
      <c r="L1678" s="21"/>
      <c r="M1678" s="21"/>
      <c r="N1678" s="43">
        <v>5194</v>
      </c>
      <c r="O1678" s="21" t="s">
        <v>4027</v>
      </c>
      <c r="P1678" s="194" t="str">
        <f t="shared" si="315"/>
        <v>1</v>
      </c>
      <c r="Q1678" s="21">
        <v>1</v>
      </c>
      <c r="R1678" s="39" t="str">
        <f t="shared" si="309"/>
        <v>-</v>
      </c>
      <c r="S1678" s="120">
        <f t="shared" si="316"/>
        <v>4677653</v>
      </c>
      <c r="T1678" s="123">
        <v>12153228</v>
      </c>
      <c r="U1678" s="123">
        <f>498179+469536+2744538+1669408+840492+823347+282453</f>
        <v>7327953</v>
      </c>
      <c r="V1678" s="123">
        <f t="shared" si="311"/>
        <v>4825275</v>
      </c>
      <c r="W1678" s="122" t="str">
        <f t="shared" si="312"/>
        <v>1</v>
      </c>
      <c r="X1678" s="123">
        <v>7475575</v>
      </c>
      <c r="AA1678" s="122" t="str">
        <f t="shared" si="313"/>
        <v>0</v>
      </c>
      <c r="AB1678" s="120">
        <f t="shared" si="314"/>
        <v>0</v>
      </c>
      <c r="AC1678" s="123">
        <v>0</v>
      </c>
      <c r="AD1678" s="123">
        <v>0</v>
      </c>
      <c r="AE1678" s="123">
        <v>1687022</v>
      </c>
      <c r="AG1678" s="151">
        <f t="shared" si="310"/>
        <v>281271</v>
      </c>
      <c r="AH1678" s="123">
        <f>431328-9000-141057</f>
        <v>281271</v>
      </c>
      <c r="AJ1678" s="123">
        <v>225000</v>
      </c>
      <c r="AO1678" s="123">
        <v>300000</v>
      </c>
    </row>
    <row r="1679" spans="1:41" s="123" customFormat="1" ht="16.2" thickBot="1" x14ac:dyDescent="0.35">
      <c r="A1679" s="21"/>
      <c r="B1679" s="212" t="s">
        <v>228</v>
      </c>
      <c r="C1679" s="31" t="str">
        <f>VLOOKUP((CONCATENATE(B1679)),ID!$A$2:$D$305,3,0)</f>
        <v>BA033</v>
      </c>
      <c r="D1679" s="21">
        <v>0</v>
      </c>
      <c r="E1679" s="21" t="s">
        <v>4005</v>
      </c>
      <c r="F1679" s="21" t="s">
        <v>1117</v>
      </c>
      <c r="G1679" s="21" t="s">
        <v>3777</v>
      </c>
      <c r="H1679" s="88">
        <v>3653</v>
      </c>
      <c r="I1679" s="43">
        <v>3723</v>
      </c>
      <c r="J1679" s="43">
        <v>3722</v>
      </c>
      <c r="K1679" s="21">
        <v>1</v>
      </c>
      <c r="L1679" s="43">
        <v>3727</v>
      </c>
      <c r="M1679" s="43">
        <v>3734</v>
      </c>
      <c r="N1679" s="43">
        <v>3734</v>
      </c>
      <c r="O1679" s="21" t="s">
        <v>4028</v>
      </c>
      <c r="P1679" s="194" t="str">
        <f t="shared" si="315"/>
        <v>1</v>
      </c>
      <c r="Q1679" s="21">
        <v>1</v>
      </c>
      <c r="R1679" s="39" t="str">
        <f t="shared" si="309"/>
        <v>-</v>
      </c>
      <c r="S1679" s="120">
        <f t="shared" si="316"/>
        <v>1776655</v>
      </c>
      <c r="T1679" s="123">
        <v>15927171</v>
      </c>
      <c r="U1679" s="123">
        <f>311454+783762+67324+6374510</f>
        <v>7537050</v>
      </c>
      <c r="V1679" s="123">
        <f t="shared" si="311"/>
        <v>8390121</v>
      </c>
      <c r="W1679" s="122" t="str">
        <f t="shared" si="312"/>
        <v>1</v>
      </c>
      <c r="X1679" s="123">
        <v>14150516</v>
      </c>
      <c r="AA1679" s="122" t="str">
        <f t="shared" si="313"/>
        <v>0</v>
      </c>
      <c r="AB1679" s="120">
        <f t="shared" si="314"/>
        <v>780000</v>
      </c>
      <c r="AC1679" s="123">
        <v>0</v>
      </c>
      <c r="AD1679" s="123">
        <v>780000</v>
      </c>
      <c r="AE1679" s="123">
        <v>2108348</v>
      </c>
      <c r="AG1679" s="151">
        <f t="shared" si="310"/>
        <v>221813</v>
      </c>
      <c r="AH1679" s="123">
        <f>413580-191767</f>
        <v>221813</v>
      </c>
      <c r="AJ1679" s="123">
        <v>48000</v>
      </c>
      <c r="AO1679" s="123">
        <v>64000</v>
      </c>
    </row>
    <row r="1680" spans="1:41" s="123" customFormat="1" ht="16.2" thickBot="1" x14ac:dyDescent="0.35">
      <c r="A1680" s="21"/>
      <c r="B1680" s="212" t="s">
        <v>228</v>
      </c>
      <c r="C1680" s="31" t="str">
        <f>VLOOKUP((CONCATENATE(B1680)),ID!$A$2:$D$305,3,0)</f>
        <v>BA033</v>
      </c>
      <c r="D1680" s="21">
        <v>0</v>
      </c>
      <c r="E1680" s="21" t="s">
        <v>4005</v>
      </c>
      <c r="F1680" s="21" t="s">
        <v>1117</v>
      </c>
      <c r="G1680" s="21" t="s">
        <v>3777</v>
      </c>
      <c r="H1680" s="88">
        <v>3834</v>
      </c>
      <c r="I1680" s="43">
        <v>3905</v>
      </c>
      <c r="J1680" s="43">
        <v>3904</v>
      </c>
      <c r="K1680" s="21">
        <v>1</v>
      </c>
      <c r="L1680" s="43">
        <v>3909</v>
      </c>
      <c r="M1680" s="43">
        <v>3916</v>
      </c>
      <c r="N1680" s="43"/>
      <c r="O1680" s="21" t="s">
        <v>4028</v>
      </c>
      <c r="P1680" s="194">
        <v>1</v>
      </c>
      <c r="Q1680" s="21">
        <v>1</v>
      </c>
      <c r="R1680" s="39" t="str">
        <f t="shared" si="309"/>
        <v>-</v>
      </c>
      <c r="S1680" s="120">
        <f t="shared" si="316"/>
        <v>1827551</v>
      </c>
      <c r="T1680" s="123">
        <v>15840773</v>
      </c>
      <c r="U1680" s="123">
        <f>443462+738815+112631+6116094</f>
        <v>7411002</v>
      </c>
      <c r="V1680" s="123">
        <f t="shared" si="311"/>
        <v>8429771</v>
      </c>
      <c r="W1680" s="122" t="str">
        <f t="shared" si="312"/>
        <v>1</v>
      </c>
      <c r="X1680" s="123">
        <v>14013222</v>
      </c>
      <c r="AA1680" s="122" t="str">
        <f t="shared" si="313"/>
        <v>0</v>
      </c>
      <c r="AB1680" s="120">
        <f t="shared" si="314"/>
        <v>0</v>
      </c>
      <c r="AC1680" s="123">
        <v>0</v>
      </c>
      <c r="AD1680" s="123">
        <v>0</v>
      </c>
      <c r="AE1680" s="123">
        <v>2463965</v>
      </c>
      <c r="AG1680" s="151">
        <f t="shared" si="310"/>
        <v>118896</v>
      </c>
      <c r="AH1680" s="123">
        <f>219066-100170</f>
        <v>118896</v>
      </c>
      <c r="AJ1680" s="123">
        <v>0</v>
      </c>
      <c r="AO1680" s="123">
        <v>64000</v>
      </c>
    </row>
    <row r="1681" spans="1:41" s="123" customFormat="1" ht="16.2" thickBot="1" x14ac:dyDescent="0.35">
      <c r="A1681" s="21">
        <v>283.10000000000002</v>
      </c>
      <c r="B1681" s="212" t="s">
        <v>228</v>
      </c>
      <c r="C1681" s="31" t="str">
        <f>VLOOKUP((CONCATENATE(B1681)),ID!$A$2:$D$305,3,0)</f>
        <v>BA033</v>
      </c>
      <c r="D1681" s="21">
        <v>0</v>
      </c>
      <c r="E1681" s="21" t="s">
        <v>4005</v>
      </c>
      <c r="F1681" s="21" t="s">
        <v>1117</v>
      </c>
      <c r="G1681" s="21" t="s">
        <v>3777</v>
      </c>
      <c r="H1681" s="88">
        <v>4018</v>
      </c>
      <c r="I1681" s="43">
        <v>4087</v>
      </c>
      <c r="J1681" s="43">
        <v>4086</v>
      </c>
      <c r="K1681" s="21">
        <v>1</v>
      </c>
      <c r="L1681" s="43">
        <v>4088</v>
      </c>
      <c r="M1681" s="43">
        <v>4113</v>
      </c>
      <c r="N1681" s="43">
        <v>4098</v>
      </c>
      <c r="O1681" s="21" t="s">
        <v>4028</v>
      </c>
      <c r="P1681" s="194" t="str">
        <f t="shared" si="315"/>
        <v>1</v>
      </c>
      <c r="Q1681" s="21">
        <v>1</v>
      </c>
      <c r="R1681" s="39" t="str">
        <f t="shared" si="309"/>
        <v>-</v>
      </c>
      <c r="S1681" s="120">
        <f t="shared" si="316"/>
        <v>1908874</v>
      </c>
      <c r="T1681" s="123">
        <v>15505851</v>
      </c>
      <c r="U1681" s="123">
        <f>6783584+114487+708967+466204</f>
        <v>8073242</v>
      </c>
      <c r="V1681" s="123">
        <f t="shared" si="311"/>
        <v>7432609</v>
      </c>
      <c r="W1681" s="122" t="str">
        <f t="shared" si="312"/>
        <v>1</v>
      </c>
      <c r="X1681" s="123">
        <v>13596977</v>
      </c>
      <c r="AA1681" s="122" t="str">
        <f t="shared" si="313"/>
        <v>0</v>
      </c>
      <c r="AB1681" s="120">
        <f t="shared" si="314"/>
        <v>0</v>
      </c>
      <c r="AC1681" s="123">
        <v>0</v>
      </c>
      <c r="AD1681" s="123">
        <v>0</v>
      </c>
      <c r="AE1681" s="123">
        <v>2168266</v>
      </c>
      <c r="AG1681" s="151">
        <f t="shared" si="310"/>
        <v>248219</v>
      </c>
      <c r="AH1681" s="123">
        <f>444914-196695</f>
        <v>248219</v>
      </c>
      <c r="AJ1681" s="123">
        <v>48000</v>
      </c>
      <c r="AO1681" s="123">
        <v>64000</v>
      </c>
    </row>
    <row r="1682" spans="1:41" s="123" customFormat="1" ht="16.2" thickBot="1" x14ac:dyDescent="0.35">
      <c r="A1682" s="21">
        <v>283.2</v>
      </c>
      <c r="B1682" s="212" t="s">
        <v>228</v>
      </c>
      <c r="C1682" s="31" t="str">
        <f>VLOOKUP((CONCATENATE(B1682)),ID!$A$2:$D$305,3,0)</f>
        <v>BA033</v>
      </c>
      <c r="D1682" s="21">
        <v>0</v>
      </c>
      <c r="E1682" s="21" t="s">
        <v>4005</v>
      </c>
      <c r="F1682" s="21" t="s">
        <v>1117</v>
      </c>
      <c r="G1682" s="21" t="s">
        <v>3777</v>
      </c>
      <c r="H1682" s="88">
        <v>4199</v>
      </c>
      <c r="I1682" s="43">
        <v>4269</v>
      </c>
      <c r="J1682" s="43">
        <v>4268</v>
      </c>
      <c r="K1682" s="21">
        <v>1</v>
      </c>
      <c r="L1682" s="43">
        <v>4272</v>
      </c>
      <c r="M1682" s="43">
        <v>4275</v>
      </c>
      <c r="N1682" s="43"/>
      <c r="O1682" s="21" t="s">
        <v>4028</v>
      </c>
      <c r="P1682" s="194">
        <v>1</v>
      </c>
      <c r="Q1682" s="21">
        <v>1</v>
      </c>
      <c r="R1682" s="39" t="str">
        <f t="shared" si="309"/>
        <v>-</v>
      </c>
      <c r="S1682" s="120">
        <f t="shared" si="316"/>
        <v>1962281</v>
      </c>
      <c r="T1682" s="123">
        <v>16243081</v>
      </c>
      <c r="U1682" s="123">
        <f>306856+699317+112635+6489009</f>
        <v>7607817</v>
      </c>
      <c r="V1682" s="123">
        <f t="shared" si="311"/>
        <v>8635264</v>
      </c>
      <c r="W1682" s="122" t="str">
        <f t="shared" si="312"/>
        <v>1</v>
      </c>
      <c r="X1682" s="123">
        <v>14280800</v>
      </c>
      <c r="AA1682" s="122" t="str">
        <f t="shared" si="313"/>
        <v>0</v>
      </c>
      <c r="AB1682" s="120">
        <f t="shared" si="314"/>
        <v>0</v>
      </c>
      <c r="AC1682" s="123">
        <v>0</v>
      </c>
      <c r="AD1682" s="123">
        <v>0</v>
      </c>
      <c r="AE1682" s="123">
        <v>2474391</v>
      </c>
      <c r="AG1682" s="151">
        <f t="shared" si="310"/>
        <v>121407</v>
      </c>
      <c r="AH1682" s="123">
        <f>227177-105770</f>
        <v>121407</v>
      </c>
      <c r="AJ1682" s="123">
        <v>0</v>
      </c>
      <c r="AO1682" s="123">
        <v>80000</v>
      </c>
    </row>
    <row r="1683" spans="1:41" s="123" customFormat="1" ht="16.2" thickBot="1" x14ac:dyDescent="0.35">
      <c r="A1683" s="21">
        <v>283.3</v>
      </c>
      <c r="B1683" s="212" t="s">
        <v>228</v>
      </c>
      <c r="C1683" s="31" t="str">
        <f>VLOOKUP((CONCATENATE(B1683)),ID!$A$2:$D$305,3,0)</f>
        <v>BA033</v>
      </c>
      <c r="D1683" s="21">
        <v>0</v>
      </c>
      <c r="E1683" s="21" t="s">
        <v>4005</v>
      </c>
      <c r="F1683" s="21" t="s">
        <v>1117</v>
      </c>
      <c r="G1683" s="21" t="s">
        <v>3777</v>
      </c>
      <c r="H1683" s="88">
        <v>4383</v>
      </c>
      <c r="I1683" s="43">
        <v>4451</v>
      </c>
      <c r="J1683" s="43">
        <v>4450</v>
      </c>
      <c r="K1683" s="21">
        <v>1</v>
      </c>
      <c r="L1683" s="43">
        <v>4455</v>
      </c>
      <c r="M1683" s="43">
        <v>4462</v>
      </c>
      <c r="N1683" s="43">
        <v>4462</v>
      </c>
      <c r="O1683" s="21" t="s">
        <v>4028</v>
      </c>
      <c r="P1683" s="194" t="str">
        <f t="shared" si="315"/>
        <v>1</v>
      </c>
      <c r="Q1683" s="21">
        <v>1</v>
      </c>
      <c r="R1683" s="39" t="str">
        <f t="shared" si="309"/>
        <v>-</v>
      </c>
      <c r="S1683" s="120">
        <f t="shared" si="316"/>
        <v>2024360</v>
      </c>
      <c r="T1683" s="123">
        <v>17463770</v>
      </c>
      <c r="U1683" s="123">
        <f>314574+635619+114977+7369791</f>
        <v>8434961</v>
      </c>
      <c r="V1683" s="123">
        <f t="shared" si="311"/>
        <v>9028809</v>
      </c>
      <c r="W1683" s="122" t="str">
        <f t="shared" si="312"/>
        <v>1</v>
      </c>
      <c r="X1683" s="123">
        <v>15439410</v>
      </c>
      <c r="AA1683" s="122" t="str">
        <f t="shared" si="313"/>
        <v>0</v>
      </c>
      <c r="AB1683" s="120">
        <f t="shared" si="314"/>
        <v>715000</v>
      </c>
      <c r="AC1683" s="123">
        <v>0</v>
      </c>
      <c r="AD1683" s="123">
        <v>715000</v>
      </c>
      <c r="AE1683" s="123">
        <v>2139519</v>
      </c>
      <c r="AG1683" s="151">
        <f t="shared" si="310"/>
        <v>252495</v>
      </c>
      <c r="AH1683" s="123">
        <f>465633-213138</f>
        <v>252495</v>
      </c>
      <c r="AJ1683" s="123">
        <v>60000</v>
      </c>
      <c r="AO1683" s="123">
        <v>80000</v>
      </c>
    </row>
    <row r="1684" spans="1:41" s="123" customFormat="1" ht="16.2" thickBot="1" x14ac:dyDescent="0.35">
      <c r="A1684" s="21">
        <v>283.39999999999998</v>
      </c>
      <c r="B1684" s="212" t="s">
        <v>228</v>
      </c>
      <c r="C1684" s="31" t="str">
        <f>VLOOKUP((CONCATENATE(B1684)),ID!$A$2:$D$305,3,0)</f>
        <v>BA033</v>
      </c>
      <c r="D1684" s="21">
        <v>0</v>
      </c>
      <c r="E1684" s="21" t="s">
        <v>4005</v>
      </c>
      <c r="F1684" s="21" t="s">
        <v>1117</v>
      </c>
      <c r="G1684" s="21" t="s">
        <v>3777</v>
      </c>
      <c r="H1684" s="88">
        <v>4565</v>
      </c>
      <c r="I1684" s="43">
        <v>4633</v>
      </c>
      <c r="J1684" s="43">
        <v>4632</v>
      </c>
      <c r="K1684" s="21">
        <v>1</v>
      </c>
      <c r="L1684" s="43">
        <v>4636</v>
      </c>
      <c r="M1684" s="43">
        <v>41171</v>
      </c>
      <c r="N1684" s="43"/>
      <c r="O1684" s="21" t="s">
        <v>4028</v>
      </c>
      <c r="P1684" s="194">
        <v>1</v>
      </c>
      <c r="Q1684" s="21">
        <v>1</v>
      </c>
      <c r="R1684" s="39" t="str">
        <f t="shared" si="309"/>
        <v>-</v>
      </c>
      <c r="S1684" s="120">
        <f t="shared" si="316"/>
        <v>2082641</v>
      </c>
      <c r="T1684" s="123">
        <v>17812163</v>
      </c>
      <c r="U1684" s="123">
        <f>280935+777175+109966+7081429</f>
        <v>8249505</v>
      </c>
      <c r="V1684" s="123">
        <f t="shared" si="311"/>
        <v>9562658</v>
      </c>
      <c r="W1684" s="122" t="str">
        <f t="shared" si="312"/>
        <v>1</v>
      </c>
      <c r="X1684" s="123">
        <v>15729522</v>
      </c>
      <c r="AA1684" s="122" t="str">
        <f t="shared" si="313"/>
        <v>0</v>
      </c>
      <c r="AB1684" s="120">
        <f t="shared" si="314"/>
        <v>350000</v>
      </c>
      <c r="AC1684" s="123">
        <v>0</v>
      </c>
      <c r="AD1684" s="123">
        <v>350000</v>
      </c>
      <c r="AE1684" s="123">
        <v>2739309</v>
      </c>
      <c r="AG1684" s="151">
        <f t="shared" si="310"/>
        <v>129272</v>
      </c>
      <c r="AH1684" s="123">
        <f>239996-110724</f>
        <v>129272</v>
      </c>
      <c r="AJ1684" s="123">
        <v>0</v>
      </c>
      <c r="AO1684" s="123">
        <v>80000</v>
      </c>
    </row>
    <row r="1685" spans="1:41" s="123" customFormat="1" ht="16.2" thickBot="1" x14ac:dyDescent="0.35">
      <c r="A1685" s="21"/>
      <c r="B1685" s="212" t="s">
        <v>228</v>
      </c>
      <c r="C1685" s="31" t="str">
        <f>VLOOKUP((CONCATENATE(B1685)),ID!$A$2:$D$305,3,0)</f>
        <v>BA033</v>
      </c>
      <c r="D1685" s="21">
        <v>0</v>
      </c>
      <c r="E1685" s="21" t="s">
        <v>4005</v>
      </c>
      <c r="F1685" s="21" t="s">
        <v>1117</v>
      </c>
      <c r="G1685" s="21" t="s">
        <v>3777</v>
      </c>
      <c r="H1685" s="88">
        <v>4749</v>
      </c>
      <c r="I1685" s="43">
        <v>4815</v>
      </c>
      <c r="J1685" s="43">
        <v>4815</v>
      </c>
      <c r="K1685" s="21">
        <v>1</v>
      </c>
      <c r="L1685" s="43">
        <v>4825</v>
      </c>
      <c r="M1685" s="43">
        <v>4836</v>
      </c>
      <c r="N1685" s="43" t="s">
        <v>3783</v>
      </c>
      <c r="O1685" s="21" t="s">
        <v>4028</v>
      </c>
      <c r="P1685" s="194" t="str">
        <f t="shared" si="315"/>
        <v>1</v>
      </c>
      <c r="Q1685" s="21">
        <v>1</v>
      </c>
      <c r="R1685" s="39" t="str">
        <f t="shared" si="309"/>
        <v>-</v>
      </c>
      <c r="S1685" s="120">
        <f t="shared" si="316"/>
        <v>2164009</v>
      </c>
      <c r="T1685" s="123">
        <v>18551214</v>
      </c>
      <c r="U1685" s="123">
        <f>240874+683899+125444+6925419</f>
        <v>7975636</v>
      </c>
      <c r="V1685" s="123">
        <f t="shared" si="311"/>
        <v>10575578</v>
      </c>
      <c r="W1685" s="122" t="str">
        <f t="shared" si="312"/>
        <v>1</v>
      </c>
      <c r="X1685" s="123">
        <v>16387205</v>
      </c>
      <c r="AA1685" s="122" t="s">
        <v>4131</v>
      </c>
      <c r="AB1685" s="120">
        <f t="shared" si="314"/>
        <v>970000</v>
      </c>
      <c r="AC1685" s="123">
        <v>0</v>
      </c>
      <c r="AD1685" s="123">
        <v>970000</v>
      </c>
      <c r="AE1685" s="123">
        <v>2628606</v>
      </c>
      <c r="AG1685" s="151">
        <f t="shared" si="310"/>
        <v>270639</v>
      </c>
      <c r="AH1685" s="123">
        <f>489640-219001</f>
        <v>270639</v>
      </c>
      <c r="AJ1685" s="123">
        <v>60000</v>
      </c>
      <c r="AO1685" s="123">
        <v>80000</v>
      </c>
    </row>
    <row r="1686" spans="1:41" s="123" customFormat="1" ht="16.2" thickBot="1" x14ac:dyDescent="0.35">
      <c r="A1686" s="21"/>
      <c r="B1686" s="212" t="s">
        <v>228</v>
      </c>
      <c r="C1686" s="31" t="str">
        <f>VLOOKUP((CONCATENATE(B1686)),ID!$A$2:$D$305,3,0)</f>
        <v>BA033</v>
      </c>
      <c r="D1686" s="21">
        <v>0</v>
      </c>
      <c r="E1686" s="21" t="s">
        <v>4005</v>
      </c>
      <c r="F1686" s="21" t="s">
        <v>1117</v>
      </c>
      <c r="G1686" s="21" t="s">
        <v>3777</v>
      </c>
      <c r="H1686" s="88">
        <v>4930</v>
      </c>
      <c r="I1686" s="43">
        <v>4998</v>
      </c>
      <c r="J1686" s="43">
        <v>4996</v>
      </c>
      <c r="K1686" s="21">
        <v>1</v>
      </c>
      <c r="L1686" s="43">
        <v>5000</v>
      </c>
      <c r="M1686" s="43">
        <v>5009</v>
      </c>
      <c r="N1686" s="43"/>
      <c r="O1686" s="21" t="s">
        <v>4028</v>
      </c>
      <c r="P1686" s="194">
        <v>1</v>
      </c>
      <c r="Q1686" s="21">
        <v>1</v>
      </c>
      <c r="R1686" s="39" t="str">
        <f t="shared" si="309"/>
        <v>-</v>
      </c>
      <c r="S1686" s="120">
        <f t="shared" si="316"/>
        <v>2198325</v>
      </c>
      <c r="T1686" s="123">
        <v>18469011</v>
      </c>
      <c r="U1686" s="123">
        <f>205225+699887+126368+6923147</f>
        <v>7954627</v>
      </c>
      <c r="V1686" s="123">
        <f t="shared" si="311"/>
        <v>10514384</v>
      </c>
      <c r="W1686" s="122" t="str">
        <f t="shared" si="312"/>
        <v>1</v>
      </c>
      <c r="X1686" s="123">
        <v>16270686</v>
      </c>
      <c r="AA1686" s="122" t="str">
        <f t="shared" si="313"/>
        <v>0</v>
      </c>
      <c r="AB1686" s="120">
        <f t="shared" si="314"/>
        <v>575000</v>
      </c>
      <c r="AC1686" s="123">
        <v>0</v>
      </c>
      <c r="AD1686" s="123">
        <v>575000</v>
      </c>
      <c r="AE1686" s="123">
        <v>2959230</v>
      </c>
      <c r="AG1686" s="151">
        <f t="shared" si="310"/>
        <v>134316</v>
      </c>
      <c r="AH1686" s="123">
        <f>249215-114899</f>
        <v>134316</v>
      </c>
      <c r="AJ1686" s="123">
        <v>0</v>
      </c>
      <c r="AO1686" s="123">
        <v>80000</v>
      </c>
    </row>
    <row r="1687" spans="1:41" s="123" customFormat="1" ht="16.2" thickBot="1" x14ac:dyDescent="0.35">
      <c r="A1687" s="21"/>
      <c r="B1687" s="212" t="s">
        <v>228</v>
      </c>
      <c r="C1687" s="31" t="str">
        <f>VLOOKUP((CONCATENATE(B1687)),ID!$A$2:$D$305,3,0)</f>
        <v>BA033</v>
      </c>
      <c r="D1687" s="21">
        <v>0</v>
      </c>
      <c r="E1687" s="21" t="s">
        <v>4005</v>
      </c>
      <c r="F1687" s="21" t="s">
        <v>1117</v>
      </c>
      <c r="G1687" s="21" t="s">
        <v>3777</v>
      </c>
      <c r="H1687" s="88">
        <v>5114</v>
      </c>
      <c r="I1687" s="43">
        <v>5177</v>
      </c>
      <c r="J1687" s="43">
        <v>5177</v>
      </c>
      <c r="K1687" s="21">
        <v>1</v>
      </c>
      <c r="L1687" s="43">
        <v>5183</v>
      </c>
      <c r="M1687" s="43">
        <v>5190</v>
      </c>
      <c r="N1687" s="43">
        <v>5190</v>
      </c>
      <c r="O1687" s="21" t="s">
        <v>4028</v>
      </c>
      <c r="P1687" s="194" t="str">
        <f t="shared" si="315"/>
        <v>1</v>
      </c>
      <c r="Q1687" s="21">
        <v>1</v>
      </c>
      <c r="R1687" s="39" t="str">
        <f t="shared" si="309"/>
        <v>-</v>
      </c>
      <c r="S1687" s="120">
        <f t="shared" si="316"/>
        <v>2278626</v>
      </c>
      <c r="T1687" s="123">
        <v>19817802</v>
      </c>
      <c r="U1687" s="123">
        <f>7946565+138420+640455+179685</f>
        <v>8905125</v>
      </c>
      <c r="V1687" s="123">
        <f t="shared" si="311"/>
        <v>10912677</v>
      </c>
      <c r="W1687" s="122" t="str">
        <f t="shared" si="312"/>
        <v>1</v>
      </c>
      <c r="X1687" s="123">
        <v>17539176</v>
      </c>
      <c r="AA1687" s="122" t="str">
        <f t="shared" si="313"/>
        <v>0</v>
      </c>
      <c r="AB1687" s="120">
        <f t="shared" si="314"/>
        <v>975000</v>
      </c>
      <c r="AC1687" s="123">
        <v>0</v>
      </c>
      <c r="AD1687" s="123">
        <v>975000</v>
      </c>
      <c r="AE1687" s="123">
        <v>2770625</v>
      </c>
      <c r="AG1687" s="151">
        <f t="shared" si="310"/>
        <v>294617</v>
      </c>
      <c r="AH1687" s="123">
        <f>523857-229240</f>
        <v>294617</v>
      </c>
      <c r="AJ1687" s="123">
        <v>80000</v>
      </c>
      <c r="AO1687" s="123">
        <v>80000</v>
      </c>
    </row>
    <row r="1688" spans="1:41" s="123" customFormat="1" ht="16.2" thickBot="1" x14ac:dyDescent="0.35">
      <c r="A1688" s="21"/>
      <c r="B1688" s="212" t="s">
        <v>228</v>
      </c>
      <c r="C1688" s="31" t="str">
        <f>VLOOKUP((CONCATENATE(B1688)),ID!$A$2:$D$305,3,0)</f>
        <v>BA033</v>
      </c>
      <c r="D1688" s="21">
        <v>0</v>
      </c>
      <c r="E1688" s="21" t="s">
        <v>4005</v>
      </c>
      <c r="F1688" s="21" t="s">
        <v>1117</v>
      </c>
      <c r="G1688" s="21" t="s">
        <v>3777</v>
      </c>
      <c r="H1688" s="88">
        <v>5295</v>
      </c>
      <c r="I1688" s="43">
        <v>5366</v>
      </c>
      <c r="J1688" s="43">
        <v>5366</v>
      </c>
      <c r="K1688" s="21">
        <v>1</v>
      </c>
      <c r="L1688" s="43">
        <v>5367</v>
      </c>
      <c r="M1688" s="43">
        <v>5374</v>
      </c>
      <c r="N1688" s="43"/>
      <c r="O1688" s="21" t="s">
        <v>4028</v>
      </c>
      <c r="P1688" s="194">
        <v>1</v>
      </c>
      <c r="Q1688" s="21">
        <v>1</v>
      </c>
      <c r="R1688" s="39" t="str">
        <f t="shared" si="309"/>
        <v>-</v>
      </c>
      <c r="S1688" s="120">
        <f t="shared" si="316"/>
        <v>2310428</v>
      </c>
      <c r="T1688" s="123">
        <v>19591809</v>
      </c>
      <c r="U1688" s="123">
        <f>7358119+140924+631051+228156</f>
        <v>8358250</v>
      </c>
      <c r="V1688" s="123">
        <f t="shared" si="311"/>
        <v>11233559</v>
      </c>
      <c r="W1688" s="122" t="str">
        <f t="shared" si="312"/>
        <v>1</v>
      </c>
      <c r="X1688" s="123">
        <v>17281381</v>
      </c>
      <c r="AA1688" s="122" t="str">
        <f t="shared" si="313"/>
        <v>0</v>
      </c>
      <c r="AB1688" s="120">
        <f t="shared" si="314"/>
        <v>0</v>
      </c>
      <c r="AC1688" s="123">
        <v>0</v>
      </c>
      <c r="AD1688" s="123">
        <v>0</v>
      </c>
      <c r="AE1688" s="123">
        <v>3511559</v>
      </c>
      <c r="AG1688" s="151">
        <f t="shared" si="310"/>
        <v>131782</v>
      </c>
      <c r="AH1688" s="123">
        <f>254088-122306</f>
        <v>131782</v>
      </c>
      <c r="AO1688" s="123">
        <v>80000</v>
      </c>
    </row>
    <row r="1689" spans="1:41" s="123" customFormat="1" ht="16.2" thickBot="1" x14ac:dyDescent="0.35">
      <c r="A1689" s="21"/>
      <c r="B1689" s="212" t="s">
        <v>229</v>
      </c>
      <c r="C1689" s="31" t="str">
        <f>VLOOKUP((CONCATENATE(B1689)),ID!$A$2:$D$305,3,0)</f>
        <v>BA034</v>
      </c>
      <c r="D1689" s="21">
        <v>1</v>
      </c>
      <c r="E1689" s="21" t="s">
        <v>4005</v>
      </c>
      <c r="F1689" s="21" t="s">
        <v>1117</v>
      </c>
      <c r="G1689" s="21" t="s">
        <v>3862</v>
      </c>
      <c r="H1689" s="88">
        <v>3743</v>
      </c>
      <c r="I1689" s="43">
        <v>3826</v>
      </c>
      <c r="J1689" s="43">
        <v>3825</v>
      </c>
      <c r="K1689" s="21">
        <v>1</v>
      </c>
      <c r="L1689" s="43">
        <v>3826</v>
      </c>
      <c r="M1689" s="43">
        <v>3840</v>
      </c>
      <c r="N1689" s="43">
        <v>3839</v>
      </c>
      <c r="O1689" s="21" t="s">
        <v>4000</v>
      </c>
      <c r="P1689" s="194" t="str">
        <f t="shared" si="315"/>
        <v>1</v>
      </c>
      <c r="Q1689" s="21">
        <v>1</v>
      </c>
      <c r="R1689" s="39" t="str">
        <f t="shared" si="309"/>
        <v>-</v>
      </c>
      <c r="S1689" s="120">
        <f t="shared" si="316"/>
        <v>819659</v>
      </c>
      <c r="T1689" s="123">
        <v>5931311</v>
      </c>
      <c r="U1689" s="123">
        <f>67714+2505360+532177</f>
        <v>3105251</v>
      </c>
      <c r="V1689" s="123">
        <f t="shared" si="311"/>
        <v>2826060</v>
      </c>
      <c r="W1689" s="122" t="str">
        <f t="shared" si="312"/>
        <v>1</v>
      </c>
      <c r="X1689" s="123">
        <v>5111652</v>
      </c>
      <c r="AA1689" s="122" t="str">
        <f t="shared" si="313"/>
        <v>0</v>
      </c>
      <c r="AB1689" s="120">
        <f t="shared" si="314"/>
        <v>0</v>
      </c>
      <c r="AC1689" s="123">
        <v>0</v>
      </c>
      <c r="AD1689" s="123">
        <v>0</v>
      </c>
      <c r="AE1689" s="123">
        <v>473495</v>
      </c>
      <c r="AG1689" s="151">
        <f t="shared" si="310"/>
        <v>92873</v>
      </c>
      <c r="AH1689" s="123">
        <v>92873</v>
      </c>
      <c r="AJ1689" s="123">
        <v>18750</v>
      </c>
      <c r="AO1689" s="123">
        <v>154000</v>
      </c>
    </row>
    <row r="1690" spans="1:41" s="123" customFormat="1" ht="16.2" thickBot="1" x14ac:dyDescent="0.35">
      <c r="A1690" s="21">
        <v>284.10000000000002</v>
      </c>
      <c r="B1690" s="212" t="s">
        <v>229</v>
      </c>
      <c r="C1690" s="31" t="str">
        <f>VLOOKUP((CONCATENATE(B1690)),ID!$A$2:$D$305,3,0)</f>
        <v>BA034</v>
      </c>
      <c r="D1690" s="21">
        <v>1</v>
      </c>
      <c r="E1690" s="21" t="s">
        <v>4005</v>
      </c>
      <c r="F1690" s="21" t="s">
        <v>1117</v>
      </c>
      <c r="G1690" s="21" t="s">
        <v>3862</v>
      </c>
      <c r="H1690" s="88">
        <v>4108</v>
      </c>
      <c r="I1690" s="43">
        <v>4190</v>
      </c>
      <c r="J1690" s="43">
        <v>4189</v>
      </c>
      <c r="K1690" s="21">
        <v>1</v>
      </c>
      <c r="L1690" s="43">
        <v>4190</v>
      </c>
      <c r="M1690" s="43">
        <v>4204</v>
      </c>
      <c r="N1690" s="43">
        <v>4203</v>
      </c>
      <c r="O1690" s="21" t="s">
        <v>4000</v>
      </c>
      <c r="P1690" s="194" t="str">
        <f t="shared" si="315"/>
        <v>1</v>
      </c>
      <c r="Q1690" s="21">
        <v>1</v>
      </c>
      <c r="R1690" s="39" t="str">
        <f t="shared" si="309"/>
        <v>-</v>
      </c>
      <c r="S1690" s="120">
        <f t="shared" si="316"/>
        <v>1038004</v>
      </c>
      <c r="T1690" s="123">
        <v>6213785</v>
      </c>
      <c r="U1690" s="123">
        <f>2951537+71692+443132</f>
        <v>3466361</v>
      </c>
      <c r="V1690" s="123">
        <f t="shared" si="311"/>
        <v>2747424</v>
      </c>
      <c r="W1690" s="122" t="str">
        <f t="shared" si="312"/>
        <v>1</v>
      </c>
      <c r="X1690" s="123">
        <v>5175781</v>
      </c>
      <c r="AA1690" s="122" t="str">
        <f t="shared" si="313"/>
        <v>0</v>
      </c>
      <c r="AB1690" s="120">
        <f t="shared" si="314"/>
        <v>0</v>
      </c>
      <c r="AC1690" s="123">
        <v>0</v>
      </c>
      <c r="AD1690" s="123">
        <v>0</v>
      </c>
      <c r="AE1690" s="123">
        <v>378285</v>
      </c>
      <c r="AG1690" s="151">
        <f t="shared" si="310"/>
        <v>100094</v>
      </c>
      <c r="AH1690" s="123">
        <f>106094-6000</f>
        <v>100094</v>
      </c>
      <c r="AJ1690" s="123">
        <v>22500</v>
      </c>
      <c r="AO1690" s="123">
        <v>200000</v>
      </c>
    </row>
    <row r="1691" spans="1:41" s="123" customFormat="1" ht="16.2" thickBot="1" x14ac:dyDescent="0.35">
      <c r="A1691" s="21">
        <v>284.2</v>
      </c>
      <c r="B1691" s="212" t="s">
        <v>229</v>
      </c>
      <c r="C1691" s="31" t="str">
        <f>VLOOKUP((CONCATENATE(B1691)),ID!$A$2:$D$305,3,0)</f>
        <v>BA034</v>
      </c>
      <c r="D1691" s="21">
        <v>1</v>
      </c>
      <c r="E1691" s="21" t="s">
        <v>4005</v>
      </c>
      <c r="F1691" s="21" t="s">
        <v>1117</v>
      </c>
      <c r="G1691" s="21" t="s">
        <v>3862</v>
      </c>
      <c r="H1691" s="88">
        <v>4474</v>
      </c>
      <c r="I1691" s="43">
        <v>4555</v>
      </c>
      <c r="J1691" s="43">
        <v>4554</v>
      </c>
      <c r="K1691" s="21">
        <v>1</v>
      </c>
      <c r="L1691" s="43">
        <v>4555</v>
      </c>
      <c r="M1691" s="43">
        <v>4568</v>
      </c>
      <c r="N1691" s="43">
        <v>4567</v>
      </c>
      <c r="O1691" s="21" t="s">
        <v>4000</v>
      </c>
      <c r="P1691" s="194" t="str">
        <f t="shared" si="315"/>
        <v>1</v>
      </c>
      <c r="Q1691" s="21">
        <v>1</v>
      </c>
      <c r="R1691" s="39" t="str">
        <f t="shared" si="309"/>
        <v>-</v>
      </c>
      <c r="S1691" s="120">
        <f t="shared" si="316"/>
        <v>1064264</v>
      </c>
      <c r="T1691" s="123">
        <v>6527808</v>
      </c>
      <c r="U1691" s="123">
        <f>422858+3202837+78330</f>
        <v>3704025</v>
      </c>
      <c r="V1691" s="123">
        <f t="shared" si="311"/>
        <v>2823783</v>
      </c>
      <c r="W1691" s="122" t="str">
        <f t="shared" si="312"/>
        <v>1</v>
      </c>
      <c r="X1691" s="123">
        <v>5463544</v>
      </c>
      <c r="AA1691" s="122" t="str">
        <f t="shared" si="313"/>
        <v>0</v>
      </c>
      <c r="AB1691" s="120">
        <f t="shared" si="314"/>
        <v>0</v>
      </c>
      <c r="AC1691" s="123">
        <v>0</v>
      </c>
      <c r="AD1691" s="123">
        <v>0</v>
      </c>
      <c r="AE1691" s="123">
        <v>321751</v>
      </c>
      <c r="AG1691" s="151">
        <f t="shared" si="310"/>
        <v>114239</v>
      </c>
      <c r="AH1691" s="123">
        <f>120739-6500</f>
        <v>114239</v>
      </c>
      <c r="AJ1691" s="123">
        <v>30000</v>
      </c>
      <c r="AO1691" s="123">
        <v>200000</v>
      </c>
    </row>
    <row r="1692" spans="1:41" s="123" customFormat="1" ht="16.2" thickBot="1" x14ac:dyDescent="0.35">
      <c r="A1692" s="21"/>
      <c r="B1692" s="212" t="s">
        <v>229</v>
      </c>
      <c r="C1692" s="31" t="str">
        <f>VLOOKUP((CONCATENATE(B1692)),ID!$A$2:$D$305,3,0)</f>
        <v>BA034</v>
      </c>
      <c r="D1692" s="21">
        <v>1</v>
      </c>
      <c r="E1692" s="21" t="s">
        <v>4005</v>
      </c>
      <c r="F1692" s="21" t="s">
        <v>1117</v>
      </c>
      <c r="G1692" s="21" t="s">
        <v>3862</v>
      </c>
      <c r="H1692" s="88">
        <v>4839</v>
      </c>
      <c r="I1692" s="43">
        <v>4919</v>
      </c>
      <c r="J1692" s="43">
        <v>4947</v>
      </c>
      <c r="K1692" s="21">
        <v>1</v>
      </c>
      <c r="L1692" s="43">
        <v>4919</v>
      </c>
      <c r="M1692" s="43">
        <v>4932</v>
      </c>
      <c r="N1692" s="43">
        <v>4931</v>
      </c>
      <c r="O1692" s="21" t="s">
        <v>4000</v>
      </c>
      <c r="P1692" s="194" t="str">
        <f t="shared" si="315"/>
        <v>1</v>
      </c>
      <c r="Q1692" s="21">
        <v>1</v>
      </c>
      <c r="R1692" s="39" t="str">
        <f t="shared" si="309"/>
        <v>-</v>
      </c>
      <c r="S1692" s="120">
        <f t="shared" si="316"/>
        <v>1095757</v>
      </c>
      <c r="T1692" s="123">
        <v>6641961</v>
      </c>
      <c r="U1692" s="123">
        <f>492707+3356763+86291</f>
        <v>3935761</v>
      </c>
      <c r="V1692" s="123">
        <f t="shared" si="311"/>
        <v>2706200</v>
      </c>
      <c r="W1692" s="122" t="str">
        <f t="shared" si="312"/>
        <v>1</v>
      </c>
      <c r="X1692" s="123">
        <v>5546204</v>
      </c>
      <c r="AA1692" s="122" t="str">
        <f t="shared" si="313"/>
        <v>0</v>
      </c>
      <c r="AB1692" s="120">
        <f t="shared" si="314"/>
        <v>0</v>
      </c>
      <c r="AC1692" s="123">
        <v>0</v>
      </c>
      <c r="AD1692" s="123">
        <v>0</v>
      </c>
      <c r="AE1692" s="123">
        <v>122413</v>
      </c>
      <c r="AG1692" s="151">
        <f t="shared" si="310"/>
        <v>129492</v>
      </c>
      <c r="AH1692" s="123">
        <f>135492-6000</f>
        <v>129492</v>
      </c>
      <c r="AJ1692" s="123">
        <v>30000</v>
      </c>
      <c r="AO1692" s="123">
        <v>200000</v>
      </c>
    </row>
    <row r="1693" spans="1:41" s="123" customFormat="1" ht="16.2" thickBot="1" x14ac:dyDescent="0.35">
      <c r="A1693" s="21"/>
      <c r="B1693" s="212" t="s">
        <v>229</v>
      </c>
      <c r="C1693" s="31" t="str">
        <f>VLOOKUP((CONCATENATE(B1693)),ID!$A$2:$D$305,3,0)</f>
        <v>BA034</v>
      </c>
      <c r="D1693" s="21">
        <v>1</v>
      </c>
      <c r="E1693" s="21" t="s">
        <v>4005</v>
      </c>
      <c r="F1693" s="21" t="s">
        <v>1117</v>
      </c>
      <c r="G1693" s="21" t="s">
        <v>3862</v>
      </c>
      <c r="H1693" s="88">
        <v>5204</v>
      </c>
      <c r="I1693" s="43">
        <v>5290</v>
      </c>
      <c r="J1693" s="43">
        <v>5284</v>
      </c>
      <c r="K1693" s="21">
        <v>1</v>
      </c>
      <c r="L1693" s="43">
        <v>5290</v>
      </c>
      <c r="M1693" s="43">
        <v>5303</v>
      </c>
      <c r="N1693" s="43">
        <v>5302</v>
      </c>
      <c r="O1693" s="21" t="s">
        <v>4000</v>
      </c>
      <c r="P1693" s="194" t="str">
        <f t="shared" si="315"/>
        <v>1</v>
      </c>
      <c r="Q1693" s="21">
        <v>1</v>
      </c>
      <c r="R1693" s="39" t="str">
        <f t="shared" si="309"/>
        <v>-</v>
      </c>
      <c r="S1693" s="120">
        <f t="shared" si="316"/>
        <v>1515817</v>
      </c>
      <c r="T1693" s="123">
        <v>6976043</v>
      </c>
      <c r="U1693" s="123">
        <f>522414+3554337+85756</f>
        <v>4162507</v>
      </c>
      <c r="V1693" s="123">
        <f t="shared" si="311"/>
        <v>2813536</v>
      </c>
      <c r="W1693" s="122" t="str">
        <f t="shared" si="312"/>
        <v>1</v>
      </c>
      <c r="X1693" s="123">
        <v>5460226</v>
      </c>
      <c r="AA1693" s="122" t="str">
        <f t="shared" si="313"/>
        <v>0</v>
      </c>
      <c r="AB1693" s="120">
        <f t="shared" si="314"/>
        <v>0</v>
      </c>
      <c r="AC1693" s="123">
        <v>0</v>
      </c>
      <c r="AD1693" s="123">
        <v>0</v>
      </c>
      <c r="AE1693" s="123">
        <v>257544</v>
      </c>
      <c r="AG1693" s="151">
        <f t="shared" si="310"/>
        <v>140896</v>
      </c>
      <c r="AH1693" s="123">
        <f>144896-4000</f>
        <v>140896</v>
      </c>
      <c r="AJ1693" s="123">
        <v>41835</v>
      </c>
      <c r="AO1693" s="123">
        <v>300000</v>
      </c>
    </row>
    <row r="1694" spans="1:41" s="123" customFormat="1" ht="16.2" thickBot="1" x14ac:dyDescent="0.35">
      <c r="A1694" s="21"/>
      <c r="B1694" s="212" t="s">
        <v>230</v>
      </c>
      <c r="C1694" s="31" t="str">
        <f>VLOOKUP((CONCATENATE(B1694)),ID!$A$2:$D$305,3,0)</f>
        <v>BA035</v>
      </c>
      <c r="D1694" s="21">
        <v>1</v>
      </c>
      <c r="E1694" s="21" t="s">
        <v>4005</v>
      </c>
      <c r="F1694" s="21" t="s">
        <v>3865</v>
      </c>
      <c r="G1694" s="21" t="s">
        <v>3853</v>
      </c>
      <c r="H1694" s="88">
        <v>3958</v>
      </c>
      <c r="I1694" s="43">
        <v>4000</v>
      </c>
      <c r="J1694" s="43">
        <v>3987</v>
      </c>
      <c r="K1694" s="21">
        <v>0</v>
      </c>
      <c r="L1694" s="43"/>
      <c r="M1694" s="43"/>
      <c r="N1694" s="43">
        <v>4007</v>
      </c>
      <c r="O1694" s="21" t="s">
        <v>4029</v>
      </c>
      <c r="P1694" s="194" t="str">
        <f t="shared" si="315"/>
        <v>1</v>
      </c>
      <c r="Q1694" s="21">
        <v>1</v>
      </c>
      <c r="R1694" s="39" t="str">
        <f t="shared" si="309"/>
        <v>-</v>
      </c>
      <c r="S1694" s="120">
        <f t="shared" si="316"/>
        <v>1965916</v>
      </c>
      <c r="T1694" s="123">
        <v>19666039</v>
      </c>
      <c r="U1694" s="123">
        <f>T1694-V1694</f>
        <v>8609489</v>
      </c>
      <c r="V1694" s="123">
        <f>336800+705162+3169539+2034204+3315913+1494932</f>
        <v>11056550</v>
      </c>
      <c r="W1694" s="122" t="str">
        <f t="shared" si="312"/>
        <v>1</v>
      </c>
      <c r="X1694" s="123">
        <v>17700123</v>
      </c>
      <c r="AA1694" s="122" t="str">
        <f t="shared" si="313"/>
        <v>0</v>
      </c>
      <c r="AB1694" s="120">
        <f t="shared" si="314"/>
        <v>0</v>
      </c>
      <c r="AC1694" s="123">
        <v>0</v>
      </c>
      <c r="AD1694" s="123">
        <v>0</v>
      </c>
      <c r="AG1694" s="151">
        <f t="shared" si="310"/>
        <v>222686</v>
      </c>
      <c r="AH1694" s="123">
        <f>384016-161330</f>
        <v>222686</v>
      </c>
      <c r="AJ1694" s="123">
        <v>188333</v>
      </c>
    </row>
    <row r="1695" spans="1:41" s="123" customFormat="1" ht="16.2" thickBot="1" x14ac:dyDescent="0.35">
      <c r="A1695" s="21">
        <v>285.10000000000002</v>
      </c>
      <c r="B1695" s="212" t="s">
        <v>230</v>
      </c>
      <c r="C1695" s="31" t="str">
        <f>VLOOKUP((CONCATENATE(B1695)),ID!$A$2:$D$305,3,0)</f>
        <v>BA035</v>
      </c>
      <c r="D1695" s="21">
        <v>1</v>
      </c>
      <c r="E1695" s="21" t="s">
        <v>4005</v>
      </c>
      <c r="F1695" s="21" t="s">
        <v>3865</v>
      </c>
      <c r="G1695" s="21" t="s">
        <v>3853</v>
      </c>
      <c r="H1695" s="88">
        <v>4323</v>
      </c>
      <c r="I1695" s="43">
        <v>4365</v>
      </c>
      <c r="J1695" s="43">
        <v>4352</v>
      </c>
      <c r="K1695" s="21">
        <v>0</v>
      </c>
      <c r="L1695" s="21"/>
      <c r="M1695" s="21"/>
      <c r="N1695" s="43">
        <v>4373</v>
      </c>
      <c r="O1695" s="21" t="s">
        <v>4029</v>
      </c>
      <c r="P1695" s="194" t="str">
        <f t="shared" si="315"/>
        <v>1</v>
      </c>
      <c r="Q1695" s="21">
        <v>1</v>
      </c>
      <c r="R1695" s="39" t="str">
        <f t="shared" si="309"/>
        <v>-</v>
      </c>
      <c r="S1695" s="120">
        <f t="shared" si="316"/>
        <v>1990643</v>
      </c>
      <c r="T1695" s="123">
        <v>20049291</v>
      </c>
      <c r="U1695" s="123">
        <f>1036400+2364147+4888211+271000</f>
        <v>8559758</v>
      </c>
      <c r="V1695" s="123">
        <f t="shared" si="311"/>
        <v>11489533</v>
      </c>
      <c r="W1695" s="122" t="str">
        <f t="shared" si="312"/>
        <v>1</v>
      </c>
      <c r="X1695" s="123">
        <v>18058648</v>
      </c>
      <c r="AA1695" s="122" t="str">
        <f t="shared" si="313"/>
        <v>0</v>
      </c>
      <c r="AB1695" s="120">
        <f t="shared" si="314"/>
        <v>0</v>
      </c>
      <c r="AC1695" s="123">
        <v>0</v>
      </c>
      <c r="AD1695" s="123">
        <v>0</v>
      </c>
      <c r="AG1695" s="151">
        <f t="shared" si="310"/>
        <v>228059</v>
      </c>
      <c r="AH1695" s="123">
        <f>388986-160927</f>
        <v>228059</v>
      </c>
      <c r="AJ1695" s="123">
        <v>188333</v>
      </c>
    </row>
    <row r="1696" spans="1:41" s="123" customFormat="1" ht="16.2" thickBot="1" x14ac:dyDescent="0.35">
      <c r="A1696" s="21">
        <v>285.2</v>
      </c>
      <c r="B1696" s="212" t="s">
        <v>230</v>
      </c>
      <c r="C1696" s="31" t="str">
        <f>VLOOKUP((CONCATENATE(B1696)),ID!$A$2:$D$305,3,0)</f>
        <v>BA035</v>
      </c>
      <c r="D1696" s="21">
        <v>1</v>
      </c>
      <c r="E1696" s="21" t="s">
        <v>4005</v>
      </c>
      <c r="F1696" s="21" t="s">
        <v>3865</v>
      </c>
      <c r="G1696" s="21" t="s">
        <v>3853</v>
      </c>
      <c r="H1696" s="88">
        <v>4689</v>
      </c>
      <c r="I1696" s="43">
        <v>4729</v>
      </c>
      <c r="J1696" s="43">
        <v>4716</v>
      </c>
      <c r="K1696" s="21">
        <v>0</v>
      </c>
      <c r="L1696" s="21"/>
      <c r="M1696" s="21"/>
      <c r="N1696" s="43">
        <v>4737</v>
      </c>
      <c r="O1696" s="21" t="s">
        <v>4029</v>
      </c>
      <c r="P1696" s="194" t="str">
        <f t="shared" si="315"/>
        <v>1</v>
      </c>
      <c r="Q1696" s="21">
        <v>1</v>
      </c>
      <c r="R1696" s="39" t="str">
        <f t="shared" si="309"/>
        <v>-</v>
      </c>
      <c r="S1696" s="120">
        <f t="shared" si="316"/>
        <v>1932890</v>
      </c>
      <c r="T1696" s="123">
        <v>20013244</v>
      </c>
      <c r="U1696" s="123">
        <f>971400+2168616+5054591+278600</f>
        <v>8473207</v>
      </c>
      <c r="V1696" s="123">
        <f t="shared" si="311"/>
        <v>11540037</v>
      </c>
      <c r="W1696" s="122" t="str">
        <f t="shared" si="312"/>
        <v>1</v>
      </c>
      <c r="X1696" s="123">
        <v>18080354</v>
      </c>
      <c r="AA1696" s="122" t="str">
        <f t="shared" si="313"/>
        <v>0</v>
      </c>
      <c r="AB1696" s="120">
        <f t="shared" si="314"/>
        <v>0</v>
      </c>
      <c r="AC1696" s="123">
        <v>0</v>
      </c>
      <c r="AD1696" s="123">
        <v>0</v>
      </c>
      <c r="AG1696" s="151">
        <f t="shared" si="310"/>
        <v>230580</v>
      </c>
      <c r="AH1696" s="123">
        <f>394995-164415</f>
        <v>230580</v>
      </c>
      <c r="AJ1696" s="123">
        <v>188333</v>
      </c>
    </row>
    <row r="1697" spans="1:41" s="123" customFormat="1" ht="16.2" thickBot="1" x14ac:dyDescent="0.35">
      <c r="A1697" s="21"/>
      <c r="B1697" s="212" t="s">
        <v>230</v>
      </c>
      <c r="C1697" s="31" t="str">
        <f>VLOOKUP((CONCATENATE(B1697)),ID!$A$2:$D$305,3,0)</f>
        <v>BA035</v>
      </c>
      <c r="D1697" s="21">
        <v>1</v>
      </c>
      <c r="E1697" s="21" t="s">
        <v>4005</v>
      </c>
      <c r="F1697" s="21" t="s">
        <v>3865</v>
      </c>
      <c r="G1697" s="21" t="s">
        <v>3853</v>
      </c>
      <c r="H1697" s="88">
        <v>5054</v>
      </c>
      <c r="I1697" s="43">
        <v>5093</v>
      </c>
      <c r="J1697" s="43">
        <v>5087</v>
      </c>
      <c r="K1697" s="21">
        <v>0</v>
      </c>
      <c r="L1697" s="21"/>
      <c r="M1697" s="21"/>
      <c r="N1697" s="43">
        <v>5101</v>
      </c>
      <c r="O1697" s="21" t="s">
        <v>4029</v>
      </c>
      <c r="P1697" s="194" t="str">
        <f t="shared" si="315"/>
        <v>1</v>
      </c>
      <c r="Q1697" s="21">
        <v>1</v>
      </c>
      <c r="R1697" s="39" t="str">
        <f t="shared" ref="R1697:R1760" si="317">IF(Q1697=0,"?","-")</f>
        <v>-</v>
      </c>
      <c r="S1697" s="120">
        <f t="shared" si="316"/>
        <v>1935438</v>
      </c>
      <c r="T1697" s="123">
        <v>21508656</v>
      </c>
      <c r="U1697" s="123">
        <f>938713+2109084+5119929+275300</f>
        <v>8443026</v>
      </c>
      <c r="V1697" s="123">
        <f t="shared" si="311"/>
        <v>13065630</v>
      </c>
      <c r="W1697" s="122" t="str">
        <f t="shared" si="312"/>
        <v>1</v>
      </c>
      <c r="X1697" s="123">
        <v>19573218</v>
      </c>
      <c r="AA1697" s="122" t="str">
        <f t="shared" si="313"/>
        <v>0</v>
      </c>
      <c r="AB1697" s="120">
        <f t="shared" si="314"/>
        <v>0</v>
      </c>
      <c r="AC1697" s="123">
        <v>0</v>
      </c>
      <c r="AD1697" s="123">
        <v>0</v>
      </c>
      <c r="AG1697" s="151">
        <f t="shared" si="310"/>
        <v>232051</v>
      </c>
      <c r="AH1697" s="123">
        <f>396939-164888</f>
        <v>232051</v>
      </c>
      <c r="AJ1697" s="123">
        <v>169500</v>
      </c>
    </row>
    <row r="1698" spans="1:41" s="123" customFormat="1" ht="16.2" thickBot="1" x14ac:dyDescent="0.35">
      <c r="A1698" s="21"/>
      <c r="B1698" s="212" t="s">
        <v>230</v>
      </c>
      <c r="C1698" s="31" t="str">
        <f>VLOOKUP((CONCATENATE(B1698)),ID!$A$2:$D$305,3,0)</f>
        <v>BA035</v>
      </c>
      <c r="D1698" s="21">
        <v>1</v>
      </c>
      <c r="E1698" s="21" t="s">
        <v>4005</v>
      </c>
      <c r="F1698" s="21" t="s">
        <v>3865</v>
      </c>
      <c r="G1698" s="21" t="s">
        <v>3853</v>
      </c>
      <c r="H1698" s="88">
        <v>5419</v>
      </c>
      <c r="I1698" s="43">
        <v>5457</v>
      </c>
      <c r="J1698" s="43">
        <v>5451</v>
      </c>
      <c r="K1698" s="21">
        <v>0</v>
      </c>
      <c r="L1698" s="21"/>
      <c r="M1698" s="21"/>
      <c r="N1698" s="43">
        <v>5465</v>
      </c>
      <c r="O1698" s="21" t="s">
        <v>4029</v>
      </c>
      <c r="P1698" s="194" t="str">
        <f t="shared" si="315"/>
        <v>1</v>
      </c>
      <c r="Q1698" s="21">
        <v>1</v>
      </c>
      <c r="R1698" s="39" t="str">
        <f t="shared" si="317"/>
        <v>-</v>
      </c>
      <c r="S1698" s="120">
        <f t="shared" si="316"/>
        <v>1988413</v>
      </c>
      <c r="T1698" s="123">
        <v>22629070</v>
      </c>
      <c r="U1698" s="123">
        <f>928263+2306598+5736085+275000</f>
        <v>9245946</v>
      </c>
      <c r="V1698" s="123">
        <f t="shared" si="311"/>
        <v>13383124</v>
      </c>
      <c r="W1698" s="122" t="str">
        <f t="shared" si="312"/>
        <v>1</v>
      </c>
      <c r="X1698" s="123">
        <v>20640657</v>
      </c>
      <c r="AA1698" s="122" t="str">
        <f t="shared" si="313"/>
        <v>0</v>
      </c>
      <c r="AB1698" s="120">
        <f t="shared" si="314"/>
        <v>0</v>
      </c>
      <c r="AC1698" s="123">
        <v>0</v>
      </c>
      <c r="AD1698" s="123">
        <v>0</v>
      </c>
      <c r="AG1698" s="151">
        <f t="shared" si="310"/>
        <v>237045</v>
      </c>
      <c r="AH1698" s="123">
        <f>405993-168948</f>
        <v>237045</v>
      </c>
      <c r="AJ1698" s="123">
        <v>169069</v>
      </c>
    </row>
    <row r="1699" spans="1:41" s="123" customFormat="1" ht="16.2" thickBot="1" x14ac:dyDescent="0.35">
      <c r="A1699" s="21"/>
      <c r="B1699" s="212" t="s">
        <v>231</v>
      </c>
      <c r="C1699" s="31" t="str">
        <f>VLOOKUP((CONCATENATE(B1699)),ID!$A$2:$D$305,3,0)</f>
        <v>BA036</v>
      </c>
      <c r="D1699" s="21">
        <v>1</v>
      </c>
      <c r="E1699" s="21" t="s">
        <v>4005</v>
      </c>
      <c r="F1699" s="21" t="s">
        <v>4031</v>
      </c>
      <c r="G1699" s="21" t="s">
        <v>4032</v>
      </c>
      <c r="H1699" s="88">
        <v>3653</v>
      </c>
      <c r="I1699" s="43">
        <v>3686</v>
      </c>
      <c r="J1699" s="43">
        <v>3693</v>
      </c>
      <c r="K1699" s="21">
        <v>0</v>
      </c>
      <c r="L1699" s="21"/>
      <c r="M1699" s="21"/>
      <c r="N1699" s="43">
        <v>3723</v>
      </c>
      <c r="O1699" s="21" t="s">
        <v>4030</v>
      </c>
      <c r="P1699" s="194">
        <v>1</v>
      </c>
      <c r="Q1699" s="21">
        <v>1</v>
      </c>
      <c r="R1699" s="39" t="str">
        <f t="shared" si="317"/>
        <v>-</v>
      </c>
      <c r="S1699" s="120">
        <f t="shared" si="316"/>
        <v>1200871</v>
      </c>
      <c r="T1699" s="123">
        <v>10736392</v>
      </c>
      <c r="U1699" s="123">
        <f>714327+248409+36544+40000</f>
        <v>1039280</v>
      </c>
      <c r="V1699" s="123">
        <f t="shared" si="311"/>
        <v>9697112</v>
      </c>
      <c r="W1699" s="122" t="str">
        <f t="shared" si="312"/>
        <v>1</v>
      </c>
      <c r="X1699" s="123">
        <v>9535521</v>
      </c>
      <c r="AA1699" s="122" t="str">
        <f t="shared" si="313"/>
        <v>0</v>
      </c>
      <c r="AB1699" s="120">
        <f t="shared" si="314"/>
        <v>0</v>
      </c>
      <c r="AC1699" s="123">
        <v>0</v>
      </c>
      <c r="AD1699" s="123">
        <v>0</v>
      </c>
      <c r="AE1699" s="123">
        <v>1493876</v>
      </c>
      <c r="AG1699" s="151">
        <f t="shared" si="310"/>
        <v>53814</v>
      </c>
      <c r="AH1699" s="123">
        <f>197065-143251</f>
        <v>53814</v>
      </c>
      <c r="AO1699" s="123">
        <v>110000</v>
      </c>
    </row>
    <row r="1700" spans="1:41" s="123" customFormat="1" ht="16.2" thickBot="1" x14ac:dyDescent="0.35">
      <c r="A1700" s="21">
        <v>286.10000000000002</v>
      </c>
      <c r="B1700" s="212" t="s">
        <v>231</v>
      </c>
      <c r="C1700" s="31" t="str">
        <f>VLOOKUP((CONCATENATE(B1700)),ID!$A$2:$D$305,3,0)</f>
        <v>BA036</v>
      </c>
      <c r="D1700" s="21">
        <v>1</v>
      </c>
      <c r="E1700" s="21" t="s">
        <v>4005</v>
      </c>
      <c r="F1700" s="21" t="s">
        <v>4031</v>
      </c>
      <c r="G1700" s="21" t="s">
        <v>4032</v>
      </c>
      <c r="H1700" s="88">
        <v>4018</v>
      </c>
      <c r="I1700" s="43">
        <v>4069</v>
      </c>
      <c r="J1700" s="43">
        <v>4077</v>
      </c>
      <c r="K1700" s="21">
        <v>0</v>
      </c>
      <c r="L1700" s="21"/>
      <c r="M1700" s="21"/>
      <c r="N1700" s="43">
        <v>4087</v>
      </c>
      <c r="O1700" s="21" t="s">
        <v>4030</v>
      </c>
      <c r="P1700" s="194">
        <v>1</v>
      </c>
      <c r="Q1700" s="21">
        <v>1</v>
      </c>
      <c r="R1700" s="39" t="str">
        <f t="shared" si="317"/>
        <v>-</v>
      </c>
      <c r="S1700" s="120">
        <f t="shared" si="316"/>
        <v>1278851</v>
      </c>
      <c r="T1700" s="123">
        <v>13080761</v>
      </c>
      <c r="U1700" s="123">
        <f>663206+405094+43799+40000</f>
        <v>1152099</v>
      </c>
      <c r="V1700" s="123">
        <f t="shared" si="311"/>
        <v>11928662</v>
      </c>
      <c r="W1700" s="122" t="str">
        <f t="shared" si="312"/>
        <v>1</v>
      </c>
      <c r="X1700" s="123">
        <v>11801910</v>
      </c>
      <c r="AA1700" s="122" t="str">
        <f t="shared" si="313"/>
        <v>0</v>
      </c>
      <c r="AB1700" s="120">
        <f t="shared" si="314"/>
        <v>0</v>
      </c>
      <c r="AC1700" s="123">
        <v>0</v>
      </c>
      <c r="AD1700" s="123">
        <v>0</v>
      </c>
      <c r="AE1700" s="123">
        <v>1446720</v>
      </c>
      <c r="AG1700" s="151">
        <f t="shared" si="310"/>
        <v>139665</v>
      </c>
      <c r="AH1700" s="123">
        <f>317307-177642</f>
        <v>139665</v>
      </c>
      <c r="AO1700" s="123">
        <v>110000</v>
      </c>
    </row>
    <row r="1701" spans="1:41" s="123" customFormat="1" ht="16.2" thickBot="1" x14ac:dyDescent="0.35">
      <c r="A1701" s="21">
        <v>286.2</v>
      </c>
      <c r="B1701" s="212" t="s">
        <v>231</v>
      </c>
      <c r="C1701" s="31" t="str">
        <f>VLOOKUP((CONCATENATE(B1701)),ID!$A$2:$D$305,3,0)</f>
        <v>BA036</v>
      </c>
      <c r="D1701" s="21">
        <v>1</v>
      </c>
      <c r="E1701" s="21" t="s">
        <v>4005</v>
      </c>
      <c r="F1701" s="21" t="s">
        <v>4031</v>
      </c>
      <c r="G1701" s="21" t="s">
        <v>4032</v>
      </c>
      <c r="H1701" s="88">
        <v>4383</v>
      </c>
      <c r="I1701" s="43">
        <v>4423</v>
      </c>
      <c r="J1701" s="43">
        <v>4438</v>
      </c>
      <c r="K1701" s="21">
        <v>0</v>
      </c>
      <c r="L1701" s="21"/>
      <c r="M1701" s="21"/>
      <c r="N1701" s="43">
        <v>4451</v>
      </c>
      <c r="O1701" s="21" t="s">
        <v>4030</v>
      </c>
      <c r="P1701" s="194">
        <v>1</v>
      </c>
      <c r="Q1701" s="21">
        <v>1</v>
      </c>
      <c r="R1701" s="39" t="str">
        <f t="shared" si="317"/>
        <v>-</v>
      </c>
      <c r="S1701" s="120">
        <f t="shared" si="316"/>
        <v>1338760</v>
      </c>
      <c r="T1701" s="123">
        <v>13767086</v>
      </c>
      <c r="U1701" s="123">
        <f>646867+402388+46457</f>
        <v>1095712</v>
      </c>
      <c r="V1701" s="123">
        <f t="shared" si="311"/>
        <v>12671374</v>
      </c>
      <c r="W1701" s="122" t="str">
        <f t="shared" si="312"/>
        <v>1</v>
      </c>
      <c r="X1701" s="123">
        <v>12428326</v>
      </c>
      <c r="AA1701" s="122" t="str">
        <f t="shared" si="313"/>
        <v>0</v>
      </c>
      <c r="AB1701" s="120">
        <f t="shared" si="314"/>
        <v>0</v>
      </c>
      <c r="AC1701" s="123">
        <v>0</v>
      </c>
      <c r="AD1701" s="123">
        <v>0</v>
      </c>
      <c r="AE1701" s="123">
        <v>1424306</v>
      </c>
      <c r="AG1701" s="151">
        <f t="shared" si="310"/>
        <v>189063</v>
      </c>
      <c r="AH1701" s="123">
        <f>409452-220389</f>
        <v>189063</v>
      </c>
      <c r="AO1701" s="123">
        <v>110000</v>
      </c>
    </row>
    <row r="1702" spans="1:41" s="123" customFormat="1" ht="16.2" thickBot="1" x14ac:dyDescent="0.35">
      <c r="A1702" s="21"/>
      <c r="B1702" s="212" t="s">
        <v>231</v>
      </c>
      <c r="C1702" s="31" t="str">
        <f>VLOOKUP((CONCATENATE(B1702)),ID!$A$2:$D$305,3,0)</f>
        <v>BA036</v>
      </c>
      <c r="D1702" s="21">
        <v>1</v>
      </c>
      <c r="E1702" s="21" t="s">
        <v>4005</v>
      </c>
      <c r="F1702" s="21" t="s">
        <v>4031</v>
      </c>
      <c r="G1702" s="21" t="s">
        <v>4032</v>
      </c>
      <c r="H1702" s="88">
        <v>4749</v>
      </c>
      <c r="I1702" s="43">
        <v>4843</v>
      </c>
      <c r="J1702" s="43">
        <v>4847</v>
      </c>
      <c r="K1702" s="21">
        <v>0</v>
      </c>
      <c r="L1702" s="21"/>
      <c r="M1702" s="21"/>
      <c r="N1702" s="43">
        <v>4871</v>
      </c>
      <c r="O1702" s="21" t="s">
        <v>4030</v>
      </c>
      <c r="P1702" s="194" t="str">
        <f t="shared" si="315"/>
        <v>1</v>
      </c>
      <c r="Q1702" s="21">
        <v>1</v>
      </c>
      <c r="R1702" s="39" t="str">
        <f t="shared" si="317"/>
        <v>-</v>
      </c>
      <c r="S1702" s="120">
        <f t="shared" si="316"/>
        <v>2985333</v>
      </c>
      <c r="T1702" s="123">
        <v>22765461</v>
      </c>
      <c r="U1702" s="123">
        <f>88139+718801+875870</f>
        <v>1682810</v>
      </c>
      <c r="V1702" s="123">
        <f t="shared" si="311"/>
        <v>21082651</v>
      </c>
      <c r="W1702" s="122" t="str">
        <f t="shared" si="312"/>
        <v>1</v>
      </c>
      <c r="X1702" s="123">
        <v>19780128</v>
      </c>
      <c r="AA1702" s="122" t="str">
        <f t="shared" si="313"/>
        <v>0</v>
      </c>
      <c r="AB1702" s="120">
        <f t="shared" si="314"/>
        <v>0</v>
      </c>
      <c r="AC1702" s="123">
        <v>0</v>
      </c>
      <c r="AD1702" s="123">
        <v>0</v>
      </c>
      <c r="AE1702" s="123">
        <v>2384278</v>
      </c>
      <c r="AG1702" s="151">
        <f t="shared" ref="AG1702:AG1765" si="318">AH1702-AL1702-AI1702</f>
        <v>371031</v>
      </c>
      <c r="AH1702" s="123">
        <f>793429-422398</f>
        <v>371031</v>
      </c>
      <c r="AJ1702" s="123">
        <v>70357</v>
      </c>
      <c r="AO1702" s="123">
        <v>235000</v>
      </c>
    </row>
    <row r="1703" spans="1:41" s="123" customFormat="1" ht="16.2" thickBot="1" x14ac:dyDescent="0.35">
      <c r="A1703" s="21"/>
      <c r="B1703" s="212" t="s">
        <v>231</v>
      </c>
      <c r="C1703" s="31" t="str">
        <f>VLOOKUP((CONCATENATE(B1703)),ID!$A$2:$D$305,3,0)</f>
        <v>BA036</v>
      </c>
      <c r="D1703" s="21">
        <v>1</v>
      </c>
      <c r="E1703" s="21" t="s">
        <v>4005</v>
      </c>
      <c r="F1703" s="21" t="s">
        <v>4031</v>
      </c>
      <c r="G1703" s="21" t="s">
        <v>4032</v>
      </c>
      <c r="H1703" s="88">
        <v>5114</v>
      </c>
      <c r="I1703" s="43">
        <v>5235</v>
      </c>
      <c r="J1703" s="43">
        <v>5248</v>
      </c>
      <c r="K1703" s="21">
        <v>0</v>
      </c>
      <c r="L1703" s="21"/>
      <c r="M1703" s="21"/>
      <c r="N1703" s="43">
        <v>5263</v>
      </c>
      <c r="O1703" s="21" t="s">
        <v>4030</v>
      </c>
      <c r="P1703" s="194" t="str">
        <f t="shared" si="315"/>
        <v>1</v>
      </c>
      <c r="Q1703" s="21">
        <v>1</v>
      </c>
      <c r="R1703" s="39" t="str">
        <f t="shared" si="317"/>
        <v>-</v>
      </c>
      <c r="S1703" s="120">
        <f t="shared" si="316"/>
        <v>3178684</v>
      </c>
      <c r="T1703" s="123">
        <v>24220844</v>
      </c>
      <c r="U1703" s="123">
        <f>1052708+692948+86620</f>
        <v>1832276</v>
      </c>
      <c r="V1703" s="123">
        <f t="shared" si="311"/>
        <v>22388568</v>
      </c>
      <c r="W1703" s="123" t="str">
        <f t="shared" si="312"/>
        <v>1</v>
      </c>
      <c r="X1703" s="123">
        <v>21042160</v>
      </c>
      <c r="AA1703" s="122" t="str">
        <f t="shared" si="313"/>
        <v>0</v>
      </c>
      <c r="AB1703" s="120">
        <f t="shared" si="314"/>
        <v>0</v>
      </c>
      <c r="AC1703" s="123">
        <v>0</v>
      </c>
      <c r="AD1703" s="123">
        <v>0</v>
      </c>
      <c r="AE1703" s="123">
        <v>2626051</v>
      </c>
      <c r="AG1703" s="151">
        <f t="shared" si="318"/>
        <v>550210</v>
      </c>
      <c r="AH1703" s="123">
        <f>982694-432484</f>
        <v>550210</v>
      </c>
      <c r="AJ1703" s="123">
        <v>105750</v>
      </c>
      <c r="AO1703" s="123">
        <v>235000</v>
      </c>
    </row>
    <row r="1704" spans="1:41" s="123" customFormat="1" ht="16.2" thickBot="1" x14ac:dyDescent="0.35">
      <c r="A1704" s="21"/>
      <c r="B1704" s="212" t="s">
        <v>233</v>
      </c>
      <c r="C1704" s="31" t="str">
        <f>VLOOKUP((CONCATENATE(B1704)),ID!$A$2:$D$305,3,0)</f>
        <v>BA037</v>
      </c>
      <c r="D1704" s="21">
        <v>1</v>
      </c>
      <c r="E1704" s="21" t="s">
        <v>4005</v>
      </c>
      <c r="F1704" s="21" t="s">
        <v>1117</v>
      </c>
      <c r="G1704" s="21" t="s">
        <v>3853</v>
      </c>
      <c r="H1704" s="88">
        <v>3653</v>
      </c>
      <c r="I1704" s="43">
        <v>3671</v>
      </c>
      <c r="J1704" s="43">
        <v>3671</v>
      </c>
      <c r="K1704" s="21">
        <v>0</v>
      </c>
      <c r="L1704" s="21"/>
      <c r="M1704" s="21"/>
      <c r="N1704" s="43">
        <v>3680</v>
      </c>
      <c r="O1704" s="21" t="s">
        <v>4033</v>
      </c>
      <c r="P1704" s="194" t="str">
        <f t="shared" si="315"/>
        <v>1</v>
      </c>
      <c r="Q1704" s="21">
        <v>1</v>
      </c>
      <c r="R1704" s="39" t="str">
        <f t="shared" si="317"/>
        <v>-</v>
      </c>
      <c r="S1704" s="120">
        <f t="shared" si="316"/>
        <v>5449166</v>
      </c>
      <c r="T1704" s="123">
        <v>65785288</v>
      </c>
      <c r="U1704" s="123">
        <f>649957+16161273</f>
        <v>16811230</v>
      </c>
      <c r="V1704" s="123">
        <f t="shared" si="311"/>
        <v>48974058</v>
      </c>
      <c r="W1704" s="123" t="str">
        <f t="shared" si="312"/>
        <v>1</v>
      </c>
      <c r="X1704" s="123">
        <v>60336122</v>
      </c>
      <c r="AA1704" s="123" t="str">
        <f t="shared" si="313"/>
        <v>0</v>
      </c>
      <c r="AB1704" s="123">
        <f t="shared" si="314"/>
        <v>0</v>
      </c>
      <c r="AC1704" s="123">
        <v>0</v>
      </c>
      <c r="AD1704" s="123">
        <v>0</v>
      </c>
      <c r="AE1704" s="123">
        <v>10073241</v>
      </c>
      <c r="AG1704" s="151">
        <f t="shared" si="318"/>
        <v>531575</v>
      </c>
      <c r="AH1704" s="123">
        <f>629165-97590</f>
        <v>531575</v>
      </c>
      <c r="AJ1704" s="123">
        <v>240000</v>
      </c>
      <c r="AO1704" s="123">
        <v>255000</v>
      </c>
    </row>
    <row r="1705" spans="1:41" s="123" customFormat="1" ht="16.2" thickBot="1" x14ac:dyDescent="0.35">
      <c r="A1705" s="21">
        <v>287.10000000000002</v>
      </c>
      <c r="B1705" s="212" t="s">
        <v>233</v>
      </c>
      <c r="C1705" s="31" t="str">
        <f>VLOOKUP((CONCATENATE(B1705)),ID!$A$2:$D$305,3,0)</f>
        <v>BA037</v>
      </c>
      <c r="D1705" s="21">
        <v>1</v>
      </c>
      <c r="E1705" s="21" t="s">
        <v>4005</v>
      </c>
      <c r="F1705" s="21" t="s">
        <v>1117</v>
      </c>
      <c r="G1705" s="21" t="s">
        <v>3853</v>
      </c>
      <c r="H1705" s="88">
        <v>4018</v>
      </c>
      <c r="I1705" s="43">
        <v>40560</v>
      </c>
      <c r="J1705" s="43">
        <v>4035</v>
      </c>
      <c r="K1705" s="21">
        <v>0</v>
      </c>
      <c r="L1705" s="21"/>
      <c r="M1705" s="21"/>
      <c r="N1705" s="43">
        <v>4044</v>
      </c>
      <c r="O1705" s="21" t="s">
        <v>4033</v>
      </c>
      <c r="P1705" s="194" t="str">
        <f t="shared" si="315"/>
        <v>1</v>
      </c>
      <c r="Q1705" s="21">
        <v>1</v>
      </c>
      <c r="R1705" s="39" t="str">
        <f t="shared" si="317"/>
        <v>-</v>
      </c>
      <c r="S1705" s="120">
        <f t="shared" si="316"/>
        <v>5246379</v>
      </c>
      <c r="T1705" s="123">
        <v>71503803</v>
      </c>
      <c r="U1705" s="123">
        <f>16681976+639329</f>
        <v>17321305</v>
      </c>
      <c r="V1705" s="123">
        <f t="shared" si="311"/>
        <v>54182498</v>
      </c>
      <c r="W1705" s="122" t="str">
        <f t="shared" si="312"/>
        <v>1</v>
      </c>
      <c r="X1705" s="123">
        <v>66257424</v>
      </c>
      <c r="AA1705" s="122" t="str">
        <f t="shared" si="313"/>
        <v>0</v>
      </c>
      <c r="AB1705" s="120">
        <f t="shared" si="314"/>
        <v>0</v>
      </c>
      <c r="AC1705" s="123">
        <v>0</v>
      </c>
      <c r="AD1705" s="123">
        <v>0</v>
      </c>
      <c r="AE1705" s="123">
        <v>9891941</v>
      </c>
      <c r="AG1705" s="151">
        <f t="shared" si="318"/>
        <v>637213</v>
      </c>
      <c r="AH1705" s="123">
        <f>736378-99165</f>
        <v>637213</v>
      </c>
      <c r="AJ1705" s="123">
        <v>240000</v>
      </c>
      <c r="AO1705" s="123">
        <v>255000</v>
      </c>
    </row>
    <row r="1706" spans="1:41" s="123" customFormat="1" ht="16.2" thickBot="1" x14ac:dyDescent="0.35">
      <c r="A1706" s="21">
        <v>287.2</v>
      </c>
      <c r="B1706" s="212" t="s">
        <v>233</v>
      </c>
      <c r="C1706" s="31" t="str">
        <f>VLOOKUP((CONCATENATE(B1706)),ID!$A$2:$D$305,3,0)</f>
        <v>BA037</v>
      </c>
      <c r="D1706" s="21">
        <v>1</v>
      </c>
      <c r="E1706" s="21" t="s">
        <v>4005</v>
      </c>
      <c r="F1706" s="21" t="s">
        <v>1117</v>
      </c>
      <c r="G1706" s="21" t="s">
        <v>3853</v>
      </c>
      <c r="H1706" s="88">
        <v>4383</v>
      </c>
      <c r="I1706" s="43">
        <v>4399</v>
      </c>
      <c r="J1706" s="43">
        <v>4399</v>
      </c>
      <c r="K1706" s="21">
        <v>0</v>
      </c>
      <c r="L1706" s="21"/>
      <c r="M1706" s="21"/>
      <c r="N1706" s="43">
        <v>4408</v>
      </c>
      <c r="O1706" s="21" t="s">
        <v>4033</v>
      </c>
      <c r="P1706" s="194" t="str">
        <f t="shared" si="315"/>
        <v>1</v>
      </c>
      <c r="Q1706" s="21">
        <v>1</v>
      </c>
      <c r="R1706" s="39" t="str">
        <f t="shared" si="317"/>
        <v>-</v>
      </c>
      <c r="S1706" s="120">
        <f t="shared" si="316"/>
        <v>5241682</v>
      </c>
      <c r="T1706" s="123">
        <v>69056555</v>
      </c>
      <c r="U1706" s="123">
        <f>15482007+686491</f>
        <v>16168498</v>
      </c>
      <c r="V1706" s="123">
        <f t="shared" si="311"/>
        <v>52888057</v>
      </c>
      <c r="W1706" s="122" t="str">
        <f t="shared" si="312"/>
        <v>1</v>
      </c>
      <c r="X1706" s="123">
        <v>63814873</v>
      </c>
      <c r="AA1706" s="122" t="str">
        <f t="shared" si="313"/>
        <v>0</v>
      </c>
      <c r="AB1706" s="120">
        <f t="shared" si="314"/>
        <v>0</v>
      </c>
      <c r="AC1706" s="123">
        <v>0</v>
      </c>
      <c r="AD1706" s="123">
        <v>0</v>
      </c>
      <c r="AE1706" s="123">
        <v>9676141</v>
      </c>
      <c r="AG1706" s="151">
        <f t="shared" si="318"/>
        <v>651303</v>
      </c>
      <c r="AH1706" s="123">
        <f>747681-96378</f>
        <v>651303</v>
      </c>
      <c r="AJ1706" s="123">
        <v>270000</v>
      </c>
      <c r="AO1706" s="123">
        <v>255000</v>
      </c>
    </row>
    <row r="1707" spans="1:41" s="123" customFormat="1" ht="16.2" thickBot="1" x14ac:dyDescent="0.35">
      <c r="A1707" s="21"/>
      <c r="B1707" s="212" t="s">
        <v>233</v>
      </c>
      <c r="C1707" s="31" t="str">
        <f>VLOOKUP((CONCATENATE(B1707)),ID!$A$2:$D$305,3,0)</f>
        <v>BA037</v>
      </c>
      <c r="D1707" s="21">
        <v>1</v>
      </c>
      <c r="E1707" s="21" t="s">
        <v>4005</v>
      </c>
      <c r="F1707" s="21" t="s">
        <v>1117</v>
      </c>
      <c r="G1707" s="21" t="s">
        <v>3853</v>
      </c>
      <c r="H1707" s="88">
        <v>4749</v>
      </c>
      <c r="I1707" s="43">
        <v>4770</v>
      </c>
      <c r="J1707" s="43">
        <v>4770</v>
      </c>
      <c r="K1707" s="21">
        <v>0</v>
      </c>
      <c r="L1707" s="21"/>
      <c r="M1707" s="21"/>
      <c r="N1707" s="43">
        <v>4779</v>
      </c>
      <c r="O1707" s="21" t="s">
        <v>4033</v>
      </c>
      <c r="P1707" s="194" t="str">
        <f t="shared" si="315"/>
        <v>1</v>
      </c>
      <c r="Q1707" s="21">
        <v>1</v>
      </c>
      <c r="R1707" s="39" t="str">
        <f t="shared" si="317"/>
        <v>-</v>
      </c>
      <c r="S1707" s="120">
        <f t="shared" si="316"/>
        <v>5241811</v>
      </c>
      <c r="T1707" s="123">
        <v>71961762</v>
      </c>
      <c r="U1707" s="123">
        <f>14739164+716058</f>
        <v>15455222</v>
      </c>
      <c r="V1707" s="123">
        <f t="shared" si="311"/>
        <v>56506540</v>
      </c>
      <c r="W1707" s="122" t="str">
        <f t="shared" si="312"/>
        <v>1</v>
      </c>
      <c r="X1707" s="123">
        <v>66719951</v>
      </c>
      <c r="AA1707" s="122" t="str">
        <f t="shared" si="313"/>
        <v>0</v>
      </c>
      <c r="AB1707" s="120">
        <f t="shared" si="314"/>
        <v>0</v>
      </c>
      <c r="AC1707" s="123">
        <v>0</v>
      </c>
      <c r="AD1707" s="123">
        <v>0</v>
      </c>
      <c r="AE1707" s="123">
        <v>10291996</v>
      </c>
      <c r="AG1707" s="151">
        <f t="shared" si="318"/>
        <v>739129</v>
      </c>
      <c r="AH1707" s="123">
        <f>830810-91681</f>
        <v>739129</v>
      </c>
      <c r="AJ1707" s="123">
        <v>270000</v>
      </c>
      <c r="AO1707" s="123">
        <v>255000</v>
      </c>
    </row>
    <row r="1708" spans="1:41" s="123" customFormat="1" ht="16.2" thickBot="1" x14ac:dyDescent="0.35">
      <c r="A1708" s="21"/>
      <c r="B1708" s="212" t="s">
        <v>233</v>
      </c>
      <c r="C1708" s="31" t="str">
        <f>VLOOKUP((CONCATENATE(B1708)),ID!$A$2:$D$305,3,0)</f>
        <v>BA037</v>
      </c>
      <c r="D1708" s="21">
        <v>1</v>
      </c>
      <c r="E1708" s="21" t="s">
        <v>4005</v>
      </c>
      <c r="F1708" s="21" t="s">
        <v>1117</v>
      </c>
      <c r="G1708" s="21" t="s">
        <v>3853</v>
      </c>
      <c r="H1708" s="88">
        <v>5114</v>
      </c>
      <c r="I1708" s="43">
        <v>5133</v>
      </c>
      <c r="J1708" s="43">
        <v>5133</v>
      </c>
      <c r="K1708" s="21">
        <v>0</v>
      </c>
      <c r="L1708" s="21"/>
      <c r="M1708" s="21"/>
      <c r="N1708" s="43">
        <v>5143</v>
      </c>
      <c r="O1708" s="21" t="s">
        <v>4033</v>
      </c>
      <c r="P1708" s="194" t="str">
        <f t="shared" si="315"/>
        <v>1</v>
      </c>
      <c r="Q1708" s="21">
        <v>1</v>
      </c>
      <c r="R1708" s="39" t="str">
        <f t="shared" si="317"/>
        <v>-</v>
      </c>
      <c r="S1708" s="120">
        <f t="shared" si="316"/>
        <v>5091986</v>
      </c>
      <c r="T1708" s="123">
        <v>73798648</v>
      </c>
      <c r="U1708" s="123">
        <f>12975849+763905</f>
        <v>13739754</v>
      </c>
      <c r="V1708" s="123">
        <f t="shared" si="311"/>
        <v>60058894</v>
      </c>
      <c r="W1708" s="122" t="str">
        <f t="shared" si="312"/>
        <v>1</v>
      </c>
      <c r="X1708" s="123">
        <v>68706662</v>
      </c>
      <c r="AA1708" s="122" t="str">
        <f t="shared" si="313"/>
        <v>0</v>
      </c>
      <c r="AB1708" s="120">
        <f t="shared" si="314"/>
        <v>0</v>
      </c>
      <c r="AC1708" s="123">
        <v>0</v>
      </c>
      <c r="AD1708" s="123">
        <v>0</v>
      </c>
      <c r="AE1708" s="123">
        <v>10816205</v>
      </c>
      <c r="AG1708" s="151">
        <f t="shared" si="318"/>
        <v>870175</v>
      </c>
      <c r="AH1708" s="123">
        <f>961985-91810</f>
        <v>870175</v>
      </c>
      <c r="AJ1708" s="123">
        <v>270000</v>
      </c>
      <c r="AO1708" s="123">
        <v>255000</v>
      </c>
    </row>
    <row r="1709" spans="1:41" s="123" customFormat="1" ht="16.2" thickBot="1" x14ac:dyDescent="0.35">
      <c r="A1709" s="21"/>
      <c r="B1709" s="212" t="s">
        <v>245</v>
      </c>
      <c r="C1709" s="31" t="str">
        <f>VLOOKUP((CONCATENATE(B1709)),ID!$A$2:$D$305,3,0)</f>
        <v>BA038</v>
      </c>
      <c r="D1709" s="21">
        <v>1</v>
      </c>
      <c r="E1709" s="21" t="s">
        <v>4005</v>
      </c>
      <c r="F1709" s="21" t="s">
        <v>3878</v>
      </c>
      <c r="G1709" s="21" t="s">
        <v>3853</v>
      </c>
      <c r="H1709" s="88">
        <v>3653</v>
      </c>
      <c r="I1709" s="43">
        <v>3666</v>
      </c>
      <c r="J1709" s="43">
        <v>3666</v>
      </c>
      <c r="K1709" s="21">
        <v>1</v>
      </c>
      <c r="L1709" s="43">
        <f>M1709-14</f>
        <v>3660</v>
      </c>
      <c r="M1709" s="43">
        <f>N1709</f>
        <v>3674</v>
      </c>
      <c r="N1709" s="43">
        <v>3674</v>
      </c>
      <c r="O1709" s="21" t="s">
        <v>4034</v>
      </c>
      <c r="P1709" s="194">
        <v>1</v>
      </c>
      <c r="Q1709" s="21">
        <v>1</v>
      </c>
      <c r="R1709" s="39" t="str">
        <f t="shared" si="317"/>
        <v>-</v>
      </c>
      <c r="S1709" s="120">
        <f t="shared" si="316"/>
        <v>617304</v>
      </c>
      <c r="T1709" s="123">
        <v>4329722</v>
      </c>
      <c r="U1709" s="123">
        <f>146448+68483+1154071+2088955</f>
        <v>3457957</v>
      </c>
      <c r="V1709" s="123">
        <f t="shared" si="311"/>
        <v>871765</v>
      </c>
      <c r="W1709" s="122" t="str">
        <f t="shared" si="312"/>
        <v>1</v>
      </c>
      <c r="X1709" s="123">
        <v>3712418</v>
      </c>
      <c r="AA1709" s="122" t="str">
        <f t="shared" si="313"/>
        <v>0</v>
      </c>
      <c r="AB1709" s="120">
        <f t="shared" si="314"/>
        <v>0</v>
      </c>
      <c r="AC1709" s="123">
        <v>0</v>
      </c>
      <c r="AD1709" s="123">
        <v>0</v>
      </c>
      <c r="AE1709" s="123">
        <v>280325</v>
      </c>
      <c r="AG1709" s="151">
        <f t="shared" si="318"/>
        <v>29519</v>
      </c>
      <c r="AH1709" s="123">
        <f>54241-AK1709-22936</f>
        <v>29519</v>
      </c>
      <c r="AK1709" s="123">
        <v>1786</v>
      </c>
      <c r="AO1709" s="123">
        <v>64278</v>
      </c>
    </row>
    <row r="1710" spans="1:41" s="123" customFormat="1" ht="16.2" thickBot="1" x14ac:dyDescent="0.35">
      <c r="A1710" s="21">
        <v>288.10000000000002</v>
      </c>
      <c r="B1710" s="212" t="s">
        <v>245</v>
      </c>
      <c r="C1710" s="31" t="str">
        <f>VLOOKUP((CONCATENATE(B1710)),ID!$A$2:$D$305,3,0)</f>
        <v>BA038</v>
      </c>
      <c r="D1710" s="21">
        <v>1</v>
      </c>
      <c r="E1710" s="21" t="s">
        <v>4005</v>
      </c>
      <c r="F1710" s="21" t="s">
        <v>3878</v>
      </c>
      <c r="G1710" s="21" t="s">
        <v>3853</v>
      </c>
      <c r="H1710" s="88">
        <v>4018</v>
      </c>
      <c r="I1710" s="43">
        <v>40556</v>
      </c>
      <c r="J1710" s="43">
        <v>4031</v>
      </c>
      <c r="K1710" s="21">
        <v>1</v>
      </c>
      <c r="L1710" s="43">
        <f>M1710-14</f>
        <v>4031</v>
      </c>
      <c r="M1710" s="43">
        <v>4045</v>
      </c>
      <c r="N1710" s="43">
        <v>4045</v>
      </c>
      <c r="O1710" s="21" t="s">
        <v>4034</v>
      </c>
      <c r="P1710" s="194">
        <v>1</v>
      </c>
      <c r="Q1710" s="21">
        <v>1</v>
      </c>
      <c r="R1710" s="39" t="str">
        <f t="shared" si="317"/>
        <v>-</v>
      </c>
      <c r="S1710" s="120">
        <f t="shared" si="316"/>
        <v>603193</v>
      </c>
      <c r="T1710" s="123">
        <v>4453002</v>
      </c>
      <c r="U1710" s="123">
        <f>1012143+72328+139413+2112499</f>
        <v>3336383</v>
      </c>
      <c r="V1710" s="123">
        <f t="shared" si="311"/>
        <v>1116619</v>
      </c>
      <c r="W1710" s="122" t="str">
        <f t="shared" si="312"/>
        <v>1</v>
      </c>
      <c r="X1710" s="123">
        <v>3849809</v>
      </c>
      <c r="AA1710" s="122" t="str">
        <f t="shared" si="313"/>
        <v>0</v>
      </c>
      <c r="AB1710" s="120">
        <f t="shared" si="314"/>
        <v>0</v>
      </c>
      <c r="AC1710" s="123">
        <v>0</v>
      </c>
      <c r="AD1710" s="123">
        <v>0</v>
      </c>
      <c r="AE1710" s="123">
        <v>431213</v>
      </c>
      <c r="AG1710" s="151">
        <f t="shared" si="318"/>
        <v>30411</v>
      </c>
      <c r="AH1710" s="123">
        <f>58294-24454-AK1710</f>
        <v>31911</v>
      </c>
      <c r="AI1710" s="123">
        <v>1500</v>
      </c>
      <c r="AK1710" s="123">
        <v>1929</v>
      </c>
      <c r="AO1710" s="123">
        <v>64278</v>
      </c>
    </row>
    <row r="1711" spans="1:41" s="123" customFormat="1" ht="16.2" thickBot="1" x14ac:dyDescent="0.35">
      <c r="A1711" s="21">
        <v>288.2</v>
      </c>
      <c r="B1711" s="212" t="s">
        <v>245</v>
      </c>
      <c r="C1711" s="31" t="str">
        <f>VLOOKUP((CONCATENATE(B1711)),ID!$A$2:$D$305,3,0)</f>
        <v>BA038</v>
      </c>
      <c r="D1711" s="21">
        <v>1</v>
      </c>
      <c r="E1711" s="21" t="s">
        <v>4005</v>
      </c>
      <c r="F1711" s="21" t="s">
        <v>3878</v>
      </c>
      <c r="G1711" s="21" t="s">
        <v>3853</v>
      </c>
      <c r="H1711" s="88">
        <v>4383</v>
      </c>
      <c r="I1711" s="43">
        <v>40922</v>
      </c>
      <c r="J1711" s="43">
        <v>4397</v>
      </c>
      <c r="K1711" s="21">
        <v>1</v>
      </c>
      <c r="L1711" s="43">
        <v>4395</v>
      </c>
      <c r="M1711" s="43">
        <v>4409</v>
      </c>
      <c r="N1711" s="43">
        <v>4409</v>
      </c>
      <c r="O1711" s="21" t="s">
        <v>4034</v>
      </c>
      <c r="P1711" s="194" t="str">
        <f t="shared" si="315"/>
        <v>1</v>
      </c>
      <c r="Q1711" s="21">
        <v>1</v>
      </c>
      <c r="R1711" s="39" t="str">
        <f t="shared" si="317"/>
        <v>-</v>
      </c>
      <c r="S1711" s="120">
        <f t="shared" si="316"/>
        <v>593250</v>
      </c>
      <c r="T1711" s="123">
        <v>4516677</v>
      </c>
      <c r="U1711" s="123">
        <f>998759+58915+162570+2192161</f>
        <v>3412405</v>
      </c>
      <c r="V1711" s="123">
        <f t="shared" si="311"/>
        <v>1104272</v>
      </c>
      <c r="W1711" s="122" t="str">
        <f t="shared" si="312"/>
        <v>1</v>
      </c>
      <c r="X1711" s="123">
        <v>3923427</v>
      </c>
      <c r="AA1711" s="122" t="str">
        <f t="shared" si="313"/>
        <v>0</v>
      </c>
      <c r="AB1711" s="120">
        <f t="shared" si="314"/>
        <v>0</v>
      </c>
      <c r="AC1711" s="123">
        <v>0</v>
      </c>
      <c r="AD1711" s="123">
        <v>0</v>
      </c>
      <c r="AE1711" s="123">
        <v>346594</v>
      </c>
      <c r="AG1711" s="151">
        <f t="shared" si="318"/>
        <v>52453</v>
      </c>
      <c r="AH1711" s="123">
        <f>107935-51640-AK1711</f>
        <v>52453</v>
      </c>
      <c r="AJ1711" s="123">
        <v>22698</v>
      </c>
      <c r="AK1711" s="123">
        <v>3842</v>
      </c>
      <c r="AO1711" s="123">
        <v>64278</v>
      </c>
    </row>
    <row r="1712" spans="1:41" s="123" customFormat="1" ht="16.2" thickBot="1" x14ac:dyDescent="0.35">
      <c r="A1712" s="21"/>
      <c r="B1712" s="212" t="s">
        <v>245</v>
      </c>
      <c r="C1712" s="31" t="str">
        <f>VLOOKUP((CONCATENATE(B1712)),ID!$A$2:$D$305,3,0)</f>
        <v>BA038</v>
      </c>
      <c r="D1712" s="21">
        <v>1</v>
      </c>
      <c r="E1712" s="21" t="s">
        <v>4005</v>
      </c>
      <c r="F1712" s="21" t="s">
        <v>3878</v>
      </c>
      <c r="G1712" s="21" t="s">
        <v>3853</v>
      </c>
      <c r="H1712" s="88">
        <v>4749</v>
      </c>
      <c r="I1712" s="43">
        <v>4759</v>
      </c>
      <c r="J1712" s="43">
        <v>4759</v>
      </c>
      <c r="K1712" s="21">
        <v>1</v>
      </c>
      <c r="L1712" s="43">
        <f>M1712-14</f>
        <v>4759</v>
      </c>
      <c r="M1712" s="43">
        <f>N1712</f>
        <v>4773</v>
      </c>
      <c r="N1712" s="43">
        <v>4773</v>
      </c>
      <c r="O1712" s="21" t="s">
        <v>4034</v>
      </c>
      <c r="P1712" s="194" t="str">
        <f t="shared" si="315"/>
        <v>1</v>
      </c>
      <c r="Q1712" s="21">
        <v>1</v>
      </c>
      <c r="R1712" s="39" t="str">
        <f t="shared" si="317"/>
        <v>-</v>
      </c>
      <c r="S1712" s="120">
        <f t="shared" si="316"/>
        <v>593537</v>
      </c>
      <c r="T1712" s="123">
        <v>5142117</v>
      </c>
      <c r="U1712" s="123">
        <f>158892+2121683+52539+1049024</f>
        <v>3382138</v>
      </c>
      <c r="V1712" s="123">
        <f t="shared" si="311"/>
        <v>1759979</v>
      </c>
      <c r="W1712" s="122" t="str">
        <f t="shared" si="312"/>
        <v>1</v>
      </c>
      <c r="X1712" s="123">
        <v>4548580</v>
      </c>
      <c r="AA1712" s="122" t="str">
        <f t="shared" si="313"/>
        <v>0</v>
      </c>
      <c r="AB1712" s="120">
        <f t="shared" si="314"/>
        <v>0</v>
      </c>
      <c r="AC1712" s="123">
        <v>0</v>
      </c>
      <c r="AD1712" s="123">
        <v>0</v>
      </c>
      <c r="AE1712" s="123">
        <v>623410</v>
      </c>
      <c r="AG1712" s="151">
        <f t="shared" si="318"/>
        <v>48683</v>
      </c>
      <c r="AH1712" s="123">
        <f>66566-AK1712</f>
        <v>48683</v>
      </c>
      <c r="AJ1712" s="123">
        <v>22698</v>
      </c>
      <c r="AK1712" s="123">
        <v>17883</v>
      </c>
      <c r="AO1712" s="123">
        <v>64278</v>
      </c>
    </row>
    <row r="1713" spans="1:41" s="123" customFormat="1" ht="16.2" thickBot="1" x14ac:dyDescent="0.35">
      <c r="A1713" s="21"/>
      <c r="B1713" s="212" t="s">
        <v>245</v>
      </c>
      <c r="C1713" s="31" t="str">
        <f>VLOOKUP((CONCATENATE(B1713)),ID!$A$2:$D$305,3,0)</f>
        <v>BA038</v>
      </c>
      <c r="D1713" s="21">
        <v>1</v>
      </c>
      <c r="E1713" s="21" t="s">
        <v>4005</v>
      </c>
      <c r="F1713" s="21" t="s">
        <v>3878</v>
      </c>
      <c r="G1713" s="21" t="s">
        <v>3853</v>
      </c>
      <c r="H1713" s="88">
        <v>5114</v>
      </c>
      <c r="I1713" s="43">
        <v>5123</v>
      </c>
      <c r="J1713" s="43">
        <v>5123</v>
      </c>
      <c r="K1713" s="21">
        <v>1</v>
      </c>
      <c r="L1713" s="43">
        <f>M1713-14</f>
        <v>5123</v>
      </c>
      <c r="M1713" s="43">
        <f>N1713</f>
        <v>5137</v>
      </c>
      <c r="N1713" s="43">
        <v>5137</v>
      </c>
      <c r="O1713" s="21" t="s">
        <v>4034</v>
      </c>
      <c r="P1713" s="194" t="str">
        <f t="shared" si="315"/>
        <v>1</v>
      </c>
      <c r="Q1713" s="21">
        <v>1</v>
      </c>
      <c r="R1713" s="39" t="str">
        <f t="shared" si="317"/>
        <v>-</v>
      </c>
      <c r="S1713" s="120">
        <f t="shared" si="316"/>
        <v>593664</v>
      </c>
      <c r="T1713" s="123">
        <v>5665809</v>
      </c>
      <c r="U1713" s="123">
        <f>1083582+65383+2192125+167687</f>
        <v>3508777</v>
      </c>
      <c r="V1713" s="123">
        <f t="shared" si="311"/>
        <v>2157032</v>
      </c>
      <c r="W1713" s="122" t="str">
        <f t="shared" si="312"/>
        <v>1</v>
      </c>
      <c r="X1713" s="123">
        <v>5072145</v>
      </c>
      <c r="AA1713" s="122" t="str">
        <f t="shared" si="313"/>
        <v>0</v>
      </c>
      <c r="AB1713" s="120">
        <f t="shared" si="314"/>
        <v>0</v>
      </c>
      <c r="AC1713" s="123">
        <v>0</v>
      </c>
      <c r="AD1713" s="123">
        <v>0</v>
      </c>
      <c r="AE1713" s="123">
        <v>815096</v>
      </c>
      <c r="AG1713" s="151">
        <f t="shared" si="318"/>
        <v>48523</v>
      </c>
      <c r="AH1713" s="123">
        <f>81101-AK1713</f>
        <v>48523</v>
      </c>
      <c r="AJ1713" s="123">
        <v>22698</v>
      </c>
      <c r="AK1713" s="123">
        <f>28500+4078</f>
        <v>32578</v>
      </c>
      <c r="AO1713" s="123">
        <v>64278</v>
      </c>
    </row>
    <row r="1714" spans="1:41" s="123" customFormat="1" ht="16.2" thickBot="1" x14ac:dyDescent="0.35">
      <c r="A1714" s="21"/>
      <c r="B1714" s="212" t="s">
        <v>248</v>
      </c>
      <c r="C1714" s="31" t="str">
        <f>VLOOKUP((CONCATENATE(B1714)),ID!$A$2:$D$305,3,0)</f>
        <v>BA039</v>
      </c>
      <c r="D1714" s="21">
        <v>1</v>
      </c>
      <c r="E1714" s="21" t="s">
        <v>4005</v>
      </c>
      <c r="F1714" s="21" t="s">
        <v>3814</v>
      </c>
      <c r="G1714" s="21" t="s">
        <v>3853</v>
      </c>
      <c r="H1714" s="88">
        <v>3926</v>
      </c>
      <c r="I1714" s="43">
        <v>3945</v>
      </c>
      <c r="J1714" s="43">
        <v>3940</v>
      </c>
      <c r="K1714" s="21">
        <v>0</v>
      </c>
      <c r="L1714" s="43"/>
      <c r="M1714" s="43"/>
      <c r="N1714" s="43">
        <v>3961</v>
      </c>
      <c r="O1714" s="21" t="s">
        <v>4115</v>
      </c>
      <c r="P1714" s="194" t="str">
        <f t="shared" si="315"/>
        <v>1</v>
      </c>
      <c r="Q1714" s="21">
        <v>1</v>
      </c>
      <c r="R1714" s="39" t="str">
        <f t="shared" si="317"/>
        <v>-</v>
      </c>
      <c r="S1714" s="120">
        <f t="shared" si="316"/>
        <v>1114288</v>
      </c>
      <c r="T1714" s="123">
        <v>9124567</v>
      </c>
      <c r="U1714" s="123">
        <f>377966+334324+1075978+4202466+170266+106007</f>
        <v>6267007</v>
      </c>
      <c r="V1714" s="123">
        <f t="shared" si="311"/>
        <v>2857560</v>
      </c>
      <c r="W1714" s="122" t="str">
        <f t="shared" si="312"/>
        <v>1</v>
      </c>
      <c r="X1714" s="123">
        <v>8010279</v>
      </c>
      <c r="AA1714" s="122" t="str">
        <f t="shared" si="313"/>
        <v>0</v>
      </c>
      <c r="AB1714" s="120">
        <f t="shared" si="314"/>
        <v>0</v>
      </c>
      <c r="AC1714" s="123">
        <v>0</v>
      </c>
      <c r="AD1714" s="123">
        <v>0</v>
      </c>
      <c r="AG1714" s="151">
        <f t="shared" si="318"/>
        <v>106254</v>
      </c>
      <c r="AH1714" s="123">
        <f>115537-9283</f>
        <v>106254</v>
      </c>
      <c r="AJ1714" s="123">
        <v>40750</v>
      </c>
      <c r="AO1714" s="123">
        <f>(652000/4)+(652/4)+(1956000/12)</f>
        <v>326163</v>
      </c>
    </row>
    <row r="1715" spans="1:41" s="123" customFormat="1" ht="16.2" thickBot="1" x14ac:dyDescent="0.35">
      <c r="A1715" s="21">
        <v>289.10000000000002</v>
      </c>
      <c r="B1715" s="212" t="s">
        <v>248</v>
      </c>
      <c r="C1715" s="31" t="str">
        <f>VLOOKUP((CONCATENATE(B1715)),ID!$A$2:$D$305,3,0)</f>
        <v>BA039</v>
      </c>
      <c r="D1715" s="21">
        <v>1</v>
      </c>
      <c r="E1715" s="21" t="s">
        <v>4005</v>
      </c>
      <c r="F1715" s="21" t="s">
        <v>3814</v>
      </c>
      <c r="G1715" s="21" t="s">
        <v>3853</v>
      </c>
      <c r="H1715" s="88">
        <v>4291</v>
      </c>
      <c r="I1715" s="43">
        <v>4303</v>
      </c>
      <c r="J1715" s="43">
        <v>4303</v>
      </c>
      <c r="K1715" s="21">
        <v>0</v>
      </c>
      <c r="L1715" s="21"/>
      <c r="M1715" s="21"/>
      <c r="N1715" s="43">
        <v>4325</v>
      </c>
      <c r="O1715" s="21" t="s">
        <v>4115</v>
      </c>
      <c r="P1715" s="194" t="str">
        <f t="shared" si="315"/>
        <v>1</v>
      </c>
      <c r="Q1715" s="21">
        <v>1</v>
      </c>
      <c r="R1715" s="39" t="str">
        <f t="shared" si="317"/>
        <v>-</v>
      </c>
      <c r="S1715" s="120">
        <f t="shared" si="316"/>
        <v>1132159</v>
      </c>
      <c r="T1715" s="123">
        <v>9282884</v>
      </c>
      <c r="U1715" s="123">
        <f>103286+175211+4100868+1102269+316793+377966</f>
        <v>6176393</v>
      </c>
      <c r="V1715" s="123">
        <f t="shared" si="311"/>
        <v>3106491</v>
      </c>
      <c r="W1715" s="122" t="str">
        <f t="shared" si="312"/>
        <v>1</v>
      </c>
      <c r="X1715" s="123">
        <v>8150725</v>
      </c>
      <c r="AA1715" s="122" t="str">
        <f t="shared" si="313"/>
        <v>0</v>
      </c>
      <c r="AB1715" s="120">
        <f t="shared" si="314"/>
        <v>0</v>
      </c>
      <c r="AC1715" s="123">
        <v>0</v>
      </c>
      <c r="AD1715" s="123">
        <v>0</v>
      </c>
      <c r="AG1715" s="151">
        <f t="shared" si="318"/>
        <v>107372</v>
      </c>
      <c r="AH1715" s="123">
        <f>118409-11037</f>
        <v>107372</v>
      </c>
      <c r="AJ1715" s="123">
        <v>40750</v>
      </c>
      <c r="AO1715" s="123">
        <f>(652000/4)+(652/4)+(1956000/12)</f>
        <v>326163</v>
      </c>
    </row>
    <row r="1716" spans="1:41" s="123" customFormat="1" ht="16.2" thickBot="1" x14ac:dyDescent="0.35">
      <c r="A1716" s="21">
        <v>289.2</v>
      </c>
      <c r="B1716" s="212" t="s">
        <v>248</v>
      </c>
      <c r="C1716" s="31" t="str">
        <f>VLOOKUP((CONCATENATE(B1716)),ID!$A$2:$D$305,3,0)</f>
        <v>BA039</v>
      </c>
      <c r="D1716" s="21">
        <v>1</v>
      </c>
      <c r="E1716" s="21" t="s">
        <v>4005</v>
      </c>
      <c r="F1716" s="21" t="s">
        <v>3814</v>
      </c>
      <c r="G1716" s="21" t="s">
        <v>3853</v>
      </c>
      <c r="H1716" s="88">
        <v>4657</v>
      </c>
      <c r="I1716" s="43">
        <v>4673</v>
      </c>
      <c r="J1716" s="43">
        <v>4673</v>
      </c>
      <c r="K1716" s="21">
        <v>0</v>
      </c>
      <c r="L1716" s="21"/>
      <c r="M1716" s="21"/>
      <c r="N1716" s="43">
        <v>4689</v>
      </c>
      <c r="O1716" s="21" t="s">
        <v>4115</v>
      </c>
      <c r="P1716" s="194" t="str">
        <f t="shared" si="315"/>
        <v>1</v>
      </c>
      <c r="Q1716" s="21">
        <v>1</v>
      </c>
      <c r="R1716" s="39" t="str">
        <f t="shared" si="317"/>
        <v>-</v>
      </c>
      <c r="S1716" s="120">
        <f t="shared" si="316"/>
        <v>1151240</v>
      </c>
      <c r="T1716" s="123">
        <v>9791203</v>
      </c>
      <c r="U1716" s="123">
        <f>10386+177594+4088876+1059266+298408+379212</f>
        <v>6013742</v>
      </c>
      <c r="V1716" s="123">
        <f t="shared" si="311"/>
        <v>3777461</v>
      </c>
      <c r="W1716" s="122" t="str">
        <f t="shared" si="312"/>
        <v>1</v>
      </c>
      <c r="X1716" s="123">
        <v>8639963</v>
      </c>
      <c r="AA1716" s="122" t="str">
        <f t="shared" si="313"/>
        <v>0</v>
      </c>
      <c r="AB1716" s="120">
        <f t="shared" si="314"/>
        <v>0</v>
      </c>
      <c r="AC1716" s="123">
        <v>0</v>
      </c>
      <c r="AD1716" s="123">
        <v>0</v>
      </c>
      <c r="AG1716" s="151">
        <f t="shared" si="318"/>
        <v>108581</v>
      </c>
      <c r="AH1716" s="123">
        <f>122490-13909</f>
        <v>108581</v>
      </c>
      <c r="AJ1716" s="123">
        <v>40750</v>
      </c>
      <c r="AO1716" s="123">
        <f>(652000/4)+(652/4)+(1956000/12)</f>
        <v>326163</v>
      </c>
    </row>
    <row r="1717" spans="1:41" s="123" customFormat="1" ht="16.2" thickBot="1" x14ac:dyDescent="0.35">
      <c r="A1717" s="21"/>
      <c r="B1717" s="212" t="s">
        <v>248</v>
      </c>
      <c r="C1717" s="31" t="str">
        <f>VLOOKUP((CONCATENATE(B1717)),ID!$A$2:$D$305,3,0)</f>
        <v>BA039</v>
      </c>
      <c r="D1717" s="21">
        <v>1</v>
      </c>
      <c r="E1717" s="21" t="s">
        <v>4005</v>
      </c>
      <c r="F1717" s="21" t="s">
        <v>3814</v>
      </c>
      <c r="G1717" s="21" t="s">
        <v>3853</v>
      </c>
      <c r="H1717" s="88">
        <v>5022</v>
      </c>
      <c r="I1717" s="43">
        <v>5037</v>
      </c>
      <c r="J1717" s="43">
        <v>5037</v>
      </c>
      <c r="K1717" s="21">
        <v>0</v>
      </c>
      <c r="L1717" s="21"/>
      <c r="M1717" s="21"/>
      <c r="N1717" s="43">
        <v>5060</v>
      </c>
      <c r="O1717" s="21" t="s">
        <v>4115</v>
      </c>
      <c r="P1717" s="194" t="str">
        <f t="shared" si="315"/>
        <v>1</v>
      </c>
      <c r="Q1717" s="21">
        <v>1</v>
      </c>
      <c r="R1717" s="39" t="str">
        <f t="shared" si="317"/>
        <v>-</v>
      </c>
      <c r="S1717" s="120">
        <f t="shared" si="316"/>
        <v>1171162</v>
      </c>
      <c r="T1717" s="123">
        <v>10467091</v>
      </c>
      <c r="U1717" s="123">
        <f>T1717-V1717</f>
        <v>6351732</v>
      </c>
      <c r="V1717" s="123">
        <f>1246251+2019000+850108</f>
        <v>4115359</v>
      </c>
      <c r="W1717" s="122" t="str">
        <f t="shared" si="312"/>
        <v>1</v>
      </c>
      <c r="X1717" s="123">
        <v>9295929</v>
      </c>
      <c r="AA1717" s="122" t="str">
        <f t="shared" si="313"/>
        <v>0</v>
      </c>
      <c r="AB1717" s="120">
        <f t="shared" si="314"/>
        <v>0</v>
      </c>
      <c r="AC1717" s="123">
        <v>0</v>
      </c>
      <c r="AD1717" s="123">
        <v>0</v>
      </c>
      <c r="AG1717" s="151">
        <f t="shared" si="318"/>
        <v>109421</v>
      </c>
      <c r="AH1717" s="123">
        <f>124911-15490</f>
        <v>109421</v>
      </c>
      <c r="AJ1717" s="123">
        <v>40750</v>
      </c>
      <c r="AO1717" s="123">
        <f>(652000/4)+(652/4)+(1956000/12)</f>
        <v>326163</v>
      </c>
    </row>
    <row r="1718" spans="1:41" s="123" customFormat="1" ht="16.2" thickBot="1" x14ac:dyDescent="0.35">
      <c r="A1718" s="21"/>
      <c r="B1718" s="212" t="s">
        <v>248</v>
      </c>
      <c r="C1718" s="31" t="str">
        <f>VLOOKUP((CONCATENATE(B1718)),ID!$A$2:$D$305,3,0)</f>
        <v>BA039</v>
      </c>
      <c r="D1718" s="21">
        <v>1</v>
      </c>
      <c r="E1718" s="21" t="s">
        <v>4005</v>
      </c>
      <c r="F1718" s="21" t="s">
        <v>3814</v>
      </c>
      <c r="G1718" s="21" t="s">
        <v>3853</v>
      </c>
      <c r="H1718" s="88">
        <v>5387</v>
      </c>
      <c r="I1718" s="43">
        <v>5402</v>
      </c>
      <c r="J1718" s="43">
        <v>5402</v>
      </c>
      <c r="K1718" s="21">
        <v>0</v>
      </c>
      <c r="L1718" s="21"/>
      <c r="M1718" s="21"/>
      <c r="N1718" s="43">
        <v>5424</v>
      </c>
      <c r="O1718" s="21" t="s">
        <v>4115</v>
      </c>
      <c r="P1718" s="194" t="str">
        <f t="shared" si="315"/>
        <v>1</v>
      </c>
      <c r="Q1718" s="21">
        <v>1</v>
      </c>
      <c r="R1718" s="39" t="str">
        <f t="shared" si="317"/>
        <v>-</v>
      </c>
      <c r="S1718" s="120">
        <f t="shared" si="316"/>
        <v>1197326</v>
      </c>
      <c r="T1718" s="123">
        <v>10871876</v>
      </c>
      <c r="U1718" s="123">
        <f>T1718-V1718</f>
        <v>6675808</v>
      </c>
      <c r="V1718" s="123">
        <f>1451213+1886790+858065</f>
        <v>4196068</v>
      </c>
      <c r="W1718" s="122" t="str">
        <f t="shared" si="312"/>
        <v>1</v>
      </c>
      <c r="X1718" s="123">
        <v>9674550</v>
      </c>
      <c r="AA1718" s="122" t="str">
        <f t="shared" si="313"/>
        <v>0</v>
      </c>
      <c r="AB1718" s="120">
        <f t="shared" si="314"/>
        <v>0</v>
      </c>
      <c r="AC1718" s="123">
        <v>0</v>
      </c>
      <c r="AD1718" s="123">
        <v>0</v>
      </c>
      <c r="AG1718" s="151">
        <f t="shared" si="318"/>
        <v>115634</v>
      </c>
      <c r="AH1718" s="123">
        <f>133575-17941</f>
        <v>115634</v>
      </c>
      <c r="AJ1718" s="123">
        <v>40750</v>
      </c>
      <c r="AO1718" s="123">
        <f>(652000/4)+(652/4)+(1956000/12)</f>
        <v>326163</v>
      </c>
    </row>
    <row r="1719" spans="1:41" s="123" customFormat="1" ht="16.2" thickBot="1" x14ac:dyDescent="0.35">
      <c r="A1719" s="21"/>
      <c r="B1719" s="212" t="s">
        <v>251</v>
      </c>
      <c r="C1719" s="31" t="str">
        <f>VLOOKUP((CONCATENATE(B1719)),ID!$A$2:$D$305,3,0)</f>
        <v>BA040</v>
      </c>
      <c r="D1719" s="21">
        <v>1</v>
      </c>
      <c r="E1719" s="21" t="s">
        <v>4005</v>
      </c>
      <c r="F1719" s="21" t="s">
        <v>4035</v>
      </c>
      <c r="G1719" s="21" t="s">
        <v>3853</v>
      </c>
      <c r="H1719" s="88">
        <v>3896</v>
      </c>
      <c r="I1719" s="43">
        <v>3929</v>
      </c>
      <c r="J1719" s="43">
        <v>3926</v>
      </c>
      <c r="K1719" s="21">
        <v>0</v>
      </c>
      <c r="L1719" s="21"/>
      <c r="M1719" s="21"/>
      <c r="N1719" s="43">
        <v>3953</v>
      </c>
      <c r="O1719" s="21" t="s">
        <v>4036</v>
      </c>
      <c r="P1719" s="194" t="str">
        <f t="shared" si="315"/>
        <v>1</v>
      </c>
      <c r="Q1719" s="21">
        <v>1</v>
      </c>
      <c r="R1719" s="39" t="str">
        <f t="shared" si="317"/>
        <v>-</v>
      </c>
      <c r="S1719" s="120">
        <f t="shared" si="316"/>
        <v>833392</v>
      </c>
      <c r="T1719" s="123">
        <v>6352463</v>
      </c>
      <c r="U1719" s="123">
        <f>305000+1445186+103000+3477314</f>
        <v>5330500</v>
      </c>
      <c r="V1719" s="123">
        <f t="shared" si="311"/>
        <v>1021963</v>
      </c>
      <c r="W1719" s="122" t="str">
        <f t="shared" si="312"/>
        <v>1</v>
      </c>
      <c r="X1719" s="123">
        <v>5519071</v>
      </c>
      <c r="AA1719" s="122" t="str">
        <f t="shared" si="313"/>
        <v>0</v>
      </c>
      <c r="AB1719" s="120">
        <f t="shared" si="314"/>
        <v>0</v>
      </c>
      <c r="AC1719" s="123">
        <v>0</v>
      </c>
      <c r="AD1719" s="123">
        <v>0</v>
      </c>
      <c r="AE1719" s="123">
        <v>1021963</v>
      </c>
      <c r="AG1719" s="151">
        <f t="shared" si="318"/>
        <v>56503</v>
      </c>
      <c r="AH1719" s="123">
        <f>62223-4250-AK1719</f>
        <v>56503</v>
      </c>
      <c r="AJ1719" s="123">
        <f>23375*2</f>
        <v>46750</v>
      </c>
      <c r="AK1719" s="123">
        <v>1470</v>
      </c>
    </row>
    <row r="1720" spans="1:41" s="123" customFormat="1" ht="16.2" thickBot="1" x14ac:dyDescent="0.35">
      <c r="A1720" s="21">
        <v>290.10000000000002</v>
      </c>
      <c r="B1720" s="212" t="s">
        <v>251</v>
      </c>
      <c r="C1720" s="31" t="str">
        <f>VLOOKUP((CONCATENATE(B1720)),ID!$A$2:$D$305,3,0)</f>
        <v>BA040</v>
      </c>
      <c r="D1720" s="21">
        <v>1</v>
      </c>
      <c r="E1720" s="21" t="s">
        <v>4005</v>
      </c>
      <c r="F1720" s="21" t="s">
        <v>4035</v>
      </c>
      <c r="G1720" s="21" t="s">
        <v>3853</v>
      </c>
      <c r="H1720" s="88">
        <v>4261</v>
      </c>
      <c r="I1720" s="43">
        <v>4293</v>
      </c>
      <c r="J1720" s="43">
        <v>4289</v>
      </c>
      <c r="K1720" s="21">
        <v>0</v>
      </c>
      <c r="L1720" s="21"/>
      <c r="M1720" s="21"/>
      <c r="N1720" s="43">
        <v>4317</v>
      </c>
      <c r="O1720" s="21" t="s">
        <v>4036</v>
      </c>
      <c r="P1720" s="194" t="str">
        <f t="shared" si="315"/>
        <v>1</v>
      </c>
      <c r="Q1720" s="21">
        <v>1</v>
      </c>
      <c r="R1720" s="39" t="str">
        <f t="shared" si="317"/>
        <v>-</v>
      </c>
      <c r="S1720" s="120">
        <f t="shared" si="316"/>
        <v>823381</v>
      </c>
      <c r="T1720" s="123">
        <v>6560770</v>
      </c>
      <c r="U1720" s="123">
        <f>103000+1646615+305000+3511680</f>
        <v>5566295</v>
      </c>
      <c r="V1720" s="123">
        <f t="shared" si="311"/>
        <v>994475</v>
      </c>
      <c r="W1720" s="122" t="str">
        <f t="shared" si="312"/>
        <v>1</v>
      </c>
      <c r="X1720" s="123">
        <v>5737389</v>
      </c>
      <c r="AA1720" s="122" t="str">
        <f t="shared" si="313"/>
        <v>0</v>
      </c>
      <c r="AB1720" s="120">
        <f t="shared" si="314"/>
        <v>0</v>
      </c>
      <c r="AC1720" s="123">
        <v>0</v>
      </c>
      <c r="AD1720" s="123">
        <v>0</v>
      </c>
      <c r="AE1720" s="123">
        <v>994474</v>
      </c>
      <c r="AG1720" s="151">
        <f t="shared" si="318"/>
        <v>56739</v>
      </c>
      <c r="AH1720" s="123">
        <f>62920-4250-AK1720</f>
        <v>56739</v>
      </c>
      <c r="AJ1720" s="123">
        <f>23375*2</f>
        <v>46750</v>
      </c>
      <c r="AK1720" s="123">
        <v>1931</v>
      </c>
    </row>
    <row r="1721" spans="1:41" s="123" customFormat="1" ht="16.2" thickBot="1" x14ac:dyDescent="0.35">
      <c r="A1721" s="21">
        <v>290.2</v>
      </c>
      <c r="B1721" s="212" t="s">
        <v>251</v>
      </c>
      <c r="C1721" s="31" t="str">
        <f>VLOOKUP((CONCATENATE(B1721)),ID!$A$2:$D$305,3,0)</f>
        <v>BA040</v>
      </c>
      <c r="D1721" s="21">
        <v>1</v>
      </c>
      <c r="E1721" s="21" t="s">
        <v>4005</v>
      </c>
      <c r="F1721" s="21" t="s">
        <v>4035</v>
      </c>
      <c r="G1721" s="21" t="s">
        <v>3853</v>
      </c>
      <c r="H1721" s="88">
        <v>4627</v>
      </c>
      <c r="I1721" s="43">
        <v>4658</v>
      </c>
      <c r="J1721" s="43">
        <v>4652</v>
      </c>
      <c r="K1721" s="21">
        <v>0</v>
      </c>
      <c r="L1721" s="21"/>
      <c r="M1721" s="21"/>
      <c r="N1721" s="43">
        <v>4688</v>
      </c>
      <c r="O1721" s="21" t="s">
        <v>4036</v>
      </c>
      <c r="P1721" s="194" t="str">
        <f t="shared" si="315"/>
        <v>1</v>
      </c>
      <c r="Q1721" s="21">
        <v>1</v>
      </c>
      <c r="R1721" s="39" t="str">
        <f t="shared" si="317"/>
        <v>-</v>
      </c>
      <c r="S1721" s="120">
        <f t="shared" si="316"/>
        <v>835732</v>
      </c>
      <c r="T1721" s="123">
        <v>6854708</v>
      </c>
      <c r="U1721" s="123">
        <f>109000+1733972+320000+3629935</f>
        <v>5792907</v>
      </c>
      <c r="V1721" s="123">
        <f t="shared" si="311"/>
        <v>1061801</v>
      </c>
      <c r="W1721" s="122" t="str">
        <f t="shared" si="312"/>
        <v>1</v>
      </c>
      <c r="X1721" s="123">
        <v>6018976</v>
      </c>
      <c r="AA1721" s="122" t="str">
        <f t="shared" si="313"/>
        <v>0</v>
      </c>
      <c r="AB1721" s="120">
        <f t="shared" si="314"/>
        <v>0</v>
      </c>
      <c r="AC1721" s="123">
        <v>0</v>
      </c>
      <c r="AD1721" s="123">
        <v>0</v>
      </c>
      <c r="AE1721" s="123">
        <v>1061799</v>
      </c>
      <c r="AG1721" s="151">
        <f t="shared" si="318"/>
        <v>59101</v>
      </c>
      <c r="AH1721" s="123">
        <f>65107-AK1721-4250</f>
        <v>59101</v>
      </c>
      <c r="AJ1721" s="123">
        <f>23375*2</f>
        <v>46750</v>
      </c>
      <c r="AK1721" s="123">
        <v>1756</v>
      </c>
    </row>
    <row r="1722" spans="1:41" s="123" customFormat="1" ht="16.2" thickBot="1" x14ac:dyDescent="0.35">
      <c r="A1722" s="21"/>
      <c r="B1722" s="212" t="s">
        <v>251</v>
      </c>
      <c r="C1722" s="31" t="str">
        <f>VLOOKUP((CONCATENATE(B1722)),ID!$A$2:$D$305,3,0)</f>
        <v>BA040</v>
      </c>
      <c r="D1722" s="21">
        <v>1</v>
      </c>
      <c r="E1722" s="21" t="s">
        <v>4005</v>
      </c>
      <c r="F1722" s="21" t="s">
        <v>4035</v>
      </c>
      <c r="G1722" s="21" t="s">
        <v>3853</v>
      </c>
      <c r="H1722" s="88">
        <v>4992</v>
      </c>
      <c r="I1722" s="43">
        <v>5023</v>
      </c>
      <c r="J1722" s="43">
        <v>5014</v>
      </c>
      <c r="K1722" s="21">
        <v>0</v>
      </c>
      <c r="L1722" s="21"/>
      <c r="M1722" s="21"/>
      <c r="N1722" s="43">
        <v>5052</v>
      </c>
      <c r="O1722" s="21" t="s">
        <v>4036</v>
      </c>
      <c r="P1722" s="194" t="str">
        <f t="shared" si="315"/>
        <v>1</v>
      </c>
      <c r="Q1722" s="21">
        <v>1</v>
      </c>
      <c r="R1722" s="39" t="str">
        <f t="shared" si="317"/>
        <v>-</v>
      </c>
      <c r="S1722" s="120">
        <f t="shared" si="316"/>
        <v>854052</v>
      </c>
      <c r="T1722" s="123">
        <v>7344308</v>
      </c>
      <c r="U1722" s="123">
        <f>340000+1707968+3949449+113000</f>
        <v>6110417</v>
      </c>
      <c r="V1722" s="123">
        <f t="shared" si="311"/>
        <v>1233891</v>
      </c>
      <c r="W1722" s="122" t="str">
        <f t="shared" si="312"/>
        <v>1</v>
      </c>
      <c r="X1722" s="123">
        <v>6490256</v>
      </c>
      <c r="AA1722" s="122" t="str">
        <f t="shared" si="313"/>
        <v>0</v>
      </c>
      <c r="AB1722" s="120">
        <f t="shared" si="314"/>
        <v>0</v>
      </c>
      <c r="AC1722" s="123">
        <v>0</v>
      </c>
      <c r="AD1722" s="123">
        <v>0</v>
      </c>
      <c r="AE1722" s="123">
        <v>1233890</v>
      </c>
      <c r="AG1722" s="151">
        <f t="shared" si="318"/>
        <v>65070</v>
      </c>
      <c r="AH1722" s="123">
        <f>70572-4250-AK1722</f>
        <v>65070</v>
      </c>
      <c r="AJ1722" s="123">
        <f>23375*2</f>
        <v>46750</v>
      </c>
      <c r="AK1722" s="123">
        <v>1252</v>
      </c>
    </row>
    <row r="1723" spans="1:41" s="123" customFormat="1" ht="16.2" thickBot="1" x14ac:dyDescent="0.35">
      <c r="A1723" s="21"/>
      <c r="B1723" s="212" t="s">
        <v>251</v>
      </c>
      <c r="C1723" s="31" t="str">
        <f>VLOOKUP((CONCATENATE(B1723)),ID!$A$2:$D$305,3,0)</f>
        <v>BA040</v>
      </c>
      <c r="D1723" s="21">
        <v>1</v>
      </c>
      <c r="E1723" s="21" t="s">
        <v>4005</v>
      </c>
      <c r="F1723" s="21" t="s">
        <v>4035</v>
      </c>
      <c r="G1723" s="21" t="s">
        <v>3853</v>
      </c>
      <c r="H1723" s="88">
        <v>5357</v>
      </c>
      <c r="I1723" s="43">
        <v>5388</v>
      </c>
      <c r="J1723" s="43">
        <v>5382</v>
      </c>
      <c r="K1723" s="21">
        <v>0</v>
      </c>
      <c r="L1723" s="21"/>
      <c r="M1723" s="21"/>
      <c r="N1723" s="43">
        <v>5416</v>
      </c>
      <c r="O1723" s="21" t="s">
        <v>4036</v>
      </c>
      <c r="P1723" s="194" t="str">
        <f t="shared" si="315"/>
        <v>1</v>
      </c>
      <c r="Q1723" s="21">
        <v>1</v>
      </c>
      <c r="R1723" s="39" t="str">
        <f t="shared" si="317"/>
        <v>-</v>
      </c>
      <c r="S1723" s="120">
        <f t="shared" si="316"/>
        <v>877703</v>
      </c>
      <c r="T1723" s="123">
        <v>7588166</v>
      </c>
      <c r="U1723" s="123">
        <f>360000+1676585+3770167+115000</f>
        <v>5921752</v>
      </c>
      <c r="V1723" s="123">
        <f t="shared" si="311"/>
        <v>1666414</v>
      </c>
      <c r="W1723" s="122" t="str">
        <f t="shared" si="312"/>
        <v>1</v>
      </c>
      <c r="X1723" s="123">
        <v>6710463</v>
      </c>
      <c r="AA1723" s="122" t="str">
        <f t="shared" si="313"/>
        <v>0</v>
      </c>
      <c r="AB1723" s="120">
        <f t="shared" si="314"/>
        <v>0</v>
      </c>
      <c r="AC1723" s="123">
        <v>0</v>
      </c>
      <c r="AD1723" s="123">
        <v>0</v>
      </c>
      <c r="AE1723" s="123">
        <v>1666412</v>
      </c>
      <c r="AG1723" s="151">
        <f t="shared" si="318"/>
        <v>70460</v>
      </c>
      <c r="AH1723" s="123">
        <f>75387-AK1723-4250</f>
        <v>70460</v>
      </c>
      <c r="AJ1723" s="123">
        <f>23375*2</f>
        <v>46750</v>
      </c>
      <c r="AK1723" s="123">
        <v>677</v>
      </c>
    </row>
    <row r="1724" spans="1:41" s="123" customFormat="1" ht="16.2" thickBot="1" x14ac:dyDescent="0.35">
      <c r="A1724" s="21"/>
      <c r="B1724" s="212" t="s">
        <v>254</v>
      </c>
      <c r="C1724" s="31" t="str">
        <f>VLOOKUP((CONCATENATE(B1724)),ID!$A$2:$D$305,3,0)</f>
        <v>BA041</v>
      </c>
      <c r="D1724" s="21">
        <v>1</v>
      </c>
      <c r="E1724" s="21" t="s">
        <v>4005</v>
      </c>
      <c r="F1724" s="21" t="s">
        <v>1117</v>
      </c>
      <c r="G1724" s="21" t="s">
        <v>3853</v>
      </c>
      <c r="H1724" s="88">
        <v>3653</v>
      </c>
      <c r="I1724" s="43">
        <v>3670</v>
      </c>
      <c r="J1724" s="43">
        <v>3667</v>
      </c>
      <c r="K1724" s="21">
        <v>1</v>
      </c>
      <c r="L1724" s="43">
        <v>3672</v>
      </c>
      <c r="M1724" s="43">
        <v>3695</v>
      </c>
      <c r="N1724" s="43">
        <v>3680</v>
      </c>
      <c r="O1724" s="21" t="s">
        <v>4037</v>
      </c>
      <c r="P1724" s="194" t="str">
        <f t="shared" si="315"/>
        <v>1</v>
      </c>
      <c r="Q1724" s="21">
        <v>1</v>
      </c>
      <c r="R1724" s="39" t="str">
        <f t="shared" si="317"/>
        <v>-</v>
      </c>
      <c r="S1724" s="120">
        <f t="shared" si="316"/>
        <v>4343082</v>
      </c>
      <c r="T1724" s="123">
        <v>45077177</v>
      </c>
      <c r="U1724" s="123">
        <f>20646741+8588738+1114317</f>
        <v>30349796</v>
      </c>
      <c r="V1724" s="123">
        <f t="shared" si="311"/>
        <v>14727381</v>
      </c>
      <c r="W1724" s="122" t="str">
        <f t="shared" si="312"/>
        <v>1</v>
      </c>
      <c r="X1724" s="123">
        <v>40734095</v>
      </c>
      <c r="AA1724" s="122" t="str">
        <f t="shared" si="313"/>
        <v>0</v>
      </c>
      <c r="AB1724" s="120">
        <f t="shared" si="314"/>
        <v>0</v>
      </c>
      <c r="AC1724" s="123">
        <v>0</v>
      </c>
      <c r="AD1724" s="123">
        <v>0</v>
      </c>
      <c r="AE1724" s="123">
        <v>12169825</v>
      </c>
      <c r="AG1724" s="151">
        <f t="shared" si="318"/>
        <v>444202</v>
      </c>
      <c r="AH1724" s="123">
        <f>466249-22047</f>
        <v>444202</v>
      </c>
      <c r="AJ1724" s="123">
        <v>169079</v>
      </c>
      <c r="AO1724" s="123">
        <v>220478</v>
      </c>
    </row>
    <row r="1725" spans="1:41" s="123" customFormat="1" ht="16.2" thickBot="1" x14ac:dyDescent="0.35">
      <c r="A1725" s="21">
        <v>291.10000000000002</v>
      </c>
      <c r="B1725" s="212" t="s">
        <v>254</v>
      </c>
      <c r="C1725" s="31" t="str">
        <f>VLOOKUP((CONCATENATE(B1725)),ID!$A$2:$D$305,3,0)</f>
        <v>BA041</v>
      </c>
      <c r="D1725" s="21">
        <v>1</v>
      </c>
      <c r="E1725" s="21" t="s">
        <v>4005</v>
      </c>
      <c r="F1725" s="21" t="s">
        <v>1117</v>
      </c>
      <c r="G1725" s="21" t="s">
        <v>3853</v>
      </c>
      <c r="H1725" s="88">
        <v>4018</v>
      </c>
      <c r="I1725" s="43">
        <v>4032</v>
      </c>
      <c r="J1725" s="43">
        <v>4031</v>
      </c>
      <c r="K1725" s="21">
        <v>1</v>
      </c>
      <c r="L1725" s="43">
        <v>4036</v>
      </c>
      <c r="M1725" s="43">
        <v>4058</v>
      </c>
      <c r="N1725" s="43">
        <v>4044</v>
      </c>
      <c r="O1725" s="21" t="s">
        <v>4037</v>
      </c>
      <c r="P1725" s="194" t="str">
        <f t="shared" si="315"/>
        <v>1</v>
      </c>
      <c r="Q1725" s="21">
        <v>1</v>
      </c>
      <c r="R1725" s="39" t="str">
        <f t="shared" si="317"/>
        <v>-</v>
      </c>
      <c r="S1725" s="120">
        <f t="shared" si="316"/>
        <v>4363810</v>
      </c>
      <c r="T1725" s="123">
        <v>47493006</v>
      </c>
      <c r="U1725" s="123">
        <f>8469297+21979248+1131493</f>
        <v>31580038</v>
      </c>
      <c r="V1725" s="123">
        <f t="shared" si="311"/>
        <v>15912968</v>
      </c>
      <c r="W1725" s="122" t="str">
        <f t="shared" si="312"/>
        <v>1</v>
      </c>
      <c r="X1725" s="123">
        <v>43129196</v>
      </c>
      <c r="AA1725" s="122" t="str">
        <f t="shared" si="313"/>
        <v>0</v>
      </c>
      <c r="AB1725" s="120">
        <f t="shared" si="314"/>
        <v>0</v>
      </c>
      <c r="AC1725" s="123">
        <v>0</v>
      </c>
      <c r="AD1725" s="123">
        <v>0</v>
      </c>
      <c r="AE1725" s="123">
        <v>11733978</v>
      </c>
      <c r="AG1725" s="151">
        <f t="shared" si="318"/>
        <v>494636</v>
      </c>
      <c r="AH1725" s="123">
        <f>516683-22047</f>
        <v>494636</v>
      </c>
      <c r="AJ1725" s="123">
        <v>209454</v>
      </c>
      <c r="AO1725" s="123">
        <f>220478</f>
        <v>220478</v>
      </c>
    </row>
    <row r="1726" spans="1:41" s="123" customFormat="1" ht="16.2" thickBot="1" x14ac:dyDescent="0.35">
      <c r="A1726" s="21">
        <v>291.2</v>
      </c>
      <c r="B1726" s="212" t="s">
        <v>254</v>
      </c>
      <c r="C1726" s="31" t="str">
        <f>VLOOKUP((CONCATENATE(B1726)),ID!$A$2:$D$305,3,0)</f>
        <v>BA041</v>
      </c>
      <c r="D1726" s="21">
        <v>1</v>
      </c>
      <c r="E1726" s="21" t="s">
        <v>4005</v>
      </c>
      <c r="F1726" s="21" t="s">
        <v>1117</v>
      </c>
      <c r="G1726" s="21" t="s">
        <v>3853</v>
      </c>
      <c r="H1726" s="88">
        <v>4383</v>
      </c>
      <c r="I1726" s="43">
        <v>4396</v>
      </c>
      <c r="J1726" s="43">
        <v>4395</v>
      </c>
      <c r="K1726" s="21">
        <v>1</v>
      </c>
      <c r="L1726" s="43">
        <v>4400</v>
      </c>
      <c r="M1726" s="43">
        <v>4422</v>
      </c>
      <c r="N1726" s="43">
        <v>4408</v>
      </c>
      <c r="O1726" s="21" t="s">
        <v>4037</v>
      </c>
      <c r="P1726" s="194" t="str">
        <f t="shared" si="315"/>
        <v>1</v>
      </c>
      <c r="Q1726" s="21">
        <v>1</v>
      </c>
      <c r="R1726" s="39" t="str">
        <f t="shared" si="317"/>
        <v>-</v>
      </c>
      <c r="S1726" s="120">
        <f t="shared" si="316"/>
        <v>4378669</v>
      </c>
      <c r="T1726" s="123">
        <v>47857622</v>
      </c>
      <c r="U1726" s="123">
        <f>7492935+22267917+1116583</f>
        <v>30877435</v>
      </c>
      <c r="V1726" s="123">
        <f t="shared" si="311"/>
        <v>16980187</v>
      </c>
      <c r="W1726" s="122" t="str">
        <f t="shared" si="312"/>
        <v>1</v>
      </c>
      <c r="X1726" s="123">
        <v>43478953</v>
      </c>
      <c r="AA1726" s="122" t="str">
        <f t="shared" si="313"/>
        <v>0</v>
      </c>
      <c r="AB1726" s="120">
        <f t="shared" si="314"/>
        <v>0</v>
      </c>
      <c r="AC1726" s="123">
        <v>0</v>
      </c>
      <c r="AD1726" s="123">
        <v>0</v>
      </c>
      <c r="AE1726" s="123">
        <f>6846111+6403971</f>
        <v>13250082</v>
      </c>
      <c r="AG1726" s="151">
        <f t="shared" si="318"/>
        <v>485093</v>
      </c>
      <c r="AH1726" s="123">
        <f>505854-20761</f>
        <v>485093</v>
      </c>
      <c r="AJ1726" s="123">
        <v>207616</v>
      </c>
      <c r="AO1726" s="123">
        <f>220478</f>
        <v>220478</v>
      </c>
    </row>
    <row r="1727" spans="1:41" s="123" customFormat="1" ht="16.2" thickBot="1" x14ac:dyDescent="0.35">
      <c r="A1727" s="21"/>
      <c r="B1727" s="212" t="s">
        <v>254</v>
      </c>
      <c r="C1727" s="31" t="str">
        <f>VLOOKUP((CONCATENATE(B1727)),ID!$A$2:$D$305,3,0)</f>
        <v>BA041</v>
      </c>
      <c r="D1727" s="21">
        <v>1</v>
      </c>
      <c r="E1727" s="21" t="s">
        <v>4005</v>
      </c>
      <c r="F1727" s="21" t="s">
        <v>1117</v>
      </c>
      <c r="G1727" s="21" t="s">
        <v>3853</v>
      </c>
      <c r="H1727" s="88">
        <v>4749</v>
      </c>
      <c r="I1727" s="43">
        <v>4763</v>
      </c>
      <c r="J1727" s="43">
        <v>4763</v>
      </c>
      <c r="K1727" s="21">
        <v>1</v>
      </c>
      <c r="L1727" s="43">
        <v>4764</v>
      </c>
      <c r="M1727" s="43">
        <v>4786</v>
      </c>
      <c r="N1727" s="43">
        <v>4772</v>
      </c>
      <c r="O1727" s="21" t="s">
        <v>4037</v>
      </c>
      <c r="P1727" s="194" t="str">
        <f t="shared" si="315"/>
        <v>1</v>
      </c>
      <c r="Q1727" s="21">
        <v>1</v>
      </c>
      <c r="R1727" s="39" t="str">
        <f t="shared" si="317"/>
        <v>-</v>
      </c>
      <c r="S1727" s="120">
        <f t="shared" si="316"/>
        <v>4390226</v>
      </c>
      <c r="T1727" s="123">
        <v>52409246</v>
      </c>
      <c r="U1727" s="123">
        <f>1104418+24367611+7289674</f>
        <v>32761703</v>
      </c>
      <c r="V1727" s="123">
        <f t="shared" si="311"/>
        <v>19647543</v>
      </c>
      <c r="W1727" s="122" t="str">
        <f t="shared" si="312"/>
        <v>1</v>
      </c>
      <c r="X1727" s="123">
        <v>48019020</v>
      </c>
      <c r="AA1727" s="122" t="str">
        <f t="shared" si="313"/>
        <v>0</v>
      </c>
      <c r="AB1727" s="120">
        <f t="shared" si="314"/>
        <v>0</v>
      </c>
      <c r="AC1727" s="123">
        <v>0</v>
      </c>
      <c r="AD1727" s="123">
        <v>0</v>
      </c>
      <c r="AE1727" s="123">
        <v>14225494</v>
      </c>
      <c r="AG1727" s="151">
        <f t="shared" si="318"/>
        <v>481791</v>
      </c>
      <c r="AH1727" s="123">
        <f>502552-20761</f>
        <v>481791</v>
      </c>
      <c r="AJ1727" s="123">
        <v>207616</v>
      </c>
      <c r="AO1727" s="123">
        <f>220478</f>
        <v>220478</v>
      </c>
    </row>
    <row r="1728" spans="1:41" s="123" customFormat="1" ht="16.2" thickBot="1" x14ac:dyDescent="0.35">
      <c r="A1728" s="21"/>
      <c r="B1728" s="212" t="s">
        <v>254</v>
      </c>
      <c r="C1728" s="31" t="str">
        <f>VLOOKUP((CONCATENATE(B1728)),ID!$A$2:$D$305,3,0)</f>
        <v>BA041</v>
      </c>
      <c r="D1728" s="21">
        <v>1</v>
      </c>
      <c r="E1728" s="21" t="s">
        <v>4005</v>
      </c>
      <c r="F1728" s="21" t="s">
        <v>1117</v>
      </c>
      <c r="G1728" s="21" t="s">
        <v>3853</v>
      </c>
      <c r="H1728" s="88">
        <v>5114</v>
      </c>
      <c r="I1728" s="43">
        <v>5129</v>
      </c>
      <c r="J1728" s="43">
        <v>5128</v>
      </c>
      <c r="K1728" s="21">
        <v>1</v>
      </c>
      <c r="L1728" s="43">
        <v>5135</v>
      </c>
      <c r="M1728" s="43">
        <v>5157</v>
      </c>
      <c r="N1728" s="43">
        <v>5143</v>
      </c>
      <c r="O1728" s="21" t="s">
        <v>4037</v>
      </c>
      <c r="P1728" s="194" t="str">
        <f t="shared" si="315"/>
        <v>1</v>
      </c>
      <c r="Q1728" s="21">
        <v>1</v>
      </c>
      <c r="R1728" s="39" t="str">
        <f t="shared" si="317"/>
        <v>-</v>
      </c>
      <c r="S1728" s="120">
        <f t="shared" si="316"/>
        <v>4414386</v>
      </c>
      <c r="T1728" s="123">
        <v>53847100</v>
      </c>
      <c r="U1728" s="123">
        <f>1107026+24355332+6822235</f>
        <v>32284593</v>
      </c>
      <c r="V1728" s="123">
        <f t="shared" ref="V1728:V1791" si="319">T1728-U1728</f>
        <v>21562507</v>
      </c>
      <c r="W1728" s="122" t="str">
        <f t="shared" ref="W1728:W1791" si="320">IF(V1728+U1728=T1728,"1","0")</f>
        <v>1</v>
      </c>
      <c r="X1728" s="123">
        <v>49432714</v>
      </c>
      <c r="AA1728" s="122" t="str">
        <f t="shared" ref="AA1728:AA1791" si="321">IF(Z1728+Y1728=X1728,"1","0")</f>
        <v>0</v>
      </c>
      <c r="AB1728" s="120">
        <f t="shared" ref="AB1728:AB1791" si="322">SUM(AC1728+AD1728)</f>
        <v>0</v>
      </c>
      <c r="AC1728" s="123">
        <v>0</v>
      </c>
      <c r="AD1728" s="123">
        <v>0</v>
      </c>
      <c r="AE1728" s="123">
        <v>16081810</v>
      </c>
      <c r="AG1728" s="151">
        <f t="shared" si="318"/>
        <v>494393</v>
      </c>
      <c r="AH1728" s="123">
        <f>515154-20761</f>
        <v>494393</v>
      </c>
      <c r="AJ1728" s="123">
        <v>207616</v>
      </c>
      <c r="AO1728" s="123">
        <f>220478</f>
        <v>220478</v>
      </c>
    </row>
    <row r="1729" spans="1:41" s="123" customFormat="1" ht="16.2" thickBot="1" x14ac:dyDescent="0.35">
      <c r="A1729" s="21"/>
      <c r="B1729" s="212" t="s">
        <v>266</v>
      </c>
      <c r="C1729" s="31" t="str">
        <f>VLOOKUP((CONCATENATE(B1729)),ID!$A$2:$D$305,3,0)</f>
        <v>BA042</v>
      </c>
      <c r="D1729" s="21">
        <v>0</v>
      </c>
      <c r="E1729" s="21" t="s">
        <v>4005</v>
      </c>
      <c r="F1729" s="21" t="s">
        <v>1117</v>
      </c>
      <c r="G1729" s="21" t="s">
        <v>3853</v>
      </c>
      <c r="H1729" s="88">
        <v>3653</v>
      </c>
      <c r="I1729" s="43">
        <v>3670</v>
      </c>
      <c r="J1729" s="43">
        <v>3665</v>
      </c>
      <c r="K1729" s="21">
        <v>0</v>
      </c>
      <c r="L1729" s="43"/>
      <c r="M1729" s="43"/>
      <c r="N1729" s="43">
        <v>3679</v>
      </c>
      <c r="O1729" s="21" t="s">
        <v>4038</v>
      </c>
      <c r="P1729" s="194" t="str">
        <f t="shared" si="315"/>
        <v>1</v>
      </c>
      <c r="Q1729" s="21">
        <v>1</v>
      </c>
      <c r="R1729" s="39" t="str">
        <f t="shared" si="317"/>
        <v>-</v>
      </c>
      <c r="S1729" s="120">
        <f t="shared" si="316"/>
        <v>941269</v>
      </c>
      <c r="T1729" s="123">
        <v>7053370</v>
      </c>
      <c r="U1729" s="123">
        <f>2342011+104076</f>
        <v>2446087</v>
      </c>
      <c r="V1729" s="123">
        <f t="shared" si="319"/>
        <v>4607283</v>
      </c>
      <c r="W1729" s="122" t="str">
        <f t="shared" si="320"/>
        <v>1</v>
      </c>
      <c r="X1729" s="123">
        <v>6112101</v>
      </c>
      <c r="AA1729" s="122" t="str">
        <f t="shared" si="321"/>
        <v>0</v>
      </c>
      <c r="AB1729" s="120">
        <f t="shared" si="322"/>
        <v>0</v>
      </c>
      <c r="AC1729" s="123">
        <v>0</v>
      </c>
      <c r="AD1729" s="123">
        <v>0</v>
      </c>
      <c r="AE1729" s="123">
        <v>369502</v>
      </c>
      <c r="AG1729" s="151">
        <f t="shared" si="318"/>
        <v>41705</v>
      </c>
      <c r="AH1729" s="123">
        <f>92547-50842</f>
        <v>41705</v>
      </c>
      <c r="AJ1729" s="123">
        <v>32400</v>
      </c>
    </row>
    <row r="1730" spans="1:41" s="123" customFormat="1" ht="16.2" thickBot="1" x14ac:dyDescent="0.35">
      <c r="A1730" s="21"/>
      <c r="B1730" s="212" t="s">
        <v>266</v>
      </c>
      <c r="C1730" s="31" t="str">
        <f>VLOOKUP((CONCATENATE(B1730)),ID!$A$2:$D$305,3,0)</f>
        <v>BA042</v>
      </c>
      <c r="D1730" s="21">
        <v>0</v>
      </c>
      <c r="E1730" s="21" t="s">
        <v>4005</v>
      </c>
      <c r="F1730" s="21" t="s">
        <v>3802</v>
      </c>
      <c r="G1730" s="21" t="s">
        <v>3853</v>
      </c>
      <c r="H1730" s="88">
        <v>3834</v>
      </c>
      <c r="I1730" s="43">
        <v>3852</v>
      </c>
      <c r="J1730" s="43">
        <v>3846</v>
      </c>
      <c r="K1730" s="21">
        <v>0</v>
      </c>
      <c r="L1730" s="43"/>
      <c r="M1730" s="43"/>
      <c r="N1730" s="43">
        <v>3861</v>
      </c>
      <c r="O1730" s="21" t="s">
        <v>4038</v>
      </c>
      <c r="P1730" s="194" t="str">
        <f t="shared" si="315"/>
        <v>1</v>
      </c>
      <c r="Q1730" s="21">
        <v>1</v>
      </c>
      <c r="R1730" s="39" t="str">
        <f t="shared" si="317"/>
        <v>-</v>
      </c>
      <c r="S1730" s="120">
        <f t="shared" si="316"/>
        <v>935965</v>
      </c>
      <c r="T1730" s="123">
        <v>7133939</v>
      </c>
      <c r="U1730" s="123">
        <f>108115+2341523</f>
        <v>2449638</v>
      </c>
      <c r="V1730" s="123">
        <f t="shared" si="319"/>
        <v>4684301</v>
      </c>
      <c r="W1730" s="122" t="str">
        <f t="shared" si="320"/>
        <v>1</v>
      </c>
      <c r="X1730" s="123">
        <v>6197974</v>
      </c>
      <c r="AA1730" s="122" t="str">
        <f t="shared" si="321"/>
        <v>0</v>
      </c>
      <c r="AB1730" s="120">
        <f t="shared" si="322"/>
        <v>0</v>
      </c>
      <c r="AC1730" s="123">
        <v>0</v>
      </c>
      <c r="AD1730" s="123">
        <v>0</v>
      </c>
      <c r="AE1730" s="123">
        <v>340593</v>
      </c>
      <c r="AG1730" s="151">
        <f t="shared" si="318"/>
        <v>40484</v>
      </c>
      <c r="AH1730" s="123">
        <f>91994-51510</f>
        <v>40484</v>
      </c>
      <c r="AJ1730" s="123">
        <v>32400</v>
      </c>
    </row>
    <row r="1731" spans="1:41" s="123" customFormat="1" ht="16.2" thickBot="1" x14ac:dyDescent="0.35">
      <c r="A1731" s="21">
        <v>292.10000000000002</v>
      </c>
      <c r="B1731" s="212" t="s">
        <v>266</v>
      </c>
      <c r="C1731" s="31" t="str">
        <f>VLOOKUP((CONCATENATE(B1731)),ID!$A$2:$D$305,3,0)</f>
        <v>BA042</v>
      </c>
      <c r="D1731" s="21">
        <v>0</v>
      </c>
      <c r="E1731" s="21" t="s">
        <v>4005</v>
      </c>
      <c r="F1731" s="21" t="s">
        <v>1117</v>
      </c>
      <c r="G1731" s="21" t="s">
        <v>3853</v>
      </c>
      <c r="H1731" s="88">
        <v>4018</v>
      </c>
      <c r="I1731" s="43">
        <v>4034</v>
      </c>
      <c r="J1731" s="43">
        <v>4029</v>
      </c>
      <c r="K1731" s="21">
        <v>0</v>
      </c>
      <c r="L1731" s="21"/>
      <c r="M1731" s="21"/>
      <c r="N1731" s="43">
        <v>4043</v>
      </c>
      <c r="O1731" s="21" t="s">
        <v>4038</v>
      </c>
      <c r="P1731" s="194" t="str">
        <f t="shared" si="315"/>
        <v>1</v>
      </c>
      <c r="Q1731" s="21">
        <v>1</v>
      </c>
      <c r="R1731" s="39" t="str">
        <f t="shared" si="317"/>
        <v>-</v>
      </c>
      <c r="S1731" s="120">
        <f t="shared" si="316"/>
        <v>946423</v>
      </c>
      <c r="T1731" s="123">
        <v>7293024</v>
      </c>
      <c r="U1731" s="123">
        <f>2327787+106953</f>
        <v>2434740</v>
      </c>
      <c r="V1731" s="123">
        <f t="shared" si="319"/>
        <v>4858284</v>
      </c>
      <c r="W1731" s="122" t="str">
        <f t="shared" si="320"/>
        <v>1</v>
      </c>
      <c r="X1731" s="123">
        <v>6346601</v>
      </c>
      <c r="AA1731" s="122" t="str">
        <f t="shared" si="321"/>
        <v>0</v>
      </c>
      <c r="AB1731" s="120">
        <f t="shared" si="322"/>
        <v>0</v>
      </c>
      <c r="AC1731" s="123">
        <v>0</v>
      </c>
      <c r="AD1731" s="123">
        <v>0</v>
      </c>
      <c r="AE1731" s="123">
        <v>358450</v>
      </c>
      <c r="AG1731" s="151">
        <f t="shared" si="318"/>
        <v>45554</v>
      </c>
      <c r="AH1731" s="123">
        <f>96898-51344</f>
        <v>45554</v>
      </c>
      <c r="AJ1731" s="123">
        <v>32400</v>
      </c>
    </row>
    <row r="1732" spans="1:41" s="123" customFormat="1" ht="16.2" thickBot="1" x14ac:dyDescent="0.35">
      <c r="A1732" s="21">
        <v>292.2</v>
      </c>
      <c r="B1732" s="212" t="s">
        <v>266</v>
      </c>
      <c r="C1732" s="31" t="str">
        <f>VLOOKUP((CONCATENATE(B1732)),ID!$A$2:$D$305,3,0)</f>
        <v>BA042</v>
      </c>
      <c r="D1732" s="21">
        <v>0</v>
      </c>
      <c r="E1732" s="21" t="s">
        <v>4005</v>
      </c>
      <c r="F1732" s="21" t="s">
        <v>3802</v>
      </c>
      <c r="G1732" s="21" t="s">
        <v>3853</v>
      </c>
      <c r="H1732" s="88">
        <v>4199</v>
      </c>
      <c r="I1732" s="43">
        <v>4216</v>
      </c>
      <c r="J1732" s="43">
        <v>4213</v>
      </c>
      <c r="K1732" s="21">
        <v>0</v>
      </c>
      <c r="L1732" s="21"/>
      <c r="M1732" s="21"/>
      <c r="N1732" s="43">
        <v>4225</v>
      </c>
      <c r="O1732" s="21" t="s">
        <v>4038</v>
      </c>
      <c r="P1732" s="194" t="str">
        <f t="shared" si="315"/>
        <v>1</v>
      </c>
      <c r="Q1732" s="21">
        <v>1</v>
      </c>
      <c r="R1732" s="39" t="str">
        <f t="shared" si="317"/>
        <v>-</v>
      </c>
      <c r="S1732" s="120">
        <f t="shared" si="316"/>
        <v>951507</v>
      </c>
      <c r="T1732" s="123">
        <v>7405155</v>
      </c>
      <c r="U1732" s="123">
        <f>103464+2423052</f>
        <v>2526516</v>
      </c>
      <c r="V1732" s="123">
        <f t="shared" si="319"/>
        <v>4878639</v>
      </c>
      <c r="W1732" s="122" t="str">
        <f t="shared" si="320"/>
        <v>1</v>
      </c>
      <c r="X1732" s="123">
        <v>6453648</v>
      </c>
      <c r="AA1732" s="122" t="str">
        <f t="shared" si="321"/>
        <v>0</v>
      </c>
      <c r="AB1732" s="120">
        <f t="shared" si="322"/>
        <v>0</v>
      </c>
      <c r="AC1732" s="123">
        <v>0</v>
      </c>
      <c r="AD1732" s="123">
        <v>0</v>
      </c>
      <c r="AE1732" s="123">
        <v>455072</v>
      </c>
      <c r="AG1732" s="151">
        <f t="shared" si="318"/>
        <v>47484</v>
      </c>
      <c r="AH1732" s="123">
        <f>97791-50307</f>
        <v>47484</v>
      </c>
      <c r="AJ1732" s="123">
        <v>32400</v>
      </c>
    </row>
    <row r="1733" spans="1:41" s="123" customFormat="1" ht="16.2" thickBot="1" x14ac:dyDescent="0.35">
      <c r="A1733" s="21">
        <v>292.3</v>
      </c>
      <c r="B1733" s="212" t="s">
        <v>266</v>
      </c>
      <c r="C1733" s="31" t="str">
        <f>VLOOKUP((CONCATENATE(B1733)),ID!$A$2:$D$305,3,0)</f>
        <v>BA042</v>
      </c>
      <c r="D1733" s="21">
        <v>0</v>
      </c>
      <c r="E1733" s="21" t="s">
        <v>4005</v>
      </c>
      <c r="F1733" s="21" t="s">
        <v>1117</v>
      </c>
      <c r="G1733" s="21" t="s">
        <v>3853</v>
      </c>
      <c r="H1733" s="88">
        <v>4383</v>
      </c>
      <c r="I1733" s="43">
        <v>4398</v>
      </c>
      <c r="J1733" s="43">
        <v>4393</v>
      </c>
      <c r="K1733" s="21">
        <v>0</v>
      </c>
      <c r="L1733" s="21"/>
      <c r="M1733" s="21"/>
      <c r="N1733" s="43">
        <v>4407</v>
      </c>
      <c r="O1733" s="21" t="s">
        <v>4038</v>
      </c>
      <c r="P1733" s="194" t="str">
        <f t="shared" si="315"/>
        <v>1</v>
      </c>
      <c r="Q1733" s="21">
        <v>1</v>
      </c>
      <c r="R1733" s="39" t="str">
        <f t="shared" si="317"/>
        <v>-</v>
      </c>
      <c r="S1733" s="120">
        <f t="shared" si="316"/>
        <v>956177</v>
      </c>
      <c r="T1733" s="123">
        <v>7472964</v>
      </c>
      <c r="U1733" s="123">
        <f>2425215+100000</f>
        <v>2525215</v>
      </c>
      <c r="V1733" s="123">
        <f t="shared" si="319"/>
        <v>4947749</v>
      </c>
      <c r="W1733" s="122" t="str">
        <f t="shared" si="320"/>
        <v>1</v>
      </c>
      <c r="X1733" s="123">
        <v>6516787</v>
      </c>
      <c r="AA1733" s="122" t="str">
        <f t="shared" si="321"/>
        <v>0</v>
      </c>
      <c r="AB1733" s="120">
        <f t="shared" si="322"/>
        <v>0</v>
      </c>
      <c r="AC1733" s="123">
        <v>0</v>
      </c>
      <c r="AD1733" s="123">
        <v>0</v>
      </c>
      <c r="AE1733" s="123">
        <v>400892</v>
      </c>
      <c r="AG1733" s="151">
        <f t="shared" si="318"/>
        <v>47184</v>
      </c>
      <c r="AH1733" s="123">
        <f>97558-50374</f>
        <v>47184</v>
      </c>
      <c r="AJ1733" s="123">
        <v>31781</v>
      </c>
    </row>
    <row r="1734" spans="1:41" s="123" customFormat="1" ht="16.2" thickBot="1" x14ac:dyDescent="0.35">
      <c r="A1734" s="21">
        <v>292.39999999999998</v>
      </c>
      <c r="B1734" s="212" t="s">
        <v>266</v>
      </c>
      <c r="C1734" s="31" t="str">
        <f>VLOOKUP((CONCATENATE(B1734)),ID!$A$2:$D$305,3,0)</f>
        <v>BA042</v>
      </c>
      <c r="D1734" s="21">
        <v>0</v>
      </c>
      <c r="E1734" s="21" t="s">
        <v>4005</v>
      </c>
      <c r="F1734" s="21" t="s">
        <v>1117</v>
      </c>
      <c r="G1734" s="21" t="s">
        <v>3853</v>
      </c>
      <c r="H1734" s="88">
        <v>4565</v>
      </c>
      <c r="I1734" s="43">
        <v>4580</v>
      </c>
      <c r="J1734" s="43">
        <v>4575</v>
      </c>
      <c r="K1734" s="21">
        <v>0</v>
      </c>
      <c r="L1734" s="21"/>
      <c r="M1734" s="21"/>
      <c r="N1734" s="43">
        <v>4589</v>
      </c>
      <c r="O1734" s="21" t="s">
        <v>4038</v>
      </c>
      <c r="P1734" s="194" t="str">
        <f t="shared" si="315"/>
        <v>1</v>
      </c>
      <c r="Q1734" s="21">
        <v>1</v>
      </c>
      <c r="R1734" s="39" t="str">
        <f t="shared" si="317"/>
        <v>-</v>
      </c>
      <c r="S1734" s="120">
        <f t="shared" si="316"/>
        <v>961385</v>
      </c>
      <c r="T1734" s="123">
        <v>7514086</v>
      </c>
      <c r="U1734" s="123">
        <f>2500398+100000</f>
        <v>2600398</v>
      </c>
      <c r="V1734" s="123">
        <f t="shared" si="319"/>
        <v>4913688</v>
      </c>
      <c r="W1734" s="122" t="str">
        <f t="shared" si="320"/>
        <v>1</v>
      </c>
      <c r="X1734" s="123">
        <v>6552701</v>
      </c>
      <c r="AA1734" s="122" t="str">
        <f t="shared" si="321"/>
        <v>0</v>
      </c>
      <c r="AB1734" s="120">
        <f t="shared" si="322"/>
        <v>0</v>
      </c>
      <c r="AC1734" s="123">
        <v>0</v>
      </c>
      <c r="AD1734" s="123">
        <v>0</v>
      </c>
      <c r="AE1734" s="123">
        <f>461334</f>
        <v>461334</v>
      </c>
      <c r="AG1734" s="151">
        <f t="shared" si="318"/>
        <v>48989</v>
      </c>
      <c r="AH1734" s="123">
        <f>98309-49320</f>
        <v>48989</v>
      </c>
      <c r="AJ1734" s="123">
        <v>31781</v>
      </c>
    </row>
    <row r="1735" spans="1:41" s="123" customFormat="1" ht="16.2" thickBot="1" x14ac:dyDescent="0.35">
      <c r="A1735" s="21"/>
      <c r="B1735" s="212" t="s">
        <v>266</v>
      </c>
      <c r="C1735" s="31" t="str">
        <f>VLOOKUP((CONCATENATE(B1735)),ID!$A$2:$D$305,3,0)</f>
        <v>BA042</v>
      </c>
      <c r="D1735" s="21">
        <v>0</v>
      </c>
      <c r="E1735" s="21" t="s">
        <v>4005</v>
      </c>
      <c r="F1735" s="21" t="s">
        <v>1117</v>
      </c>
      <c r="G1735" s="21" t="s">
        <v>3853</v>
      </c>
      <c r="H1735" s="88">
        <v>4749</v>
      </c>
      <c r="I1735" s="43">
        <v>4767</v>
      </c>
      <c r="J1735" s="43">
        <v>4758</v>
      </c>
      <c r="K1735" s="21">
        <v>0</v>
      </c>
      <c r="L1735" s="21"/>
      <c r="M1735" s="21"/>
      <c r="N1735" s="43">
        <v>4771</v>
      </c>
      <c r="O1735" s="21" t="s">
        <v>4038</v>
      </c>
      <c r="P1735" s="194" t="str">
        <f t="shared" si="315"/>
        <v>1</v>
      </c>
      <c r="Q1735" s="21">
        <v>1</v>
      </c>
      <c r="R1735" s="39" t="str">
        <f t="shared" si="317"/>
        <v>-</v>
      </c>
      <c r="S1735" s="120">
        <f t="shared" si="316"/>
        <v>960079</v>
      </c>
      <c r="T1735" s="123">
        <v>7710909</v>
      </c>
      <c r="U1735" s="123">
        <f>100000+2456824</f>
        <v>2556824</v>
      </c>
      <c r="V1735" s="123">
        <f t="shared" si="319"/>
        <v>5154085</v>
      </c>
      <c r="W1735" s="122" t="str">
        <f t="shared" si="320"/>
        <v>1</v>
      </c>
      <c r="X1735" s="123">
        <v>6750830</v>
      </c>
      <c r="AA1735" s="122" t="str">
        <f t="shared" si="321"/>
        <v>0</v>
      </c>
      <c r="AB1735" s="120">
        <f t="shared" si="322"/>
        <v>0</v>
      </c>
      <c r="AC1735" s="123">
        <v>0</v>
      </c>
      <c r="AD1735" s="123">
        <v>0</v>
      </c>
      <c r="AE1735" s="123">
        <v>447459</v>
      </c>
      <c r="AG1735" s="151">
        <f t="shared" si="318"/>
        <v>48474</v>
      </c>
      <c r="AH1735" s="123">
        <f>99908-51434</f>
        <v>48474</v>
      </c>
      <c r="AJ1735" s="123">
        <v>31781</v>
      </c>
    </row>
    <row r="1736" spans="1:41" s="123" customFormat="1" ht="16.2" thickBot="1" x14ac:dyDescent="0.35">
      <c r="A1736" s="21"/>
      <c r="B1736" s="212" t="s">
        <v>266</v>
      </c>
      <c r="C1736" s="31" t="str">
        <f>VLOOKUP((CONCATENATE(B1736)),ID!$A$2:$D$305,3,0)</f>
        <v>BA042</v>
      </c>
      <c r="D1736" s="21">
        <v>0</v>
      </c>
      <c r="E1736" s="21" t="s">
        <v>4005</v>
      </c>
      <c r="F1736" s="21" t="s">
        <v>3802</v>
      </c>
      <c r="G1736" s="21" t="s">
        <v>3853</v>
      </c>
      <c r="H1736" s="88">
        <v>4930</v>
      </c>
      <c r="I1736" s="43">
        <v>4944</v>
      </c>
      <c r="J1736" s="43">
        <v>4940</v>
      </c>
      <c r="K1736" s="21">
        <v>0</v>
      </c>
      <c r="L1736" s="21"/>
      <c r="M1736" s="21"/>
      <c r="N1736" s="43">
        <v>4953</v>
      </c>
      <c r="O1736" s="21" t="s">
        <v>4038</v>
      </c>
      <c r="P1736" s="194" t="str">
        <f t="shared" si="315"/>
        <v>1</v>
      </c>
      <c r="Q1736" s="21">
        <v>1</v>
      </c>
      <c r="R1736" s="39" t="str">
        <f t="shared" si="317"/>
        <v>-</v>
      </c>
      <c r="S1736" s="120">
        <f t="shared" si="316"/>
        <v>935739</v>
      </c>
      <c r="T1736" s="123">
        <v>7792068</v>
      </c>
      <c r="U1736" s="123">
        <f>2234180+102400</f>
        <v>2336580</v>
      </c>
      <c r="V1736" s="123">
        <f t="shared" si="319"/>
        <v>5455488</v>
      </c>
      <c r="W1736" s="122" t="str">
        <f t="shared" si="320"/>
        <v>1</v>
      </c>
      <c r="X1736" s="123">
        <v>6856329</v>
      </c>
      <c r="AA1736" s="122" t="str">
        <f t="shared" si="321"/>
        <v>0</v>
      </c>
      <c r="AB1736" s="120">
        <f t="shared" si="322"/>
        <v>0</v>
      </c>
      <c r="AC1736" s="123">
        <v>0</v>
      </c>
      <c r="AD1736" s="123">
        <v>0</v>
      </c>
      <c r="AE1736" s="123">
        <v>501272</v>
      </c>
      <c r="AG1736" s="151">
        <f t="shared" si="318"/>
        <v>52243</v>
      </c>
      <c r="AH1736" s="123">
        <f>103692-51449</f>
        <v>52243</v>
      </c>
      <c r="AJ1736" s="123">
        <v>31781</v>
      </c>
    </row>
    <row r="1737" spans="1:41" s="123" customFormat="1" ht="16.2" thickBot="1" x14ac:dyDescent="0.35">
      <c r="A1737" s="21"/>
      <c r="B1737" s="212" t="s">
        <v>266</v>
      </c>
      <c r="C1737" s="31" t="str">
        <f>VLOOKUP((CONCATENATE(B1737)),ID!$A$2:$D$305,3,0)</f>
        <v>BA042</v>
      </c>
      <c r="D1737" s="21">
        <v>0</v>
      </c>
      <c r="E1737" s="21" t="s">
        <v>4005</v>
      </c>
      <c r="F1737" s="21" t="s">
        <v>1117</v>
      </c>
      <c r="G1737" s="21" t="s">
        <v>3853</v>
      </c>
      <c r="H1737" s="88">
        <v>5114</v>
      </c>
      <c r="I1737" s="43">
        <v>5133</v>
      </c>
      <c r="J1737" s="43">
        <v>5126</v>
      </c>
      <c r="K1737" s="21">
        <v>0</v>
      </c>
      <c r="L1737" s="21"/>
      <c r="M1737" s="21"/>
      <c r="N1737" s="43">
        <v>5142</v>
      </c>
      <c r="O1737" s="21" t="s">
        <v>4038</v>
      </c>
      <c r="P1737" s="194" t="str">
        <f t="shared" ref="P1737:P1800" si="323">IF(AJ1737=0,"?","1")</f>
        <v>1</v>
      </c>
      <c r="Q1737" s="21">
        <v>1</v>
      </c>
      <c r="R1737" s="39" t="str">
        <f t="shared" si="317"/>
        <v>-</v>
      </c>
      <c r="S1737" s="120">
        <f t="shared" ref="S1737:S1800" si="324">T1737-X1737</f>
        <v>945659</v>
      </c>
      <c r="T1737" s="123">
        <v>8163360</v>
      </c>
      <c r="U1737" s="123">
        <f>101893+2153423</f>
        <v>2255316</v>
      </c>
      <c r="V1737" s="123">
        <f t="shared" si="319"/>
        <v>5908044</v>
      </c>
      <c r="W1737" s="122" t="str">
        <f t="shared" si="320"/>
        <v>1</v>
      </c>
      <c r="X1737" s="123">
        <v>7217701</v>
      </c>
      <c r="AA1737" s="122" t="str">
        <f t="shared" si="321"/>
        <v>0</v>
      </c>
      <c r="AB1737" s="120">
        <f t="shared" si="322"/>
        <v>0</v>
      </c>
      <c r="AC1737" s="123">
        <v>0</v>
      </c>
      <c r="AD1737" s="123">
        <v>0</v>
      </c>
      <c r="AE1737" s="123">
        <v>680546</v>
      </c>
      <c r="AG1737" s="151">
        <f t="shared" si="318"/>
        <v>53898</v>
      </c>
      <c r="AH1737" s="123">
        <f>106875-52977</f>
        <v>53898</v>
      </c>
      <c r="AJ1737" s="123">
        <v>31781</v>
      </c>
    </row>
    <row r="1738" spans="1:41" s="123" customFormat="1" ht="16.2" thickBot="1" x14ac:dyDescent="0.35">
      <c r="A1738" s="21"/>
      <c r="B1738" s="212" t="s">
        <v>266</v>
      </c>
      <c r="C1738" s="31" t="str">
        <f>VLOOKUP((CONCATENATE(B1738)),ID!$A$2:$D$305,3,0)</f>
        <v>BA042</v>
      </c>
      <c r="D1738" s="21">
        <v>0</v>
      </c>
      <c r="E1738" s="21" t="s">
        <v>4005</v>
      </c>
      <c r="F1738" s="21" t="s">
        <v>3802</v>
      </c>
      <c r="G1738" s="21" t="s">
        <v>3853</v>
      </c>
      <c r="H1738" s="88">
        <v>5295</v>
      </c>
      <c r="I1738" s="43">
        <v>5308</v>
      </c>
      <c r="J1738" s="43">
        <v>5303</v>
      </c>
      <c r="K1738" s="21">
        <v>0</v>
      </c>
      <c r="L1738" s="21"/>
      <c r="M1738" s="21"/>
      <c r="N1738" s="43">
        <v>5317</v>
      </c>
      <c r="O1738" s="21" t="s">
        <v>4038</v>
      </c>
      <c r="P1738" s="194" t="str">
        <f t="shared" si="323"/>
        <v>1</v>
      </c>
      <c r="Q1738" s="21">
        <v>1</v>
      </c>
      <c r="R1738" s="39" t="str">
        <f t="shared" si="317"/>
        <v>-</v>
      </c>
      <c r="S1738" s="120">
        <f t="shared" si="324"/>
        <v>961409</v>
      </c>
      <c r="T1738" s="123">
        <v>7990401</v>
      </c>
      <c r="U1738" s="123">
        <f>2219021+99999</f>
        <v>2319020</v>
      </c>
      <c r="V1738" s="123">
        <f t="shared" si="319"/>
        <v>5671381</v>
      </c>
      <c r="W1738" s="122" t="str">
        <f t="shared" si="320"/>
        <v>1</v>
      </c>
      <c r="X1738" s="123">
        <v>7028992</v>
      </c>
      <c r="AA1738" s="122" t="str">
        <f t="shared" si="321"/>
        <v>0</v>
      </c>
      <c r="AB1738" s="120">
        <f t="shared" si="322"/>
        <v>0</v>
      </c>
      <c r="AC1738" s="123">
        <v>0</v>
      </c>
      <c r="AD1738" s="123">
        <v>0</v>
      </c>
      <c r="AE1738" s="123">
        <v>651179</v>
      </c>
      <c r="AG1738" s="151">
        <f t="shared" si="318"/>
        <v>52531</v>
      </c>
      <c r="AH1738" s="123">
        <f>104808-52277</f>
        <v>52531</v>
      </c>
      <c r="AJ1738" s="123">
        <v>31710</v>
      </c>
    </row>
    <row r="1739" spans="1:41" s="123" customFormat="1" ht="16.2" thickBot="1" x14ac:dyDescent="0.35">
      <c r="A1739" s="21"/>
      <c r="B1739" s="212" t="s">
        <v>274</v>
      </c>
      <c r="C1739" s="31" t="str">
        <f>VLOOKUP((CONCATENATE(B1739)),ID!$A$2:$D$305,3,0)</f>
        <v>BA043</v>
      </c>
      <c r="D1739" s="21">
        <v>1</v>
      </c>
      <c r="E1739" s="21" t="s">
        <v>4005</v>
      </c>
      <c r="F1739" s="21" t="s">
        <v>3802</v>
      </c>
      <c r="G1739" s="21" t="s">
        <v>3853</v>
      </c>
      <c r="H1739" s="88">
        <v>3896</v>
      </c>
      <c r="I1739" s="43">
        <v>3911</v>
      </c>
      <c r="J1739" s="43">
        <v>3910</v>
      </c>
      <c r="K1739" s="21">
        <v>0</v>
      </c>
      <c r="L1739" s="21"/>
      <c r="M1739" s="21"/>
      <c r="N1739" s="43">
        <v>3922</v>
      </c>
      <c r="O1739" s="21" t="s">
        <v>4039</v>
      </c>
      <c r="P1739" s="194">
        <v>1</v>
      </c>
      <c r="Q1739" s="21">
        <v>1</v>
      </c>
      <c r="R1739" s="39" t="str">
        <f t="shared" si="317"/>
        <v>-</v>
      </c>
      <c r="S1739" s="120">
        <f t="shared" si="324"/>
        <v>532554</v>
      </c>
      <c r="T1739" s="123">
        <v>2356414</v>
      </c>
      <c r="U1739" s="123">
        <f>892614+20637</f>
        <v>913251</v>
      </c>
      <c r="V1739" s="123">
        <f t="shared" si="319"/>
        <v>1443163</v>
      </c>
      <c r="W1739" s="122" t="str">
        <f t="shared" si="320"/>
        <v>1</v>
      </c>
      <c r="X1739" s="123">
        <v>1823860</v>
      </c>
      <c r="AA1739" s="122" t="str">
        <f t="shared" si="321"/>
        <v>0</v>
      </c>
      <c r="AB1739" s="120">
        <f t="shared" si="322"/>
        <v>0</v>
      </c>
      <c r="AC1739" s="123">
        <v>0</v>
      </c>
      <c r="AD1739" s="123">
        <v>0</v>
      </c>
      <c r="AE1739" s="123">
        <v>185793</v>
      </c>
      <c r="AG1739" s="151">
        <f t="shared" si="318"/>
        <v>36122</v>
      </c>
      <c r="AH1739" s="123">
        <f>86814-30118</f>
        <v>56696</v>
      </c>
      <c r="AI1739" s="123">
        <v>1046</v>
      </c>
      <c r="AL1739" s="123">
        <v>19528</v>
      </c>
      <c r="AO1739" s="123">
        <v>30000</v>
      </c>
    </row>
    <row r="1740" spans="1:41" s="123" customFormat="1" ht="16.2" thickBot="1" x14ac:dyDescent="0.35">
      <c r="A1740" s="21">
        <v>293.10000000000002</v>
      </c>
      <c r="B1740" s="212" t="s">
        <v>274</v>
      </c>
      <c r="C1740" s="31" t="str">
        <f>VLOOKUP((CONCATENATE(B1740)),ID!$A$2:$D$305,3,0)</f>
        <v>BA043</v>
      </c>
      <c r="D1740" s="21">
        <v>1</v>
      </c>
      <c r="E1740" s="21" t="s">
        <v>4005</v>
      </c>
      <c r="F1740" s="21" t="s">
        <v>3802</v>
      </c>
      <c r="G1740" s="21" t="s">
        <v>3853</v>
      </c>
      <c r="H1740" s="88">
        <v>4261</v>
      </c>
      <c r="I1740" s="43">
        <v>4277</v>
      </c>
      <c r="J1740" s="43">
        <v>4274</v>
      </c>
      <c r="K1740" s="21">
        <v>0</v>
      </c>
      <c r="L1740" s="21"/>
      <c r="M1740" s="21"/>
      <c r="N1740" s="43">
        <v>4287</v>
      </c>
      <c r="O1740" s="21" t="s">
        <v>4039</v>
      </c>
      <c r="P1740" s="194">
        <v>1</v>
      </c>
      <c r="Q1740" s="21">
        <v>1</v>
      </c>
      <c r="R1740" s="39" t="str">
        <f t="shared" si="317"/>
        <v>-</v>
      </c>
      <c r="S1740" s="120">
        <f t="shared" si="324"/>
        <v>533775</v>
      </c>
      <c r="T1740" s="123">
        <v>2470544</v>
      </c>
      <c r="U1740" s="123">
        <f>20637+892614</f>
        <v>913251</v>
      </c>
      <c r="V1740" s="123">
        <f t="shared" si="319"/>
        <v>1557293</v>
      </c>
      <c r="W1740" s="122" t="str">
        <f t="shared" si="320"/>
        <v>1</v>
      </c>
      <c r="X1740" s="123">
        <v>1936769</v>
      </c>
      <c r="AA1740" s="122" t="str">
        <f t="shared" si="321"/>
        <v>0</v>
      </c>
      <c r="AB1740" s="120">
        <f t="shared" si="322"/>
        <v>0</v>
      </c>
      <c r="AC1740" s="123">
        <v>0</v>
      </c>
      <c r="AD1740" s="123">
        <v>0</v>
      </c>
      <c r="AE1740" s="123">
        <v>206757</v>
      </c>
      <c r="AG1740" s="151">
        <f t="shared" si="318"/>
        <v>36258</v>
      </c>
      <c r="AH1740" s="123">
        <f>90133-29458</f>
        <v>60675</v>
      </c>
      <c r="AI1740" s="123">
        <v>1043</v>
      </c>
      <c r="AL1740" s="123">
        <v>23374</v>
      </c>
      <c r="AO1740" s="123">
        <v>30000</v>
      </c>
    </row>
    <row r="1741" spans="1:41" s="123" customFormat="1" ht="16.2" thickBot="1" x14ac:dyDescent="0.35">
      <c r="A1741" s="21">
        <v>293.2</v>
      </c>
      <c r="B1741" s="212" t="s">
        <v>274</v>
      </c>
      <c r="C1741" s="31" t="str">
        <f>VLOOKUP((CONCATENATE(B1741)),ID!$A$2:$D$305,3,0)</f>
        <v>BA043</v>
      </c>
      <c r="D1741" s="21">
        <v>1</v>
      </c>
      <c r="E1741" s="21" t="s">
        <v>4005</v>
      </c>
      <c r="F1741" s="21" t="s">
        <v>3802</v>
      </c>
      <c r="G1741" s="21" t="s">
        <v>3853</v>
      </c>
      <c r="H1741" s="88">
        <v>4627</v>
      </c>
      <c r="I1741" s="43">
        <v>4643</v>
      </c>
      <c r="J1741" s="43">
        <v>4643</v>
      </c>
      <c r="K1741" s="21">
        <v>0</v>
      </c>
      <c r="L1741" s="21"/>
      <c r="M1741" s="21"/>
      <c r="N1741" s="43">
        <v>4653</v>
      </c>
      <c r="O1741" s="21" t="s">
        <v>4039</v>
      </c>
      <c r="P1741" s="194">
        <v>1</v>
      </c>
      <c r="Q1741" s="21">
        <v>1</v>
      </c>
      <c r="R1741" s="39" t="str">
        <f t="shared" si="317"/>
        <v>-</v>
      </c>
      <c r="S1741" s="120">
        <f t="shared" si="324"/>
        <v>539850</v>
      </c>
      <c r="T1741" s="123">
        <v>2485428</v>
      </c>
      <c r="U1741" s="123">
        <f>30966+892614</f>
        <v>923580</v>
      </c>
      <c r="V1741" s="123">
        <f t="shared" si="319"/>
        <v>1561848</v>
      </c>
      <c r="W1741" s="122" t="str">
        <f t="shared" si="320"/>
        <v>1</v>
      </c>
      <c r="X1741" s="123">
        <v>1945578</v>
      </c>
      <c r="AA1741" s="122" t="str">
        <f t="shared" si="321"/>
        <v>0</v>
      </c>
      <c r="AB1741" s="120">
        <f t="shared" si="322"/>
        <v>0</v>
      </c>
      <c r="AC1741" s="123">
        <v>0</v>
      </c>
      <c r="AD1741" s="123">
        <v>0</v>
      </c>
      <c r="AE1741" s="123">
        <v>179525</v>
      </c>
      <c r="AG1741" s="151">
        <f t="shared" si="318"/>
        <v>37150</v>
      </c>
      <c r="AH1741" s="123">
        <f>91820-29876</f>
        <v>61944</v>
      </c>
      <c r="AI1741" s="123">
        <v>1065</v>
      </c>
      <c r="AL1741" s="123">
        <v>23729</v>
      </c>
      <c r="AO1741" s="123">
        <v>30000</v>
      </c>
    </row>
    <row r="1742" spans="1:41" s="123" customFormat="1" ht="16.2" thickBot="1" x14ac:dyDescent="0.35">
      <c r="A1742" s="21"/>
      <c r="B1742" s="212" t="s">
        <v>274</v>
      </c>
      <c r="C1742" s="31" t="str">
        <f>VLOOKUP((CONCATENATE(B1742)),ID!$A$2:$D$305,3,0)</f>
        <v>BA043</v>
      </c>
      <c r="D1742" s="21">
        <v>1</v>
      </c>
      <c r="E1742" s="21" t="s">
        <v>4005</v>
      </c>
      <c r="F1742" s="21" t="s">
        <v>3802</v>
      </c>
      <c r="G1742" s="21" t="s">
        <v>3853</v>
      </c>
      <c r="H1742" s="88">
        <v>4992</v>
      </c>
      <c r="I1742" s="43">
        <v>5008</v>
      </c>
      <c r="J1742" s="43">
        <v>5007</v>
      </c>
      <c r="K1742" s="21">
        <v>0</v>
      </c>
      <c r="L1742" s="21"/>
      <c r="M1742" s="21"/>
      <c r="N1742" s="43">
        <v>5018</v>
      </c>
      <c r="O1742" s="21" t="s">
        <v>4039</v>
      </c>
      <c r="P1742" s="194">
        <v>1</v>
      </c>
      <c r="Q1742" s="21">
        <v>1</v>
      </c>
      <c r="R1742" s="39" t="str">
        <f t="shared" si="317"/>
        <v>-</v>
      </c>
      <c r="S1742" s="120">
        <f t="shared" si="324"/>
        <v>549302</v>
      </c>
      <c r="T1742" s="123">
        <v>2554675</v>
      </c>
      <c r="U1742" s="123">
        <f>888554+30966</f>
        <v>919520</v>
      </c>
      <c r="V1742" s="123">
        <f t="shared" si="319"/>
        <v>1635155</v>
      </c>
      <c r="W1742" s="122" t="str">
        <f t="shared" si="320"/>
        <v>1</v>
      </c>
      <c r="X1742" s="123">
        <v>2005373</v>
      </c>
      <c r="AA1742" s="122" t="str">
        <f t="shared" si="321"/>
        <v>0</v>
      </c>
      <c r="AB1742" s="120">
        <f t="shared" si="322"/>
        <v>0</v>
      </c>
      <c r="AC1742" s="123">
        <v>0</v>
      </c>
      <c r="AD1742" s="123">
        <v>0</v>
      </c>
      <c r="AE1742" s="123">
        <v>131065</v>
      </c>
      <c r="AG1742" s="151">
        <f t="shared" si="318"/>
        <v>39202</v>
      </c>
      <c r="AH1742" s="123">
        <f>102682-30329</f>
        <v>72353</v>
      </c>
      <c r="AI1742" s="123">
        <v>1144</v>
      </c>
      <c r="AL1742" s="123">
        <v>32007</v>
      </c>
      <c r="AO1742" s="123">
        <v>30000</v>
      </c>
    </row>
    <row r="1743" spans="1:41" s="123" customFormat="1" ht="16.2" thickBot="1" x14ac:dyDescent="0.35">
      <c r="A1743" s="21"/>
      <c r="B1743" s="212" t="s">
        <v>274</v>
      </c>
      <c r="C1743" s="31" t="str">
        <f>VLOOKUP((CONCATENATE(B1743)),ID!$A$2:$D$305,3,0)</f>
        <v>BA043</v>
      </c>
      <c r="D1743" s="21">
        <v>1</v>
      </c>
      <c r="E1743" s="21" t="s">
        <v>4005</v>
      </c>
      <c r="F1743" s="21" t="s">
        <v>3802</v>
      </c>
      <c r="G1743" s="21" t="s">
        <v>3853</v>
      </c>
      <c r="H1743" s="88">
        <v>5357</v>
      </c>
      <c r="I1743" s="43">
        <v>5375</v>
      </c>
      <c r="J1743" s="43">
        <v>5372</v>
      </c>
      <c r="K1743" s="21">
        <v>0</v>
      </c>
      <c r="L1743" s="21"/>
      <c r="M1743" s="21"/>
      <c r="N1743" s="43">
        <v>5385</v>
      </c>
      <c r="O1743" s="21" t="s">
        <v>4039</v>
      </c>
      <c r="P1743" s="194">
        <v>1</v>
      </c>
      <c r="Q1743" s="21">
        <v>1</v>
      </c>
      <c r="R1743" s="39" t="str">
        <f t="shared" si="317"/>
        <v>-</v>
      </c>
      <c r="S1743" s="120">
        <f t="shared" si="324"/>
        <v>558090</v>
      </c>
      <c r="T1743" s="123">
        <v>2584472</v>
      </c>
      <c r="U1743" s="123">
        <f>878554+30966</f>
        <v>909520</v>
      </c>
      <c r="V1743" s="123">
        <f t="shared" si="319"/>
        <v>1674952</v>
      </c>
      <c r="W1743" s="122" t="str">
        <f t="shared" si="320"/>
        <v>1</v>
      </c>
      <c r="X1743" s="123">
        <v>2026382</v>
      </c>
      <c r="AA1743" s="122" t="str">
        <f t="shared" si="321"/>
        <v>0</v>
      </c>
      <c r="AB1743" s="120">
        <f t="shared" si="322"/>
        <v>0</v>
      </c>
      <c r="AC1743" s="123">
        <v>0</v>
      </c>
      <c r="AD1743" s="123">
        <v>0</v>
      </c>
      <c r="AE1743" s="123">
        <v>202833</v>
      </c>
      <c r="AG1743" s="151">
        <f t="shared" si="318"/>
        <v>38039</v>
      </c>
      <c r="AH1743" s="123">
        <f>100334-30586</f>
        <v>69748</v>
      </c>
      <c r="AI1743" s="123">
        <v>1096</v>
      </c>
      <c r="AL1743" s="123">
        <v>30613</v>
      </c>
      <c r="AO1743" s="123">
        <v>30000</v>
      </c>
    </row>
    <row r="1744" spans="1:41" s="123" customFormat="1" ht="16.2" thickBot="1" x14ac:dyDescent="0.35">
      <c r="A1744" s="21"/>
      <c r="B1744" s="212" t="s">
        <v>275</v>
      </c>
      <c r="C1744" s="31" t="str">
        <f>VLOOKUP((CONCATENATE(B1744)),ID!$A$2:$D$305,3,0)</f>
        <v>BA044</v>
      </c>
      <c r="D1744" s="21">
        <v>1</v>
      </c>
      <c r="E1744" s="21" t="s">
        <v>4005</v>
      </c>
      <c r="F1744" s="21" t="s">
        <v>3865</v>
      </c>
      <c r="G1744" s="21" t="s">
        <v>3853</v>
      </c>
      <c r="H1744" s="88">
        <v>3940</v>
      </c>
      <c r="I1744" s="43">
        <v>3979</v>
      </c>
      <c r="J1744" s="43">
        <v>3979</v>
      </c>
      <c r="K1744" s="21">
        <v>0</v>
      </c>
      <c r="L1744" s="21"/>
      <c r="M1744" s="21"/>
      <c r="N1744" s="43">
        <v>3987</v>
      </c>
      <c r="O1744" s="21" t="s">
        <v>4040</v>
      </c>
      <c r="P1744" s="194" t="str">
        <f t="shared" si="323"/>
        <v>1</v>
      </c>
      <c r="Q1744" s="21">
        <v>1</v>
      </c>
      <c r="R1744" s="39" t="str">
        <f t="shared" si="317"/>
        <v>-</v>
      </c>
      <c r="S1744" s="120">
        <f t="shared" si="324"/>
        <v>3123565</v>
      </c>
      <c r="T1744" s="123">
        <v>18501829</v>
      </c>
      <c r="U1744" s="123">
        <f>1492127+864729+1172193+296676+215228+125000</f>
        <v>4165953</v>
      </c>
      <c r="V1744" s="123">
        <f t="shared" si="319"/>
        <v>14335876</v>
      </c>
      <c r="W1744" s="122" t="str">
        <f t="shared" si="320"/>
        <v>1</v>
      </c>
      <c r="X1744" s="123">
        <v>15378264</v>
      </c>
      <c r="AA1744" s="122" t="str">
        <f t="shared" si="321"/>
        <v>0</v>
      </c>
      <c r="AB1744" s="120">
        <f t="shared" si="322"/>
        <v>0</v>
      </c>
      <c r="AC1744" s="123">
        <v>0</v>
      </c>
      <c r="AD1744" s="123">
        <v>0</v>
      </c>
      <c r="AE1744" s="123">
        <v>3177043</v>
      </c>
      <c r="AG1744" s="151">
        <f t="shared" si="318"/>
        <v>232944</v>
      </c>
      <c r="AH1744" s="123">
        <f>237944-5000</f>
        <v>232944</v>
      </c>
      <c r="AJ1744" s="123">
        <v>90000</v>
      </c>
    </row>
    <row r="1745" spans="1:41" s="123" customFormat="1" ht="16.2" thickBot="1" x14ac:dyDescent="0.35">
      <c r="A1745" s="21">
        <v>294.10000000000002</v>
      </c>
      <c r="B1745" s="212" t="s">
        <v>275</v>
      </c>
      <c r="C1745" s="31" t="str">
        <f>VLOOKUP((CONCATENATE(B1745)),ID!$A$2:$D$305,3,0)</f>
        <v>BA044</v>
      </c>
      <c r="D1745" s="21">
        <v>1</v>
      </c>
      <c r="E1745" s="21" t="s">
        <v>4005</v>
      </c>
      <c r="F1745" s="21" t="s">
        <v>3865</v>
      </c>
      <c r="G1745" s="21" t="s">
        <v>3853</v>
      </c>
      <c r="H1745" s="88">
        <v>4305</v>
      </c>
      <c r="I1745" s="43">
        <v>4339</v>
      </c>
      <c r="J1745" s="43">
        <v>4339</v>
      </c>
      <c r="K1745" s="21">
        <v>0</v>
      </c>
      <c r="L1745" s="21"/>
      <c r="M1745" s="21"/>
      <c r="N1745" s="43">
        <v>4351</v>
      </c>
      <c r="O1745" s="21" t="s">
        <v>4040</v>
      </c>
      <c r="P1745" s="194" t="str">
        <f t="shared" si="323"/>
        <v>1</v>
      </c>
      <c r="Q1745" s="21">
        <v>1</v>
      </c>
      <c r="R1745" s="39" t="str">
        <f t="shared" si="317"/>
        <v>-</v>
      </c>
      <c r="S1745" s="120">
        <f t="shared" si="324"/>
        <v>3126565</v>
      </c>
      <c r="T1745" s="123">
        <v>19533334</v>
      </c>
      <c r="U1745" s="123">
        <f>332966+289539+211753+125000+1385933+840528+1359921</f>
        <v>4545640</v>
      </c>
      <c r="V1745" s="123">
        <f t="shared" si="319"/>
        <v>14987694</v>
      </c>
      <c r="W1745" s="122" t="str">
        <f t="shared" si="320"/>
        <v>1</v>
      </c>
      <c r="X1745" s="123">
        <v>16406769</v>
      </c>
      <c r="AA1745" s="122" t="str">
        <f t="shared" si="321"/>
        <v>0</v>
      </c>
      <c r="AB1745" s="120">
        <f t="shared" si="322"/>
        <v>0</v>
      </c>
      <c r="AC1745" s="123">
        <v>0</v>
      </c>
      <c r="AD1745" s="123">
        <v>0</v>
      </c>
      <c r="AE1745" s="123">
        <v>3910070</v>
      </c>
      <c r="AG1745" s="151">
        <f t="shared" si="318"/>
        <v>242166</v>
      </c>
      <c r="AH1745" s="123">
        <f>247166-5000</f>
        <v>242166</v>
      </c>
      <c r="AJ1745" s="123">
        <v>94166</v>
      </c>
    </row>
    <row r="1746" spans="1:41" s="123" customFormat="1" ht="16.2" thickBot="1" x14ac:dyDescent="0.35">
      <c r="A1746" s="21">
        <v>294.2</v>
      </c>
      <c r="B1746" s="212" t="s">
        <v>275</v>
      </c>
      <c r="C1746" s="31" t="str">
        <f>VLOOKUP((CONCATENATE(B1746)),ID!$A$2:$D$305,3,0)</f>
        <v>BA044</v>
      </c>
      <c r="D1746" s="21">
        <v>1</v>
      </c>
      <c r="E1746" s="21" t="s">
        <v>4005</v>
      </c>
      <c r="F1746" s="21" t="s">
        <v>3865</v>
      </c>
      <c r="G1746" s="21" t="s">
        <v>3853</v>
      </c>
      <c r="H1746" s="88">
        <v>4671</v>
      </c>
      <c r="I1746" s="43">
        <v>4669</v>
      </c>
      <c r="J1746" s="43">
        <v>4707</v>
      </c>
      <c r="K1746" s="21">
        <v>0</v>
      </c>
      <c r="L1746" s="21"/>
      <c r="M1746" s="21"/>
      <c r="N1746" s="43">
        <v>4715</v>
      </c>
      <c r="O1746" s="21" t="s">
        <v>4040</v>
      </c>
      <c r="P1746" s="194" t="str">
        <f t="shared" si="323"/>
        <v>1</v>
      </c>
      <c r="Q1746" s="21">
        <v>1</v>
      </c>
      <c r="R1746" s="39" t="str">
        <f t="shared" si="317"/>
        <v>-</v>
      </c>
      <c r="S1746" s="120">
        <f t="shared" si="324"/>
        <v>3064565</v>
      </c>
      <c r="T1746" s="123">
        <v>20555726</v>
      </c>
      <c r="U1746" s="123">
        <f>1354504+927310+1566187+290453+210575+125000</f>
        <v>4474029</v>
      </c>
      <c r="V1746" s="123">
        <f t="shared" si="319"/>
        <v>16081697</v>
      </c>
      <c r="W1746" s="122" t="str">
        <f t="shared" si="320"/>
        <v>1</v>
      </c>
      <c r="X1746" s="123">
        <v>17491161</v>
      </c>
      <c r="AA1746" s="122" t="str">
        <f t="shared" si="321"/>
        <v>0</v>
      </c>
      <c r="AB1746" s="120">
        <f t="shared" si="322"/>
        <v>0</v>
      </c>
      <c r="AC1746" s="123">
        <v>0</v>
      </c>
      <c r="AD1746" s="123">
        <v>0</v>
      </c>
      <c r="AE1746" s="123">
        <v>3886419</v>
      </c>
      <c r="AG1746" s="151">
        <f t="shared" si="318"/>
        <v>262808</v>
      </c>
      <c r="AH1746" s="123">
        <f>267808-5000</f>
        <v>262808</v>
      </c>
      <c r="AJ1746" s="123">
        <v>94166</v>
      </c>
    </row>
    <row r="1747" spans="1:41" s="123" customFormat="1" ht="16.2" thickBot="1" x14ac:dyDescent="0.35">
      <c r="A1747" s="21"/>
      <c r="B1747" s="212" t="s">
        <v>275</v>
      </c>
      <c r="C1747" s="31" t="str">
        <f>VLOOKUP((CONCATENATE(B1747)),ID!$A$2:$D$305,3,0)</f>
        <v>BA044</v>
      </c>
      <c r="D1747" s="21">
        <v>1</v>
      </c>
      <c r="E1747" s="21" t="s">
        <v>4005</v>
      </c>
      <c r="F1747" s="21" t="s">
        <v>3865</v>
      </c>
      <c r="G1747" s="21" t="s">
        <v>3853</v>
      </c>
      <c r="H1747" s="88">
        <v>5036</v>
      </c>
      <c r="I1747" s="43">
        <v>5060</v>
      </c>
      <c r="J1747" s="43">
        <v>5060</v>
      </c>
      <c r="K1747" s="21">
        <v>0</v>
      </c>
      <c r="L1747" s="21"/>
      <c r="M1747" s="21"/>
      <c r="N1747" s="43">
        <v>5079</v>
      </c>
      <c r="O1747" s="21" t="s">
        <v>4040</v>
      </c>
      <c r="P1747" s="194" t="str">
        <f t="shared" si="323"/>
        <v>1</v>
      </c>
      <c r="Q1747" s="21">
        <v>1</v>
      </c>
      <c r="R1747" s="39" t="str">
        <f t="shared" si="317"/>
        <v>-</v>
      </c>
      <c r="S1747" s="120">
        <f t="shared" si="324"/>
        <v>3163630</v>
      </c>
      <c r="T1747" s="123">
        <v>21669117</v>
      </c>
      <c r="U1747" s="123">
        <f>1357436+876664+1779417+289463+206855+125000</f>
        <v>4634835</v>
      </c>
      <c r="V1747" s="123">
        <f t="shared" si="319"/>
        <v>17034282</v>
      </c>
      <c r="W1747" s="122" t="str">
        <f t="shared" si="320"/>
        <v>1</v>
      </c>
      <c r="X1747" s="123">
        <v>18505487</v>
      </c>
      <c r="AA1747" s="122" t="str">
        <f t="shared" si="321"/>
        <v>0</v>
      </c>
      <c r="AB1747" s="120">
        <f t="shared" si="322"/>
        <v>0</v>
      </c>
      <c r="AC1747" s="123">
        <v>0</v>
      </c>
      <c r="AD1747" s="123">
        <v>0</v>
      </c>
      <c r="AE1747" s="123">
        <v>3858101</v>
      </c>
      <c r="AG1747" s="151">
        <f t="shared" si="318"/>
        <v>269431</v>
      </c>
      <c r="AH1747" s="123">
        <f>275931-6500</f>
        <v>269431</v>
      </c>
      <c r="AJ1747" s="123">
        <v>94166</v>
      </c>
    </row>
    <row r="1748" spans="1:41" s="123" customFormat="1" ht="16.2" thickBot="1" x14ac:dyDescent="0.35">
      <c r="A1748" s="21"/>
      <c r="B1748" s="212" t="s">
        <v>275</v>
      </c>
      <c r="C1748" s="31" t="str">
        <f>VLOOKUP((CONCATENATE(B1748)),ID!$A$2:$D$305,3,0)</f>
        <v>BA044</v>
      </c>
      <c r="D1748" s="21">
        <v>1</v>
      </c>
      <c r="E1748" s="21" t="s">
        <v>4005</v>
      </c>
      <c r="F1748" s="21" t="s">
        <v>3865</v>
      </c>
      <c r="G1748" s="21" t="s">
        <v>3853</v>
      </c>
      <c r="H1748" s="88">
        <v>5401</v>
      </c>
      <c r="I1748" s="43">
        <v>5065</v>
      </c>
      <c r="J1748" s="43">
        <v>5065</v>
      </c>
      <c r="K1748" s="21">
        <v>0</v>
      </c>
      <c r="L1748" s="21"/>
      <c r="M1748" s="21"/>
      <c r="N1748" s="43">
        <v>5443</v>
      </c>
      <c r="O1748" s="21" t="s">
        <v>4040</v>
      </c>
      <c r="P1748" s="194" t="str">
        <f t="shared" si="323"/>
        <v>1</v>
      </c>
      <c r="Q1748" s="21">
        <v>1</v>
      </c>
      <c r="R1748" s="39" t="str">
        <f t="shared" si="317"/>
        <v>-</v>
      </c>
      <c r="S1748" s="120">
        <f t="shared" si="324"/>
        <v>3073130</v>
      </c>
      <c r="T1748" s="123">
        <v>21976695</v>
      </c>
      <c r="U1748" s="123">
        <f>125000+203840+295109+1939932+894487+1604163</f>
        <v>5062531</v>
      </c>
      <c r="V1748" s="123">
        <f t="shared" si="319"/>
        <v>16914164</v>
      </c>
      <c r="W1748" s="122" t="str">
        <f t="shared" si="320"/>
        <v>1</v>
      </c>
      <c r="X1748" s="123">
        <v>18903565</v>
      </c>
      <c r="AA1748" s="122" t="str">
        <f t="shared" si="321"/>
        <v>0</v>
      </c>
      <c r="AB1748" s="120">
        <f t="shared" si="322"/>
        <v>0</v>
      </c>
      <c r="AC1748" s="123">
        <v>0</v>
      </c>
      <c r="AD1748" s="123">
        <v>0</v>
      </c>
      <c r="AE1748" s="123">
        <v>2872476</v>
      </c>
      <c r="AG1748" s="151">
        <f t="shared" si="318"/>
        <v>206667</v>
      </c>
      <c r="AH1748" s="123">
        <f>266308-6500-AK1748</f>
        <v>206667</v>
      </c>
      <c r="AJ1748" s="123">
        <v>94166</v>
      </c>
      <c r="AK1748" s="123">
        <v>53141</v>
      </c>
    </row>
    <row r="1749" spans="1:41" s="123" customFormat="1" ht="16.2" thickBot="1" x14ac:dyDescent="0.35">
      <c r="A1749" s="21"/>
      <c r="B1749" s="212" t="s">
        <v>285</v>
      </c>
      <c r="C1749" s="31" t="str">
        <f>VLOOKUP((CONCATENATE(B1749)),ID!$A$2:$D$305,3,0)</f>
        <v>BA045</v>
      </c>
      <c r="D1749" s="21">
        <v>1</v>
      </c>
      <c r="E1749" s="21" t="s">
        <v>4005</v>
      </c>
      <c r="F1749" s="21" t="s">
        <v>3880</v>
      </c>
      <c r="G1749" s="21" t="s">
        <v>3853</v>
      </c>
      <c r="H1749" s="88">
        <v>3834</v>
      </c>
      <c r="I1749" s="43">
        <v>3845</v>
      </c>
      <c r="J1749" s="43">
        <v>3845</v>
      </c>
      <c r="K1749" s="21">
        <v>0</v>
      </c>
      <c r="L1749" s="21"/>
      <c r="M1749" s="21"/>
      <c r="N1749" s="43">
        <v>3856</v>
      </c>
      <c r="O1749" s="21" t="s">
        <v>4041</v>
      </c>
      <c r="P1749" s="194" t="str">
        <f t="shared" si="323"/>
        <v>1</v>
      </c>
      <c r="Q1749" s="21">
        <v>1</v>
      </c>
      <c r="R1749" s="39" t="str">
        <f t="shared" si="317"/>
        <v>-</v>
      </c>
      <c r="S1749" s="120">
        <f t="shared" si="324"/>
        <v>501196</v>
      </c>
      <c r="T1749" s="123">
        <v>2244749</v>
      </c>
      <c r="U1749" s="123">
        <f>47500+223976</f>
        <v>271476</v>
      </c>
      <c r="V1749" s="123">
        <f t="shared" si="319"/>
        <v>1973273</v>
      </c>
      <c r="W1749" s="122" t="str">
        <f t="shared" si="320"/>
        <v>1</v>
      </c>
      <c r="X1749" s="123">
        <v>1743553</v>
      </c>
      <c r="AA1749" s="122" t="str">
        <f t="shared" si="321"/>
        <v>0</v>
      </c>
      <c r="AB1749" s="120">
        <f t="shared" si="322"/>
        <v>0</v>
      </c>
      <c r="AC1749" s="123">
        <v>0</v>
      </c>
      <c r="AD1749" s="123">
        <v>0</v>
      </c>
      <c r="AE1749" s="123">
        <v>351897</v>
      </c>
      <c r="AG1749" s="151">
        <f t="shared" si="318"/>
        <v>40538</v>
      </c>
      <c r="AH1749" s="123">
        <v>42576</v>
      </c>
      <c r="AI1749" s="123">
        <v>2038</v>
      </c>
      <c r="AJ1749" s="123">
        <v>15000</v>
      </c>
      <c r="AO1749" s="123">
        <f>300000/5</f>
        <v>60000</v>
      </c>
    </row>
    <row r="1750" spans="1:41" s="123" customFormat="1" ht="16.2" thickBot="1" x14ac:dyDescent="0.35">
      <c r="A1750" s="21">
        <v>295.10000000000002</v>
      </c>
      <c r="B1750" s="212" t="s">
        <v>285</v>
      </c>
      <c r="C1750" s="31" t="str">
        <f>VLOOKUP((CONCATENATE(B1750)),ID!$A$2:$D$305,3,0)</f>
        <v>BA045</v>
      </c>
      <c r="D1750" s="21">
        <v>1</v>
      </c>
      <c r="E1750" s="21" t="s">
        <v>4005</v>
      </c>
      <c r="F1750" s="21" t="s">
        <v>3880</v>
      </c>
      <c r="G1750" s="21" t="s">
        <v>3853</v>
      </c>
      <c r="H1750" s="88">
        <v>4199</v>
      </c>
      <c r="I1750" s="43">
        <v>4211</v>
      </c>
      <c r="J1750" s="43">
        <v>4211</v>
      </c>
      <c r="K1750" s="21">
        <v>0</v>
      </c>
      <c r="L1750" s="21"/>
      <c r="M1750" s="21"/>
      <c r="N1750" s="43">
        <v>4227</v>
      </c>
      <c r="O1750" s="21" t="s">
        <v>4041</v>
      </c>
      <c r="P1750" s="194" t="str">
        <f t="shared" si="323"/>
        <v>1</v>
      </c>
      <c r="Q1750" s="21">
        <v>1</v>
      </c>
      <c r="R1750" s="39" t="str">
        <f t="shared" si="317"/>
        <v>-</v>
      </c>
      <c r="S1750" s="120">
        <f t="shared" si="324"/>
        <v>501693</v>
      </c>
      <c r="T1750" s="123">
        <v>2379333</v>
      </c>
      <c r="U1750" s="123">
        <f>221927+47500</f>
        <v>269427</v>
      </c>
      <c r="V1750" s="123">
        <f t="shared" si="319"/>
        <v>2109906</v>
      </c>
      <c r="W1750" s="122" t="str">
        <f t="shared" si="320"/>
        <v>1</v>
      </c>
      <c r="X1750" s="123">
        <v>1877640</v>
      </c>
      <c r="AA1750" s="122" t="str">
        <f t="shared" si="321"/>
        <v>0</v>
      </c>
      <c r="AB1750" s="120">
        <f t="shared" si="322"/>
        <v>0</v>
      </c>
      <c r="AC1750" s="123">
        <v>0</v>
      </c>
      <c r="AD1750" s="123">
        <v>0</v>
      </c>
      <c r="AE1750" s="123">
        <v>345420</v>
      </c>
      <c r="AG1750" s="151">
        <f t="shared" si="318"/>
        <v>43497</v>
      </c>
      <c r="AH1750" s="123">
        <v>43497</v>
      </c>
      <c r="AJ1750" s="123">
        <v>14125</v>
      </c>
      <c r="AO1750" s="123">
        <f>300000/5</f>
        <v>60000</v>
      </c>
    </row>
    <row r="1751" spans="1:41" s="123" customFormat="1" ht="16.2" thickBot="1" x14ac:dyDescent="0.35">
      <c r="A1751" s="21">
        <v>295.2</v>
      </c>
      <c r="B1751" s="212" t="s">
        <v>285</v>
      </c>
      <c r="C1751" s="31" t="str">
        <f>VLOOKUP((CONCATENATE(B1751)),ID!$A$2:$D$305,3,0)</f>
        <v>BA045</v>
      </c>
      <c r="D1751" s="21">
        <v>1</v>
      </c>
      <c r="E1751" s="21" t="s">
        <v>4005</v>
      </c>
      <c r="F1751" s="21" t="s">
        <v>3880</v>
      </c>
      <c r="G1751" s="21" t="s">
        <v>3853</v>
      </c>
      <c r="H1751" s="88">
        <v>4565</v>
      </c>
      <c r="I1751" s="43">
        <v>4576</v>
      </c>
      <c r="J1751" s="43">
        <v>4576</v>
      </c>
      <c r="K1751" s="21">
        <v>0</v>
      </c>
      <c r="L1751" s="21"/>
      <c r="M1751" s="21"/>
      <c r="N1751" s="43">
        <v>4592</v>
      </c>
      <c r="O1751" s="21" t="s">
        <v>4041</v>
      </c>
      <c r="P1751" s="194" t="str">
        <f t="shared" si="323"/>
        <v>1</v>
      </c>
      <c r="Q1751" s="21">
        <v>1</v>
      </c>
      <c r="R1751" s="39" t="str">
        <f t="shared" si="317"/>
        <v>-</v>
      </c>
      <c r="S1751" s="120">
        <f t="shared" si="324"/>
        <v>502390</v>
      </c>
      <c r="T1751" s="123">
        <v>2401586</v>
      </c>
      <c r="U1751" s="123">
        <f>47500+223694</f>
        <v>271194</v>
      </c>
      <c r="V1751" s="123">
        <f t="shared" si="319"/>
        <v>2130392</v>
      </c>
      <c r="W1751" s="122" t="str">
        <f t="shared" si="320"/>
        <v>1</v>
      </c>
      <c r="X1751" s="123">
        <v>1899196</v>
      </c>
      <c r="AA1751" s="122" t="str">
        <f t="shared" si="321"/>
        <v>0</v>
      </c>
      <c r="AB1751" s="120">
        <f t="shared" si="322"/>
        <v>0</v>
      </c>
      <c r="AC1751" s="123">
        <v>0</v>
      </c>
      <c r="AD1751" s="123">
        <v>0</v>
      </c>
      <c r="AE1751" s="123">
        <v>414320</v>
      </c>
      <c r="AG1751" s="151">
        <f t="shared" si="318"/>
        <v>43695</v>
      </c>
      <c r="AH1751" s="123">
        <v>43695</v>
      </c>
      <c r="AJ1751" s="123">
        <v>14125</v>
      </c>
      <c r="AO1751" s="123">
        <f>300000/5</f>
        <v>60000</v>
      </c>
    </row>
    <row r="1752" spans="1:41" s="123" customFormat="1" ht="16.2" thickBot="1" x14ac:dyDescent="0.35">
      <c r="A1752" s="21"/>
      <c r="B1752" s="212" t="s">
        <v>285</v>
      </c>
      <c r="C1752" s="31" t="str">
        <f>VLOOKUP((CONCATENATE(B1752)),ID!$A$2:$D$305,3,0)</f>
        <v>BA045</v>
      </c>
      <c r="D1752" s="21">
        <v>1</v>
      </c>
      <c r="E1752" s="21" t="s">
        <v>4005</v>
      </c>
      <c r="F1752" s="21" t="s">
        <v>3880</v>
      </c>
      <c r="G1752" s="21" t="s">
        <v>3853</v>
      </c>
      <c r="H1752" s="88">
        <v>4930</v>
      </c>
      <c r="I1752" s="43"/>
      <c r="J1752" s="43"/>
      <c r="K1752" s="21"/>
      <c r="L1752" s="21"/>
      <c r="M1752" s="21"/>
      <c r="N1752" s="43"/>
      <c r="O1752" s="21" t="s">
        <v>4041</v>
      </c>
      <c r="P1752" s="194" t="str">
        <f t="shared" si="323"/>
        <v>?</v>
      </c>
      <c r="Q1752" s="21">
        <v>1</v>
      </c>
      <c r="R1752" s="39" t="str">
        <f t="shared" si="317"/>
        <v>-</v>
      </c>
      <c r="S1752" s="175">
        <f t="shared" si="324"/>
        <v>0</v>
      </c>
      <c r="T1752" s="136"/>
      <c r="U1752" s="136"/>
      <c r="V1752" s="136">
        <f t="shared" si="319"/>
        <v>0</v>
      </c>
      <c r="W1752" s="176" t="str">
        <f t="shared" si="320"/>
        <v>1</v>
      </c>
      <c r="X1752" s="136"/>
      <c r="Y1752" s="136"/>
      <c r="Z1752" s="136"/>
      <c r="AA1752" s="176" t="str">
        <f t="shared" si="321"/>
        <v>1</v>
      </c>
      <c r="AB1752" s="175">
        <f t="shared" si="322"/>
        <v>0</v>
      </c>
      <c r="AC1752" s="136"/>
      <c r="AD1752" s="136"/>
      <c r="AE1752" s="136"/>
      <c r="AF1752" s="136"/>
      <c r="AG1752" s="159">
        <f t="shared" si="318"/>
        <v>0</v>
      </c>
      <c r="AH1752" s="136"/>
      <c r="AI1752" s="136"/>
      <c r="AJ1752" s="136"/>
      <c r="AK1752" s="136"/>
      <c r="AL1752" s="136"/>
      <c r="AM1752" s="136"/>
      <c r="AN1752" s="136"/>
      <c r="AO1752" s="136"/>
    </row>
    <row r="1753" spans="1:41" s="123" customFormat="1" ht="16.2" thickBot="1" x14ac:dyDescent="0.35">
      <c r="A1753" s="21"/>
      <c r="B1753" s="212" t="s">
        <v>287</v>
      </c>
      <c r="C1753" s="31" t="str">
        <f>VLOOKUP((CONCATENATE(B1753)),ID!$A$2:$D$305,3,0)</f>
        <v>BA046</v>
      </c>
      <c r="D1753" s="21">
        <v>1</v>
      </c>
      <c r="E1753" s="21" t="s">
        <v>4005</v>
      </c>
      <c r="F1753" s="21" t="s">
        <v>3880</v>
      </c>
      <c r="G1753" s="21" t="s">
        <v>3853</v>
      </c>
      <c r="H1753" s="88">
        <v>3653</v>
      </c>
      <c r="I1753" s="43">
        <v>3672</v>
      </c>
      <c r="J1753" s="43">
        <v>3671</v>
      </c>
      <c r="K1753" s="21">
        <v>1</v>
      </c>
      <c r="L1753" s="43">
        <v>3674</v>
      </c>
      <c r="M1753" s="43">
        <v>3681</v>
      </c>
      <c r="N1753" s="43">
        <v>3681</v>
      </c>
      <c r="O1753" s="21" t="s">
        <v>4042</v>
      </c>
      <c r="P1753" s="194" t="str">
        <f t="shared" si="323"/>
        <v>1</v>
      </c>
      <c r="Q1753" s="21">
        <v>1</v>
      </c>
      <c r="R1753" s="39" t="str">
        <f t="shared" si="317"/>
        <v>-</v>
      </c>
      <c r="S1753" s="120">
        <f t="shared" si="324"/>
        <v>692771</v>
      </c>
      <c r="T1753" s="123">
        <v>4069680</v>
      </c>
      <c r="U1753" s="123">
        <f>644517+67314</f>
        <v>711831</v>
      </c>
      <c r="V1753" s="123">
        <f t="shared" si="319"/>
        <v>3357849</v>
      </c>
      <c r="W1753" s="122" t="str">
        <f t="shared" si="320"/>
        <v>1</v>
      </c>
      <c r="X1753" s="123">
        <v>3376909</v>
      </c>
      <c r="AA1753" s="122" t="str">
        <f t="shared" si="321"/>
        <v>0</v>
      </c>
      <c r="AB1753" s="120">
        <f t="shared" si="322"/>
        <v>0</v>
      </c>
      <c r="AC1753" s="123">
        <v>0</v>
      </c>
      <c r="AD1753" s="123">
        <v>0</v>
      </c>
      <c r="AE1753" s="123">
        <v>873218</v>
      </c>
      <c r="AG1753" s="151">
        <f t="shared" si="318"/>
        <v>59579</v>
      </c>
      <c r="AH1753" s="123">
        <v>59579</v>
      </c>
      <c r="AJ1753" s="123">
        <f>20203+36366</f>
        <v>56569</v>
      </c>
      <c r="AO1753" s="123">
        <v>23090</v>
      </c>
    </row>
    <row r="1754" spans="1:41" s="123" customFormat="1" ht="16.2" thickBot="1" x14ac:dyDescent="0.35">
      <c r="A1754" s="21">
        <v>296.10000000000002</v>
      </c>
      <c r="B1754" s="212" t="s">
        <v>287</v>
      </c>
      <c r="C1754" s="31" t="str">
        <f>VLOOKUP((CONCATENATE(B1754)),ID!$A$2:$D$305,3,0)</f>
        <v>BA046</v>
      </c>
      <c r="D1754" s="21">
        <v>1</v>
      </c>
      <c r="E1754" s="21" t="s">
        <v>4005</v>
      </c>
      <c r="F1754" s="21" t="s">
        <v>3880</v>
      </c>
      <c r="G1754" s="21" t="s">
        <v>3853</v>
      </c>
      <c r="H1754" s="88">
        <v>4018</v>
      </c>
      <c r="I1754" s="43">
        <v>4036</v>
      </c>
      <c r="J1754" s="43">
        <v>4216</v>
      </c>
      <c r="K1754" s="21">
        <v>1</v>
      </c>
      <c r="L1754" s="43">
        <v>4038</v>
      </c>
      <c r="M1754" s="43">
        <v>4045</v>
      </c>
      <c r="N1754" s="43">
        <v>4045</v>
      </c>
      <c r="O1754" s="21" t="s">
        <v>4042</v>
      </c>
      <c r="P1754" s="194" t="str">
        <f t="shared" si="323"/>
        <v>1</v>
      </c>
      <c r="Q1754" s="21">
        <v>1</v>
      </c>
      <c r="R1754" s="39" t="str">
        <f t="shared" si="317"/>
        <v>-</v>
      </c>
      <c r="S1754" s="120">
        <f t="shared" si="324"/>
        <v>709125</v>
      </c>
      <c r="T1754" s="123">
        <v>4127404</v>
      </c>
      <c r="U1754" s="123">
        <f>546407+67962</f>
        <v>614369</v>
      </c>
      <c r="V1754" s="123">
        <f t="shared" si="319"/>
        <v>3513035</v>
      </c>
      <c r="W1754" s="122" t="str">
        <f t="shared" si="320"/>
        <v>1</v>
      </c>
      <c r="X1754" s="123">
        <v>3418279</v>
      </c>
      <c r="AA1754" s="122" t="str">
        <f t="shared" si="321"/>
        <v>0</v>
      </c>
      <c r="AB1754" s="120">
        <f t="shared" si="322"/>
        <v>0</v>
      </c>
      <c r="AC1754" s="123">
        <v>0</v>
      </c>
      <c r="AD1754" s="123">
        <v>0</v>
      </c>
      <c r="AE1754" s="123">
        <v>1100244</v>
      </c>
      <c r="AG1754" s="151">
        <f t="shared" si="318"/>
        <v>64814</v>
      </c>
      <c r="AH1754" s="123">
        <v>64814</v>
      </c>
      <c r="AJ1754" s="123">
        <f>20203+36366</f>
        <v>56569</v>
      </c>
      <c r="AO1754" s="123">
        <v>23090</v>
      </c>
    </row>
    <row r="1755" spans="1:41" s="123" customFormat="1" ht="16.2" thickBot="1" x14ac:dyDescent="0.35">
      <c r="A1755" s="21">
        <v>296.2</v>
      </c>
      <c r="B1755" s="212" t="s">
        <v>287</v>
      </c>
      <c r="C1755" s="31" t="str">
        <f>VLOOKUP((CONCATENATE(B1755)),ID!$A$2:$D$305,3,0)</f>
        <v>BA046</v>
      </c>
      <c r="D1755" s="21">
        <v>1</v>
      </c>
      <c r="E1755" s="21" t="s">
        <v>4005</v>
      </c>
      <c r="F1755" s="21" t="s">
        <v>3880</v>
      </c>
      <c r="G1755" s="21" t="s">
        <v>3853</v>
      </c>
      <c r="H1755" s="88">
        <v>4383</v>
      </c>
      <c r="I1755" s="43">
        <v>4400</v>
      </c>
      <c r="J1755" s="43">
        <v>4399</v>
      </c>
      <c r="K1755" s="21">
        <v>1</v>
      </c>
      <c r="L1755" s="43">
        <v>4402</v>
      </c>
      <c r="M1755" s="43">
        <v>4409</v>
      </c>
      <c r="N1755" s="43">
        <v>4409</v>
      </c>
      <c r="O1755" s="21" t="s">
        <v>4042</v>
      </c>
      <c r="P1755" s="194" t="str">
        <f t="shared" si="323"/>
        <v>1</v>
      </c>
      <c r="Q1755" s="21">
        <v>1</v>
      </c>
      <c r="R1755" s="39" t="str">
        <f t="shared" si="317"/>
        <v>-</v>
      </c>
      <c r="S1755" s="120">
        <f t="shared" si="324"/>
        <v>703850</v>
      </c>
      <c r="T1755" s="123">
        <v>4139199</v>
      </c>
      <c r="U1755" s="123">
        <f>68020+600080</f>
        <v>668100</v>
      </c>
      <c r="V1755" s="123">
        <f t="shared" si="319"/>
        <v>3471099</v>
      </c>
      <c r="W1755" s="122" t="str">
        <f t="shared" si="320"/>
        <v>1</v>
      </c>
      <c r="X1755" s="123">
        <v>3435349</v>
      </c>
      <c r="AA1755" s="122" t="str">
        <f t="shared" si="321"/>
        <v>0</v>
      </c>
      <c r="AB1755" s="120">
        <f t="shared" si="322"/>
        <v>0</v>
      </c>
      <c r="AC1755" s="123">
        <v>0</v>
      </c>
      <c r="AD1755" s="123">
        <v>0</v>
      </c>
      <c r="AE1755" s="123">
        <v>985091</v>
      </c>
      <c r="AG1755" s="151">
        <f t="shared" si="318"/>
        <v>63296</v>
      </c>
      <c r="AH1755" s="123">
        <v>63296</v>
      </c>
      <c r="AJ1755" s="123">
        <f>20203+36366</f>
        <v>56569</v>
      </c>
      <c r="AO1755" s="123">
        <v>23090</v>
      </c>
    </row>
    <row r="1756" spans="1:41" s="123" customFormat="1" ht="16.2" thickBot="1" x14ac:dyDescent="0.35">
      <c r="A1756" s="21"/>
      <c r="B1756" s="212" t="s">
        <v>287</v>
      </c>
      <c r="C1756" s="31" t="str">
        <f>VLOOKUP((CONCATENATE(B1756)),ID!$A$2:$D$305,3,0)</f>
        <v>BA046</v>
      </c>
      <c r="D1756" s="21">
        <v>1</v>
      </c>
      <c r="E1756" s="21" t="s">
        <v>4005</v>
      </c>
      <c r="F1756" s="21" t="s">
        <v>3880</v>
      </c>
      <c r="G1756" s="21" t="s">
        <v>3853</v>
      </c>
      <c r="H1756" s="88">
        <v>4749</v>
      </c>
      <c r="I1756" s="43">
        <v>4770</v>
      </c>
      <c r="J1756" s="43">
        <v>4767</v>
      </c>
      <c r="K1756" s="21">
        <v>1</v>
      </c>
      <c r="L1756" s="43">
        <v>4770</v>
      </c>
      <c r="M1756" s="43">
        <v>4780</v>
      </c>
      <c r="N1756" s="43">
        <v>4780</v>
      </c>
      <c r="O1756" s="21" t="s">
        <v>4042</v>
      </c>
      <c r="P1756" s="194" t="str">
        <f t="shared" si="323"/>
        <v>1</v>
      </c>
      <c r="Q1756" s="21">
        <v>1</v>
      </c>
      <c r="R1756" s="39" t="str">
        <f t="shared" si="317"/>
        <v>-</v>
      </c>
      <c r="S1756" s="120">
        <f t="shared" si="324"/>
        <v>701993</v>
      </c>
      <c r="T1756" s="123">
        <v>4215614</v>
      </c>
      <c r="U1756" s="123">
        <f>517055+66900</f>
        <v>583955</v>
      </c>
      <c r="V1756" s="123">
        <f t="shared" si="319"/>
        <v>3631659</v>
      </c>
      <c r="W1756" s="122" t="str">
        <f t="shared" si="320"/>
        <v>1</v>
      </c>
      <c r="X1756" s="123">
        <v>3513621</v>
      </c>
      <c r="AA1756" s="122" t="str">
        <f t="shared" si="321"/>
        <v>0</v>
      </c>
      <c r="AB1756" s="120">
        <f t="shared" si="322"/>
        <v>0</v>
      </c>
      <c r="AC1756" s="123">
        <v>0</v>
      </c>
      <c r="AD1756" s="123">
        <v>0</v>
      </c>
      <c r="AE1756" s="123">
        <v>1144945</v>
      </c>
      <c r="AG1756" s="151">
        <f t="shared" si="318"/>
        <v>67212</v>
      </c>
      <c r="AH1756" s="123">
        <v>67212</v>
      </c>
      <c r="AJ1756" s="123">
        <f>20203+36366</f>
        <v>56569</v>
      </c>
      <c r="AO1756" s="123">
        <v>23090</v>
      </c>
    </row>
    <row r="1757" spans="1:41" s="123" customFormat="1" ht="16.2" thickBot="1" x14ac:dyDescent="0.35">
      <c r="A1757" s="21"/>
      <c r="B1757" s="212" t="s">
        <v>287</v>
      </c>
      <c r="C1757" s="31" t="str">
        <f>VLOOKUP((CONCATENATE(B1757)),ID!$A$2:$D$305,3,0)</f>
        <v>BA046</v>
      </c>
      <c r="D1757" s="21">
        <v>1</v>
      </c>
      <c r="E1757" s="21" t="s">
        <v>4005</v>
      </c>
      <c r="F1757" s="21" t="s">
        <v>3880</v>
      </c>
      <c r="G1757" s="21" t="s">
        <v>3853</v>
      </c>
      <c r="H1757" s="88">
        <v>5114</v>
      </c>
      <c r="I1757" s="43">
        <v>5134</v>
      </c>
      <c r="J1757" s="43">
        <v>5130</v>
      </c>
      <c r="K1757" s="21">
        <v>1</v>
      </c>
      <c r="L1757" s="43">
        <v>5134</v>
      </c>
      <c r="M1757" s="43">
        <v>5144</v>
      </c>
      <c r="N1757" s="43">
        <v>5144</v>
      </c>
      <c r="O1757" s="21" t="s">
        <v>4042</v>
      </c>
      <c r="P1757" s="194" t="str">
        <f t="shared" si="323"/>
        <v>1</v>
      </c>
      <c r="Q1757" s="21">
        <v>1</v>
      </c>
      <c r="R1757" s="39" t="str">
        <f t="shared" si="317"/>
        <v>-</v>
      </c>
      <c r="S1757" s="120">
        <f t="shared" si="324"/>
        <v>709561</v>
      </c>
      <c r="T1757" s="123">
        <v>4474348</v>
      </c>
      <c r="U1757" s="123">
        <f>65400+514050</f>
        <v>579450</v>
      </c>
      <c r="V1757" s="123">
        <f t="shared" si="319"/>
        <v>3894898</v>
      </c>
      <c r="W1757" s="122" t="str">
        <f t="shared" si="320"/>
        <v>1</v>
      </c>
      <c r="X1757" s="123">
        <v>3764787</v>
      </c>
      <c r="AA1757" s="122" t="str">
        <f t="shared" si="321"/>
        <v>0</v>
      </c>
      <c r="AB1757" s="120">
        <f t="shared" si="322"/>
        <v>0</v>
      </c>
      <c r="AC1757" s="123">
        <v>0</v>
      </c>
      <c r="AD1757" s="123">
        <v>0</v>
      </c>
      <c r="AE1757" s="123">
        <v>1289234</v>
      </c>
      <c r="AG1757" s="151">
        <f t="shared" si="318"/>
        <v>72180</v>
      </c>
      <c r="AH1757" s="123">
        <v>72180</v>
      </c>
      <c r="AJ1757" s="123">
        <f>20203+36366</f>
        <v>56569</v>
      </c>
      <c r="AO1757" s="123">
        <v>23090</v>
      </c>
    </row>
    <row r="1758" spans="1:41" s="123" customFormat="1" ht="16.2" thickBot="1" x14ac:dyDescent="0.35">
      <c r="A1758" s="21"/>
      <c r="B1758" s="212" t="s">
        <v>296</v>
      </c>
      <c r="C1758" s="31" t="str">
        <f>VLOOKUP((CONCATENATE(B1758)),ID!$A$2:$D$305,3,0)</f>
        <v>BA047</v>
      </c>
      <c r="D1758" s="21">
        <v>0</v>
      </c>
      <c r="E1758" s="21" t="s">
        <v>4005</v>
      </c>
      <c r="F1758" s="21" t="s">
        <v>1117</v>
      </c>
      <c r="G1758" s="21" t="s">
        <v>4032</v>
      </c>
      <c r="H1758" s="88">
        <v>3653</v>
      </c>
      <c r="I1758" s="43">
        <v>3736</v>
      </c>
      <c r="J1758" s="43">
        <v>3733</v>
      </c>
      <c r="K1758" s="21">
        <v>1</v>
      </c>
      <c r="L1758" s="43">
        <v>3731</v>
      </c>
      <c r="M1758" s="43">
        <v>3754</v>
      </c>
      <c r="N1758" s="43">
        <v>3755</v>
      </c>
      <c r="O1758" s="21" t="s">
        <v>4043</v>
      </c>
      <c r="P1758" s="194">
        <v>1</v>
      </c>
      <c r="Q1758" s="21">
        <v>1</v>
      </c>
      <c r="R1758" s="39" t="str">
        <f t="shared" si="317"/>
        <v>-</v>
      </c>
      <c r="S1758" s="120">
        <f t="shared" si="324"/>
        <v>3563778</v>
      </c>
      <c r="T1758" s="123">
        <v>25789985</v>
      </c>
      <c r="U1758" s="123">
        <f>2806021+60000+501112+30384+8167</f>
        <v>3405684</v>
      </c>
      <c r="V1758" s="123">
        <f t="shared" si="319"/>
        <v>22384301</v>
      </c>
      <c r="W1758" s="122" t="str">
        <f t="shared" si="320"/>
        <v>1</v>
      </c>
      <c r="X1758" s="123">
        <v>22226207</v>
      </c>
      <c r="AA1758" s="122" t="str">
        <f t="shared" si="321"/>
        <v>0</v>
      </c>
      <c r="AB1758" s="120">
        <f t="shared" si="322"/>
        <v>0</v>
      </c>
      <c r="AC1758" s="123">
        <v>0</v>
      </c>
      <c r="AD1758" s="123">
        <v>0</v>
      </c>
      <c r="AE1758" s="123">
        <v>3710338</v>
      </c>
      <c r="AG1758" s="151">
        <f t="shared" si="318"/>
        <v>128644</v>
      </c>
      <c r="AH1758" s="123">
        <f>380786-27512-224630</f>
        <v>128644</v>
      </c>
      <c r="AO1758" s="123">
        <v>61941</v>
      </c>
    </row>
    <row r="1759" spans="1:41" s="123" customFormat="1" ht="16.2" thickBot="1" x14ac:dyDescent="0.35">
      <c r="A1759" s="21"/>
      <c r="B1759" s="212" t="s">
        <v>296</v>
      </c>
      <c r="C1759" s="31" t="str">
        <f>VLOOKUP((CONCATENATE(B1759)),ID!$A$2:$D$305,3,0)</f>
        <v>BA047</v>
      </c>
      <c r="D1759" s="21">
        <v>0</v>
      </c>
      <c r="E1759" s="21" t="s">
        <v>4005</v>
      </c>
      <c r="F1759" s="21" t="s">
        <v>1117</v>
      </c>
      <c r="G1759" s="21" t="s">
        <v>4032</v>
      </c>
      <c r="H1759" s="88">
        <v>3834</v>
      </c>
      <c r="I1759" s="43">
        <v>3916</v>
      </c>
      <c r="J1759" s="43">
        <v>3911</v>
      </c>
      <c r="K1759" s="21">
        <v>1</v>
      </c>
      <c r="L1759" s="43">
        <v>3920</v>
      </c>
      <c r="M1759" s="43">
        <v>3943</v>
      </c>
      <c r="N1759" s="43">
        <v>3944</v>
      </c>
      <c r="O1759" s="21" t="s">
        <v>4043</v>
      </c>
      <c r="P1759" s="194">
        <v>1</v>
      </c>
      <c r="Q1759" s="21">
        <v>1</v>
      </c>
      <c r="R1759" s="39" t="str">
        <f t="shared" si="317"/>
        <v>-</v>
      </c>
      <c r="S1759" s="120">
        <f t="shared" si="324"/>
        <v>3592626</v>
      </c>
      <c r="T1759" s="123">
        <v>26509190</v>
      </c>
      <c r="U1759" s="123">
        <f>2998621+60000+496790+30916+8272</f>
        <v>3594599</v>
      </c>
      <c r="V1759" s="123">
        <f t="shared" si="319"/>
        <v>22914591</v>
      </c>
      <c r="W1759" s="122" t="str">
        <f t="shared" si="320"/>
        <v>1</v>
      </c>
      <c r="X1759" s="123">
        <v>22916564</v>
      </c>
      <c r="AA1759" s="122" t="str">
        <f t="shared" si="321"/>
        <v>0</v>
      </c>
      <c r="AB1759" s="120">
        <f t="shared" si="322"/>
        <v>0</v>
      </c>
      <c r="AC1759" s="123">
        <v>0</v>
      </c>
      <c r="AD1759" s="123">
        <v>0</v>
      </c>
      <c r="AE1759" s="123">
        <v>3600173</v>
      </c>
      <c r="AG1759" s="151">
        <f t="shared" si="318"/>
        <v>145554</v>
      </c>
      <c r="AH1759" s="123">
        <f>380856-235302</f>
        <v>145554</v>
      </c>
      <c r="AO1759" s="123">
        <v>61941</v>
      </c>
    </row>
    <row r="1760" spans="1:41" s="123" customFormat="1" ht="16.2" thickBot="1" x14ac:dyDescent="0.35">
      <c r="A1760" s="21">
        <v>297.10000000000002</v>
      </c>
      <c r="B1760" s="212" t="s">
        <v>296</v>
      </c>
      <c r="C1760" s="31" t="str">
        <f>VLOOKUP((CONCATENATE(B1760)),ID!$A$2:$D$305,3,0)</f>
        <v>BA047</v>
      </c>
      <c r="D1760" s="21">
        <v>0</v>
      </c>
      <c r="E1760" s="21" t="s">
        <v>4005</v>
      </c>
      <c r="F1760" s="21" t="s">
        <v>1117</v>
      </c>
      <c r="G1760" s="21" t="s">
        <v>4032</v>
      </c>
      <c r="H1760" s="88">
        <v>4018</v>
      </c>
      <c r="I1760" s="43">
        <v>4093</v>
      </c>
      <c r="J1760" s="43">
        <v>4091</v>
      </c>
      <c r="K1760" s="21">
        <v>1</v>
      </c>
      <c r="L1760" s="43">
        <v>4095</v>
      </c>
      <c r="M1760" s="43">
        <v>4118</v>
      </c>
      <c r="N1760" s="43">
        <v>4119</v>
      </c>
      <c r="O1760" s="21" t="s">
        <v>4043</v>
      </c>
      <c r="P1760" s="194">
        <v>1</v>
      </c>
      <c r="Q1760" s="21">
        <v>1</v>
      </c>
      <c r="R1760" s="39" t="str">
        <f t="shared" si="317"/>
        <v>-</v>
      </c>
      <c r="S1760" s="120">
        <f t="shared" si="324"/>
        <v>3624120</v>
      </c>
      <c r="T1760" s="123">
        <v>26435741</v>
      </c>
      <c r="U1760" s="123">
        <f>9560+30427+497441+60000+2950931</f>
        <v>3548359</v>
      </c>
      <c r="V1760" s="123">
        <f t="shared" si="319"/>
        <v>22887382</v>
      </c>
      <c r="W1760" s="122" t="str">
        <f t="shared" si="320"/>
        <v>1</v>
      </c>
      <c r="X1760" s="123">
        <v>22811621</v>
      </c>
      <c r="AA1760" s="122" t="str">
        <f t="shared" si="321"/>
        <v>0</v>
      </c>
      <c r="AB1760" s="120">
        <f t="shared" si="322"/>
        <v>0</v>
      </c>
      <c r="AC1760" s="123">
        <v>0</v>
      </c>
      <c r="AD1760" s="123">
        <v>0</v>
      </c>
      <c r="AE1760" s="123">
        <v>3650544</v>
      </c>
      <c r="AG1760" s="151">
        <f t="shared" si="318"/>
        <v>196731</v>
      </c>
      <c r="AH1760" s="123">
        <f>424997-228266</f>
        <v>196731</v>
      </c>
      <c r="AO1760" s="123">
        <v>61941</v>
      </c>
    </row>
    <row r="1761" spans="1:41" s="123" customFormat="1" ht="16.2" thickBot="1" x14ac:dyDescent="0.35">
      <c r="A1761" s="21">
        <v>297.2</v>
      </c>
      <c r="B1761" s="212" t="s">
        <v>296</v>
      </c>
      <c r="C1761" s="31" t="str">
        <f>VLOOKUP((CONCATENATE(B1761)),ID!$A$2:$D$305,3,0)</f>
        <v>BA047</v>
      </c>
      <c r="D1761" s="21">
        <v>0</v>
      </c>
      <c r="E1761" s="21" t="s">
        <v>4005</v>
      </c>
      <c r="F1761" s="21" t="s">
        <v>1117</v>
      </c>
      <c r="G1761" s="21" t="s">
        <v>4032</v>
      </c>
      <c r="H1761" s="88">
        <v>4199</v>
      </c>
      <c r="I1761" s="43">
        <v>4287</v>
      </c>
      <c r="J1761" s="43">
        <v>4286</v>
      </c>
      <c r="K1761" s="21">
        <v>1</v>
      </c>
      <c r="L1761" s="43">
        <v>4284</v>
      </c>
      <c r="M1761" s="43">
        <v>4307</v>
      </c>
      <c r="N1761" s="43">
        <v>4308</v>
      </c>
      <c r="O1761" s="21" t="s">
        <v>4043</v>
      </c>
      <c r="P1761" s="194">
        <v>1</v>
      </c>
      <c r="Q1761" s="21">
        <v>1</v>
      </c>
      <c r="R1761" s="39" t="str">
        <f t="shared" ref="R1761:R1824" si="325">IF(Q1761=0,"?","-")</f>
        <v>-</v>
      </c>
      <c r="S1761" s="120">
        <f t="shared" si="324"/>
        <v>3641323</v>
      </c>
      <c r="T1761" s="123">
        <v>26960785</v>
      </c>
      <c r="U1761" s="123">
        <f>2597079+60000+491144+20007+9927</f>
        <v>3178157</v>
      </c>
      <c r="V1761" s="123">
        <f t="shared" si="319"/>
        <v>23782628</v>
      </c>
      <c r="W1761" s="122" t="str">
        <f t="shared" si="320"/>
        <v>1</v>
      </c>
      <c r="X1761" s="123">
        <v>23319462</v>
      </c>
      <c r="AA1761" s="122" t="str">
        <f t="shared" si="321"/>
        <v>0</v>
      </c>
      <c r="AB1761" s="120">
        <f t="shared" si="322"/>
        <v>0</v>
      </c>
      <c r="AC1761" s="123">
        <v>0</v>
      </c>
      <c r="AD1761" s="123">
        <v>0</v>
      </c>
      <c r="AE1761" s="123">
        <v>3564598</v>
      </c>
      <c r="AG1761" s="151">
        <f t="shared" si="318"/>
        <v>189980</v>
      </c>
      <c r="AH1761" s="123">
        <f>439823-249843</f>
        <v>189980</v>
      </c>
      <c r="AO1761" s="123">
        <v>61941</v>
      </c>
    </row>
    <row r="1762" spans="1:41" s="123" customFormat="1" ht="16.2" thickBot="1" x14ac:dyDescent="0.35">
      <c r="A1762" s="21">
        <v>297.3</v>
      </c>
      <c r="B1762" s="212" t="s">
        <v>296</v>
      </c>
      <c r="C1762" s="31" t="str">
        <f>VLOOKUP((CONCATENATE(B1762)),ID!$A$2:$D$305,3,0)</f>
        <v>BA047</v>
      </c>
      <c r="D1762" s="21">
        <v>0</v>
      </c>
      <c r="E1762" s="21" t="s">
        <v>4005</v>
      </c>
      <c r="F1762" s="21" t="s">
        <v>1117</v>
      </c>
      <c r="G1762" s="21" t="s">
        <v>4032</v>
      </c>
      <c r="H1762" s="88">
        <v>4383</v>
      </c>
      <c r="I1762" s="43">
        <v>4469</v>
      </c>
      <c r="J1762" s="43">
        <v>4464</v>
      </c>
      <c r="K1762" s="21">
        <v>1</v>
      </c>
      <c r="L1762" s="43">
        <v>4466</v>
      </c>
      <c r="M1762" s="43">
        <v>4502</v>
      </c>
      <c r="N1762" s="43">
        <v>4497</v>
      </c>
      <c r="O1762" s="21" t="s">
        <v>4043</v>
      </c>
      <c r="P1762" s="194">
        <v>1</v>
      </c>
      <c r="Q1762" s="21">
        <v>1</v>
      </c>
      <c r="R1762" s="39" t="str">
        <f t="shared" si="325"/>
        <v>-</v>
      </c>
      <c r="S1762" s="120">
        <f t="shared" si="324"/>
        <v>3666819</v>
      </c>
      <c r="T1762" s="123">
        <v>27367183</v>
      </c>
      <c r="U1762" s="123">
        <f>2774283+60000+495824+27483+10188</f>
        <v>3367778</v>
      </c>
      <c r="V1762" s="123">
        <f t="shared" si="319"/>
        <v>23999405</v>
      </c>
      <c r="W1762" s="122" t="str">
        <f t="shared" si="320"/>
        <v>1</v>
      </c>
      <c r="X1762" s="123">
        <v>23700364</v>
      </c>
      <c r="AA1762" s="122" t="str">
        <f t="shared" si="321"/>
        <v>0</v>
      </c>
      <c r="AB1762" s="120">
        <f t="shared" si="322"/>
        <v>0</v>
      </c>
      <c r="AC1762" s="123">
        <v>0</v>
      </c>
      <c r="AD1762" s="123">
        <v>0</v>
      </c>
      <c r="AE1762" s="123">
        <v>3849568</v>
      </c>
      <c r="AG1762" s="151">
        <f t="shared" si="318"/>
        <v>203846</v>
      </c>
      <c r="AH1762" s="123">
        <f>457481-253635</f>
        <v>203846</v>
      </c>
      <c r="AO1762" s="123">
        <v>61941</v>
      </c>
    </row>
    <row r="1763" spans="1:41" s="123" customFormat="1" ht="16.2" thickBot="1" x14ac:dyDescent="0.35">
      <c r="A1763" s="21">
        <v>297.39999999999998</v>
      </c>
      <c r="B1763" s="212" t="s">
        <v>296</v>
      </c>
      <c r="C1763" s="31" t="str">
        <f>VLOOKUP((CONCATENATE(B1763)),ID!$A$2:$D$305,3,0)</f>
        <v>BA047</v>
      </c>
      <c r="D1763" s="21">
        <v>0</v>
      </c>
      <c r="E1763" s="21" t="s">
        <v>4005</v>
      </c>
      <c r="F1763" s="21" t="s">
        <v>1117</v>
      </c>
      <c r="G1763" s="21" t="s">
        <v>4032</v>
      </c>
      <c r="H1763" s="88">
        <v>4565</v>
      </c>
      <c r="I1763" s="43">
        <v>4651</v>
      </c>
      <c r="J1763" s="43">
        <v>4646</v>
      </c>
      <c r="K1763" s="21">
        <v>1</v>
      </c>
      <c r="L1763" s="43">
        <v>4655</v>
      </c>
      <c r="M1763" s="43">
        <v>4678</v>
      </c>
      <c r="N1763" s="43">
        <v>4679</v>
      </c>
      <c r="O1763" s="21" t="s">
        <v>4043</v>
      </c>
      <c r="P1763" s="194">
        <v>1</v>
      </c>
      <c r="Q1763" s="21">
        <v>1</v>
      </c>
      <c r="R1763" s="39" t="str">
        <f t="shared" si="325"/>
        <v>-</v>
      </c>
      <c r="S1763" s="120">
        <f t="shared" si="324"/>
        <v>3678895</v>
      </c>
      <c r="T1763" s="123">
        <v>27157284</v>
      </c>
      <c r="U1763" s="123">
        <f>2760038+60000+470440+26183+10477</f>
        <v>3327138</v>
      </c>
      <c r="V1763" s="123">
        <f t="shared" si="319"/>
        <v>23830146</v>
      </c>
      <c r="W1763" s="122" t="str">
        <f t="shared" si="320"/>
        <v>1</v>
      </c>
      <c r="X1763" s="123">
        <v>23478389</v>
      </c>
      <c r="AA1763" s="122" t="str">
        <f t="shared" si="321"/>
        <v>0</v>
      </c>
      <c r="AB1763" s="120">
        <f t="shared" si="322"/>
        <v>0</v>
      </c>
      <c r="AC1763" s="123">
        <v>0</v>
      </c>
      <c r="AD1763" s="123">
        <v>0</v>
      </c>
      <c r="AE1763" s="123">
        <v>3707393</v>
      </c>
      <c r="AG1763" s="151">
        <f t="shared" si="318"/>
        <v>201115</v>
      </c>
      <c r="AH1763" s="123">
        <f>479193-278078</f>
        <v>201115</v>
      </c>
      <c r="AO1763" s="123">
        <v>309705</v>
      </c>
    </row>
    <row r="1764" spans="1:41" s="123" customFormat="1" ht="16.2" thickBot="1" x14ac:dyDescent="0.35">
      <c r="A1764" s="21"/>
      <c r="B1764" s="212" t="s">
        <v>296</v>
      </c>
      <c r="C1764" s="31" t="str">
        <f>VLOOKUP((CONCATENATE(B1764)),ID!$A$2:$D$305,3,0)</f>
        <v>BA047</v>
      </c>
      <c r="D1764" s="21">
        <v>0</v>
      </c>
      <c r="E1764" s="21" t="s">
        <v>4005</v>
      </c>
      <c r="F1764" s="21" t="s">
        <v>1117</v>
      </c>
      <c r="G1764" s="21" t="s">
        <v>4032</v>
      </c>
      <c r="H1764" s="88">
        <v>4749</v>
      </c>
      <c r="I1764" s="43">
        <v>4836</v>
      </c>
      <c r="J1764" s="43">
        <v>4835</v>
      </c>
      <c r="K1764" s="21">
        <v>1</v>
      </c>
      <c r="L1764" s="43">
        <v>4837</v>
      </c>
      <c r="M1764" s="43">
        <v>4860</v>
      </c>
      <c r="N1764" s="43">
        <v>4861</v>
      </c>
      <c r="O1764" s="21" t="s">
        <v>4043</v>
      </c>
      <c r="P1764" s="194">
        <v>1</v>
      </c>
      <c r="Q1764" s="21">
        <v>1</v>
      </c>
      <c r="R1764" s="39" t="str">
        <f t="shared" si="325"/>
        <v>-</v>
      </c>
      <c r="S1764" s="120">
        <f t="shared" si="324"/>
        <v>3697160</v>
      </c>
      <c r="T1764" s="123">
        <v>28775101</v>
      </c>
      <c r="U1764" s="123">
        <f>2751188+60000+462957+25714+9849</f>
        <v>3309708</v>
      </c>
      <c r="V1764" s="123">
        <f t="shared" si="319"/>
        <v>25465393</v>
      </c>
      <c r="W1764" s="122" t="str">
        <f t="shared" si="320"/>
        <v>1</v>
      </c>
      <c r="X1764" s="123">
        <v>25077941</v>
      </c>
      <c r="AA1764" s="122" t="str">
        <f t="shared" si="321"/>
        <v>0</v>
      </c>
      <c r="AB1764" s="120">
        <f t="shared" si="322"/>
        <v>0</v>
      </c>
      <c r="AC1764" s="123">
        <v>0</v>
      </c>
      <c r="AD1764" s="123">
        <v>0</v>
      </c>
      <c r="AE1764" s="123">
        <v>4121037</v>
      </c>
      <c r="AG1764" s="151">
        <f t="shared" si="318"/>
        <v>210628</v>
      </c>
      <c r="AH1764" s="123">
        <f>486471-275843</f>
        <v>210628</v>
      </c>
      <c r="AO1764" s="123">
        <v>309705</v>
      </c>
    </row>
    <row r="1765" spans="1:41" s="123" customFormat="1" ht="16.2" thickBot="1" x14ac:dyDescent="0.35">
      <c r="A1765" s="21"/>
      <c r="B1765" s="212" t="s">
        <v>296</v>
      </c>
      <c r="C1765" s="31" t="str">
        <f>VLOOKUP((CONCATENATE(B1765)),ID!$A$2:$D$305,3,0)</f>
        <v>BA047</v>
      </c>
      <c r="D1765" s="21">
        <v>0</v>
      </c>
      <c r="E1765" s="21" t="s">
        <v>4005</v>
      </c>
      <c r="F1765" s="21" t="s">
        <v>1117</v>
      </c>
      <c r="G1765" s="21" t="s">
        <v>4032</v>
      </c>
      <c r="H1765" s="88">
        <v>4930</v>
      </c>
      <c r="I1765" s="43">
        <v>5016</v>
      </c>
      <c r="J1765" s="43">
        <v>5011</v>
      </c>
      <c r="K1765" s="21">
        <v>1</v>
      </c>
      <c r="L1765" s="43">
        <v>5019</v>
      </c>
      <c r="M1765" s="43">
        <v>5043</v>
      </c>
      <c r="N1765" s="43">
        <v>5044</v>
      </c>
      <c r="O1765" s="21" t="s">
        <v>4043</v>
      </c>
      <c r="P1765" s="194">
        <v>1</v>
      </c>
      <c r="Q1765" s="21">
        <v>1</v>
      </c>
      <c r="R1765" s="39" t="str">
        <f t="shared" si="325"/>
        <v>-</v>
      </c>
      <c r="S1765" s="120">
        <f t="shared" si="324"/>
        <v>3707518</v>
      </c>
      <c r="T1765" s="123">
        <v>29724123</v>
      </c>
      <c r="U1765" s="123">
        <f>2716930+60000+458759+24668+9724</f>
        <v>3270081</v>
      </c>
      <c r="V1765" s="123">
        <f t="shared" si="319"/>
        <v>26454042</v>
      </c>
      <c r="W1765" s="122" t="str">
        <f t="shared" si="320"/>
        <v>1</v>
      </c>
      <c r="X1765" s="123">
        <v>26016605</v>
      </c>
      <c r="AA1765" s="122" t="str">
        <f t="shared" si="321"/>
        <v>0</v>
      </c>
      <c r="AB1765" s="120">
        <f t="shared" si="322"/>
        <v>0</v>
      </c>
      <c r="AC1765" s="123">
        <v>0</v>
      </c>
      <c r="AD1765" s="123">
        <v>0</v>
      </c>
      <c r="AE1765" s="123">
        <v>4296281</v>
      </c>
      <c r="AG1765" s="151">
        <f t="shared" si="318"/>
        <v>220923</v>
      </c>
      <c r="AH1765" s="123">
        <f>513694-292771</f>
        <v>220923</v>
      </c>
      <c r="AO1765" s="123">
        <v>309705</v>
      </c>
    </row>
    <row r="1766" spans="1:41" s="123" customFormat="1" ht="16.2" thickBot="1" x14ac:dyDescent="0.35">
      <c r="A1766" s="21"/>
      <c r="B1766" s="212" t="s">
        <v>296</v>
      </c>
      <c r="C1766" s="31" t="str">
        <f>VLOOKUP((CONCATENATE(B1766)),ID!$A$2:$D$305,3,0)</f>
        <v>BA047</v>
      </c>
      <c r="D1766" s="21">
        <v>0</v>
      </c>
      <c r="E1766" s="21" t="s">
        <v>4005</v>
      </c>
      <c r="F1766" s="21" t="s">
        <v>1117</v>
      </c>
      <c r="G1766" s="21" t="s">
        <v>4032</v>
      </c>
      <c r="H1766" s="88">
        <v>5114</v>
      </c>
      <c r="I1766" s="43">
        <v>5198</v>
      </c>
      <c r="J1766" s="43">
        <v>5197</v>
      </c>
      <c r="K1766" s="21">
        <v>1</v>
      </c>
      <c r="L1766" s="43">
        <v>5201</v>
      </c>
      <c r="M1766" s="43">
        <v>5225</v>
      </c>
      <c r="N1766" s="43">
        <v>5226</v>
      </c>
      <c r="O1766" s="21" t="s">
        <v>4043</v>
      </c>
      <c r="P1766" s="194">
        <v>1</v>
      </c>
      <c r="Q1766" s="21">
        <v>1</v>
      </c>
      <c r="R1766" s="39" t="str">
        <f t="shared" si="325"/>
        <v>-</v>
      </c>
      <c r="S1766" s="120">
        <f t="shared" si="324"/>
        <v>3719016</v>
      </c>
      <c r="T1766" s="123">
        <v>29626460</v>
      </c>
      <c r="U1766" s="123">
        <f>10350+23380+456682+60000+2650242</f>
        <v>3200654</v>
      </c>
      <c r="V1766" s="123">
        <f t="shared" si="319"/>
        <v>26425806</v>
      </c>
      <c r="W1766" s="122" t="str">
        <f t="shared" si="320"/>
        <v>1</v>
      </c>
      <c r="X1766" s="123">
        <v>25907444</v>
      </c>
      <c r="AA1766" s="122" t="str">
        <f t="shared" si="321"/>
        <v>0</v>
      </c>
      <c r="AB1766" s="120">
        <f t="shared" si="322"/>
        <v>0</v>
      </c>
      <c r="AC1766" s="123">
        <v>0</v>
      </c>
      <c r="AD1766" s="123">
        <v>0</v>
      </c>
      <c r="AE1766" s="123">
        <v>5419298</v>
      </c>
      <c r="AG1766" s="151">
        <f t="shared" ref="AG1766:AG1829" si="326">AH1766-AL1766-AI1766</f>
        <v>222249</v>
      </c>
      <c r="AH1766" s="123">
        <f>510841-288592</f>
        <v>222249</v>
      </c>
      <c r="AO1766" s="123">
        <v>309705</v>
      </c>
    </row>
    <row r="1767" spans="1:41" s="123" customFormat="1" ht="16.2" thickBot="1" x14ac:dyDescent="0.35">
      <c r="A1767" s="21"/>
      <c r="B1767" s="212" t="s">
        <v>296</v>
      </c>
      <c r="C1767" s="31" t="str">
        <f>VLOOKUP((CONCATENATE(B1767)),ID!$A$2:$D$305,3,0)</f>
        <v>BA047</v>
      </c>
      <c r="D1767" s="21">
        <v>0</v>
      </c>
      <c r="E1767" s="21" t="s">
        <v>4005</v>
      </c>
      <c r="F1767" s="21" t="s">
        <v>1117</v>
      </c>
      <c r="G1767" s="21" t="s">
        <v>4032</v>
      </c>
      <c r="H1767" s="88">
        <v>5295</v>
      </c>
      <c r="I1767" s="43"/>
      <c r="J1767" s="43">
        <v>5382</v>
      </c>
      <c r="K1767" s="21"/>
      <c r="L1767" s="43"/>
      <c r="M1767" s="43"/>
      <c r="N1767" s="43"/>
      <c r="O1767" s="21" t="s">
        <v>4043</v>
      </c>
      <c r="P1767" s="194">
        <v>1</v>
      </c>
      <c r="Q1767" s="21">
        <v>1</v>
      </c>
      <c r="R1767" s="39" t="str">
        <f t="shared" si="325"/>
        <v>-</v>
      </c>
      <c r="S1767" s="120">
        <f t="shared" si="324"/>
        <v>3320677</v>
      </c>
      <c r="T1767" s="123">
        <v>29928913</v>
      </c>
      <c r="U1767" s="123">
        <f>2843335+60000+485959+22472+9515</f>
        <v>3421281</v>
      </c>
      <c r="V1767" s="123">
        <f t="shared" si="319"/>
        <v>26507632</v>
      </c>
      <c r="W1767" s="122" t="str">
        <f t="shared" si="320"/>
        <v>1</v>
      </c>
      <c r="X1767" s="123">
        <v>26608236</v>
      </c>
      <c r="AA1767" s="122" t="str">
        <f t="shared" si="321"/>
        <v>0</v>
      </c>
      <c r="AB1767" s="120">
        <f t="shared" si="322"/>
        <v>0</v>
      </c>
      <c r="AC1767" s="123">
        <v>0</v>
      </c>
      <c r="AD1767" s="123">
        <v>0</v>
      </c>
      <c r="AE1767" s="123">
        <v>6037621</v>
      </c>
      <c r="AG1767" s="158">
        <f t="shared" si="326"/>
        <v>0</v>
      </c>
      <c r="AH1767" s="199"/>
      <c r="AI1767" s="199"/>
      <c r="AJ1767" s="199"/>
      <c r="AK1767" s="199"/>
      <c r="AL1767" s="199"/>
      <c r="AM1767" s="199"/>
      <c r="AN1767" s="199"/>
      <c r="AO1767" s="199">
        <v>309705</v>
      </c>
    </row>
    <row r="1768" spans="1:41" s="123" customFormat="1" ht="16.2" thickBot="1" x14ac:dyDescent="0.35">
      <c r="A1768" s="21"/>
      <c r="B1768" s="212" t="s">
        <v>307</v>
      </c>
      <c r="C1768" s="31" t="str">
        <f>VLOOKUP((CONCATENATE(B1768)),ID!$A$2:$D$305,3,0)</f>
        <v>BA048</v>
      </c>
      <c r="D1768" s="21">
        <v>1</v>
      </c>
      <c r="E1768" s="21" t="s">
        <v>4005</v>
      </c>
      <c r="F1768" s="21" t="s">
        <v>4035</v>
      </c>
      <c r="G1768" s="21" t="s">
        <v>3853</v>
      </c>
      <c r="H1768" s="88">
        <v>3896</v>
      </c>
      <c r="I1768" s="43">
        <v>3917</v>
      </c>
      <c r="J1768" s="43">
        <v>3910</v>
      </c>
      <c r="K1768" s="21">
        <v>0</v>
      </c>
      <c r="L1768" s="43"/>
      <c r="M1768" s="43"/>
      <c r="N1768" s="43">
        <v>3925</v>
      </c>
      <c r="O1768" s="21" t="s">
        <v>4116</v>
      </c>
      <c r="P1768" s="194" t="str">
        <f t="shared" si="323"/>
        <v>1</v>
      </c>
      <c r="Q1768" s="21">
        <v>1</v>
      </c>
      <c r="R1768" s="39" t="str">
        <f t="shared" si="325"/>
        <v>-</v>
      </c>
      <c r="S1768" s="120">
        <f t="shared" si="324"/>
        <v>1200000</v>
      </c>
      <c r="T1768" s="123">
        <v>10598036</v>
      </c>
      <c r="U1768" s="123">
        <f>2797132</f>
        <v>2797132</v>
      </c>
      <c r="V1768" s="123">
        <f t="shared" si="319"/>
        <v>7800904</v>
      </c>
      <c r="W1768" s="122" t="str">
        <f t="shared" si="320"/>
        <v>1</v>
      </c>
      <c r="X1768" s="123">
        <v>9398036</v>
      </c>
      <c r="AA1768" s="122" t="str">
        <f t="shared" si="321"/>
        <v>0</v>
      </c>
      <c r="AB1768" s="120">
        <f t="shared" si="322"/>
        <v>0</v>
      </c>
      <c r="AC1768" s="123">
        <v>0</v>
      </c>
      <c r="AD1768" s="123">
        <v>0</v>
      </c>
      <c r="AE1768" s="123">
        <v>1617326</v>
      </c>
      <c r="AG1768" s="151">
        <f t="shared" si="326"/>
        <v>104842</v>
      </c>
      <c r="AH1768" s="123">
        <f>114842-10000</f>
        <v>104842</v>
      </c>
      <c r="AJ1768" s="123">
        <v>90000</v>
      </c>
    </row>
    <row r="1769" spans="1:41" s="123" customFormat="1" ht="16.2" thickBot="1" x14ac:dyDescent="0.35">
      <c r="A1769" s="21">
        <v>298.10000000000002</v>
      </c>
      <c r="B1769" s="212" t="s">
        <v>307</v>
      </c>
      <c r="C1769" s="31" t="str">
        <f>VLOOKUP((CONCATENATE(B1769)),ID!$A$2:$D$305,3,0)</f>
        <v>BA048</v>
      </c>
      <c r="D1769" s="21">
        <v>1</v>
      </c>
      <c r="E1769" s="21" t="s">
        <v>4005</v>
      </c>
      <c r="F1769" s="21" t="s">
        <v>4035</v>
      </c>
      <c r="G1769" s="21" t="s">
        <v>3853</v>
      </c>
      <c r="H1769" s="88">
        <v>4261</v>
      </c>
      <c r="I1769" s="43">
        <v>4281</v>
      </c>
      <c r="J1769" s="43">
        <v>4275</v>
      </c>
      <c r="K1769" s="21">
        <v>0</v>
      </c>
      <c r="L1769" s="21"/>
      <c r="M1769" s="21"/>
      <c r="N1769" s="43">
        <v>4289</v>
      </c>
      <c r="O1769" s="21" t="s">
        <v>4116</v>
      </c>
      <c r="P1769" s="194" t="str">
        <f t="shared" si="323"/>
        <v>1</v>
      </c>
      <c r="Q1769" s="21">
        <v>1</v>
      </c>
      <c r="R1769" s="39" t="str">
        <f t="shared" si="325"/>
        <v>-</v>
      </c>
      <c r="S1769" s="120">
        <f t="shared" si="324"/>
        <v>1200000</v>
      </c>
      <c r="T1769" s="123">
        <v>10979910</v>
      </c>
      <c r="U1769" s="123">
        <f>2853741</f>
        <v>2853741</v>
      </c>
      <c r="V1769" s="123">
        <f t="shared" si="319"/>
        <v>8126169</v>
      </c>
      <c r="W1769" s="122" t="str">
        <f t="shared" si="320"/>
        <v>1</v>
      </c>
      <c r="X1769" s="123">
        <v>9779910</v>
      </c>
      <c r="AA1769" s="122" t="str">
        <f t="shared" si="321"/>
        <v>0</v>
      </c>
      <c r="AB1769" s="120">
        <f t="shared" si="322"/>
        <v>0</v>
      </c>
      <c r="AC1769" s="123">
        <v>0</v>
      </c>
      <c r="AD1769" s="123">
        <v>0</v>
      </c>
      <c r="AE1769" s="123">
        <v>1633183</v>
      </c>
      <c r="AG1769" s="151">
        <f t="shared" si="326"/>
        <v>105974</v>
      </c>
      <c r="AH1769" s="123">
        <f>115974-10000</f>
        <v>105974</v>
      </c>
      <c r="AJ1769" s="123">
        <v>90000</v>
      </c>
    </row>
    <row r="1770" spans="1:41" s="123" customFormat="1" ht="16.2" thickBot="1" x14ac:dyDescent="0.35">
      <c r="A1770" s="21">
        <v>298.2</v>
      </c>
      <c r="B1770" s="212" t="s">
        <v>307</v>
      </c>
      <c r="C1770" s="31" t="str">
        <f>VLOOKUP((CONCATENATE(B1770)),ID!$A$2:$D$305,3,0)</f>
        <v>BA048</v>
      </c>
      <c r="D1770" s="21">
        <v>1</v>
      </c>
      <c r="E1770" s="21" t="s">
        <v>4005</v>
      </c>
      <c r="F1770" s="21" t="s">
        <v>4035</v>
      </c>
      <c r="G1770" s="21" t="s">
        <v>3853</v>
      </c>
      <c r="H1770" s="88">
        <v>4627</v>
      </c>
      <c r="I1770" s="43">
        <v>4645</v>
      </c>
      <c r="J1770" s="43">
        <v>4640</v>
      </c>
      <c r="K1770" s="21">
        <v>0</v>
      </c>
      <c r="L1770" s="21"/>
      <c r="M1770" s="21"/>
      <c r="N1770" s="43">
        <v>4653</v>
      </c>
      <c r="O1770" s="21" t="s">
        <v>4116</v>
      </c>
      <c r="P1770" s="194" t="str">
        <f t="shared" si="323"/>
        <v>1</v>
      </c>
      <c r="Q1770" s="21">
        <v>1</v>
      </c>
      <c r="R1770" s="39" t="str">
        <f t="shared" si="325"/>
        <v>-</v>
      </c>
      <c r="S1770" s="120">
        <f t="shared" si="324"/>
        <v>1200000</v>
      </c>
      <c r="T1770" s="123">
        <v>11402391</v>
      </c>
      <c r="U1770" s="123">
        <v>2879016</v>
      </c>
      <c r="V1770" s="123">
        <f t="shared" si="319"/>
        <v>8523375</v>
      </c>
      <c r="W1770" s="122" t="str">
        <f t="shared" si="320"/>
        <v>1</v>
      </c>
      <c r="X1770" s="123">
        <v>10202391</v>
      </c>
      <c r="AA1770" s="122" t="str">
        <f t="shared" si="321"/>
        <v>0</v>
      </c>
      <c r="AB1770" s="120">
        <f t="shared" si="322"/>
        <v>0</v>
      </c>
      <c r="AC1770" s="123">
        <v>0</v>
      </c>
      <c r="AD1770" s="123">
        <v>0</v>
      </c>
      <c r="AE1770" s="123">
        <v>1555808</v>
      </c>
      <c r="AG1770" s="151">
        <f t="shared" si="326"/>
        <v>106641</v>
      </c>
      <c r="AH1770" s="123">
        <f>116641-10000</f>
        <v>106641</v>
      </c>
      <c r="AJ1770" s="123">
        <v>90000</v>
      </c>
    </row>
    <row r="1771" spans="1:41" s="123" customFormat="1" ht="16.2" thickBot="1" x14ac:dyDescent="0.35">
      <c r="A1771" s="21"/>
      <c r="B1771" s="212" t="s">
        <v>307</v>
      </c>
      <c r="C1771" s="31" t="str">
        <f>VLOOKUP((CONCATENATE(B1771)),ID!$A$2:$D$305,3,0)</f>
        <v>BA048</v>
      </c>
      <c r="D1771" s="21">
        <v>1</v>
      </c>
      <c r="E1771" s="21" t="s">
        <v>4005</v>
      </c>
      <c r="F1771" s="21" t="s">
        <v>4035</v>
      </c>
      <c r="G1771" s="21" t="s">
        <v>3853</v>
      </c>
      <c r="H1771" s="88">
        <v>4992</v>
      </c>
      <c r="I1771" s="43">
        <v>5009</v>
      </c>
      <c r="J1771" s="43">
        <v>5006</v>
      </c>
      <c r="K1771" s="21">
        <v>0</v>
      </c>
      <c r="L1771" s="21"/>
      <c r="M1771" s="21"/>
      <c r="N1771" s="43">
        <v>5017</v>
      </c>
      <c r="O1771" s="21" t="s">
        <v>4116</v>
      </c>
      <c r="P1771" s="194" t="str">
        <f t="shared" si="323"/>
        <v>1</v>
      </c>
      <c r="Q1771" s="21">
        <v>1</v>
      </c>
      <c r="R1771" s="39" t="str">
        <f t="shared" si="325"/>
        <v>-</v>
      </c>
      <c r="S1771" s="120">
        <f t="shared" si="324"/>
        <v>1200000</v>
      </c>
      <c r="T1771" s="123">
        <v>12131290</v>
      </c>
      <c r="U1771" s="123">
        <v>2892533</v>
      </c>
      <c r="V1771" s="123">
        <f t="shared" si="319"/>
        <v>9238757</v>
      </c>
      <c r="W1771" s="122" t="str">
        <f t="shared" si="320"/>
        <v>1</v>
      </c>
      <c r="X1771" s="123">
        <v>10931290</v>
      </c>
      <c r="AA1771" s="122" t="str">
        <f t="shared" si="321"/>
        <v>0</v>
      </c>
      <c r="AB1771" s="120">
        <f t="shared" si="322"/>
        <v>0</v>
      </c>
      <c r="AC1771" s="123">
        <v>0</v>
      </c>
      <c r="AD1771" s="123">
        <v>0</v>
      </c>
      <c r="AE1771" s="123">
        <v>1919257</v>
      </c>
      <c r="AG1771" s="151">
        <f t="shared" si="326"/>
        <v>111943</v>
      </c>
      <c r="AH1771" s="123">
        <f>121943-10000</f>
        <v>111943</v>
      </c>
      <c r="AJ1771" s="123">
        <v>90000</v>
      </c>
    </row>
    <row r="1772" spans="1:41" s="123" customFormat="1" ht="16.2" thickBot="1" x14ac:dyDescent="0.35">
      <c r="A1772" s="21"/>
      <c r="B1772" s="212" t="s">
        <v>307</v>
      </c>
      <c r="C1772" s="31" t="str">
        <f>VLOOKUP((CONCATENATE(B1772)),ID!$A$2:$D$305,3,0)</f>
        <v>BA048</v>
      </c>
      <c r="D1772" s="21">
        <v>1</v>
      </c>
      <c r="E1772" s="21" t="s">
        <v>4005</v>
      </c>
      <c r="F1772" s="21" t="s">
        <v>4035</v>
      </c>
      <c r="G1772" s="21" t="s">
        <v>3853</v>
      </c>
      <c r="H1772" s="88">
        <v>5357</v>
      </c>
      <c r="I1772" s="43">
        <v>5373</v>
      </c>
      <c r="J1772" s="43">
        <v>5366</v>
      </c>
      <c r="K1772" s="21">
        <v>0</v>
      </c>
      <c r="L1772" s="21"/>
      <c r="M1772" s="21"/>
      <c r="N1772" s="43">
        <v>5381</v>
      </c>
      <c r="O1772" s="21" t="s">
        <v>4116</v>
      </c>
      <c r="P1772" s="194" t="str">
        <f t="shared" si="323"/>
        <v>1</v>
      </c>
      <c r="Q1772" s="21">
        <v>1</v>
      </c>
      <c r="R1772" s="39" t="str">
        <f t="shared" si="325"/>
        <v>-</v>
      </c>
      <c r="S1772" s="120">
        <f t="shared" si="324"/>
        <v>1200000</v>
      </c>
      <c r="T1772" s="123">
        <v>12612852</v>
      </c>
      <c r="U1772" s="123">
        <v>2883892</v>
      </c>
      <c r="V1772" s="123">
        <f t="shared" si="319"/>
        <v>9728960</v>
      </c>
      <c r="W1772" s="122" t="str">
        <f t="shared" si="320"/>
        <v>1</v>
      </c>
      <c r="X1772" s="123">
        <v>11412852</v>
      </c>
      <c r="AA1772" s="122" t="str">
        <f t="shared" si="321"/>
        <v>0</v>
      </c>
      <c r="AB1772" s="120">
        <f t="shared" si="322"/>
        <v>0</v>
      </c>
      <c r="AC1772" s="123">
        <v>0</v>
      </c>
      <c r="AD1772" s="123">
        <v>0</v>
      </c>
      <c r="AE1772" s="123">
        <v>2563903</v>
      </c>
      <c r="AG1772" s="151">
        <f t="shared" si="326"/>
        <v>112940</v>
      </c>
      <c r="AH1772" s="123">
        <f>122940-10000</f>
        <v>112940</v>
      </c>
      <c r="AJ1772" s="123">
        <v>90000</v>
      </c>
    </row>
    <row r="1773" spans="1:41" s="123" customFormat="1" ht="16.2" thickBot="1" x14ac:dyDescent="0.35">
      <c r="A1773" s="21"/>
      <c r="B1773" s="212" t="s">
        <v>309</v>
      </c>
      <c r="C1773" s="31" t="str">
        <f>VLOOKUP((CONCATENATE(B1773)),ID!$A$2:$D$305,3,0)</f>
        <v>BA049</v>
      </c>
      <c r="D1773" s="21">
        <v>0</v>
      </c>
      <c r="E1773" s="21" t="s">
        <v>4005</v>
      </c>
      <c r="F1773" s="21" t="s">
        <v>1117</v>
      </c>
      <c r="G1773" s="21" t="s">
        <v>3862</v>
      </c>
      <c r="H1773" s="88">
        <v>3712</v>
      </c>
      <c r="I1773" s="43">
        <v>3842</v>
      </c>
      <c r="J1773" s="43">
        <v>3846</v>
      </c>
      <c r="K1773" s="21">
        <v>0</v>
      </c>
      <c r="L1773" s="21"/>
      <c r="M1773" s="21"/>
      <c r="N1773" s="43">
        <v>3859</v>
      </c>
      <c r="O1773" s="21" t="s">
        <v>3974</v>
      </c>
      <c r="P1773" s="194">
        <v>1</v>
      </c>
      <c r="Q1773" s="21">
        <v>1</v>
      </c>
      <c r="R1773" s="39" t="str">
        <f t="shared" si="325"/>
        <v>-</v>
      </c>
      <c r="S1773" s="120">
        <f t="shared" si="324"/>
        <v>2954928</v>
      </c>
      <c r="T1773" s="123">
        <v>26334100</v>
      </c>
      <c r="U1773" s="123">
        <f>429193+119867+1818368</f>
        <v>2367428</v>
      </c>
      <c r="V1773" s="123">
        <f t="shared" si="319"/>
        <v>23966672</v>
      </c>
      <c r="W1773" s="122" t="str">
        <f t="shared" si="320"/>
        <v>1</v>
      </c>
      <c r="X1773" s="123">
        <v>23379172</v>
      </c>
      <c r="AA1773" s="122" t="str">
        <f t="shared" si="321"/>
        <v>0</v>
      </c>
      <c r="AB1773" s="120">
        <f t="shared" si="322"/>
        <v>0</v>
      </c>
      <c r="AC1773" s="123">
        <v>0</v>
      </c>
      <c r="AD1773" s="123">
        <v>0</v>
      </c>
      <c r="AE1773" s="123">
        <v>3888710</v>
      </c>
      <c r="AG1773" s="151">
        <f t="shared" si="326"/>
        <v>126048</v>
      </c>
      <c r="AH1773" s="123">
        <f>136048+AI1773-AK1773</f>
        <v>135696</v>
      </c>
      <c r="AI1773" s="123">
        <v>9648</v>
      </c>
      <c r="AK1773" s="123">
        <v>10000</v>
      </c>
    </row>
    <row r="1774" spans="1:41" s="123" customFormat="1" ht="16.2" thickBot="1" x14ac:dyDescent="0.35">
      <c r="A1774" s="21"/>
      <c r="B1774" s="212" t="s">
        <v>309</v>
      </c>
      <c r="C1774" s="31" t="str">
        <f>VLOOKUP((CONCATENATE(B1774)),ID!$A$2:$D$305,3,0)</f>
        <v>BA049</v>
      </c>
      <c r="D1774" s="21">
        <v>0</v>
      </c>
      <c r="E1774" s="21" t="s">
        <v>4005</v>
      </c>
      <c r="F1774" s="21" t="s">
        <v>1117</v>
      </c>
      <c r="G1774" s="21" t="s">
        <v>3862</v>
      </c>
      <c r="H1774" s="88">
        <v>3896</v>
      </c>
      <c r="I1774" s="43">
        <v>4024</v>
      </c>
      <c r="J1774" s="43">
        <v>4028</v>
      </c>
      <c r="K1774" s="21">
        <v>0</v>
      </c>
      <c r="L1774" s="21"/>
      <c r="M1774" s="21"/>
      <c r="N1774" s="43">
        <v>4041</v>
      </c>
      <c r="O1774" s="21" t="s">
        <v>3974</v>
      </c>
      <c r="P1774" s="194">
        <v>1</v>
      </c>
      <c r="Q1774" s="21">
        <v>1</v>
      </c>
      <c r="R1774" s="39" t="str">
        <f t="shared" si="325"/>
        <v>-</v>
      </c>
      <c r="S1774" s="120">
        <f t="shared" si="324"/>
        <v>2976382</v>
      </c>
      <c r="T1774" s="123">
        <v>26469859</v>
      </c>
      <c r="U1774" s="123">
        <f>119485+428093+1954656</f>
        <v>2502234</v>
      </c>
      <c r="V1774" s="123">
        <f t="shared" si="319"/>
        <v>23967625</v>
      </c>
      <c r="W1774" s="122" t="str">
        <f t="shared" si="320"/>
        <v>1</v>
      </c>
      <c r="X1774" s="123">
        <v>23493477</v>
      </c>
      <c r="AA1774" s="122" t="str">
        <f t="shared" si="321"/>
        <v>0</v>
      </c>
      <c r="AB1774" s="120">
        <f t="shared" si="322"/>
        <v>0</v>
      </c>
      <c r="AC1774" s="123">
        <v>0</v>
      </c>
      <c r="AD1774" s="123">
        <v>0</v>
      </c>
      <c r="AE1774" s="123">
        <v>4669743</v>
      </c>
      <c r="AG1774" s="151">
        <f t="shared" si="326"/>
        <v>126454</v>
      </c>
      <c r="AH1774" s="123">
        <f>141454-AK1774+AI1774</f>
        <v>135817</v>
      </c>
      <c r="AI1774" s="123">
        <v>9363</v>
      </c>
      <c r="AK1774" s="123">
        <v>15000</v>
      </c>
    </row>
    <row r="1775" spans="1:41" s="123" customFormat="1" ht="16.2" thickBot="1" x14ac:dyDescent="0.35">
      <c r="A1775" s="21">
        <v>299.10000000000002</v>
      </c>
      <c r="B1775" s="212" t="s">
        <v>309</v>
      </c>
      <c r="C1775" s="31" t="str">
        <f>VLOOKUP((CONCATENATE(B1775)),ID!$A$2:$D$305,3,0)</f>
        <v>BA049</v>
      </c>
      <c r="D1775" s="21">
        <v>0</v>
      </c>
      <c r="E1775" s="21" t="s">
        <v>4005</v>
      </c>
      <c r="F1775" s="21" t="s">
        <v>1117</v>
      </c>
      <c r="G1775" s="21" t="s">
        <v>3862</v>
      </c>
      <c r="H1775" s="88">
        <v>4077</v>
      </c>
      <c r="I1775" s="43">
        <v>4206</v>
      </c>
      <c r="J1775" s="43">
        <v>4215</v>
      </c>
      <c r="K1775" s="21">
        <v>0</v>
      </c>
      <c r="L1775" s="21"/>
      <c r="M1775" s="21"/>
      <c r="N1775" s="43">
        <v>4223</v>
      </c>
      <c r="O1775" s="21" t="s">
        <v>3974</v>
      </c>
      <c r="P1775" s="194">
        <v>1</v>
      </c>
      <c r="Q1775" s="21">
        <v>1</v>
      </c>
      <c r="R1775" s="39" t="str">
        <f t="shared" si="325"/>
        <v>-</v>
      </c>
      <c r="S1775" s="120">
        <f t="shared" si="324"/>
        <v>2997190</v>
      </c>
      <c r="T1775" s="123">
        <v>28401592</v>
      </c>
      <c r="U1775" s="123">
        <f>119096+417093+2010055</f>
        <v>2546244</v>
      </c>
      <c r="V1775" s="123">
        <f t="shared" si="319"/>
        <v>25855348</v>
      </c>
      <c r="W1775" s="122" t="str">
        <f t="shared" si="320"/>
        <v>1</v>
      </c>
      <c r="X1775" s="123">
        <v>25404402</v>
      </c>
      <c r="AA1775" s="122" t="str">
        <f t="shared" si="321"/>
        <v>0</v>
      </c>
      <c r="AB1775" s="120">
        <f t="shared" si="322"/>
        <v>0</v>
      </c>
      <c r="AC1775" s="123">
        <v>0</v>
      </c>
      <c r="AD1775" s="123">
        <v>0</v>
      </c>
      <c r="AE1775" s="123">
        <v>4852760</v>
      </c>
      <c r="AG1775" s="151">
        <f t="shared" si="326"/>
        <v>125807</v>
      </c>
      <c r="AH1775" s="123">
        <f>305385-169578+9306-AK1775</f>
        <v>135113</v>
      </c>
      <c r="AI1775" s="123">
        <v>9306</v>
      </c>
      <c r="AK1775" s="123">
        <v>10000</v>
      </c>
    </row>
    <row r="1776" spans="1:41" s="123" customFormat="1" ht="16.2" thickBot="1" x14ac:dyDescent="0.35">
      <c r="A1776" s="21">
        <v>299.2</v>
      </c>
      <c r="B1776" s="212" t="s">
        <v>309</v>
      </c>
      <c r="C1776" s="31" t="str">
        <f>VLOOKUP((CONCATENATE(B1776)),ID!$A$2:$D$305,3,0)</f>
        <v>BA049</v>
      </c>
      <c r="D1776" s="21">
        <v>0</v>
      </c>
      <c r="E1776" s="21" t="s">
        <v>4005</v>
      </c>
      <c r="F1776" s="21" t="s">
        <v>1117</v>
      </c>
      <c r="G1776" s="21" t="s">
        <v>3862</v>
      </c>
      <c r="H1776" s="88">
        <v>4261</v>
      </c>
      <c r="I1776" s="43">
        <v>4395</v>
      </c>
      <c r="J1776" s="43">
        <v>4402</v>
      </c>
      <c r="K1776" s="21">
        <v>0</v>
      </c>
      <c r="L1776" s="21"/>
      <c r="M1776" s="21"/>
      <c r="N1776" s="43">
        <v>4412</v>
      </c>
      <c r="O1776" s="21" t="s">
        <v>3974</v>
      </c>
      <c r="P1776" s="194">
        <v>1</v>
      </c>
      <c r="Q1776" s="21">
        <v>1</v>
      </c>
      <c r="R1776" s="39" t="str">
        <f t="shared" si="325"/>
        <v>-</v>
      </c>
      <c r="S1776" s="120">
        <f t="shared" si="324"/>
        <v>3017511</v>
      </c>
      <c r="T1776" s="123">
        <v>27585699</v>
      </c>
      <c r="U1776" s="123">
        <f>187000+406093+2116383</f>
        <v>2709476</v>
      </c>
      <c r="V1776" s="123">
        <f t="shared" si="319"/>
        <v>24876223</v>
      </c>
      <c r="W1776" s="122" t="str">
        <f t="shared" si="320"/>
        <v>1</v>
      </c>
      <c r="X1776" s="123">
        <v>24568188</v>
      </c>
      <c r="AA1776" s="122" t="str">
        <f t="shared" si="321"/>
        <v>0</v>
      </c>
      <c r="AB1776" s="120">
        <f t="shared" si="322"/>
        <v>0</v>
      </c>
      <c r="AC1776" s="123">
        <v>0</v>
      </c>
      <c r="AD1776" s="123">
        <v>0</v>
      </c>
      <c r="AE1776" s="123">
        <v>5891880</v>
      </c>
      <c r="AG1776" s="151">
        <f t="shared" si="326"/>
        <v>125321</v>
      </c>
      <c r="AH1776" s="123">
        <f>306484-171163+8841-AK1776</f>
        <v>134162</v>
      </c>
      <c r="AI1776" s="123">
        <v>8841</v>
      </c>
      <c r="AK1776" s="123">
        <v>10000</v>
      </c>
    </row>
    <row r="1777" spans="1:41" s="123" customFormat="1" ht="16.2" thickBot="1" x14ac:dyDescent="0.35">
      <c r="A1777" s="21">
        <v>299.3</v>
      </c>
      <c r="B1777" s="212" t="s">
        <v>309</v>
      </c>
      <c r="C1777" s="31" t="str">
        <f>VLOOKUP((CONCATENATE(B1777)),ID!$A$2:$D$305,3,0)</f>
        <v>BA049</v>
      </c>
      <c r="D1777" s="21">
        <v>0</v>
      </c>
      <c r="E1777" s="21" t="s">
        <v>4005</v>
      </c>
      <c r="F1777" s="21" t="s">
        <v>1117</v>
      </c>
      <c r="G1777" s="21" t="s">
        <v>3862</v>
      </c>
      <c r="H1777" s="88">
        <v>4442</v>
      </c>
      <c r="I1777" s="43">
        <v>4575</v>
      </c>
      <c r="J1777" s="43">
        <v>4574</v>
      </c>
      <c r="K1777" s="21">
        <v>0</v>
      </c>
      <c r="L1777" s="21"/>
      <c r="M1777" s="21"/>
      <c r="N1777" s="43">
        <v>4587</v>
      </c>
      <c r="O1777" s="21" t="s">
        <v>3974</v>
      </c>
      <c r="P1777" s="194">
        <v>1</v>
      </c>
      <c r="Q1777" s="21">
        <v>1</v>
      </c>
      <c r="R1777" s="39" t="str">
        <f t="shared" si="325"/>
        <v>-</v>
      </c>
      <c r="S1777" s="120">
        <f t="shared" si="324"/>
        <v>3047767</v>
      </c>
      <c r="T1777" s="123">
        <v>28536641</v>
      </c>
      <c r="U1777" s="123">
        <f>118297+394343+1751343</f>
        <v>2263983</v>
      </c>
      <c r="V1777" s="123">
        <f t="shared" si="319"/>
        <v>26272658</v>
      </c>
      <c r="W1777" s="122" t="str">
        <f t="shared" si="320"/>
        <v>1</v>
      </c>
      <c r="X1777" s="123">
        <v>25488874</v>
      </c>
      <c r="AA1777" s="122" t="str">
        <f t="shared" si="321"/>
        <v>0</v>
      </c>
      <c r="AB1777" s="120">
        <f t="shared" si="322"/>
        <v>0</v>
      </c>
      <c r="AC1777" s="123">
        <v>0</v>
      </c>
      <c r="AD1777" s="123">
        <v>0</v>
      </c>
      <c r="AE1777" s="123">
        <v>4653652</v>
      </c>
      <c r="AG1777" s="151">
        <f t="shared" si="326"/>
        <v>135256</v>
      </c>
      <c r="AH1777" s="123">
        <f>346240-177984+8748-AK1777-23000</f>
        <v>144004</v>
      </c>
      <c r="AI1777" s="123">
        <v>8748</v>
      </c>
      <c r="AK1777" s="123">
        <v>10000</v>
      </c>
    </row>
    <row r="1778" spans="1:41" s="123" customFormat="1" ht="16.2" thickBot="1" x14ac:dyDescent="0.35">
      <c r="A1778" s="21">
        <v>299.39999999999998</v>
      </c>
      <c r="B1778" s="212" t="s">
        <v>309</v>
      </c>
      <c r="C1778" s="31" t="str">
        <f>VLOOKUP((CONCATENATE(B1778)),ID!$A$2:$D$305,3,0)</f>
        <v>BA049</v>
      </c>
      <c r="D1778" s="21">
        <v>0</v>
      </c>
      <c r="E1778" s="21" t="s">
        <v>4005</v>
      </c>
      <c r="F1778" s="21" t="s">
        <v>1117</v>
      </c>
      <c r="G1778" s="21" t="s">
        <v>3862</v>
      </c>
      <c r="H1778" s="88">
        <v>4627</v>
      </c>
      <c r="I1778" s="43">
        <v>4757</v>
      </c>
      <c r="J1778" s="43">
        <v>4756</v>
      </c>
      <c r="K1778" s="21">
        <v>0</v>
      </c>
      <c r="L1778" s="21"/>
      <c r="M1778" s="21"/>
      <c r="N1778" s="43">
        <v>4776</v>
      </c>
      <c r="O1778" s="21" t="s">
        <v>3974</v>
      </c>
      <c r="P1778" s="194">
        <v>1</v>
      </c>
      <c r="Q1778" s="21">
        <v>1</v>
      </c>
      <c r="R1778" s="39" t="str">
        <f t="shared" si="325"/>
        <v>-</v>
      </c>
      <c r="S1778" s="120">
        <f t="shared" si="324"/>
        <v>3098349</v>
      </c>
      <c r="T1778" s="123">
        <v>26971269</v>
      </c>
      <c r="U1778" s="123">
        <f>1813770+392293+117888</f>
        <v>2323951</v>
      </c>
      <c r="V1778" s="123">
        <f t="shared" si="319"/>
        <v>24647318</v>
      </c>
      <c r="W1778" s="122" t="str">
        <f t="shared" si="320"/>
        <v>1</v>
      </c>
      <c r="X1778" s="123">
        <v>23872920</v>
      </c>
      <c r="AA1778" s="122" t="str">
        <f t="shared" si="321"/>
        <v>0</v>
      </c>
      <c r="AB1778" s="120">
        <f t="shared" si="322"/>
        <v>0</v>
      </c>
      <c r="AC1778" s="123">
        <v>0</v>
      </c>
      <c r="AD1778" s="123">
        <v>0</v>
      </c>
      <c r="AE1778" s="123">
        <v>4732742</v>
      </c>
      <c r="AG1778" s="151">
        <f t="shared" si="326"/>
        <v>155582</v>
      </c>
      <c r="AH1778" s="123">
        <f>341465-185883+9171</f>
        <v>164753</v>
      </c>
      <c r="AI1778" s="123">
        <v>9171</v>
      </c>
    </row>
    <row r="1779" spans="1:41" s="123" customFormat="1" ht="16.2" thickBot="1" x14ac:dyDescent="0.35">
      <c r="A1779" s="21"/>
      <c r="B1779" s="212" t="s">
        <v>309</v>
      </c>
      <c r="C1779" s="31" t="str">
        <f>VLOOKUP((CONCATENATE(B1779)),ID!$A$2:$D$305,3,0)</f>
        <v>BA049</v>
      </c>
      <c r="D1779" s="21">
        <v>0</v>
      </c>
      <c r="E1779" s="21" t="s">
        <v>4005</v>
      </c>
      <c r="F1779" s="21" t="s">
        <v>1117</v>
      </c>
      <c r="G1779" s="21" t="s">
        <v>3862</v>
      </c>
      <c r="H1779" s="88">
        <v>4808</v>
      </c>
      <c r="I1779" s="43">
        <v>4934</v>
      </c>
      <c r="J1779" s="43" t="s">
        <v>3783</v>
      </c>
      <c r="K1779" s="21">
        <v>0</v>
      </c>
      <c r="L1779" s="21"/>
      <c r="M1779" s="21"/>
      <c r="N1779" s="43">
        <v>4951</v>
      </c>
      <c r="O1779" s="21" t="s">
        <v>3974</v>
      </c>
      <c r="P1779" s="194">
        <v>1</v>
      </c>
      <c r="Q1779" s="21">
        <v>1</v>
      </c>
      <c r="R1779" s="39" t="str">
        <f t="shared" si="325"/>
        <v>-</v>
      </c>
      <c r="S1779" s="120">
        <f t="shared" si="324"/>
        <v>3149003</v>
      </c>
      <c r="T1779" s="123">
        <v>27228975</v>
      </c>
      <c r="U1779" s="123">
        <f>117471+390683+1790056</f>
        <v>2298210</v>
      </c>
      <c r="V1779" s="123">
        <f t="shared" si="319"/>
        <v>24930765</v>
      </c>
      <c r="W1779" s="122" t="str">
        <f t="shared" si="320"/>
        <v>1</v>
      </c>
      <c r="X1779" s="123">
        <v>24079972</v>
      </c>
      <c r="AA1779" s="122" t="str">
        <f t="shared" si="321"/>
        <v>0</v>
      </c>
      <c r="AB1779" s="120">
        <f t="shared" si="322"/>
        <v>0</v>
      </c>
      <c r="AC1779" s="123">
        <v>0</v>
      </c>
      <c r="AD1779" s="123">
        <v>0</v>
      </c>
      <c r="AE1779" s="123">
        <v>3858828</v>
      </c>
      <c r="AG1779" s="151">
        <f t="shared" si="326"/>
        <v>155653</v>
      </c>
      <c r="AH1779" s="123">
        <f>155653+AI1779</f>
        <v>164909</v>
      </c>
      <c r="AI1779" s="123">
        <v>9256</v>
      </c>
    </row>
    <row r="1780" spans="1:41" s="123" customFormat="1" ht="16.2" thickBot="1" x14ac:dyDescent="0.35">
      <c r="A1780" s="21"/>
      <c r="B1780" s="212" t="s">
        <v>309</v>
      </c>
      <c r="C1780" s="31" t="str">
        <f>VLOOKUP((CONCATENATE(B1780)),ID!$A$2:$D$305,3,0)</f>
        <v>BA049</v>
      </c>
      <c r="D1780" s="21">
        <v>0</v>
      </c>
      <c r="E1780" s="21" t="s">
        <v>4005</v>
      </c>
      <c r="F1780" s="21" t="s">
        <v>1117</v>
      </c>
      <c r="G1780" s="21" t="s">
        <v>3862</v>
      </c>
      <c r="H1780" s="88">
        <v>4992</v>
      </c>
      <c r="I1780" s="43">
        <v>5123</v>
      </c>
      <c r="J1780" s="43" t="s">
        <v>3783</v>
      </c>
      <c r="K1780" s="21">
        <v>0</v>
      </c>
      <c r="L1780" s="21"/>
      <c r="M1780" s="21"/>
      <c r="N1780" s="43">
        <v>5140</v>
      </c>
      <c r="O1780" s="21" t="s">
        <v>3974</v>
      </c>
      <c r="P1780" s="194">
        <v>1</v>
      </c>
      <c r="Q1780" s="21">
        <v>1</v>
      </c>
      <c r="R1780" s="39" t="str">
        <f t="shared" si="325"/>
        <v>-</v>
      </c>
      <c r="S1780" s="120">
        <f t="shared" si="324"/>
        <v>3640517</v>
      </c>
      <c r="T1780" s="123">
        <v>26868856</v>
      </c>
      <c r="U1780" s="123">
        <f>117047+388600+1901483</f>
        <v>2407130</v>
      </c>
      <c r="V1780" s="123">
        <f t="shared" si="319"/>
        <v>24461726</v>
      </c>
      <c r="W1780" s="122" t="str">
        <f t="shared" si="320"/>
        <v>1</v>
      </c>
      <c r="X1780" s="123">
        <v>23228339</v>
      </c>
      <c r="AA1780" s="122" t="str">
        <f t="shared" si="321"/>
        <v>0</v>
      </c>
      <c r="AB1780" s="120">
        <f t="shared" si="322"/>
        <v>0</v>
      </c>
      <c r="AC1780" s="123">
        <v>0</v>
      </c>
      <c r="AD1780" s="123">
        <v>0</v>
      </c>
      <c r="AE1780" s="123">
        <v>5048641</v>
      </c>
      <c r="AG1780" s="151">
        <f t="shared" si="326"/>
        <v>135424</v>
      </c>
      <c r="AH1780" s="123">
        <f>153424+AI1780</f>
        <v>163085</v>
      </c>
      <c r="AI1780" s="123">
        <v>9661</v>
      </c>
      <c r="AL1780" s="123">
        <v>18000</v>
      </c>
    </row>
    <row r="1781" spans="1:41" s="123" customFormat="1" ht="16.2" thickBot="1" x14ac:dyDescent="0.35">
      <c r="A1781" s="21"/>
      <c r="B1781" s="212" t="s">
        <v>309</v>
      </c>
      <c r="C1781" s="31" t="str">
        <f>VLOOKUP((CONCATENATE(B1781)),ID!$A$2:$D$305,3,0)</f>
        <v>BA049</v>
      </c>
      <c r="D1781" s="21">
        <v>0</v>
      </c>
      <c r="E1781" s="21" t="s">
        <v>4005</v>
      </c>
      <c r="F1781" s="21" t="s">
        <v>1117</v>
      </c>
      <c r="G1781" s="21" t="s">
        <v>3862</v>
      </c>
      <c r="H1781" s="88">
        <v>5173</v>
      </c>
      <c r="I1781" s="43">
        <v>5305</v>
      </c>
      <c r="J1781" s="43" t="s">
        <v>3783</v>
      </c>
      <c r="K1781" s="21">
        <v>0</v>
      </c>
      <c r="L1781" s="21"/>
      <c r="M1781" s="21"/>
      <c r="N1781" s="43">
        <v>5292</v>
      </c>
      <c r="O1781" s="21" t="s">
        <v>3974</v>
      </c>
      <c r="P1781" s="194">
        <v>1</v>
      </c>
      <c r="Q1781" s="21">
        <v>1</v>
      </c>
      <c r="R1781" s="39" t="str">
        <f t="shared" si="325"/>
        <v>-</v>
      </c>
      <c r="S1781" s="120">
        <f t="shared" si="324"/>
        <v>4145510</v>
      </c>
      <c r="T1781" s="123">
        <v>29581668</v>
      </c>
      <c r="U1781" s="123">
        <f>2020433+387600+116615</f>
        <v>2524648</v>
      </c>
      <c r="V1781" s="123">
        <f t="shared" si="319"/>
        <v>27057020</v>
      </c>
      <c r="W1781" s="122" t="str">
        <f t="shared" si="320"/>
        <v>1</v>
      </c>
      <c r="X1781" s="123">
        <v>25436158</v>
      </c>
      <c r="AA1781" s="122" t="str">
        <f t="shared" si="321"/>
        <v>0</v>
      </c>
      <c r="AB1781" s="120">
        <f t="shared" si="322"/>
        <v>0</v>
      </c>
      <c r="AC1781" s="123">
        <v>0</v>
      </c>
      <c r="AD1781" s="123">
        <v>0</v>
      </c>
      <c r="AE1781" s="123">
        <v>4789031</v>
      </c>
      <c r="AG1781" s="151">
        <f t="shared" si="326"/>
        <v>171082</v>
      </c>
      <c r="AH1781" s="123">
        <f>171082+AI1781</f>
        <v>180824</v>
      </c>
      <c r="AI1781" s="123">
        <v>9742</v>
      </c>
    </row>
    <row r="1782" spans="1:41" s="123" customFormat="1" ht="16.2" thickBot="1" x14ac:dyDescent="0.35">
      <c r="A1782" s="21"/>
      <c r="B1782" s="212" t="s">
        <v>309</v>
      </c>
      <c r="C1782" s="31" t="str">
        <f>VLOOKUP((CONCATENATE(B1782)),ID!$A$2:$D$305,3,0)</f>
        <v>BA049</v>
      </c>
      <c r="D1782" s="21">
        <v>0</v>
      </c>
      <c r="E1782" s="21" t="s">
        <v>4005</v>
      </c>
      <c r="F1782" s="21" t="s">
        <v>1117</v>
      </c>
      <c r="G1782" s="21" t="s">
        <v>3862</v>
      </c>
      <c r="H1782" s="88">
        <v>5357</v>
      </c>
      <c r="I1782" s="43">
        <v>5127</v>
      </c>
      <c r="J1782" s="43" t="s">
        <v>3783</v>
      </c>
      <c r="K1782" s="21">
        <v>0</v>
      </c>
      <c r="L1782" s="21"/>
      <c r="M1782" s="21"/>
      <c r="N1782" s="43">
        <v>4781</v>
      </c>
      <c r="O1782" s="21" t="s">
        <v>3974</v>
      </c>
      <c r="P1782" s="194">
        <v>1</v>
      </c>
      <c r="Q1782" s="21">
        <v>1</v>
      </c>
      <c r="R1782" s="39" t="str">
        <f t="shared" si="325"/>
        <v>-</v>
      </c>
      <c r="S1782" s="120">
        <f t="shared" si="324"/>
        <v>4171460</v>
      </c>
      <c r="T1782" s="123">
        <v>29309895</v>
      </c>
      <c r="U1782" s="123">
        <f>116176+386600+2143874</f>
        <v>2646650</v>
      </c>
      <c r="V1782" s="123">
        <f t="shared" si="319"/>
        <v>26663245</v>
      </c>
      <c r="W1782" s="122" t="str">
        <f t="shared" si="320"/>
        <v>1</v>
      </c>
      <c r="X1782" s="123">
        <v>25138435</v>
      </c>
      <c r="AA1782" s="122" t="str">
        <f t="shared" si="321"/>
        <v>0</v>
      </c>
      <c r="AB1782" s="120">
        <f t="shared" si="322"/>
        <v>0</v>
      </c>
      <c r="AC1782" s="123">
        <v>0</v>
      </c>
      <c r="AD1782" s="123">
        <v>0</v>
      </c>
      <c r="AE1782" s="123">
        <v>5232334</v>
      </c>
      <c r="AG1782" s="151">
        <f t="shared" si="326"/>
        <v>165950</v>
      </c>
      <c r="AH1782" s="123">
        <f>165950+AI1782</f>
        <v>178982</v>
      </c>
      <c r="AI1782" s="123">
        <v>13032</v>
      </c>
    </row>
    <row r="1783" spans="1:41" s="123" customFormat="1" ht="16.2" thickBot="1" x14ac:dyDescent="0.35">
      <c r="A1783" s="21"/>
      <c r="B1783" s="212" t="s">
        <v>310</v>
      </c>
      <c r="C1783" s="31" t="str">
        <f>VLOOKUP((CONCATENATE(B1783)),ID!$A$2:$D$305,3,0)</f>
        <v>BA050</v>
      </c>
      <c r="D1783" s="21">
        <v>1</v>
      </c>
      <c r="E1783" s="21" t="s">
        <v>4005</v>
      </c>
      <c r="F1783" s="21" t="s">
        <v>3789</v>
      </c>
      <c r="G1783" s="21" t="s">
        <v>3853</v>
      </c>
      <c r="H1783" s="88">
        <v>3742</v>
      </c>
      <c r="I1783" s="43">
        <v>3762</v>
      </c>
      <c r="J1783" s="43">
        <v>3762</v>
      </c>
      <c r="K1783" s="21">
        <v>0</v>
      </c>
      <c r="L1783" s="21"/>
      <c r="M1783" s="21"/>
      <c r="N1783" s="43">
        <v>3770</v>
      </c>
      <c r="O1783" s="21" t="s">
        <v>4044</v>
      </c>
      <c r="P1783" s="194">
        <v>1</v>
      </c>
      <c r="Q1783" s="21">
        <v>1</v>
      </c>
      <c r="R1783" s="39" t="str">
        <f t="shared" si="325"/>
        <v>-</v>
      </c>
      <c r="S1783" s="120">
        <f t="shared" si="324"/>
        <v>2174213</v>
      </c>
      <c r="T1783" s="123">
        <v>16220354</v>
      </c>
      <c r="U1783" s="123">
        <f>7569667-2596235+240150+101910+75043+112180+2276364</f>
        <v>7779079</v>
      </c>
      <c r="V1783" s="123">
        <f t="shared" si="319"/>
        <v>8441275</v>
      </c>
      <c r="W1783" s="122" t="str">
        <f t="shared" si="320"/>
        <v>1</v>
      </c>
      <c r="X1783" s="123">
        <v>14046141</v>
      </c>
      <c r="AA1783" s="122" t="str">
        <f t="shared" si="321"/>
        <v>0</v>
      </c>
      <c r="AB1783" s="120">
        <f t="shared" si="322"/>
        <v>0</v>
      </c>
      <c r="AC1783" s="123">
        <v>0</v>
      </c>
      <c r="AD1783" s="123">
        <v>0</v>
      </c>
      <c r="AG1783" s="151">
        <f t="shared" si="326"/>
        <v>195304</v>
      </c>
      <c r="AH1783" s="123">
        <f>205499-10195</f>
        <v>195304</v>
      </c>
    </row>
    <row r="1784" spans="1:41" s="123" customFormat="1" ht="16.2" thickBot="1" x14ac:dyDescent="0.35">
      <c r="A1784" s="21">
        <v>300.10000000000002</v>
      </c>
      <c r="B1784" s="212" t="s">
        <v>310</v>
      </c>
      <c r="C1784" s="31" t="str">
        <f>VLOOKUP((CONCATENATE(B1784)),ID!$A$2:$D$305,3,0)</f>
        <v>BA050</v>
      </c>
      <c r="D1784" s="21">
        <v>1</v>
      </c>
      <c r="E1784" s="21" t="s">
        <v>4005</v>
      </c>
      <c r="F1784" s="21" t="s">
        <v>3789</v>
      </c>
      <c r="G1784" s="21" t="s">
        <v>3853</v>
      </c>
      <c r="H1784" s="88">
        <v>4109</v>
      </c>
      <c r="I1784" s="43">
        <v>4127</v>
      </c>
      <c r="J1784" s="43">
        <v>4126</v>
      </c>
      <c r="K1784" s="21">
        <v>0</v>
      </c>
      <c r="L1784" s="21"/>
      <c r="M1784" s="21"/>
      <c r="N1784" s="43">
        <v>4134</v>
      </c>
      <c r="O1784" s="21" t="s">
        <v>4044</v>
      </c>
      <c r="P1784" s="194">
        <v>1</v>
      </c>
      <c r="Q1784" s="21">
        <v>1</v>
      </c>
      <c r="R1784" s="39" t="str">
        <f t="shared" si="325"/>
        <v>-</v>
      </c>
      <c r="S1784" s="120">
        <f t="shared" si="324"/>
        <v>2180606</v>
      </c>
      <c r="T1784" s="123">
        <v>15853094</v>
      </c>
      <c r="U1784" s="123">
        <f>102461+103924+238174+2201568+1031573+3069336</f>
        <v>6747036</v>
      </c>
      <c r="V1784" s="123">
        <f t="shared" si="319"/>
        <v>9106058</v>
      </c>
      <c r="W1784" s="122" t="str">
        <f t="shared" si="320"/>
        <v>1</v>
      </c>
      <c r="X1784" s="123">
        <v>13672488</v>
      </c>
      <c r="AA1784" s="122" t="str">
        <f t="shared" si="321"/>
        <v>0</v>
      </c>
      <c r="AB1784" s="120">
        <f t="shared" si="322"/>
        <v>0</v>
      </c>
      <c r="AC1784" s="123">
        <v>0</v>
      </c>
      <c r="AD1784" s="123">
        <v>0</v>
      </c>
      <c r="AG1784" s="151">
        <f t="shared" si="326"/>
        <v>191393</v>
      </c>
      <c r="AH1784" s="123">
        <f>201393-10000</f>
        <v>191393</v>
      </c>
    </row>
    <row r="1785" spans="1:41" s="123" customFormat="1" ht="16.2" thickBot="1" x14ac:dyDescent="0.35">
      <c r="A1785" s="21">
        <v>300.2</v>
      </c>
      <c r="B1785" s="212" t="s">
        <v>310</v>
      </c>
      <c r="C1785" s="31" t="str">
        <f>VLOOKUP((CONCATENATE(B1785)),ID!$A$2:$D$305,3,0)</f>
        <v>BA050</v>
      </c>
      <c r="D1785" s="21">
        <v>1</v>
      </c>
      <c r="E1785" s="21" t="s">
        <v>4005</v>
      </c>
      <c r="F1785" s="21" t="s">
        <v>3789</v>
      </c>
      <c r="G1785" s="21" t="s">
        <v>3853</v>
      </c>
      <c r="H1785" s="88">
        <v>4476</v>
      </c>
      <c r="I1785" s="43">
        <v>4488</v>
      </c>
      <c r="J1785" s="43">
        <v>4490</v>
      </c>
      <c r="K1785" s="21">
        <v>0</v>
      </c>
      <c r="L1785" s="21"/>
      <c r="M1785" s="21"/>
      <c r="N1785" s="43">
        <v>4498</v>
      </c>
      <c r="O1785" s="21" t="s">
        <v>4044</v>
      </c>
      <c r="P1785" s="194">
        <v>1</v>
      </c>
      <c r="Q1785" s="21">
        <v>1</v>
      </c>
      <c r="R1785" s="39" t="str">
        <f t="shared" si="325"/>
        <v>-</v>
      </c>
      <c r="S1785" s="120">
        <f t="shared" si="324"/>
        <v>2193393</v>
      </c>
      <c r="T1785" s="123">
        <v>18070972</v>
      </c>
      <c r="U1785" s="123">
        <f>989173+2078080+3023743+230671+103924+97877</f>
        <v>6523468</v>
      </c>
      <c r="V1785" s="123">
        <f t="shared" si="319"/>
        <v>11547504</v>
      </c>
      <c r="W1785" s="122" t="str">
        <f t="shared" si="320"/>
        <v>1</v>
      </c>
      <c r="X1785" s="123">
        <v>15877579</v>
      </c>
      <c r="AA1785" s="122" t="str">
        <f t="shared" si="321"/>
        <v>0</v>
      </c>
      <c r="AB1785" s="120">
        <f t="shared" si="322"/>
        <v>0</v>
      </c>
      <c r="AC1785" s="123">
        <v>0</v>
      </c>
      <c r="AD1785" s="123">
        <v>0</v>
      </c>
      <c r="AG1785" s="151">
        <f t="shared" si="326"/>
        <v>202786</v>
      </c>
      <c r="AH1785" s="123">
        <f>202786</f>
        <v>202786</v>
      </c>
    </row>
    <row r="1786" spans="1:41" s="123" customFormat="1" ht="16.2" thickBot="1" x14ac:dyDescent="0.35">
      <c r="A1786" s="21"/>
      <c r="B1786" s="212" t="s">
        <v>310</v>
      </c>
      <c r="C1786" s="31" t="str">
        <f>VLOOKUP((CONCATENATE(B1786)),ID!$A$2:$D$305,3,0)</f>
        <v>BA050</v>
      </c>
      <c r="D1786" s="21">
        <v>1</v>
      </c>
      <c r="E1786" s="21" t="s">
        <v>4005</v>
      </c>
      <c r="F1786" s="21" t="s">
        <v>3789</v>
      </c>
      <c r="G1786" s="21" t="s">
        <v>3853</v>
      </c>
      <c r="H1786" s="88">
        <v>4841</v>
      </c>
      <c r="I1786" s="43">
        <v>4858</v>
      </c>
      <c r="J1786" s="43">
        <v>4854</v>
      </c>
      <c r="K1786" s="21">
        <v>0</v>
      </c>
      <c r="L1786" s="21"/>
      <c r="M1786" s="21"/>
      <c r="N1786" s="43">
        <v>4862</v>
      </c>
      <c r="O1786" s="21" t="s">
        <v>4044</v>
      </c>
      <c r="P1786" s="194">
        <v>1</v>
      </c>
      <c r="Q1786" s="21">
        <v>1</v>
      </c>
      <c r="R1786" s="39" t="str">
        <f t="shared" si="325"/>
        <v>-</v>
      </c>
      <c r="S1786" s="120">
        <f t="shared" si="324"/>
        <v>2185123</v>
      </c>
      <c r="T1786" s="123">
        <v>19496080</v>
      </c>
      <c r="U1786" s="123">
        <f>828612+2277738+2983803+239117+111259+10563</f>
        <v>6451092</v>
      </c>
      <c r="V1786" s="123">
        <f t="shared" si="319"/>
        <v>13044988</v>
      </c>
      <c r="W1786" s="122" t="str">
        <f t="shared" si="320"/>
        <v>1</v>
      </c>
      <c r="X1786" s="123">
        <v>17310957</v>
      </c>
      <c r="AA1786" s="122" t="str">
        <f t="shared" si="321"/>
        <v>0</v>
      </c>
      <c r="AB1786" s="120">
        <f t="shared" si="322"/>
        <v>0</v>
      </c>
      <c r="AC1786" s="123">
        <v>0</v>
      </c>
      <c r="AD1786" s="123">
        <v>0</v>
      </c>
      <c r="AG1786" s="151">
        <f t="shared" si="326"/>
        <v>206731</v>
      </c>
      <c r="AH1786" s="123">
        <f>206731</f>
        <v>206731</v>
      </c>
    </row>
    <row r="1787" spans="1:41" s="123" customFormat="1" ht="16.2" thickBot="1" x14ac:dyDescent="0.35">
      <c r="A1787" s="21"/>
      <c r="B1787" s="212" t="s">
        <v>310</v>
      </c>
      <c r="C1787" s="31" t="str">
        <f>VLOOKUP((CONCATENATE(B1787)),ID!$A$2:$D$305,3,0)</f>
        <v>BA050</v>
      </c>
      <c r="D1787" s="21">
        <v>1</v>
      </c>
      <c r="E1787" s="21" t="s">
        <v>4005</v>
      </c>
      <c r="F1787" s="21" t="s">
        <v>3789</v>
      </c>
      <c r="G1787" s="21" t="s">
        <v>3853</v>
      </c>
      <c r="H1787" s="88">
        <v>5206</v>
      </c>
      <c r="I1787" s="43">
        <v>5219</v>
      </c>
      <c r="J1787" s="43">
        <v>5218</v>
      </c>
      <c r="K1787" s="21">
        <v>0</v>
      </c>
      <c r="L1787" s="21"/>
      <c r="M1787" s="21"/>
      <c r="N1787" s="43">
        <v>5226</v>
      </c>
      <c r="O1787" s="21" t="s">
        <v>4044</v>
      </c>
      <c r="P1787" s="194">
        <v>1</v>
      </c>
      <c r="Q1787" s="21">
        <v>1</v>
      </c>
      <c r="R1787" s="39" t="str">
        <f t="shared" si="325"/>
        <v>-</v>
      </c>
      <c r="S1787" s="120">
        <f t="shared" si="324"/>
        <v>2220010</v>
      </c>
      <c r="T1787" s="123">
        <v>20650455</v>
      </c>
      <c r="U1787" s="123">
        <f>101376+111259+233846+2697151+2763685+854206</f>
        <v>6761523</v>
      </c>
      <c r="V1787" s="123">
        <f t="shared" si="319"/>
        <v>13888932</v>
      </c>
      <c r="W1787" s="122" t="str">
        <f t="shared" si="320"/>
        <v>1</v>
      </c>
      <c r="X1787" s="123">
        <v>18430445</v>
      </c>
      <c r="AA1787" s="122" t="str">
        <f t="shared" si="321"/>
        <v>0</v>
      </c>
      <c r="AB1787" s="120">
        <f t="shared" si="322"/>
        <v>0</v>
      </c>
      <c r="AC1787" s="123">
        <v>0</v>
      </c>
      <c r="AD1787" s="123">
        <v>0</v>
      </c>
      <c r="AG1787" s="151">
        <f t="shared" si="326"/>
        <v>209886</v>
      </c>
      <c r="AH1787" s="123">
        <v>209886</v>
      </c>
    </row>
    <row r="1788" spans="1:41" s="123" customFormat="1" ht="16.2" thickBot="1" x14ac:dyDescent="0.35">
      <c r="A1788" s="21"/>
      <c r="B1788" s="212" t="s">
        <v>312</v>
      </c>
      <c r="C1788" s="31" t="str">
        <f>VLOOKUP((CONCATENATE(B1788)),ID!$A$2:$D$305,3,0)</f>
        <v>BA051</v>
      </c>
      <c r="D1788" s="21">
        <v>0</v>
      </c>
      <c r="E1788" s="21" t="s">
        <v>4005</v>
      </c>
      <c r="F1788" s="21" t="s">
        <v>1117</v>
      </c>
      <c r="G1788" s="21" t="s">
        <v>3853</v>
      </c>
      <c r="H1788" s="88">
        <v>3653</v>
      </c>
      <c r="I1788" s="43">
        <v>3672</v>
      </c>
      <c r="J1788" s="43">
        <v>3672</v>
      </c>
      <c r="K1788" s="21">
        <v>0</v>
      </c>
      <c r="L1788" s="21"/>
      <c r="M1788" s="21"/>
      <c r="N1788" s="43">
        <v>3679</v>
      </c>
      <c r="O1788" s="21" t="s">
        <v>4045</v>
      </c>
      <c r="P1788" s="194" t="str">
        <f t="shared" si="323"/>
        <v>1</v>
      </c>
      <c r="Q1788" s="21">
        <v>1</v>
      </c>
      <c r="R1788" s="39" t="str">
        <f t="shared" si="325"/>
        <v>-</v>
      </c>
      <c r="S1788" s="120">
        <f t="shared" si="324"/>
        <v>5125875</v>
      </c>
      <c r="T1788" s="123">
        <v>47004786</v>
      </c>
      <c r="U1788" s="123">
        <f>5785861+1150000+139715+1402211+14661708</f>
        <v>23139495</v>
      </c>
      <c r="V1788" s="123">
        <f t="shared" si="319"/>
        <v>23865291</v>
      </c>
      <c r="W1788" s="122" t="str">
        <f t="shared" si="320"/>
        <v>1</v>
      </c>
      <c r="X1788" s="123">
        <v>41878911</v>
      </c>
      <c r="AA1788" s="122" t="str">
        <f t="shared" si="321"/>
        <v>0</v>
      </c>
      <c r="AB1788" s="120">
        <f t="shared" si="322"/>
        <v>0</v>
      </c>
      <c r="AC1788" s="123">
        <v>0</v>
      </c>
      <c r="AD1788" s="123">
        <v>0</v>
      </c>
      <c r="AE1788" s="123">
        <v>6294940</v>
      </c>
      <c r="AG1788" s="151">
        <f t="shared" si="326"/>
        <v>217395</v>
      </c>
      <c r="AH1788" s="123">
        <f>694384-218881-36761</f>
        <v>438742</v>
      </c>
      <c r="AJ1788" s="123">
        <v>177739</v>
      </c>
      <c r="AL1788" s="123">
        <v>221347</v>
      </c>
      <c r="AO1788" s="123">
        <v>229341</v>
      </c>
    </row>
    <row r="1789" spans="1:41" s="123" customFormat="1" ht="16.2" thickBot="1" x14ac:dyDescent="0.35">
      <c r="A1789" s="21"/>
      <c r="B1789" s="212" t="s">
        <v>312</v>
      </c>
      <c r="C1789" s="31" t="str">
        <f>VLOOKUP((CONCATENATE(B1789)),ID!$A$2:$D$305,3,0)</f>
        <v>BA051</v>
      </c>
      <c r="D1789" s="21">
        <v>0</v>
      </c>
      <c r="E1789" s="21" t="s">
        <v>4005</v>
      </c>
      <c r="F1789" s="21" t="s">
        <v>1117</v>
      </c>
      <c r="G1789" s="21" t="s">
        <v>3853</v>
      </c>
      <c r="H1789" s="88">
        <v>3834</v>
      </c>
      <c r="I1789" s="43">
        <v>3847</v>
      </c>
      <c r="J1789" s="43">
        <v>3847</v>
      </c>
      <c r="K1789" s="21">
        <v>0</v>
      </c>
      <c r="L1789" s="21"/>
      <c r="M1789" s="21"/>
      <c r="N1789" s="43">
        <v>3854</v>
      </c>
      <c r="O1789" s="21" t="s">
        <v>4045</v>
      </c>
      <c r="P1789" s="194" t="str">
        <f t="shared" si="323"/>
        <v>1</v>
      </c>
      <c r="Q1789" s="21">
        <v>1</v>
      </c>
      <c r="R1789" s="39" t="str">
        <f t="shared" si="325"/>
        <v>-</v>
      </c>
      <c r="S1789" s="120">
        <f t="shared" si="324"/>
        <v>5138301</v>
      </c>
      <c r="T1789" s="123">
        <v>48949329</v>
      </c>
      <c r="U1789" s="123">
        <f>16493237+144714+1473975+6827821+5677821</f>
        <v>30617568</v>
      </c>
      <c r="V1789" s="123">
        <f t="shared" si="319"/>
        <v>18331761</v>
      </c>
      <c r="W1789" s="122" t="str">
        <f t="shared" si="320"/>
        <v>1</v>
      </c>
      <c r="X1789" s="123">
        <v>43811028</v>
      </c>
      <c r="AA1789" s="122" t="str">
        <f t="shared" si="321"/>
        <v>0</v>
      </c>
      <c r="AB1789" s="120">
        <f t="shared" si="322"/>
        <v>0</v>
      </c>
      <c r="AC1789" s="123">
        <v>0</v>
      </c>
      <c r="AD1789" s="123">
        <v>0</v>
      </c>
      <c r="AE1789" s="123">
        <v>6551022</v>
      </c>
      <c r="AG1789" s="151">
        <f t="shared" si="326"/>
        <v>207367</v>
      </c>
      <c r="AH1789" s="123">
        <f>772683-226392-38618-AK1789</f>
        <v>457673</v>
      </c>
      <c r="AJ1789" s="123">
        <v>177739</v>
      </c>
      <c r="AK1789" s="123">
        <v>50000</v>
      </c>
      <c r="AL1789" s="123">
        <v>250306</v>
      </c>
      <c r="AO1789" s="123">
        <v>229341</v>
      </c>
    </row>
    <row r="1790" spans="1:41" s="123" customFormat="1" ht="16.2" thickBot="1" x14ac:dyDescent="0.35">
      <c r="A1790" s="21">
        <v>301.10000000000002</v>
      </c>
      <c r="B1790" s="212" t="s">
        <v>312</v>
      </c>
      <c r="C1790" s="31" t="str">
        <f>VLOOKUP((CONCATENATE(B1790)),ID!$A$2:$D$305,3,0)</f>
        <v>BA051</v>
      </c>
      <c r="D1790" s="21">
        <v>0</v>
      </c>
      <c r="E1790" s="21" t="s">
        <v>4005</v>
      </c>
      <c r="F1790" s="21" t="s">
        <v>1117</v>
      </c>
      <c r="G1790" s="21" t="s">
        <v>3853</v>
      </c>
      <c r="H1790" s="88">
        <v>4018</v>
      </c>
      <c r="I1790" s="43">
        <v>4036</v>
      </c>
      <c r="J1790" s="43">
        <v>4036</v>
      </c>
      <c r="K1790" s="21">
        <v>0</v>
      </c>
      <c r="L1790" s="21"/>
      <c r="M1790" s="21"/>
      <c r="N1790" s="43">
        <v>4043</v>
      </c>
      <c r="O1790" s="21" t="s">
        <v>4045</v>
      </c>
      <c r="P1790" s="194" t="str">
        <f t="shared" si="323"/>
        <v>1</v>
      </c>
      <c r="Q1790" s="21">
        <v>1</v>
      </c>
      <c r="R1790" s="39" t="str">
        <f t="shared" si="325"/>
        <v>-</v>
      </c>
      <c r="S1790" s="120">
        <f t="shared" si="324"/>
        <v>5072843</v>
      </c>
      <c r="T1790" s="123">
        <v>50140320</v>
      </c>
      <c r="U1790" s="123">
        <f>6731070+16330568+1478411+145019</f>
        <v>24685068</v>
      </c>
      <c r="V1790" s="123">
        <f t="shared" si="319"/>
        <v>25455252</v>
      </c>
      <c r="W1790" s="122" t="str">
        <f t="shared" si="320"/>
        <v>1</v>
      </c>
      <c r="X1790" s="123">
        <v>45067477</v>
      </c>
      <c r="AA1790" s="122" t="str">
        <f t="shared" si="321"/>
        <v>0</v>
      </c>
      <c r="AB1790" s="120">
        <f t="shared" si="322"/>
        <v>0</v>
      </c>
      <c r="AC1790" s="123">
        <v>0</v>
      </c>
      <c r="AD1790" s="123">
        <v>0</v>
      </c>
      <c r="AE1790" s="123">
        <v>7198337</v>
      </c>
      <c r="AG1790" s="151">
        <f t="shared" si="326"/>
        <v>249479</v>
      </c>
      <c r="AH1790" s="123">
        <f>785539-43320-222609</f>
        <v>519610</v>
      </c>
      <c r="AJ1790" s="123">
        <v>200673</v>
      </c>
      <c r="AL1790" s="123">
        <v>270131</v>
      </c>
      <c r="AO1790" s="123">
        <v>229341</v>
      </c>
    </row>
    <row r="1791" spans="1:41" s="123" customFormat="1" ht="16.2" thickBot="1" x14ac:dyDescent="0.35">
      <c r="A1791" s="21">
        <v>301.2</v>
      </c>
      <c r="B1791" s="212" t="s">
        <v>312</v>
      </c>
      <c r="C1791" s="31" t="str">
        <f>VLOOKUP((CONCATENATE(B1791)),ID!$A$2:$D$305,3,0)</f>
        <v>BA051</v>
      </c>
      <c r="D1791" s="21">
        <v>0</v>
      </c>
      <c r="E1791" s="21" t="s">
        <v>4005</v>
      </c>
      <c r="F1791" s="21" t="s">
        <v>1117</v>
      </c>
      <c r="G1791" s="21" t="s">
        <v>3853</v>
      </c>
      <c r="H1791" s="88">
        <v>4199</v>
      </c>
      <c r="I1791" s="43">
        <v>4211</v>
      </c>
      <c r="J1791" s="43">
        <v>4210</v>
      </c>
      <c r="K1791" s="21">
        <v>0</v>
      </c>
      <c r="L1791" s="21"/>
      <c r="M1791" s="21"/>
      <c r="N1791" s="43">
        <v>4220</v>
      </c>
      <c r="O1791" s="21" t="s">
        <v>4045</v>
      </c>
      <c r="P1791" s="194" t="str">
        <f t="shared" si="323"/>
        <v>1</v>
      </c>
      <c r="Q1791" s="21">
        <v>1</v>
      </c>
      <c r="R1791" s="39" t="str">
        <f t="shared" si="325"/>
        <v>-</v>
      </c>
      <c r="S1791" s="120">
        <f t="shared" si="324"/>
        <v>5121039</v>
      </c>
      <c r="T1791" s="123">
        <v>50156355</v>
      </c>
      <c r="U1791" s="123">
        <f>6930409+16452452+1505502+140846</f>
        <v>25029209</v>
      </c>
      <c r="V1791" s="123">
        <f t="shared" si="319"/>
        <v>25127146</v>
      </c>
      <c r="W1791" s="122" t="str">
        <f t="shared" si="320"/>
        <v>1</v>
      </c>
      <c r="X1791" s="123">
        <v>45035316</v>
      </c>
      <c r="AA1791" s="122" t="str">
        <f t="shared" si="321"/>
        <v>0</v>
      </c>
      <c r="AB1791" s="120">
        <f t="shared" si="322"/>
        <v>0</v>
      </c>
      <c r="AC1791" s="123">
        <v>0</v>
      </c>
      <c r="AD1791" s="123">
        <v>0</v>
      </c>
      <c r="AE1791" s="123">
        <v>6426721</v>
      </c>
      <c r="AG1791" s="151">
        <f t="shared" si="326"/>
        <v>248870</v>
      </c>
      <c r="AH1791" s="123">
        <f>782246-234814-42425</f>
        <v>505007</v>
      </c>
      <c r="AJ1791" s="123">
        <v>200673</v>
      </c>
      <c r="AL1791" s="123">
        <v>256137</v>
      </c>
      <c r="AO1791" s="123">
        <v>229341</v>
      </c>
    </row>
    <row r="1792" spans="1:41" s="123" customFormat="1" ht="16.2" thickBot="1" x14ac:dyDescent="0.35">
      <c r="A1792" s="21">
        <v>301.3</v>
      </c>
      <c r="B1792" s="212" t="s">
        <v>312</v>
      </c>
      <c r="C1792" s="31" t="str">
        <f>VLOOKUP((CONCATENATE(B1792)),ID!$A$2:$D$305,3,0)</f>
        <v>BA051</v>
      </c>
      <c r="D1792" s="21">
        <v>0</v>
      </c>
      <c r="E1792" s="21" t="s">
        <v>4005</v>
      </c>
      <c r="F1792" s="21" t="s">
        <v>1117</v>
      </c>
      <c r="G1792" s="21" t="s">
        <v>3853</v>
      </c>
      <c r="H1792" s="88">
        <v>4383</v>
      </c>
      <c r="I1792" s="43">
        <v>4399</v>
      </c>
      <c r="J1792" s="43">
        <v>4400</v>
      </c>
      <c r="K1792" s="21">
        <v>0</v>
      </c>
      <c r="L1792" s="21"/>
      <c r="M1792" s="21"/>
      <c r="N1792" s="43">
        <v>4407</v>
      </c>
      <c r="O1792" s="21" t="s">
        <v>4045</v>
      </c>
      <c r="P1792" s="194" t="str">
        <f t="shared" si="323"/>
        <v>1</v>
      </c>
      <c r="Q1792" s="21">
        <v>1</v>
      </c>
      <c r="R1792" s="39" t="str">
        <f t="shared" si="325"/>
        <v>-</v>
      </c>
      <c r="S1792" s="120">
        <f t="shared" si="324"/>
        <v>5097613</v>
      </c>
      <c r="T1792" s="123">
        <v>49055639</v>
      </c>
      <c r="U1792" s="123">
        <f>16654093+6893353+1505645+400645</f>
        <v>25453736</v>
      </c>
      <c r="V1792" s="123">
        <f t="shared" ref="V1792:V1832" si="327">T1792-U1792</f>
        <v>23601903</v>
      </c>
      <c r="W1792" s="122" t="str">
        <f t="shared" ref="W1792:W1832" si="328">IF(V1792+U1792=T1792,"1","0")</f>
        <v>1</v>
      </c>
      <c r="X1792" s="123">
        <v>43958026</v>
      </c>
      <c r="AA1792" s="122" t="str">
        <f t="shared" ref="AA1792:AA1832" si="329">IF(Z1792+Y1792=X1792,"1","0")</f>
        <v>0</v>
      </c>
      <c r="AB1792" s="120">
        <f t="shared" ref="AB1792:AB1832" si="330">SUM(AC1792+AD1792)</f>
        <v>0</v>
      </c>
      <c r="AC1792" s="123">
        <v>0</v>
      </c>
      <c r="AD1792" s="123">
        <v>0</v>
      </c>
      <c r="AE1792" s="123">
        <v>6482800</v>
      </c>
      <c r="AG1792" s="151">
        <f t="shared" si="326"/>
        <v>177249</v>
      </c>
      <c r="AH1792" s="123">
        <f>774100-232536-41719-AK1792</f>
        <v>439845</v>
      </c>
      <c r="AJ1792" s="123">
        <v>200673</v>
      </c>
      <c r="AK1792" s="123">
        <v>60000</v>
      </c>
      <c r="AL1792" s="123">
        <v>262596</v>
      </c>
      <c r="AO1792" s="123">
        <v>229341</v>
      </c>
    </row>
    <row r="1793" spans="1:41" s="123" customFormat="1" ht="16.2" thickBot="1" x14ac:dyDescent="0.35">
      <c r="A1793" s="21">
        <v>301.39999999999998</v>
      </c>
      <c r="B1793" s="212" t="s">
        <v>312</v>
      </c>
      <c r="C1793" s="31" t="str">
        <f>VLOOKUP((CONCATENATE(B1793)),ID!$A$2:$D$305,3,0)</f>
        <v>BA051</v>
      </c>
      <c r="D1793" s="21">
        <v>0</v>
      </c>
      <c r="E1793" s="21" t="s">
        <v>4005</v>
      </c>
      <c r="F1793" s="21" t="s">
        <v>1117</v>
      </c>
      <c r="G1793" s="21" t="s">
        <v>3853</v>
      </c>
      <c r="H1793" s="88">
        <v>4565</v>
      </c>
      <c r="I1793" s="43">
        <v>4216</v>
      </c>
      <c r="J1793" s="43">
        <v>4581</v>
      </c>
      <c r="K1793" s="21">
        <v>0</v>
      </c>
      <c r="L1793" s="21"/>
      <c r="M1793" s="21"/>
      <c r="N1793" s="43">
        <v>4589</v>
      </c>
      <c r="O1793" s="21" t="s">
        <v>4045</v>
      </c>
      <c r="P1793" s="194" t="str">
        <f t="shared" si="323"/>
        <v>1</v>
      </c>
      <c r="Q1793" s="21">
        <v>1</v>
      </c>
      <c r="R1793" s="39" t="str">
        <f t="shared" si="325"/>
        <v>-</v>
      </c>
      <c r="S1793" s="120">
        <f t="shared" si="324"/>
        <v>5052177</v>
      </c>
      <c r="T1793" s="123">
        <v>49308283</v>
      </c>
      <c r="U1793" s="123">
        <f>1507228+433854+17753513+6597291</f>
        <v>26291886</v>
      </c>
      <c r="V1793" s="123">
        <f t="shared" si="327"/>
        <v>23016397</v>
      </c>
      <c r="W1793" s="122" t="str">
        <f t="shared" si="328"/>
        <v>1</v>
      </c>
      <c r="X1793" s="123">
        <v>44256106</v>
      </c>
      <c r="AA1793" s="122" t="str">
        <f t="shared" si="329"/>
        <v>0</v>
      </c>
      <c r="AB1793" s="120">
        <f t="shared" si="330"/>
        <v>0</v>
      </c>
      <c r="AC1793" s="123">
        <v>0</v>
      </c>
      <c r="AD1793" s="123">
        <v>0</v>
      </c>
      <c r="AE1793" s="123">
        <v>6074620</v>
      </c>
      <c r="AG1793" s="151">
        <f t="shared" si="326"/>
        <v>203166</v>
      </c>
      <c r="AH1793" s="123">
        <f>796652-237265-AK1793</f>
        <v>459387</v>
      </c>
      <c r="AJ1793" s="123">
        <v>200673</v>
      </c>
      <c r="AK1793" s="123">
        <v>100000</v>
      </c>
      <c r="AL1793" s="123">
        <v>256221</v>
      </c>
      <c r="AO1793" s="123">
        <v>229341</v>
      </c>
    </row>
    <row r="1794" spans="1:41" s="123" customFormat="1" ht="16.2" thickBot="1" x14ac:dyDescent="0.35">
      <c r="A1794" s="21"/>
      <c r="B1794" s="212" t="s">
        <v>312</v>
      </c>
      <c r="C1794" s="31" t="str">
        <f>VLOOKUP((CONCATENATE(B1794)),ID!$A$2:$D$305,3,0)</f>
        <v>BA051</v>
      </c>
      <c r="D1794" s="21">
        <v>0</v>
      </c>
      <c r="E1794" s="21" t="s">
        <v>4005</v>
      </c>
      <c r="F1794" s="21" t="s">
        <v>1117</v>
      </c>
      <c r="G1794" s="21" t="s">
        <v>3853</v>
      </c>
      <c r="H1794" s="88">
        <v>4749</v>
      </c>
      <c r="I1794" s="43">
        <v>4764</v>
      </c>
      <c r="J1794" s="43">
        <v>4762</v>
      </c>
      <c r="K1794" s="21">
        <v>0</v>
      </c>
      <c r="L1794" s="21"/>
      <c r="M1794" s="21"/>
      <c r="N1794" s="43">
        <v>4771</v>
      </c>
      <c r="O1794" s="21" t="s">
        <v>4045</v>
      </c>
      <c r="P1794" s="194" t="str">
        <f t="shared" si="323"/>
        <v>1</v>
      </c>
      <c r="Q1794" s="21">
        <v>1</v>
      </c>
      <c r="R1794" s="39" t="str">
        <f t="shared" si="325"/>
        <v>-</v>
      </c>
      <c r="S1794" s="120">
        <f t="shared" si="324"/>
        <v>5076270</v>
      </c>
      <c r="T1794" s="123">
        <v>50634575</v>
      </c>
      <c r="U1794" s="123">
        <f>424212+1510099+6580977+17150272</f>
        <v>25665560</v>
      </c>
      <c r="V1794" s="123">
        <f t="shared" si="327"/>
        <v>24969015</v>
      </c>
      <c r="W1794" s="122" t="str">
        <f t="shared" si="328"/>
        <v>1</v>
      </c>
      <c r="X1794" s="123">
        <v>45558305</v>
      </c>
      <c r="AA1794" s="122" t="str">
        <f t="shared" si="329"/>
        <v>0</v>
      </c>
      <c r="AB1794" s="120">
        <f t="shared" si="330"/>
        <v>0</v>
      </c>
      <c r="AC1794" s="123">
        <v>0</v>
      </c>
      <c r="AD1794" s="123">
        <v>0</v>
      </c>
      <c r="AE1794" s="123">
        <v>6604722</v>
      </c>
      <c r="AG1794" s="151">
        <f t="shared" si="326"/>
        <v>224770</v>
      </c>
      <c r="AH1794" s="123">
        <f>853300-231433-56737-AK1794</f>
        <v>515130</v>
      </c>
      <c r="AJ1794" s="123">
        <v>200673</v>
      </c>
      <c r="AK1794" s="123">
        <v>50000</v>
      </c>
      <c r="AL1794" s="123">
        <v>290360</v>
      </c>
      <c r="AO1794" s="123">
        <v>229341</v>
      </c>
    </row>
    <row r="1795" spans="1:41" s="123" customFormat="1" ht="16.2" thickBot="1" x14ac:dyDescent="0.35">
      <c r="A1795" s="21"/>
      <c r="B1795" s="212" t="s">
        <v>312</v>
      </c>
      <c r="C1795" s="31" t="str">
        <f>VLOOKUP((CONCATENATE(B1795)),ID!$A$2:$D$305,3,0)</f>
        <v>BA051</v>
      </c>
      <c r="D1795" s="21">
        <v>0</v>
      </c>
      <c r="E1795" s="21" t="s">
        <v>4005</v>
      </c>
      <c r="F1795" s="21" t="s">
        <v>1117</v>
      </c>
      <c r="G1795" s="21" t="s">
        <v>3853</v>
      </c>
      <c r="H1795" s="88">
        <v>4930</v>
      </c>
      <c r="I1795" s="43">
        <v>4946</v>
      </c>
      <c r="J1795" s="43">
        <v>4945</v>
      </c>
      <c r="K1795" s="21">
        <v>0</v>
      </c>
      <c r="L1795" s="21"/>
      <c r="M1795" s="21"/>
      <c r="N1795" s="43">
        <v>4953</v>
      </c>
      <c r="O1795" s="21" t="s">
        <v>4045</v>
      </c>
      <c r="P1795" s="194" t="str">
        <f t="shared" si="323"/>
        <v>1</v>
      </c>
      <c r="Q1795" s="21">
        <v>1</v>
      </c>
      <c r="R1795" s="39" t="str">
        <f t="shared" si="325"/>
        <v>-</v>
      </c>
      <c r="S1795" s="120">
        <f t="shared" si="324"/>
        <v>5041783</v>
      </c>
      <c r="T1795" s="123">
        <v>49284778</v>
      </c>
      <c r="U1795" s="123">
        <f>409728+1507079+18537636+6494370</f>
        <v>26948813</v>
      </c>
      <c r="V1795" s="123">
        <f t="shared" si="327"/>
        <v>22335965</v>
      </c>
      <c r="W1795" s="122" t="str">
        <f t="shared" si="328"/>
        <v>1</v>
      </c>
      <c r="X1795" s="123">
        <v>44242995</v>
      </c>
      <c r="AA1795" s="122" t="str">
        <f t="shared" si="329"/>
        <v>0</v>
      </c>
      <c r="AB1795" s="120">
        <f t="shared" si="330"/>
        <v>0</v>
      </c>
      <c r="AC1795" s="123">
        <v>0</v>
      </c>
      <c r="AD1795" s="123">
        <v>0</v>
      </c>
      <c r="AE1795" s="123">
        <v>5891797</v>
      </c>
      <c r="AG1795" s="151">
        <f t="shared" si="326"/>
        <v>230603</v>
      </c>
      <c r="AH1795" s="123">
        <f>949791-AK1795-244172</f>
        <v>555619</v>
      </c>
      <c r="AJ1795" s="123">
        <v>200673</v>
      </c>
      <c r="AK1795" s="123">
        <v>150000</v>
      </c>
      <c r="AL1795" s="123">
        <v>325016</v>
      </c>
      <c r="AO1795" s="123">
        <v>229341</v>
      </c>
    </row>
    <row r="1796" spans="1:41" s="123" customFormat="1" ht="16.2" thickBot="1" x14ac:dyDescent="0.35">
      <c r="A1796" s="21"/>
      <c r="B1796" s="212" t="s">
        <v>312</v>
      </c>
      <c r="C1796" s="31" t="str">
        <f>VLOOKUP((CONCATENATE(B1796)),ID!$A$2:$D$305,3,0)</f>
        <v>BA051</v>
      </c>
      <c r="D1796" s="21">
        <v>0</v>
      </c>
      <c r="E1796" s="21" t="s">
        <v>4005</v>
      </c>
      <c r="F1796" s="21" t="s">
        <v>1117</v>
      </c>
      <c r="G1796" s="21" t="s">
        <v>3853</v>
      </c>
      <c r="H1796" s="88">
        <v>5114</v>
      </c>
      <c r="I1796" s="43">
        <v>5138</v>
      </c>
      <c r="J1796" s="43">
        <v>5126</v>
      </c>
      <c r="K1796" s="21">
        <v>0</v>
      </c>
      <c r="L1796" s="21"/>
      <c r="M1796" s="21"/>
      <c r="N1796" s="43">
        <v>5135</v>
      </c>
      <c r="O1796" s="21" t="s">
        <v>4045</v>
      </c>
      <c r="P1796" s="194" t="str">
        <f t="shared" si="323"/>
        <v>1</v>
      </c>
      <c r="Q1796" s="21">
        <v>1</v>
      </c>
      <c r="R1796" s="39" t="str">
        <f t="shared" si="325"/>
        <v>-</v>
      </c>
      <c r="S1796" s="120">
        <f t="shared" si="324"/>
        <v>5085538</v>
      </c>
      <c r="T1796" s="123">
        <v>52185018</v>
      </c>
      <c r="U1796" s="123">
        <f>426860+1510847+6295115+18234469</f>
        <v>26467291</v>
      </c>
      <c r="V1796" s="123">
        <f t="shared" si="327"/>
        <v>25717727</v>
      </c>
      <c r="W1796" s="122" t="str">
        <f t="shared" si="328"/>
        <v>1</v>
      </c>
      <c r="X1796" s="123">
        <v>47099480</v>
      </c>
      <c r="AA1796" s="122" t="str">
        <f t="shared" si="329"/>
        <v>0</v>
      </c>
      <c r="AB1796" s="120">
        <f t="shared" si="330"/>
        <v>0</v>
      </c>
      <c r="AC1796" s="123">
        <v>0</v>
      </c>
      <c r="AD1796" s="123">
        <v>0</v>
      </c>
      <c r="AE1796" s="123">
        <v>6462808</v>
      </c>
      <c r="AG1796" s="151">
        <f t="shared" si="326"/>
        <v>304571</v>
      </c>
      <c r="AH1796" s="123">
        <f>962056-233541-AK1796</f>
        <v>653515</v>
      </c>
      <c r="AJ1796" s="123">
        <v>200673</v>
      </c>
      <c r="AK1796" s="123">
        <v>75000</v>
      </c>
      <c r="AL1796" s="123">
        <v>348944</v>
      </c>
      <c r="AO1796" s="123">
        <v>229341</v>
      </c>
    </row>
    <row r="1797" spans="1:41" s="123" customFormat="1" ht="16.2" thickBot="1" x14ac:dyDescent="0.35">
      <c r="A1797" s="21"/>
      <c r="B1797" s="212" t="s">
        <v>312</v>
      </c>
      <c r="C1797" s="31" t="str">
        <f>VLOOKUP((CONCATENATE(B1797)),ID!$A$2:$D$305,3,0)</f>
        <v>BA051</v>
      </c>
      <c r="D1797" s="21">
        <v>0</v>
      </c>
      <c r="E1797" s="21" t="s">
        <v>4005</v>
      </c>
      <c r="F1797" s="21" t="s">
        <v>1117</v>
      </c>
      <c r="G1797" s="21" t="s">
        <v>3853</v>
      </c>
      <c r="H1797" s="88">
        <v>5295</v>
      </c>
      <c r="I1797" s="43">
        <v>5320</v>
      </c>
      <c r="J1797" s="43">
        <v>5309</v>
      </c>
      <c r="K1797" s="21">
        <v>0</v>
      </c>
      <c r="L1797" s="21"/>
      <c r="M1797" s="21"/>
      <c r="N1797" s="43">
        <v>5317</v>
      </c>
      <c r="O1797" s="21" t="s">
        <v>4045</v>
      </c>
      <c r="P1797" s="194" t="str">
        <f t="shared" si="323"/>
        <v>1</v>
      </c>
      <c r="Q1797" s="21">
        <v>1</v>
      </c>
      <c r="R1797" s="39" t="str">
        <f t="shared" si="325"/>
        <v>-</v>
      </c>
      <c r="S1797" s="120">
        <f t="shared" si="324"/>
        <v>5137831</v>
      </c>
      <c r="T1797" s="123">
        <v>51298881</v>
      </c>
      <c r="U1797" s="123">
        <f>6830510+18228543+1522118+408724</f>
        <v>26989895</v>
      </c>
      <c r="V1797" s="123">
        <f t="shared" si="327"/>
        <v>24308986</v>
      </c>
      <c r="W1797" s="122" t="str">
        <f t="shared" si="328"/>
        <v>1</v>
      </c>
      <c r="X1797" s="123">
        <v>46161050</v>
      </c>
      <c r="AA1797" s="122" t="str">
        <f t="shared" si="329"/>
        <v>0</v>
      </c>
      <c r="AB1797" s="120">
        <f t="shared" si="330"/>
        <v>0</v>
      </c>
      <c r="AC1797" s="123">
        <v>0</v>
      </c>
      <c r="AD1797" s="123">
        <v>0</v>
      </c>
      <c r="AE1797" s="123">
        <v>6485371</v>
      </c>
      <c r="AG1797" s="151">
        <f t="shared" si="326"/>
        <v>302417</v>
      </c>
      <c r="AH1797" s="123">
        <f>790908-243082</f>
        <v>547826</v>
      </c>
      <c r="AJ1797" s="123">
        <v>200673</v>
      </c>
      <c r="AL1797" s="123">
        <v>245409</v>
      </c>
      <c r="AO1797" s="123">
        <v>229341</v>
      </c>
    </row>
    <row r="1798" spans="1:41" s="123" customFormat="1" ht="16.2" thickBot="1" x14ac:dyDescent="0.35">
      <c r="A1798" s="21"/>
      <c r="B1798" s="212" t="s">
        <v>315</v>
      </c>
      <c r="C1798" s="31" t="str">
        <f>VLOOKUP((CONCATENATE(B1798)),ID!$A$2:$D$305,3,0)</f>
        <v>BA052</v>
      </c>
      <c r="D1798" s="21">
        <v>1</v>
      </c>
      <c r="E1798" s="21" t="s">
        <v>4005</v>
      </c>
      <c r="F1798" s="21" t="s">
        <v>3885</v>
      </c>
      <c r="G1798" s="21" t="s">
        <v>3853</v>
      </c>
      <c r="H1798" s="88">
        <v>3653</v>
      </c>
      <c r="I1798" s="43">
        <v>3667</v>
      </c>
      <c r="J1798" s="43">
        <v>3664</v>
      </c>
      <c r="K1798" s="21">
        <v>1</v>
      </c>
      <c r="L1798" s="43">
        <v>3664</v>
      </c>
      <c r="M1798" s="43">
        <v>3678</v>
      </c>
      <c r="N1798" s="43">
        <v>3678</v>
      </c>
      <c r="O1798" s="21" t="s">
        <v>4046</v>
      </c>
      <c r="P1798" s="194" t="str">
        <f t="shared" si="323"/>
        <v>1</v>
      </c>
      <c r="Q1798" s="21">
        <v>1</v>
      </c>
      <c r="R1798" s="39" t="str">
        <f t="shared" si="325"/>
        <v>-</v>
      </c>
      <c r="S1798" s="120">
        <f t="shared" si="324"/>
        <v>2093332</v>
      </c>
      <c r="T1798" s="123">
        <v>14546936</v>
      </c>
      <c r="U1798" s="123">
        <f>2551590+36247+466820+7421218</f>
        <v>10475875</v>
      </c>
      <c r="V1798" s="123">
        <f t="shared" si="327"/>
        <v>4071061</v>
      </c>
      <c r="W1798" s="122" t="str">
        <f t="shared" si="328"/>
        <v>1</v>
      </c>
      <c r="X1798" s="123">
        <v>12453604</v>
      </c>
      <c r="AA1798" s="122" t="str">
        <f t="shared" si="329"/>
        <v>0</v>
      </c>
      <c r="AB1798" s="120">
        <f t="shared" si="330"/>
        <v>0</v>
      </c>
      <c r="AC1798" s="123">
        <v>0</v>
      </c>
      <c r="AD1798" s="123">
        <v>0</v>
      </c>
      <c r="AE1798" s="123">
        <v>1955140</v>
      </c>
      <c r="AG1798" s="151">
        <f t="shared" si="326"/>
        <v>153989</v>
      </c>
      <c r="AH1798" s="123">
        <v>153989</v>
      </c>
      <c r="AJ1798" s="123">
        <v>74583</v>
      </c>
      <c r="AO1798" s="123">
        <f>1193332/4</f>
        <v>298333</v>
      </c>
    </row>
    <row r="1799" spans="1:41" s="123" customFormat="1" ht="16.2" thickBot="1" x14ac:dyDescent="0.35">
      <c r="A1799" s="21">
        <v>302.10000000000002</v>
      </c>
      <c r="B1799" s="212" t="s">
        <v>315</v>
      </c>
      <c r="C1799" s="31" t="str">
        <f>VLOOKUP((CONCATENATE(B1799)),ID!$A$2:$D$305,3,0)</f>
        <v>BA052</v>
      </c>
      <c r="D1799" s="21">
        <v>1</v>
      </c>
      <c r="E1799" s="21" t="s">
        <v>4005</v>
      </c>
      <c r="F1799" s="21" t="s">
        <v>3885</v>
      </c>
      <c r="G1799" s="21" t="s">
        <v>3853</v>
      </c>
      <c r="H1799" s="88">
        <v>4018</v>
      </c>
      <c r="I1799" s="43">
        <v>4031</v>
      </c>
      <c r="J1799" s="43">
        <v>4028</v>
      </c>
      <c r="K1799" s="21">
        <v>1</v>
      </c>
      <c r="L1799" s="43">
        <v>4028</v>
      </c>
      <c r="M1799" s="43">
        <v>4042</v>
      </c>
      <c r="N1799" s="43">
        <v>4042</v>
      </c>
      <c r="O1799" s="21" t="s">
        <v>4046</v>
      </c>
      <c r="P1799" s="194" t="str">
        <f t="shared" si="323"/>
        <v>1</v>
      </c>
      <c r="Q1799" s="21">
        <v>1</v>
      </c>
      <c r="R1799" s="39" t="str">
        <f t="shared" si="325"/>
        <v>-</v>
      </c>
      <c r="S1799" s="120">
        <f t="shared" si="324"/>
        <v>2023333</v>
      </c>
      <c r="T1799" s="123">
        <v>15296329</v>
      </c>
      <c r="U1799" s="123">
        <f>30143+467206+8085212+1476510+1034279</f>
        <v>11093350</v>
      </c>
      <c r="V1799" s="123">
        <f t="shared" si="327"/>
        <v>4202979</v>
      </c>
      <c r="W1799" s="122" t="str">
        <f t="shared" si="328"/>
        <v>1</v>
      </c>
      <c r="X1799" s="123">
        <v>13272996</v>
      </c>
      <c r="AA1799" s="122" t="str">
        <f t="shared" si="329"/>
        <v>0</v>
      </c>
      <c r="AB1799" s="120">
        <f t="shared" si="330"/>
        <v>0</v>
      </c>
      <c r="AC1799" s="123">
        <v>0</v>
      </c>
      <c r="AD1799" s="123">
        <v>0</v>
      </c>
      <c r="AE1799" s="123">
        <v>2285270</v>
      </c>
      <c r="AG1799" s="151">
        <f t="shared" si="326"/>
        <v>166212</v>
      </c>
      <c r="AH1799" s="123">
        <v>166212</v>
      </c>
      <c r="AJ1799" s="123">
        <v>74583</v>
      </c>
      <c r="AO1799" s="123">
        <f>1193332/4</f>
        <v>298333</v>
      </c>
    </row>
    <row r="1800" spans="1:41" s="123" customFormat="1" ht="16.2" thickBot="1" x14ac:dyDescent="0.35">
      <c r="A1800" s="21">
        <v>302.2</v>
      </c>
      <c r="B1800" s="212" t="s">
        <v>315</v>
      </c>
      <c r="C1800" s="31" t="str">
        <f>VLOOKUP((CONCATENATE(B1800)),ID!$A$2:$D$305,3,0)</f>
        <v>BA052</v>
      </c>
      <c r="D1800" s="21">
        <v>1</v>
      </c>
      <c r="E1800" s="21" t="s">
        <v>4005</v>
      </c>
      <c r="F1800" s="21" t="s">
        <v>3885</v>
      </c>
      <c r="G1800" s="21" t="s">
        <v>3853</v>
      </c>
      <c r="H1800" s="88">
        <v>4383</v>
      </c>
      <c r="I1800" s="43">
        <v>4395</v>
      </c>
      <c r="J1800" s="43">
        <v>4393</v>
      </c>
      <c r="K1800" s="21">
        <v>1</v>
      </c>
      <c r="L1800" s="43">
        <v>4392</v>
      </c>
      <c r="M1800" s="43">
        <v>4406</v>
      </c>
      <c r="N1800" s="43">
        <v>4406</v>
      </c>
      <c r="O1800" s="21" t="s">
        <v>4046</v>
      </c>
      <c r="P1800" s="194" t="str">
        <f t="shared" si="323"/>
        <v>1</v>
      </c>
      <c r="Q1800" s="21">
        <v>1</v>
      </c>
      <c r="R1800" s="39" t="str">
        <f t="shared" si="325"/>
        <v>-</v>
      </c>
      <c r="S1800" s="120">
        <f t="shared" si="324"/>
        <v>2023332</v>
      </c>
      <c r="T1800" s="123">
        <v>15677685</v>
      </c>
      <c r="U1800" s="123">
        <f>2565554+30261+480556+8817879</f>
        <v>11894250</v>
      </c>
      <c r="V1800" s="123">
        <f t="shared" si="327"/>
        <v>3783435</v>
      </c>
      <c r="W1800" s="122" t="str">
        <f t="shared" si="328"/>
        <v>1</v>
      </c>
      <c r="X1800" s="123">
        <v>13654353</v>
      </c>
      <c r="AA1800" s="122" t="str">
        <f t="shared" si="329"/>
        <v>0</v>
      </c>
      <c r="AB1800" s="120">
        <f t="shared" si="330"/>
        <v>0</v>
      </c>
      <c r="AC1800" s="123">
        <v>0</v>
      </c>
      <c r="AD1800" s="123">
        <v>0</v>
      </c>
      <c r="AE1800" s="123">
        <v>1858568</v>
      </c>
      <c r="AG1800" s="151">
        <f t="shared" si="326"/>
        <v>160049</v>
      </c>
      <c r="AH1800" s="123">
        <v>160049</v>
      </c>
      <c r="AJ1800" s="123">
        <v>73744</v>
      </c>
      <c r="AO1800" s="123">
        <f>1193332/4</f>
        <v>298333</v>
      </c>
    </row>
    <row r="1801" spans="1:41" s="123" customFormat="1" ht="16.2" thickBot="1" x14ac:dyDescent="0.35">
      <c r="A1801" s="21"/>
      <c r="B1801" s="212" t="s">
        <v>315</v>
      </c>
      <c r="C1801" s="31" t="str">
        <f>VLOOKUP((CONCATENATE(B1801)),ID!$A$2:$D$305,3,0)</f>
        <v>BA052</v>
      </c>
      <c r="D1801" s="21">
        <v>1</v>
      </c>
      <c r="E1801" s="21" t="s">
        <v>4005</v>
      </c>
      <c r="F1801" s="21" t="s">
        <v>3885</v>
      </c>
      <c r="G1801" s="21" t="s">
        <v>3853</v>
      </c>
      <c r="H1801" s="88">
        <v>4749</v>
      </c>
      <c r="I1801" s="43">
        <v>4759</v>
      </c>
      <c r="J1801" s="43">
        <v>4756</v>
      </c>
      <c r="K1801" s="21">
        <v>1</v>
      </c>
      <c r="L1801" s="43">
        <v>4756</v>
      </c>
      <c r="M1801" s="43">
        <v>4770</v>
      </c>
      <c r="N1801" s="43">
        <v>4770</v>
      </c>
      <c r="O1801" s="21" t="s">
        <v>4046</v>
      </c>
      <c r="P1801" s="194" t="str">
        <f t="shared" ref="P1801:P1822" si="331">IF(AJ1801=0,"?","1")</f>
        <v>1</v>
      </c>
      <c r="Q1801" s="21">
        <v>1</v>
      </c>
      <c r="R1801" s="39" t="str">
        <f t="shared" si="325"/>
        <v>-</v>
      </c>
      <c r="S1801" s="120">
        <f t="shared" ref="S1801:S1832" si="332">T1801-X1801</f>
        <v>1958332</v>
      </c>
      <c r="T1801" s="123">
        <v>16279723</v>
      </c>
      <c r="U1801" s="123">
        <f>30261+463851+9388831+2321079</f>
        <v>12204022</v>
      </c>
      <c r="V1801" s="123">
        <f t="shared" si="327"/>
        <v>4075701</v>
      </c>
      <c r="W1801" s="122" t="str">
        <f t="shared" si="328"/>
        <v>1</v>
      </c>
      <c r="X1801" s="123">
        <v>14321391</v>
      </c>
      <c r="AA1801" s="122" t="str">
        <f t="shared" si="329"/>
        <v>0</v>
      </c>
      <c r="AB1801" s="120">
        <f t="shared" si="330"/>
        <v>0</v>
      </c>
      <c r="AC1801" s="123">
        <v>0</v>
      </c>
      <c r="AD1801" s="123">
        <v>0</v>
      </c>
      <c r="AE1801" s="123">
        <v>2308382</v>
      </c>
      <c r="AG1801" s="151">
        <f t="shared" si="326"/>
        <v>178359</v>
      </c>
      <c r="AH1801" s="123">
        <v>178359</v>
      </c>
      <c r="AJ1801" s="123">
        <v>73744</v>
      </c>
      <c r="AO1801" s="123">
        <f>1193332/4</f>
        <v>298333</v>
      </c>
    </row>
    <row r="1802" spans="1:41" s="123" customFormat="1" ht="16.2" thickBot="1" x14ac:dyDescent="0.35">
      <c r="A1802" s="21"/>
      <c r="B1802" s="212" t="s">
        <v>315</v>
      </c>
      <c r="C1802" s="31" t="str">
        <f>VLOOKUP((CONCATENATE(B1802)),ID!$A$2:$D$305,3,0)</f>
        <v>BA052</v>
      </c>
      <c r="D1802" s="21">
        <v>1</v>
      </c>
      <c r="E1802" s="21" t="s">
        <v>4005</v>
      </c>
      <c r="F1802" s="21" t="s">
        <v>3885</v>
      </c>
      <c r="G1802" s="21" t="s">
        <v>3853</v>
      </c>
      <c r="H1802" s="88">
        <v>5114</v>
      </c>
      <c r="I1802" s="43">
        <v>5123</v>
      </c>
      <c r="J1802" s="43">
        <v>5120</v>
      </c>
      <c r="K1802" s="21">
        <v>1</v>
      </c>
      <c r="L1802" s="43">
        <v>5120</v>
      </c>
      <c r="M1802" s="43">
        <v>5134</v>
      </c>
      <c r="N1802" s="43">
        <v>5134</v>
      </c>
      <c r="O1802" s="21" t="s">
        <v>4046</v>
      </c>
      <c r="P1802" s="194" t="str">
        <f t="shared" si="331"/>
        <v>1</v>
      </c>
      <c r="Q1802" s="21">
        <v>1</v>
      </c>
      <c r="R1802" s="39" t="str">
        <f t="shared" si="325"/>
        <v>-</v>
      </c>
      <c r="S1802" s="120">
        <f t="shared" si="332"/>
        <v>1958333</v>
      </c>
      <c r="T1802" s="123">
        <v>17024570</v>
      </c>
      <c r="U1802" s="123">
        <f>2275157+30261+482535+9451821</f>
        <v>12239774</v>
      </c>
      <c r="V1802" s="123">
        <f t="shared" si="327"/>
        <v>4784796</v>
      </c>
      <c r="W1802" s="122" t="str">
        <f t="shared" si="328"/>
        <v>1</v>
      </c>
      <c r="X1802" s="123">
        <v>15066237</v>
      </c>
      <c r="AA1802" s="122" t="str">
        <f t="shared" si="329"/>
        <v>0</v>
      </c>
      <c r="AB1802" s="120">
        <f t="shared" si="330"/>
        <v>0</v>
      </c>
      <c r="AC1802" s="123">
        <v>0</v>
      </c>
      <c r="AD1802" s="123">
        <v>0</v>
      </c>
      <c r="AE1802" s="123">
        <v>2604227</v>
      </c>
      <c r="AG1802" s="151">
        <f t="shared" si="326"/>
        <v>163888</v>
      </c>
      <c r="AH1802" s="123">
        <f>203888-AK1802</f>
        <v>163888</v>
      </c>
      <c r="AJ1802" s="123">
        <v>73744</v>
      </c>
      <c r="AK1802" s="123">
        <v>40000</v>
      </c>
      <c r="AO1802" s="123">
        <f>1193332/4</f>
        <v>298333</v>
      </c>
    </row>
    <row r="1803" spans="1:41" s="123" customFormat="1" ht="16.2" thickBot="1" x14ac:dyDescent="0.35">
      <c r="A1803" s="21"/>
      <c r="B1803" s="212" t="s">
        <v>334</v>
      </c>
      <c r="C1803" s="31" t="str">
        <f>VLOOKUP((CONCATENATE(B1803)),ID!$A$2:$D$305,3,0)</f>
        <v>BA053</v>
      </c>
      <c r="D1803" s="21">
        <v>1</v>
      </c>
      <c r="E1803" s="21" t="s">
        <v>4005</v>
      </c>
      <c r="F1803" s="21" t="s">
        <v>3812</v>
      </c>
      <c r="G1803" s="21" t="s">
        <v>3853</v>
      </c>
      <c r="H1803" s="88">
        <v>3653</v>
      </c>
      <c r="I1803" s="43">
        <v>3668</v>
      </c>
      <c r="J1803" s="43">
        <v>3666</v>
      </c>
      <c r="K1803" s="21">
        <v>0</v>
      </c>
      <c r="L1803" s="43"/>
      <c r="M1803" s="43"/>
      <c r="N1803" s="43">
        <v>3679</v>
      </c>
      <c r="O1803" s="21" t="s">
        <v>3913</v>
      </c>
      <c r="P1803" s="194" t="str">
        <f t="shared" si="331"/>
        <v>1</v>
      </c>
      <c r="Q1803" s="21">
        <v>1</v>
      </c>
      <c r="R1803" s="39" t="str">
        <f t="shared" si="325"/>
        <v>-</v>
      </c>
      <c r="S1803" s="120">
        <f t="shared" si="332"/>
        <v>2061601</v>
      </c>
      <c r="T1803" s="123">
        <v>17912991</v>
      </c>
      <c r="U1803" s="123">
        <f>976470+1872639+427739+5718025</f>
        <v>8994873</v>
      </c>
      <c r="V1803" s="123">
        <f t="shared" si="327"/>
        <v>8918118</v>
      </c>
      <c r="W1803" s="122" t="str">
        <f t="shared" si="328"/>
        <v>1</v>
      </c>
      <c r="X1803" s="123">
        <v>15851390</v>
      </c>
      <c r="AA1803" s="122" t="str">
        <f t="shared" si="329"/>
        <v>0</v>
      </c>
      <c r="AB1803" s="120">
        <f t="shared" si="330"/>
        <v>0</v>
      </c>
      <c r="AC1803" s="123">
        <v>0</v>
      </c>
      <c r="AD1803" s="123">
        <v>0</v>
      </c>
      <c r="AE1803" s="123">
        <v>3873960</v>
      </c>
      <c r="AG1803" s="151">
        <f t="shared" si="326"/>
        <v>208257</v>
      </c>
      <c r="AH1803" s="123">
        <v>208257</v>
      </c>
      <c r="AJ1803" s="123">
        <v>187500</v>
      </c>
      <c r="AO1803" s="123">
        <v>156250</v>
      </c>
    </row>
    <row r="1804" spans="1:41" s="123" customFormat="1" ht="16.2" thickBot="1" x14ac:dyDescent="0.35">
      <c r="A1804" s="21">
        <v>303.10000000000002</v>
      </c>
      <c r="B1804" s="212" t="s">
        <v>334</v>
      </c>
      <c r="C1804" s="31" t="str">
        <f>VLOOKUP((CONCATENATE(B1804)),ID!$A$2:$D$305,3,0)</f>
        <v>BA053</v>
      </c>
      <c r="D1804" s="21">
        <v>1</v>
      </c>
      <c r="E1804" s="21" t="s">
        <v>4005</v>
      </c>
      <c r="F1804" s="21" t="s">
        <v>3812</v>
      </c>
      <c r="G1804" s="21" t="s">
        <v>3853</v>
      </c>
      <c r="H1804" s="88">
        <v>4018</v>
      </c>
      <c r="I1804" s="43">
        <v>4034</v>
      </c>
      <c r="J1804" s="43">
        <v>4030</v>
      </c>
      <c r="K1804" s="21">
        <v>0</v>
      </c>
      <c r="L1804" s="21"/>
      <c r="M1804" s="21"/>
      <c r="N1804" s="43">
        <v>4043</v>
      </c>
      <c r="O1804" s="21" t="s">
        <v>3913</v>
      </c>
      <c r="P1804" s="194" t="str">
        <f t="shared" si="331"/>
        <v>1</v>
      </c>
      <c r="Q1804" s="21">
        <v>1</v>
      </c>
      <c r="R1804" s="39" t="str">
        <f t="shared" si="325"/>
        <v>-</v>
      </c>
      <c r="S1804" s="120">
        <f t="shared" si="332"/>
        <v>2119812</v>
      </c>
      <c r="T1804" s="123">
        <v>18045775</v>
      </c>
      <c r="U1804" s="123">
        <f>435145+5869378+1127438+1552276</f>
        <v>8984237</v>
      </c>
      <c r="V1804" s="123">
        <f t="shared" si="327"/>
        <v>9061538</v>
      </c>
      <c r="W1804" s="122" t="str">
        <f t="shared" si="328"/>
        <v>1</v>
      </c>
      <c r="X1804" s="123">
        <v>15925963</v>
      </c>
      <c r="AA1804" s="122" t="str">
        <f t="shared" si="329"/>
        <v>0</v>
      </c>
      <c r="AB1804" s="120">
        <f t="shared" si="330"/>
        <v>0</v>
      </c>
      <c r="AC1804" s="123">
        <v>0</v>
      </c>
      <c r="AD1804" s="123">
        <v>0</v>
      </c>
      <c r="AE1804" s="123">
        <v>4014627</v>
      </c>
      <c r="AG1804" s="151">
        <f t="shared" si="326"/>
        <v>211957</v>
      </c>
      <c r="AH1804" s="123">
        <v>211957</v>
      </c>
      <c r="AJ1804" s="123">
        <v>187500</v>
      </c>
      <c r="AO1804" s="123">
        <v>156250</v>
      </c>
    </row>
    <row r="1805" spans="1:41" s="123" customFormat="1" ht="16.2" thickBot="1" x14ac:dyDescent="0.35">
      <c r="A1805" s="21">
        <v>303.2</v>
      </c>
      <c r="B1805" s="212" t="s">
        <v>334</v>
      </c>
      <c r="C1805" s="31" t="str">
        <f>VLOOKUP((CONCATENATE(B1805)),ID!$A$2:$D$305,3,0)</f>
        <v>BA053</v>
      </c>
      <c r="D1805" s="21">
        <v>1</v>
      </c>
      <c r="E1805" s="21" t="s">
        <v>4005</v>
      </c>
      <c r="F1805" s="21" t="s">
        <v>3812</v>
      </c>
      <c r="G1805" s="21" t="s">
        <v>3853</v>
      </c>
      <c r="H1805" s="88">
        <v>4383</v>
      </c>
      <c r="I1805" s="43">
        <v>4394</v>
      </c>
      <c r="J1805" s="43">
        <v>4394</v>
      </c>
      <c r="K1805" s="21">
        <v>0</v>
      </c>
      <c r="L1805" s="21"/>
      <c r="M1805" s="21"/>
      <c r="N1805" s="43">
        <v>4407</v>
      </c>
      <c r="O1805" s="21" t="s">
        <v>3913</v>
      </c>
      <c r="P1805" s="194" t="str">
        <f t="shared" si="331"/>
        <v>1</v>
      </c>
      <c r="Q1805" s="21">
        <v>1</v>
      </c>
      <c r="R1805" s="39" t="str">
        <f t="shared" si="325"/>
        <v>-</v>
      </c>
      <c r="S1805" s="120">
        <f t="shared" si="332"/>
        <v>2073352</v>
      </c>
      <c r="T1805" s="123">
        <v>17958969</v>
      </c>
      <c r="U1805" s="123">
        <f>1506852+1122168+6331833+450567</f>
        <v>9411420</v>
      </c>
      <c r="V1805" s="123">
        <f t="shared" si="327"/>
        <v>8547549</v>
      </c>
      <c r="W1805" s="122" t="str">
        <f t="shared" si="328"/>
        <v>1</v>
      </c>
      <c r="X1805" s="123">
        <v>15885617</v>
      </c>
      <c r="AA1805" s="122" t="str">
        <f t="shared" si="329"/>
        <v>0</v>
      </c>
      <c r="AB1805" s="120">
        <f t="shared" si="330"/>
        <v>0</v>
      </c>
      <c r="AC1805" s="123">
        <v>0</v>
      </c>
      <c r="AD1805" s="123">
        <v>0</v>
      </c>
      <c r="AE1805" s="123">
        <v>4215680</v>
      </c>
      <c r="AG1805" s="151">
        <f t="shared" si="326"/>
        <v>216040</v>
      </c>
      <c r="AH1805" s="123">
        <f>221040-5000</f>
        <v>216040</v>
      </c>
      <c r="AJ1805" s="123">
        <v>187500</v>
      </c>
      <c r="AK1805" s="123">
        <v>5000</v>
      </c>
      <c r="AO1805" s="123">
        <v>156250</v>
      </c>
    </row>
    <row r="1806" spans="1:41" s="123" customFormat="1" ht="16.2" thickBot="1" x14ac:dyDescent="0.35">
      <c r="A1806" s="21"/>
      <c r="B1806" s="212" t="s">
        <v>334</v>
      </c>
      <c r="C1806" s="31" t="str">
        <f>VLOOKUP((CONCATENATE(B1806)),ID!$A$2:$D$305,3,0)</f>
        <v>BA053</v>
      </c>
      <c r="D1806" s="21">
        <v>1</v>
      </c>
      <c r="E1806" s="21" t="s">
        <v>4005</v>
      </c>
      <c r="F1806" s="21" t="s">
        <v>3812</v>
      </c>
      <c r="G1806" s="21" t="s">
        <v>3853</v>
      </c>
      <c r="H1806" s="88">
        <v>4749</v>
      </c>
      <c r="I1806" s="43">
        <v>4758</v>
      </c>
      <c r="J1806" s="43">
        <v>4758</v>
      </c>
      <c r="K1806" s="21">
        <v>0</v>
      </c>
      <c r="L1806" s="21"/>
      <c r="M1806" s="21"/>
      <c r="N1806" s="43">
        <v>4778</v>
      </c>
      <c r="O1806" s="21" t="s">
        <v>3913</v>
      </c>
      <c r="P1806" s="194" t="str">
        <f t="shared" si="331"/>
        <v>1</v>
      </c>
      <c r="Q1806" s="21">
        <v>1</v>
      </c>
      <c r="R1806" s="39" t="str">
        <f t="shared" si="325"/>
        <v>-</v>
      </c>
      <c r="S1806" s="120">
        <f>T1806-X1806</f>
        <v>1983642</v>
      </c>
      <c r="T1806" s="123">
        <v>19356287</v>
      </c>
      <c r="U1806" s="123">
        <f>449690+6125950+1118079+1465948</f>
        <v>9159667</v>
      </c>
      <c r="V1806" s="123">
        <f t="shared" si="327"/>
        <v>10196620</v>
      </c>
      <c r="W1806" s="122" t="str">
        <f t="shared" si="328"/>
        <v>1</v>
      </c>
      <c r="X1806" s="123">
        <v>17372645</v>
      </c>
      <c r="AA1806" s="122" t="str">
        <f>IF(Z1806+Y1806=X1806,"1","0")</f>
        <v>0</v>
      </c>
      <c r="AB1806" s="120">
        <f t="shared" si="330"/>
        <v>0</v>
      </c>
      <c r="AC1806" s="123">
        <v>0</v>
      </c>
      <c r="AD1806" s="123">
        <v>0</v>
      </c>
      <c r="AE1806" s="123">
        <v>5055815</v>
      </c>
      <c r="AG1806" s="151">
        <f t="shared" si="326"/>
        <v>226542</v>
      </c>
      <c r="AH1806" s="123">
        <f>231542-AK1806</f>
        <v>226542</v>
      </c>
      <c r="AJ1806" s="123">
        <v>187500</v>
      </c>
      <c r="AK1806" s="123">
        <v>5000</v>
      </c>
      <c r="AO1806" s="123">
        <v>156250</v>
      </c>
    </row>
    <row r="1807" spans="1:41" s="123" customFormat="1" ht="16.2" thickBot="1" x14ac:dyDescent="0.35">
      <c r="A1807" s="21"/>
      <c r="B1807" s="212" t="s">
        <v>334</v>
      </c>
      <c r="C1807" s="31" t="str">
        <f>VLOOKUP((CONCATENATE(B1807)),ID!$A$2:$D$305,3,0)</f>
        <v>BA053</v>
      </c>
      <c r="D1807" s="21">
        <v>1</v>
      </c>
      <c r="E1807" s="21" t="s">
        <v>4005</v>
      </c>
      <c r="F1807" s="21" t="s">
        <v>3812</v>
      </c>
      <c r="G1807" s="21" t="s">
        <v>3853</v>
      </c>
      <c r="H1807" s="88">
        <v>5114</v>
      </c>
      <c r="I1807" s="43">
        <v>5129</v>
      </c>
      <c r="J1807" s="43">
        <v>5126</v>
      </c>
      <c r="K1807" s="21">
        <v>0</v>
      </c>
      <c r="L1807" s="21"/>
      <c r="M1807" s="21"/>
      <c r="N1807" s="43">
        <v>5142</v>
      </c>
      <c r="O1807" s="21" t="s">
        <v>3913</v>
      </c>
      <c r="P1807" s="194" t="str">
        <f t="shared" si="331"/>
        <v>1</v>
      </c>
      <c r="Q1807" s="21">
        <v>1</v>
      </c>
      <c r="R1807" s="39" t="str">
        <f t="shared" si="325"/>
        <v>-</v>
      </c>
      <c r="S1807" s="120">
        <f t="shared" si="332"/>
        <v>1934429</v>
      </c>
      <c r="T1807" s="123">
        <v>19799572</v>
      </c>
      <c r="U1807" s="123">
        <f>1400162+1064704+6274778+450627</f>
        <v>9190271</v>
      </c>
      <c r="V1807" s="123">
        <f t="shared" si="327"/>
        <v>10609301</v>
      </c>
      <c r="W1807" s="122" t="str">
        <f t="shared" si="328"/>
        <v>1</v>
      </c>
      <c r="X1807" s="123">
        <v>17865143</v>
      </c>
      <c r="AA1807" s="122" t="str">
        <f t="shared" si="329"/>
        <v>0</v>
      </c>
      <c r="AB1807" s="120">
        <f t="shared" si="330"/>
        <v>0</v>
      </c>
      <c r="AC1807" s="123">
        <v>0</v>
      </c>
      <c r="AD1807" s="123">
        <v>0</v>
      </c>
      <c r="AE1807" s="123">
        <v>5460704</v>
      </c>
      <c r="AG1807" s="151">
        <f t="shared" si="326"/>
        <v>238286</v>
      </c>
      <c r="AH1807" s="123">
        <f>243286-AK1807</f>
        <v>238286</v>
      </c>
      <c r="AJ1807" s="123">
        <v>187500</v>
      </c>
      <c r="AK1807" s="123">
        <v>5000</v>
      </c>
      <c r="AO1807" s="123">
        <v>156250</v>
      </c>
    </row>
    <row r="1808" spans="1:41" s="123" customFormat="1" ht="16.2" thickBot="1" x14ac:dyDescent="0.35">
      <c r="A1808" s="21"/>
      <c r="B1808" s="212" t="s">
        <v>97</v>
      </c>
      <c r="C1808" s="31" t="str">
        <f>VLOOKUP((CONCATENATE(B1808)),ID!$A$2:$D$305,3,0)</f>
        <v>FO007</v>
      </c>
      <c r="D1808" s="21">
        <v>1</v>
      </c>
      <c r="E1808" s="21" t="s">
        <v>4001</v>
      </c>
      <c r="F1808" s="21" t="s">
        <v>1117</v>
      </c>
      <c r="G1808" s="21" t="s">
        <v>3853</v>
      </c>
      <c r="H1808" s="88">
        <v>3653</v>
      </c>
      <c r="I1808" s="43">
        <v>3661</v>
      </c>
      <c r="J1808" s="43">
        <v>3660</v>
      </c>
      <c r="K1808" s="21">
        <v>0</v>
      </c>
      <c r="L1808" s="21"/>
      <c r="M1808" s="21"/>
      <c r="N1808" s="43">
        <v>3671</v>
      </c>
      <c r="O1808" s="21" t="s">
        <v>3733</v>
      </c>
      <c r="P1808" s="194" t="str">
        <f t="shared" si="331"/>
        <v>1</v>
      </c>
      <c r="Q1808" s="21">
        <v>1</v>
      </c>
      <c r="R1808" s="39" t="str">
        <f t="shared" si="325"/>
        <v>-</v>
      </c>
      <c r="S1808" s="120">
        <f t="shared" si="332"/>
        <v>2396915</v>
      </c>
      <c r="T1808" s="123">
        <v>3756893</v>
      </c>
      <c r="U1808" s="123">
        <f>2792601+557682</f>
        <v>3350283</v>
      </c>
      <c r="V1808" s="123">
        <f t="shared" si="327"/>
        <v>406610</v>
      </c>
      <c r="W1808" s="122" t="str">
        <f t="shared" si="328"/>
        <v>1</v>
      </c>
      <c r="X1808" s="123">
        <f>Y1808+25437+62655</f>
        <v>1359978</v>
      </c>
      <c r="Y1808" s="123">
        <f>AB1808</f>
        <v>1271886</v>
      </c>
      <c r="Z1808" s="123">
        <f t="shared" ref="Z1808:Z1832" si="333">X1808-Y1808</f>
        <v>88092</v>
      </c>
      <c r="AA1808" s="122" t="str">
        <f t="shared" si="329"/>
        <v>1</v>
      </c>
      <c r="AB1808" s="120">
        <f t="shared" si="330"/>
        <v>1271886</v>
      </c>
      <c r="AC1808" s="123">
        <v>0</v>
      </c>
      <c r="AD1808" s="123">
        <f>1250000+21886</f>
        <v>1271886</v>
      </c>
      <c r="AE1808" s="123">
        <v>44515</v>
      </c>
      <c r="AG1808" s="151">
        <f t="shared" si="326"/>
        <v>103623</v>
      </c>
      <c r="AH1808" s="123">
        <f>103623+AL1808</f>
        <v>161306</v>
      </c>
      <c r="AJ1808" s="123">
        <v>42560</v>
      </c>
      <c r="AL1808" s="123">
        <v>57683</v>
      </c>
    </row>
    <row r="1809" spans="1:41" s="123" customFormat="1" ht="16.2" thickBot="1" x14ac:dyDescent="0.35">
      <c r="A1809" s="21">
        <v>304.10000000000002</v>
      </c>
      <c r="B1809" s="212" t="s">
        <v>97</v>
      </c>
      <c r="C1809" s="31" t="str">
        <f>VLOOKUP((CONCATENATE(B1809)),ID!$A$2:$D$305,3,0)</f>
        <v>FO007</v>
      </c>
      <c r="D1809" s="21">
        <v>1</v>
      </c>
      <c r="E1809" s="21" t="s">
        <v>4001</v>
      </c>
      <c r="F1809" s="21" t="s">
        <v>1117</v>
      </c>
      <c r="G1809" s="21" t="s">
        <v>3853</v>
      </c>
      <c r="H1809" s="88">
        <v>4018</v>
      </c>
      <c r="I1809" s="43">
        <v>4024</v>
      </c>
      <c r="J1809" s="43">
        <v>4024</v>
      </c>
      <c r="K1809" s="21">
        <v>0</v>
      </c>
      <c r="L1809" s="21"/>
      <c r="M1809" s="21"/>
      <c r="N1809" s="43">
        <v>4035</v>
      </c>
      <c r="O1809" s="21" t="s">
        <v>3733</v>
      </c>
      <c r="P1809" s="194" t="str">
        <f t="shared" si="331"/>
        <v>1</v>
      </c>
      <c r="Q1809" s="21">
        <v>1</v>
      </c>
      <c r="R1809" s="39" t="str">
        <f t="shared" si="325"/>
        <v>-</v>
      </c>
      <c r="S1809" s="120">
        <f t="shared" si="332"/>
        <v>2398030</v>
      </c>
      <c r="T1809" s="123">
        <v>3804416</v>
      </c>
      <c r="U1809" s="123">
        <f>2740149+691880</f>
        <v>3432029</v>
      </c>
      <c r="V1809" s="123">
        <f t="shared" si="327"/>
        <v>372387</v>
      </c>
      <c r="W1809" s="122" t="str">
        <f t="shared" si="328"/>
        <v>1</v>
      </c>
      <c r="X1809" s="123">
        <f>1297323+90000+19063</f>
        <v>1406386</v>
      </c>
      <c r="Y1809" s="123">
        <f>AB1809</f>
        <v>1271886</v>
      </c>
      <c r="Z1809" s="123">
        <f t="shared" si="333"/>
        <v>134500</v>
      </c>
      <c r="AA1809" s="122" t="str">
        <f t="shared" si="329"/>
        <v>1</v>
      </c>
      <c r="AB1809" s="120">
        <f t="shared" si="330"/>
        <v>1271886</v>
      </c>
      <c r="AC1809" s="123">
        <v>0</v>
      </c>
      <c r="AD1809" s="123">
        <f>21886+1250000</f>
        <v>1271886</v>
      </c>
      <c r="AE1809" s="123">
        <v>36752</v>
      </c>
      <c r="AG1809" s="151">
        <f t="shared" si="326"/>
        <v>103500</v>
      </c>
      <c r="AH1809" s="123">
        <f>103500+AL1809</f>
        <v>158723</v>
      </c>
      <c r="AJ1809" s="123">
        <v>42372</v>
      </c>
      <c r="AL1809" s="123">
        <v>55223</v>
      </c>
    </row>
    <row r="1810" spans="1:41" s="123" customFormat="1" ht="16.2" thickBot="1" x14ac:dyDescent="0.35">
      <c r="A1810" s="21">
        <v>304.2</v>
      </c>
      <c r="B1810" s="212" t="s">
        <v>97</v>
      </c>
      <c r="C1810" s="31" t="str">
        <f>VLOOKUP((CONCATENATE(B1810)),ID!$A$2:$D$305,3,0)</f>
        <v>FO007</v>
      </c>
      <c r="D1810" s="21">
        <v>1</v>
      </c>
      <c r="E1810" s="21" t="s">
        <v>4001</v>
      </c>
      <c r="F1810" s="21" t="s">
        <v>1117</v>
      </c>
      <c r="G1810" s="21" t="s">
        <v>3853</v>
      </c>
      <c r="H1810" s="88">
        <v>4383</v>
      </c>
      <c r="I1810" s="43">
        <v>4389</v>
      </c>
      <c r="J1810" s="43">
        <v>4388</v>
      </c>
      <c r="K1810" s="21">
        <v>0</v>
      </c>
      <c r="L1810" s="21"/>
      <c r="M1810" s="21"/>
      <c r="N1810" s="43">
        <v>4400</v>
      </c>
      <c r="O1810" s="21" t="s">
        <v>3733</v>
      </c>
      <c r="P1810" s="194" t="str">
        <f t="shared" si="331"/>
        <v>1</v>
      </c>
      <c r="Q1810" s="21">
        <v>1</v>
      </c>
      <c r="R1810" s="39" t="str">
        <f t="shared" si="325"/>
        <v>-</v>
      </c>
      <c r="S1810" s="120">
        <f t="shared" si="332"/>
        <v>2387722</v>
      </c>
      <c r="T1810" s="123">
        <v>3752481</v>
      </c>
      <c r="U1810" s="123">
        <f>734255+2622868</f>
        <v>3357123</v>
      </c>
      <c r="V1810" s="123">
        <f t="shared" si="327"/>
        <v>395358</v>
      </c>
      <c r="W1810" s="122" t="str">
        <f t="shared" si="328"/>
        <v>1</v>
      </c>
      <c r="X1810" s="123">
        <f>1295839+68920</f>
        <v>1364759</v>
      </c>
      <c r="Y1810" s="123">
        <f>AB1810</f>
        <v>1270431</v>
      </c>
      <c r="Z1810" s="123">
        <f t="shared" si="333"/>
        <v>94328</v>
      </c>
      <c r="AA1810" s="122" t="str">
        <f t="shared" si="329"/>
        <v>1</v>
      </c>
      <c r="AB1810" s="120">
        <f t="shared" si="330"/>
        <v>1270431</v>
      </c>
      <c r="AC1810" s="123">
        <v>0</v>
      </c>
      <c r="AD1810" s="123">
        <f>1250000+20431</f>
        <v>1270431</v>
      </c>
      <c r="AE1810" s="123">
        <v>34351</v>
      </c>
      <c r="AG1810" s="151">
        <f t="shared" si="326"/>
        <v>104164</v>
      </c>
      <c r="AH1810" s="123">
        <f>104164+AL1810</f>
        <v>159034</v>
      </c>
      <c r="AJ1810" s="123">
        <v>42372</v>
      </c>
      <c r="AL1810" s="123">
        <v>54870</v>
      </c>
    </row>
    <row r="1811" spans="1:41" s="123" customFormat="1" ht="16.2" thickBot="1" x14ac:dyDescent="0.35">
      <c r="A1811" s="21"/>
      <c r="B1811" s="212" t="s">
        <v>97</v>
      </c>
      <c r="C1811" s="31" t="str">
        <f>VLOOKUP((CONCATENATE(B1811)),ID!$A$2:$D$305,3,0)</f>
        <v>FO007</v>
      </c>
      <c r="D1811" s="21">
        <v>1</v>
      </c>
      <c r="E1811" s="21" t="s">
        <v>4001</v>
      </c>
      <c r="F1811" s="21" t="s">
        <v>1117</v>
      </c>
      <c r="G1811" s="21" t="s">
        <v>3853</v>
      </c>
      <c r="H1811" s="88">
        <v>4749</v>
      </c>
      <c r="I1811" s="43">
        <v>4762</v>
      </c>
      <c r="J1811" s="43">
        <v>4760</v>
      </c>
      <c r="K1811" s="21">
        <v>0</v>
      </c>
      <c r="L1811" s="21"/>
      <c r="M1811" s="21"/>
      <c r="N1811" s="43">
        <v>4773</v>
      </c>
      <c r="O1811" s="21" t="s">
        <v>3733</v>
      </c>
      <c r="P1811" s="194" t="str">
        <f t="shared" si="331"/>
        <v>1</v>
      </c>
      <c r="Q1811" s="21">
        <v>1</v>
      </c>
      <c r="R1811" s="39" t="str">
        <f t="shared" si="325"/>
        <v>-</v>
      </c>
      <c r="S1811" s="120">
        <f t="shared" si="332"/>
        <v>2392352</v>
      </c>
      <c r="T1811" s="123">
        <v>3755237</v>
      </c>
      <c r="U1811" s="123">
        <f>2572314+736379</f>
        <v>3308693</v>
      </c>
      <c r="V1811" s="123">
        <f t="shared" si="327"/>
        <v>446544</v>
      </c>
      <c r="W1811" s="122" t="str">
        <f t="shared" si="328"/>
        <v>1</v>
      </c>
      <c r="X1811" s="123">
        <f>Y1811+25391+67802+141</f>
        <v>1362885</v>
      </c>
      <c r="Y1811" s="123">
        <f>AB1811</f>
        <v>1269551</v>
      </c>
      <c r="Z1811" s="123">
        <f t="shared" si="333"/>
        <v>93334</v>
      </c>
      <c r="AA1811" s="122" t="str">
        <f t="shared" si="329"/>
        <v>1</v>
      </c>
      <c r="AB1811" s="120">
        <f t="shared" si="330"/>
        <v>1269551</v>
      </c>
      <c r="AC1811" s="123">
        <v>0</v>
      </c>
      <c r="AD1811" s="123">
        <f>1250000+19551</f>
        <v>1269551</v>
      </c>
      <c r="AE1811" s="123">
        <v>45673</v>
      </c>
      <c r="AG1811" s="151">
        <f t="shared" si="326"/>
        <v>104020</v>
      </c>
      <c r="AH1811" s="123">
        <f>104020+AL1811</f>
        <v>159320</v>
      </c>
      <c r="AJ1811" s="123">
        <v>42372</v>
      </c>
      <c r="AL1811" s="123">
        <v>55300</v>
      </c>
    </row>
    <row r="1812" spans="1:41" s="123" customFormat="1" ht="16.2" thickBot="1" x14ac:dyDescent="0.35">
      <c r="A1812" s="21"/>
      <c r="B1812" s="212" t="s">
        <v>97</v>
      </c>
      <c r="C1812" s="31" t="str">
        <f>VLOOKUP((CONCATENATE(B1812)),ID!$A$2:$D$305,3,0)</f>
        <v>FO007</v>
      </c>
      <c r="D1812" s="21">
        <v>1</v>
      </c>
      <c r="E1812" s="21" t="s">
        <v>4001</v>
      </c>
      <c r="F1812" s="21" t="s">
        <v>1117</v>
      </c>
      <c r="G1812" s="21" t="s">
        <v>3853</v>
      </c>
      <c r="H1812" s="88">
        <v>5114</v>
      </c>
      <c r="I1812" s="43">
        <v>5126</v>
      </c>
      <c r="J1812" s="43">
        <v>5126</v>
      </c>
      <c r="K1812" s="21">
        <v>0</v>
      </c>
      <c r="L1812" s="21"/>
      <c r="M1812" s="21"/>
      <c r="N1812" s="43">
        <v>5137</v>
      </c>
      <c r="O1812" s="21" t="s">
        <v>3733</v>
      </c>
      <c r="P1812" s="194" t="str">
        <f t="shared" si="331"/>
        <v>1</v>
      </c>
      <c r="Q1812" s="21">
        <v>1</v>
      </c>
      <c r="R1812" s="39" t="str">
        <f t="shared" si="325"/>
        <v>-</v>
      </c>
      <c r="S1812" s="120">
        <f t="shared" si="332"/>
        <v>2385941</v>
      </c>
      <c r="T1812" s="123">
        <v>3753939</v>
      </c>
      <c r="U1812" s="123">
        <f>2560783+772205</f>
        <v>3332988</v>
      </c>
      <c r="V1812" s="123">
        <f t="shared" si="327"/>
        <v>420951</v>
      </c>
      <c r="W1812" s="122" t="str">
        <f t="shared" si="328"/>
        <v>1</v>
      </c>
      <c r="X1812" s="123">
        <f>Y1812+25379+50000+23555+113</f>
        <v>1367998</v>
      </c>
      <c r="Y1812" s="123">
        <f>AB1812</f>
        <v>1268951</v>
      </c>
      <c r="Z1812" s="123">
        <f t="shared" si="333"/>
        <v>99047</v>
      </c>
      <c r="AA1812" s="122" t="str">
        <f t="shared" si="329"/>
        <v>1</v>
      </c>
      <c r="AB1812" s="120">
        <f t="shared" si="330"/>
        <v>1268951</v>
      </c>
      <c r="AC1812" s="123">
        <v>0</v>
      </c>
      <c r="AD1812" s="123">
        <f>1250000+18951</f>
        <v>1268951</v>
      </c>
      <c r="AE1812" s="123">
        <v>40913</v>
      </c>
      <c r="AG1812" s="151">
        <f t="shared" si="326"/>
        <v>104390</v>
      </c>
      <c r="AH1812" s="123">
        <f>104390+AL1812</f>
        <v>159320</v>
      </c>
      <c r="AJ1812" s="123">
        <v>42373</v>
      </c>
      <c r="AL1812" s="123">
        <v>54930</v>
      </c>
    </row>
    <row r="1813" spans="1:41" s="123" customFormat="1" ht="16.2" thickBot="1" x14ac:dyDescent="0.35">
      <c r="A1813" s="21"/>
      <c r="B1813" s="212" t="s">
        <v>151</v>
      </c>
      <c r="C1813" s="31" t="str">
        <f>VLOOKUP((CONCATENATE(B1813)),ID!$A$2:$D$305,3,0)</f>
        <v>FO008</v>
      </c>
      <c r="D1813" s="21">
        <v>1</v>
      </c>
      <c r="E1813" s="21" t="s">
        <v>4001</v>
      </c>
      <c r="F1813" s="21" t="s">
        <v>1117</v>
      </c>
      <c r="G1813" s="21" t="s">
        <v>3853</v>
      </c>
      <c r="H1813" s="88">
        <v>3804</v>
      </c>
      <c r="I1813" s="43">
        <v>3822</v>
      </c>
      <c r="J1813" s="43">
        <v>3821</v>
      </c>
      <c r="K1813" s="21">
        <v>1</v>
      </c>
      <c r="L1813" s="43">
        <v>3820</v>
      </c>
      <c r="M1813" s="43">
        <v>3839</v>
      </c>
      <c r="N1813" s="43">
        <v>3838</v>
      </c>
      <c r="O1813" s="21" t="s">
        <v>4049</v>
      </c>
      <c r="P1813" s="194" t="str">
        <f t="shared" si="331"/>
        <v>1</v>
      </c>
      <c r="Q1813" s="21">
        <v>1</v>
      </c>
      <c r="R1813" s="39" t="str">
        <f t="shared" si="325"/>
        <v>-</v>
      </c>
      <c r="S1813" s="120">
        <f t="shared" si="332"/>
        <v>1506921</v>
      </c>
      <c r="T1813" s="123">
        <v>1793775</v>
      </c>
      <c r="U1813" s="123">
        <f>100000+20110+1150704</f>
        <v>1270814</v>
      </c>
      <c r="V1813" s="123">
        <f t="shared" si="327"/>
        <v>522961</v>
      </c>
      <c r="W1813" s="122" t="str">
        <f t="shared" si="328"/>
        <v>1</v>
      </c>
      <c r="X1813" s="123">
        <f>T1813-1000000-70000-436921</f>
        <v>286854</v>
      </c>
      <c r="Y1813" s="123">
        <f>50000+45</f>
        <v>50045</v>
      </c>
      <c r="Z1813" s="123">
        <f t="shared" si="333"/>
        <v>236809</v>
      </c>
      <c r="AA1813" s="122" t="str">
        <f t="shared" si="329"/>
        <v>1</v>
      </c>
      <c r="AB1813" s="120">
        <f t="shared" si="330"/>
        <v>0</v>
      </c>
      <c r="AC1813" s="123">
        <v>0</v>
      </c>
      <c r="AD1813" s="123">
        <v>0</v>
      </c>
      <c r="AE1813" s="123">
        <v>375554</v>
      </c>
      <c r="AG1813" s="151">
        <f t="shared" si="326"/>
        <v>166155</v>
      </c>
      <c r="AH1813" s="123">
        <f>166155+AI1813+AL1813</f>
        <v>178693</v>
      </c>
      <c r="AI1813" s="123">
        <v>11090</v>
      </c>
      <c r="AJ1813" s="123">
        <v>75000</v>
      </c>
      <c r="AL1813" s="123">
        <v>1448</v>
      </c>
      <c r="AM1813" s="132">
        <f>AN1813-(1163316+154667-1159706)</f>
        <v>176391</v>
      </c>
      <c r="AN1813" s="132">
        <v>334668</v>
      </c>
      <c r="AO1813" s="123">
        <v>100000</v>
      </c>
    </row>
    <row r="1814" spans="1:41" s="123" customFormat="1" ht="16.2" thickBot="1" x14ac:dyDescent="0.35">
      <c r="A1814" s="21">
        <v>305.10000000000002</v>
      </c>
      <c r="B1814" s="212" t="s">
        <v>151</v>
      </c>
      <c r="C1814" s="31" t="str">
        <f>VLOOKUP((CONCATENATE(B1814)),ID!$A$2:$D$305,3,0)</f>
        <v>FO008</v>
      </c>
      <c r="D1814" s="21">
        <v>1</v>
      </c>
      <c r="E1814" s="21" t="s">
        <v>4001</v>
      </c>
      <c r="F1814" s="21" t="s">
        <v>1117</v>
      </c>
      <c r="G1814" s="21" t="s">
        <v>3853</v>
      </c>
      <c r="H1814" s="88">
        <v>4169</v>
      </c>
      <c r="I1814" s="43">
        <v>4182</v>
      </c>
      <c r="J1814" s="43">
        <v>4188</v>
      </c>
      <c r="K1814" s="21">
        <v>1</v>
      </c>
      <c r="L1814" s="43">
        <v>4190</v>
      </c>
      <c r="M1814" s="43">
        <v>4210</v>
      </c>
      <c r="N1814" s="43">
        <v>4209</v>
      </c>
      <c r="O1814" s="21" t="s">
        <v>4049</v>
      </c>
      <c r="P1814" s="194" t="str">
        <f t="shared" si="331"/>
        <v>1</v>
      </c>
      <c r="Q1814" s="21">
        <v>1</v>
      </c>
      <c r="R1814" s="39" t="str">
        <f t="shared" si="325"/>
        <v>-</v>
      </c>
      <c r="S1814" s="120">
        <f t="shared" si="332"/>
        <v>1491888</v>
      </c>
      <c r="T1814" s="123">
        <v>2080967</v>
      </c>
      <c r="U1814" s="123">
        <f>100000+29110+1110992</f>
        <v>1240102</v>
      </c>
      <c r="V1814" s="123">
        <f t="shared" si="327"/>
        <v>840865</v>
      </c>
      <c r="W1814" s="122" t="str">
        <f t="shared" si="328"/>
        <v>1</v>
      </c>
      <c r="X1814" s="123">
        <f>240523+50000+298556</f>
        <v>589079</v>
      </c>
      <c r="Y1814" s="123">
        <f>50000+298556</f>
        <v>348556</v>
      </c>
      <c r="Z1814" s="123">
        <f t="shared" si="333"/>
        <v>240523</v>
      </c>
      <c r="AA1814" s="122" t="str">
        <f t="shared" si="329"/>
        <v>1</v>
      </c>
      <c r="AB1814" s="120">
        <f t="shared" si="330"/>
        <v>0</v>
      </c>
      <c r="AC1814" s="123">
        <v>0</v>
      </c>
      <c r="AD1814" s="123">
        <v>0</v>
      </c>
      <c r="AE1814" s="123">
        <v>239932</v>
      </c>
      <c r="AG1814" s="151">
        <f t="shared" si="326"/>
        <v>159965</v>
      </c>
      <c r="AH1814" s="123">
        <f>159965+AI1814+AL1814</f>
        <v>170532</v>
      </c>
      <c r="AI1814" s="123">
        <v>9115</v>
      </c>
      <c r="AJ1814" s="123">
        <v>100000</v>
      </c>
      <c r="AL1814" s="123">
        <v>1452</v>
      </c>
      <c r="AM1814" s="132">
        <f>AN1814-(1159706+163528-1110992)</f>
        <v>127188</v>
      </c>
      <c r="AN1814" s="132">
        <v>339430</v>
      </c>
      <c r="AO1814" s="123">
        <v>100000</v>
      </c>
    </row>
    <row r="1815" spans="1:41" s="123" customFormat="1" ht="16.2" thickBot="1" x14ac:dyDescent="0.35">
      <c r="A1815" s="21">
        <v>305.2</v>
      </c>
      <c r="B1815" s="212" t="s">
        <v>151</v>
      </c>
      <c r="C1815" s="31" t="str">
        <f>VLOOKUP((CONCATENATE(B1815)),ID!$A$2:$D$305,3,0)</f>
        <v>FO008</v>
      </c>
      <c r="D1815" s="21">
        <v>1</v>
      </c>
      <c r="E1815" s="21" t="s">
        <v>4001</v>
      </c>
      <c r="F1815" s="21" t="s">
        <v>1117</v>
      </c>
      <c r="G1815" s="21" t="s">
        <v>3853</v>
      </c>
      <c r="H1815" s="88">
        <v>4535</v>
      </c>
      <c r="I1815" s="43">
        <v>4546</v>
      </c>
      <c r="J1815" s="43">
        <v>4546</v>
      </c>
      <c r="K1815" s="21">
        <v>1</v>
      </c>
      <c r="L1815" s="43">
        <v>4546</v>
      </c>
      <c r="M1815" s="43">
        <v>4574</v>
      </c>
      <c r="N1815" s="43">
        <v>4573</v>
      </c>
      <c r="O1815" s="21" t="s">
        <v>4049</v>
      </c>
      <c r="P1815" s="194" t="str">
        <f t="shared" si="331"/>
        <v>1</v>
      </c>
      <c r="Q1815" s="21">
        <v>1</v>
      </c>
      <c r="R1815" s="39" t="str">
        <f t="shared" si="325"/>
        <v>-</v>
      </c>
      <c r="S1815" s="120">
        <f t="shared" si="332"/>
        <v>1487959</v>
      </c>
      <c r="T1815" s="123">
        <v>2209020</v>
      </c>
      <c r="U1815" s="123">
        <f>1577169+100000</f>
        <v>1677169</v>
      </c>
      <c r="V1815" s="123">
        <f t="shared" si="327"/>
        <v>531851</v>
      </c>
      <c r="W1815" s="122" t="str">
        <f t="shared" si="328"/>
        <v>1</v>
      </c>
      <c r="X1815" s="123">
        <f>299237+50000+371824</f>
        <v>721061</v>
      </c>
      <c r="Y1815" s="123">
        <f>50000+371824</f>
        <v>421824</v>
      </c>
      <c r="Z1815" s="123">
        <f t="shared" si="333"/>
        <v>299237</v>
      </c>
      <c r="AA1815" s="122" t="str">
        <f t="shared" si="329"/>
        <v>1</v>
      </c>
      <c r="AB1815" s="120">
        <f t="shared" si="330"/>
        <v>0</v>
      </c>
      <c r="AC1815" s="123">
        <v>0</v>
      </c>
      <c r="AD1815" s="123">
        <v>0</v>
      </c>
      <c r="AE1815" s="123">
        <v>48406</v>
      </c>
      <c r="AG1815" s="151">
        <f t="shared" si="326"/>
        <v>196070</v>
      </c>
      <c r="AH1815" s="123">
        <f>196070+AI1815+AL1815</f>
        <v>205815</v>
      </c>
      <c r="AI1815" s="123">
        <v>8360</v>
      </c>
      <c r="AJ1815" s="123">
        <v>100000</v>
      </c>
      <c r="AL1815" s="123">
        <v>1385</v>
      </c>
      <c r="AM1815" s="132">
        <f>AN1815-(1110992+172066-1577169)</f>
        <v>689629</v>
      </c>
      <c r="AN1815" s="132">
        <v>395518</v>
      </c>
      <c r="AO1815" s="123">
        <v>100000</v>
      </c>
    </row>
    <row r="1816" spans="1:41" s="123" customFormat="1" ht="16.2" thickBot="1" x14ac:dyDescent="0.35">
      <c r="A1816" s="21"/>
      <c r="B1816" s="212" t="s">
        <v>151</v>
      </c>
      <c r="C1816" s="31" t="str">
        <f>VLOOKUP((CONCATENATE(B1816)),ID!$A$2:$D$305,3,0)</f>
        <v>FO008</v>
      </c>
      <c r="D1816" s="21">
        <v>1</v>
      </c>
      <c r="E1816" s="21" t="s">
        <v>4001</v>
      </c>
      <c r="F1816" s="21" t="s">
        <v>1117</v>
      </c>
      <c r="G1816" s="21" t="s">
        <v>3853</v>
      </c>
      <c r="H1816" s="88">
        <v>4900</v>
      </c>
      <c r="I1816" s="43">
        <v>4903</v>
      </c>
      <c r="J1816" s="43">
        <v>4911</v>
      </c>
      <c r="K1816" s="21">
        <v>1</v>
      </c>
      <c r="L1816" s="43">
        <v>4910</v>
      </c>
      <c r="M1816" s="43">
        <v>4930</v>
      </c>
      <c r="N1816" s="43">
        <v>4930</v>
      </c>
      <c r="O1816" s="21" t="s">
        <v>4049</v>
      </c>
      <c r="P1816" s="194" t="str">
        <f t="shared" si="331"/>
        <v>1</v>
      </c>
      <c r="Q1816" s="21">
        <v>1</v>
      </c>
      <c r="R1816" s="39" t="str">
        <f t="shared" si="325"/>
        <v>-</v>
      </c>
      <c r="S1816" s="120">
        <f t="shared" si="332"/>
        <v>2898847</v>
      </c>
      <c r="T1816" s="123">
        <v>3476922</v>
      </c>
      <c r="U1816" s="123">
        <f>23013+2018982</f>
        <v>2041995</v>
      </c>
      <c r="V1816" s="123">
        <f t="shared" si="327"/>
        <v>1434927</v>
      </c>
      <c r="W1816" s="122" t="str">
        <f t="shared" si="328"/>
        <v>1</v>
      </c>
      <c r="X1816" s="123">
        <f>156575+371500+50000</f>
        <v>578075</v>
      </c>
      <c r="Y1816" s="123">
        <f>156575+50000</f>
        <v>206575</v>
      </c>
      <c r="Z1816" s="123">
        <f t="shared" si="333"/>
        <v>371500</v>
      </c>
      <c r="AA1816" s="122" t="str">
        <f t="shared" si="329"/>
        <v>1</v>
      </c>
      <c r="AB1816" s="120">
        <f t="shared" si="330"/>
        <v>0</v>
      </c>
      <c r="AC1816" s="123">
        <v>0</v>
      </c>
      <c r="AD1816" s="123">
        <v>0</v>
      </c>
      <c r="AE1816" s="123">
        <v>585317</v>
      </c>
      <c r="AG1816" s="151">
        <f t="shared" si="326"/>
        <v>228324</v>
      </c>
      <c r="AH1816" s="123">
        <f>228324+AI1816+AL1816</f>
        <v>237463</v>
      </c>
      <c r="AI1816" s="123">
        <v>7798</v>
      </c>
      <c r="AJ1816" s="123">
        <v>117308</v>
      </c>
      <c r="AL1816" s="123">
        <v>1341</v>
      </c>
      <c r="AM1816" s="132">
        <f>AN1816-(1366356+223360-2018982)</f>
        <v>872382</v>
      </c>
      <c r="AN1816" s="132">
        <v>443116</v>
      </c>
      <c r="AO1816" s="123">
        <v>1200000</v>
      </c>
    </row>
    <row r="1817" spans="1:41" s="123" customFormat="1" ht="16.2" thickBot="1" x14ac:dyDescent="0.35">
      <c r="A1817" s="21"/>
      <c r="B1817" s="212" t="s">
        <v>151</v>
      </c>
      <c r="C1817" s="31" t="str">
        <f>VLOOKUP((CONCATENATE(B1817)),ID!$A$2:$D$305,3,0)</f>
        <v>FO008</v>
      </c>
      <c r="D1817" s="21">
        <v>1</v>
      </c>
      <c r="E1817" s="21" t="s">
        <v>4001</v>
      </c>
      <c r="F1817" s="21" t="s">
        <v>1117</v>
      </c>
      <c r="G1817" s="21" t="s">
        <v>3853</v>
      </c>
      <c r="H1817" s="88">
        <v>5265</v>
      </c>
      <c r="I1817" s="43">
        <v>5274</v>
      </c>
      <c r="J1817" s="43">
        <v>5277</v>
      </c>
      <c r="K1817" s="21">
        <v>1</v>
      </c>
      <c r="L1817" s="43">
        <v>5275</v>
      </c>
      <c r="M1817" s="43">
        <v>5295</v>
      </c>
      <c r="N1817" s="43">
        <v>5294</v>
      </c>
      <c r="O1817" s="21" t="s">
        <v>4049</v>
      </c>
      <c r="P1817" s="194" t="str">
        <f t="shared" si="331"/>
        <v>1</v>
      </c>
      <c r="Q1817" s="21">
        <v>1</v>
      </c>
      <c r="R1817" s="39" t="str">
        <f t="shared" si="325"/>
        <v>-</v>
      </c>
      <c r="S1817" s="120">
        <f t="shared" si="332"/>
        <v>3893152</v>
      </c>
      <c r="T1817" s="123">
        <v>4151229</v>
      </c>
      <c r="U1817" s="123">
        <f>2096363+168210+897264</f>
        <v>3161837</v>
      </c>
      <c r="V1817" s="123">
        <f t="shared" si="327"/>
        <v>989392</v>
      </c>
      <c r="W1817" s="122" t="str">
        <f t="shared" si="328"/>
        <v>1</v>
      </c>
      <c r="X1817" s="123">
        <f>105279+31015+2270+17585+50000+51928</f>
        <v>258077</v>
      </c>
      <c r="Y1817" s="123">
        <f>51928+50000</f>
        <v>101928</v>
      </c>
      <c r="Z1817" s="123">
        <f t="shared" si="333"/>
        <v>156149</v>
      </c>
      <c r="AA1817" s="122" t="str">
        <f t="shared" si="329"/>
        <v>1</v>
      </c>
      <c r="AB1817" s="120">
        <f t="shared" si="330"/>
        <v>0</v>
      </c>
      <c r="AC1817" s="123">
        <v>0</v>
      </c>
      <c r="AD1817" s="123">
        <v>0</v>
      </c>
      <c r="AE1817" s="123">
        <v>9625</v>
      </c>
      <c r="AG1817" s="151">
        <f t="shared" si="326"/>
        <v>86636</v>
      </c>
      <c r="AH1817" s="123">
        <f>86636+AI1817+AL1817</f>
        <v>96205</v>
      </c>
      <c r="AI1817" s="123">
        <v>8571</v>
      </c>
      <c r="AJ1817" s="123">
        <v>173538</v>
      </c>
      <c r="AL1817" s="123">
        <v>998</v>
      </c>
      <c r="AM1817" s="132"/>
      <c r="AN1817" s="132"/>
      <c r="AO1817" s="123">
        <v>1400000</v>
      </c>
    </row>
    <row r="1818" spans="1:41" s="123" customFormat="1" ht="16.2" thickBot="1" x14ac:dyDescent="0.35">
      <c r="A1818" s="21"/>
      <c r="B1818" s="212" t="s">
        <v>223</v>
      </c>
      <c r="C1818" s="31" t="str">
        <f>VLOOKUP((CONCATENATE(B1818)),ID!$A$2:$D$305,3,0)</f>
        <v>FO009</v>
      </c>
      <c r="D1818" s="21">
        <v>1</v>
      </c>
      <c r="E1818" s="21" t="s">
        <v>4001</v>
      </c>
      <c r="F1818" s="21" t="s">
        <v>1117</v>
      </c>
      <c r="G1818" s="21" t="s">
        <v>3806</v>
      </c>
      <c r="H1818" s="88">
        <v>3743</v>
      </c>
      <c r="I1818" s="43">
        <v>3792</v>
      </c>
      <c r="J1818" s="43">
        <v>3791</v>
      </c>
      <c r="K1818" s="21">
        <v>1</v>
      </c>
      <c r="L1818" s="43">
        <v>3794</v>
      </c>
      <c r="M1818" s="43">
        <v>3800</v>
      </c>
      <c r="N1818" s="43">
        <v>3800</v>
      </c>
      <c r="O1818" s="21" t="s">
        <v>3859</v>
      </c>
      <c r="P1818" s="194" t="str">
        <f t="shared" si="331"/>
        <v>1</v>
      </c>
      <c r="Q1818" s="21">
        <v>1</v>
      </c>
      <c r="R1818" s="39" t="str">
        <f t="shared" si="325"/>
        <v>-</v>
      </c>
      <c r="S1818" s="120">
        <f t="shared" si="332"/>
        <v>1261661</v>
      </c>
      <c r="T1818" s="123">
        <v>1370126</v>
      </c>
      <c r="U1818" s="123">
        <v>1183611</v>
      </c>
      <c r="V1818" s="123">
        <f t="shared" si="327"/>
        <v>186515</v>
      </c>
      <c r="W1818" s="122" t="str">
        <f t="shared" si="328"/>
        <v>1</v>
      </c>
      <c r="X1818" s="123">
        <f>T1818-1250000-11661</f>
        <v>108465</v>
      </c>
      <c r="Y1818" s="123">
        <v>593</v>
      </c>
      <c r="Z1818" s="123">
        <f t="shared" si="333"/>
        <v>107872</v>
      </c>
      <c r="AA1818" s="122" t="str">
        <f t="shared" si="329"/>
        <v>1</v>
      </c>
      <c r="AB1818" s="120">
        <f t="shared" si="330"/>
        <v>66601</v>
      </c>
      <c r="AC1818" s="123">
        <v>0</v>
      </c>
      <c r="AD1818" s="123">
        <v>66601</v>
      </c>
      <c r="AE1818" s="123">
        <v>5216</v>
      </c>
      <c r="AG1818" s="151">
        <f t="shared" si="326"/>
        <v>39880</v>
      </c>
      <c r="AH1818" s="123">
        <v>39880</v>
      </c>
      <c r="AJ1818" s="123">
        <v>28219</v>
      </c>
      <c r="AM1818" s="132"/>
      <c r="AN1818" s="132"/>
      <c r="AO1818" s="123">
        <v>300000</v>
      </c>
    </row>
    <row r="1819" spans="1:41" s="123" customFormat="1" ht="16.2" thickBot="1" x14ac:dyDescent="0.35">
      <c r="A1819" s="21">
        <v>306.10000000000002</v>
      </c>
      <c r="B1819" s="212" t="s">
        <v>223</v>
      </c>
      <c r="C1819" s="31" t="str">
        <f>VLOOKUP((CONCATENATE(B1819)),ID!$A$2:$D$305,3,0)</f>
        <v>FO009</v>
      </c>
      <c r="D1819" s="21">
        <v>1</v>
      </c>
      <c r="E1819" s="21" t="s">
        <v>4001</v>
      </c>
      <c r="F1819" s="21" t="s">
        <v>1117</v>
      </c>
      <c r="G1819" s="21" t="s">
        <v>3806</v>
      </c>
      <c r="H1819" s="88">
        <v>4108</v>
      </c>
      <c r="I1819" s="43">
        <v>4144</v>
      </c>
      <c r="J1819" s="43">
        <v>4143</v>
      </c>
      <c r="K1819" s="21">
        <v>1</v>
      </c>
      <c r="L1819" s="43">
        <v>4146</v>
      </c>
      <c r="M1819" s="43">
        <v>4154</v>
      </c>
      <c r="N1819" s="43">
        <v>4154</v>
      </c>
      <c r="O1819" s="21" t="s">
        <v>3859</v>
      </c>
      <c r="P1819" s="194" t="str">
        <f t="shared" si="331"/>
        <v>1</v>
      </c>
      <c r="Q1819" s="21">
        <v>1</v>
      </c>
      <c r="R1819" s="39" t="str">
        <f t="shared" si="325"/>
        <v>-</v>
      </c>
      <c r="S1819" s="120">
        <f t="shared" si="332"/>
        <v>1278822</v>
      </c>
      <c r="T1819" s="123">
        <v>2419533</v>
      </c>
      <c r="U1819" s="123">
        <f>2064178+60750</f>
        <v>2124928</v>
      </c>
      <c r="V1819" s="123">
        <f t="shared" si="327"/>
        <v>294605</v>
      </c>
      <c r="W1819" s="122" t="str">
        <f t="shared" si="328"/>
        <v>1</v>
      </c>
      <c r="X1819" s="123">
        <f>1000000+93071+23890+12500+11250</f>
        <v>1140711</v>
      </c>
      <c r="Y1819" s="123">
        <f>AB1819</f>
        <v>1000000</v>
      </c>
      <c r="Z1819" s="123">
        <f t="shared" si="333"/>
        <v>140711</v>
      </c>
      <c r="AA1819" s="122" t="str">
        <f t="shared" si="329"/>
        <v>1</v>
      </c>
      <c r="AB1819" s="120">
        <f t="shared" si="330"/>
        <v>1000000</v>
      </c>
      <c r="AC1819" s="123">
        <v>0</v>
      </c>
      <c r="AD1819" s="123">
        <v>1000000</v>
      </c>
      <c r="AE1819" s="123">
        <v>26447</v>
      </c>
      <c r="AG1819" s="151">
        <f t="shared" si="326"/>
        <v>77160</v>
      </c>
      <c r="AH1819" s="123">
        <v>77160</v>
      </c>
      <c r="AJ1819" s="123">
        <v>50000</v>
      </c>
      <c r="AO1819" s="123">
        <v>300000</v>
      </c>
    </row>
    <row r="1820" spans="1:41" s="123" customFormat="1" ht="16.2" thickBot="1" x14ac:dyDescent="0.35">
      <c r="A1820" s="21">
        <v>306.2</v>
      </c>
      <c r="B1820" s="212" t="s">
        <v>223</v>
      </c>
      <c r="C1820" s="31" t="str">
        <f>VLOOKUP((CONCATENATE(B1820)),ID!$A$2:$D$305,3,0)</f>
        <v>FO009</v>
      </c>
      <c r="D1820" s="21">
        <v>1</v>
      </c>
      <c r="E1820" s="21" t="s">
        <v>4001</v>
      </c>
      <c r="F1820" s="21" t="s">
        <v>1117</v>
      </c>
      <c r="G1820" s="21" t="s">
        <v>3806</v>
      </c>
      <c r="H1820" s="88">
        <v>4474</v>
      </c>
      <c r="I1820" s="43">
        <v>4517</v>
      </c>
      <c r="J1820" s="43">
        <v>4517</v>
      </c>
      <c r="K1820" s="21">
        <v>1</v>
      </c>
      <c r="L1820" s="43">
        <v>4518</v>
      </c>
      <c r="M1820" s="43">
        <v>4525</v>
      </c>
      <c r="N1820" s="43">
        <v>4525</v>
      </c>
      <c r="O1820" s="21" t="s">
        <v>3859</v>
      </c>
      <c r="P1820" s="194" t="str">
        <f t="shared" si="331"/>
        <v>1</v>
      </c>
      <c r="Q1820" s="21">
        <v>1</v>
      </c>
      <c r="R1820" s="39" t="str">
        <f t="shared" si="325"/>
        <v>-</v>
      </c>
      <c r="S1820" s="120">
        <f t="shared" si="332"/>
        <v>1294838</v>
      </c>
      <c r="T1820" s="123">
        <v>3156245</v>
      </c>
      <c r="U1820" s="123">
        <f>2615917+1174</f>
        <v>2617091</v>
      </c>
      <c r="V1820" s="123">
        <f t="shared" si="327"/>
        <v>539154</v>
      </c>
      <c r="W1820" s="122" t="str">
        <f t="shared" si="328"/>
        <v>1</v>
      </c>
      <c r="X1820" s="123">
        <f>1750000+19687+63258+15962+12500</f>
        <v>1861407</v>
      </c>
      <c r="Y1820" s="123">
        <f>AB1820</f>
        <v>1750000</v>
      </c>
      <c r="Z1820" s="123">
        <f t="shared" si="333"/>
        <v>111407</v>
      </c>
      <c r="AA1820" s="122" t="str">
        <f t="shared" si="329"/>
        <v>1</v>
      </c>
      <c r="AB1820" s="120">
        <f t="shared" si="330"/>
        <v>1750000</v>
      </c>
      <c r="AC1820" s="123">
        <v>0</v>
      </c>
      <c r="AD1820" s="123">
        <v>1750000</v>
      </c>
      <c r="AE1820" s="123">
        <v>22582</v>
      </c>
      <c r="AG1820" s="151">
        <f t="shared" si="326"/>
        <v>84015</v>
      </c>
      <c r="AH1820" s="123">
        <f>84015+AL1820</f>
        <v>86699</v>
      </c>
      <c r="AJ1820" s="123">
        <v>50000</v>
      </c>
      <c r="AL1820" s="123">
        <v>2684</v>
      </c>
      <c r="AO1820" s="123">
        <v>300000</v>
      </c>
    </row>
    <row r="1821" spans="1:41" s="123" customFormat="1" ht="16.2" thickBot="1" x14ac:dyDescent="0.35">
      <c r="A1821" s="21"/>
      <c r="B1821" s="212" t="s">
        <v>223</v>
      </c>
      <c r="C1821" s="31" t="str">
        <f>VLOOKUP((CONCATENATE(B1821)),ID!$A$2:$D$305,3,0)</f>
        <v>FO009</v>
      </c>
      <c r="D1821" s="21">
        <v>1</v>
      </c>
      <c r="E1821" s="21" t="s">
        <v>4001</v>
      </c>
      <c r="F1821" s="21" t="s">
        <v>1117</v>
      </c>
      <c r="G1821" s="21" t="s">
        <v>3806</v>
      </c>
      <c r="H1821" s="88">
        <v>4839</v>
      </c>
      <c r="I1821" s="43">
        <v>4888</v>
      </c>
      <c r="J1821" s="43">
        <v>4888</v>
      </c>
      <c r="K1821" s="21">
        <v>1</v>
      </c>
      <c r="L1821" s="43">
        <v>4889</v>
      </c>
      <c r="M1821" s="43">
        <v>4896</v>
      </c>
      <c r="N1821" s="43">
        <v>4896</v>
      </c>
      <c r="O1821" s="21" t="s">
        <v>3859</v>
      </c>
      <c r="P1821" s="194" t="str">
        <f t="shared" si="331"/>
        <v>1</v>
      </c>
      <c r="Q1821" s="21">
        <v>1</v>
      </c>
      <c r="R1821" s="39" t="str">
        <f t="shared" si="325"/>
        <v>-</v>
      </c>
      <c r="S1821" s="120">
        <f t="shared" si="332"/>
        <v>1313203</v>
      </c>
      <c r="T1821" s="123">
        <v>3472907</v>
      </c>
      <c r="U1821" s="123">
        <f>3071184+37893+2620</f>
        <v>3111697</v>
      </c>
      <c r="V1821" s="123">
        <f t="shared" si="327"/>
        <v>361210</v>
      </c>
      <c r="W1821" s="122" t="str">
        <f t="shared" si="328"/>
        <v>1</v>
      </c>
      <c r="X1821" s="123">
        <f>T1821-1250000-20000-43203</f>
        <v>2159704</v>
      </c>
      <c r="Y1821" s="123">
        <f>1750000</f>
        <v>1750000</v>
      </c>
      <c r="Z1821" s="123">
        <f t="shared" si="333"/>
        <v>409704</v>
      </c>
      <c r="AA1821" s="122" t="str">
        <f t="shared" si="329"/>
        <v>1</v>
      </c>
      <c r="AB1821" s="120">
        <f t="shared" si="330"/>
        <v>2080000</v>
      </c>
      <c r="AC1821" s="123">
        <v>0</v>
      </c>
      <c r="AD1821" s="123">
        <f>330000+1750000</f>
        <v>2080000</v>
      </c>
      <c r="AE1821" s="123">
        <v>22593</v>
      </c>
      <c r="AG1821" s="151">
        <f t="shared" si="326"/>
        <v>90366</v>
      </c>
      <c r="AH1821" s="123">
        <f>90366+AL1821</f>
        <v>96448</v>
      </c>
      <c r="AJ1821" s="123">
        <v>50000</v>
      </c>
      <c r="AL1821" s="123">
        <v>6082</v>
      </c>
      <c r="AO1821" s="123">
        <v>300000</v>
      </c>
    </row>
    <row r="1822" spans="1:41" s="123" customFormat="1" ht="16.2" thickBot="1" x14ac:dyDescent="0.35">
      <c r="A1822" s="21"/>
      <c r="B1822" s="212" t="s">
        <v>223</v>
      </c>
      <c r="C1822" s="31" t="str">
        <f>VLOOKUP((CONCATENATE(B1822)),ID!$A$2:$D$305,3,0)</f>
        <v>FO009</v>
      </c>
      <c r="D1822" s="21">
        <v>1</v>
      </c>
      <c r="E1822" s="21" t="s">
        <v>4001</v>
      </c>
      <c r="F1822" s="21" t="s">
        <v>1117</v>
      </c>
      <c r="G1822" s="21" t="s">
        <v>3806</v>
      </c>
      <c r="H1822" s="88">
        <v>5204</v>
      </c>
      <c r="I1822" s="43">
        <v>5263</v>
      </c>
      <c r="J1822" s="43">
        <v>5261</v>
      </c>
      <c r="K1822" s="21">
        <v>1</v>
      </c>
      <c r="L1822" s="43">
        <v>5267</v>
      </c>
      <c r="M1822" s="43">
        <v>5274</v>
      </c>
      <c r="N1822" s="43">
        <v>5274</v>
      </c>
      <c r="O1822" s="21" t="s">
        <v>3859</v>
      </c>
      <c r="P1822" s="194" t="str">
        <f t="shared" si="331"/>
        <v>1</v>
      </c>
      <c r="Q1822" s="21">
        <v>1</v>
      </c>
      <c r="R1822" s="39" t="str">
        <f t="shared" si="325"/>
        <v>-</v>
      </c>
      <c r="S1822" s="120">
        <f t="shared" si="332"/>
        <v>1334883</v>
      </c>
      <c r="T1822" s="123">
        <v>3816546</v>
      </c>
      <c r="U1822" s="123">
        <f>3320959+37893+39641</f>
        <v>3398493</v>
      </c>
      <c r="V1822" s="123">
        <f t="shared" si="327"/>
        <v>418053</v>
      </c>
      <c r="W1822" s="122" t="str">
        <f t="shared" si="328"/>
        <v>1</v>
      </c>
      <c r="X1822" s="123">
        <f>T1822-1250000-35000-49883</f>
        <v>2481663</v>
      </c>
      <c r="Y1822" s="123">
        <v>1750000</v>
      </c>
      <c r="Z1822" s="123">
        <f t="shared" si="333"/>
        <v>731663</v>
      </c>
      <c r="AA1822" s="122" t="str">
        <f t="shared" si="329"/>
        <v>1</v>
      </c>
      <c r="AB1822" s="120">
        <f t="shared" si="330"/>
        <v>2395000</v>
      </c>
      <c r="AC1822" s="123">
        <v>0</v>
      </c>
      <c r="AD1822" s="123">
        <f>645000+1750000</f>
        <v>2395000</v>
      </c>
      <c r="AE1822" s="123">
        <v>11547</v>
      </c>
      <c r="AG1822" s="151">
        <f t="shared" si="326"/>
        <v>93680</v>
      </c>
      <c r="AH1822" s="123">
        <f>93680+AL1822</f>
        <v>102180</v>
      </c>
      <c r="AJ1822" s="123">
        <v>50000</v>
      </c>
      <c r="AL1822" s="123">
        <v>8500</v>
      </c>
      <c r="AO1822" s="123">
        <v>300000</v>
      </c>
    </row>
    <row r="1823" spans="1:41" s="123" customFormat="1" ht="16.2" thickBot="1" x14ac:dyDescent="0.35">
      <c r="A1823" s="21"/>
      <c r="B1823" s="212" t="s">
        <v>235</v>
      </c>
      <c r="C1823" s="31" t="str">
        <f>VLOOKUP((CONCATENATE(B1823)),ID!$A$2:$D$305,3,0)</f>
        <v>FO010</v>
      </c>
      <c r="D1823" s="21">
        <v>1</v>
      </c>
      <c r="E1823" s="21" t="s">
        <v>4001</v>
      </c>
      <c r="F1823" s="21" t="s">
        <v>3865</v>
      </c>
      <c r="G1823" s="21" t="s">
        <v>3862</v>
      </c>
      <c r="H1823" s="88">
        <v>3743</v>
      </c>
      <c r="I1823" s="43">
        <v>3966</v>
      </c>
      <c r="J1823" s="43">
        <v>3954</v>
      </c>
      <c r="K1823" s="21">
        <v>0</v>
      </c>
      <c r="L1823" s="21"/>
      <c r="M1823" s="21"/>
      <c r="N1823" s="43">
        <v>3975</v>
      </c>
      <c r="O1823" s="21" t="s">
        <v>3889</v>
      </c>
      <c r="P1823" s="194">
        <v>1</v>
      </c>
      <c r="Q1823" s="21">
        <v>1</v>
      </c>
      <c r="R1823" s="39" t="str">
        <f t="shared" si="325"/>
        <v>-</v>
      </c>
      <c r="S1823" s="120">
        <f t="shared" si="332"/>
        <v>2674057</v>
      </c>
      <c r="T1823" s="123">
        <v>3524075</v>
      </c>
      <c r="U1823" s="123">
        <f>545700+1922474</f>
        <v>2468174</v>
      </c>
      <c r="V1823" s="123">
        <f t="shared" si="327"/>
        <v>1055901</v>
      </c>
      <c r="W1823" s="122" t="str">
        <f t="shared" si="328"/>
        <v>1</v>
      </c>
      <c r="X1823" s="123">
        <f>Y1823+11038+66603+57277</f>
        <v>850018</v>
      </c>
      <c r="Y1823" s="123">
        <f>AB1823</f>
        <v>715100</v>
      </c>
      <c r="Z1823" s="123">
        <f t="shared" si="333"/>
        <v>134918</v>
      </c>
      <c r="AA1823" s="122" t="str">
        <f t="shared" si="329"/>
        <v>1</v>
      </c>
      <c r="AB1823" s="120">
        <f t="shared" si="330"/>
        <v>715100</v>
      </c>
      <c r="AC1823" s="123">
        <v>0</v>
      </c>
      <c r="AD1823" s="123">
        <v>715100</v>
      </c>
      <c r="AE1823" s="123">
        <v>195026</v>
      </c>
      <c r="AG1823" s="151">
        <f t="shared" si="326"/>
        <v>262459</v>
      </c>
      <c r="AH1823" s="123">
        <f>262459+AI1823+AL1823</f>
        <v>306608</v>
      </c>
      <c r="AI1823" s="123">
        <v>15760</v>
      </c>
      <c r="AL1823" s="123">
        <v>28389</v>
      </c>
    </row>
    <row r="1824" spans="1:41" s="123" customFormat="1" ht="16.2" thickBot="1" x14ac:dyDescent="0.35">
      <c r="A1824" s="21">
        <v>307.10000000000002</v>
      </c>
      <c r="B1824" s="212" t="s">
        <v>235</v>
      </c>
      <c r="C1824" s="31" t="str">
        <f>VLOOKUP((CONCATENATE(B1824)),ID!$A$2:$D$305,3,0)</f>
        <v>FO010</v>
      </c>
      <c r="D1824" s="21">
        <v>1</v>
      </c>
      <c r="E1824" s="21" t="s">
        <v>4001</v>
      </c>
      <c r="F1824" s="21" t="s">
        <v>3865</v>
      </c>
      <c r="G1824" s="21" t="s">
        <v>3862</v>
      </c>
      <c r="H1824" s="88">
        <v>4108</v>
      </c>
      <c r="I1824" s="43">
        <v>4333</v>
      </c>
      <c r="J1824" s="43">
        <v>4314</v>
      </c>
      <c r="K1824" s="21">
        <v>0</v>
      </c>
      <c r="L1824" s="21"/>
      <c r="M1824" s="21"/>
      <c r="N1824" s="43">
        <v>4343</v>
      </c>
      <c r="O1824" s="21" t="s">
        <v>3889</v>
      </c>
      <c r="P1824" s="194">
        <v>1</v>
      </c>
      <c r="Q1824" s="21">
        <v>1</v>
      </c>
      <c r="R1824" s="39" t="str">
        <f t="shared" si="325"/>
        <v>-</v>
      </c>
      <c r="S1824" s="120">
        <f t="shared" si="332"/>
        <v>2785013</v>
      </c>
      <c r="T1824" s="123">
        <v>3615037</v>
      </c>
      <c r="U1824" s="123">
        <f>1902756+678231</f>
        <v>2580987</v>
      </c>
      <c r="V1824" s="123">
        <f t="shared" si="327"/>
        <v>1034050</v>
      </c>
      <c r="W1824" s="122" t="str">
        <f t="shared" si="328"/>
        <v>1</v>
      </c>
      <c r="X1824" s="123">
        <f>694600+53376+71285+10763</f>
        <v>830024</v>
      </c>
      <c r="Y1824" s="123">
        <f>AB1824</f>
        <v>694600</v>
      </c>
      <c r="Z1824" s="123">
        <f t="shared" si="333"/>
        <v>135424</v>
      </c>
      <c r="AA1824" s="122" t="str">
        <f t="shared" si="329"/>
        <v>1</v>
      </c>
      <c r="AB1824" s="120">
        <f t="shared" si="330"/>
        <v>694600</v>
      </c>
      <c r="AC1824" s="123">
        <v>0</v>
      </c>
      <c r="AD1824" s="123">
        <v>694600</v>
      </c>
      <c r="AE1824" s="123">
        <v>162819</v>
      </c>
      <c r="AG1824" s="151">
        <f t="shared" si="326"/>
        <v>272013</v>
      </c>
      <c r="AH1824" s="123">
        <f>272013+AI1824+AL1824</f>
        <v>317332</v>
      </c>
      <c r="AI1824" s="123">
        <v>17400</v>
      </c>
      <c r="AL1824" s="123">
        <v>27919</v>
      </c>
      <c r="AM1824" s="139"/>
      <c r="AN1824" s="139"/>
    </row>
    <row r="1825" spans="1:41" s="123" customFormat="1" ht="16.2" thickBot="1" x14ac:dyDescent="0.35">
      <c r="A1825" s="21">
        <v>307.2</v>
      </c>
      <c r="B1825" s="212" t="s">
        <v>235</v>
      </c>
      <c r="C1825" s="31" t="str">
        <f>VLOOKUP((CONCATENATE(B1825)),ID!$A$2:$D$305,3,0)</f>
        <v>FO010</v>
      </c>
      <c r="D1825" s="21">
        <v>1</v>
      </c>
      <c r="E1825" s="21" t="s">
        <v>4001</v>
      </c>
      <c r="F1825" s="21" t="s">
        <v>3865</v>
      </c>
      <c r="G1825" s="21" t="s">
        <v>3862</v>
      </c>
      <c r="H1825" s="88">
        <v>4474</v>
      </c>
      <c r="I1825" s="43">
        <v>4697</v>
      </c>
      <c r="J1825" s="43">
        <v>4674</v>
      </c>
      <c r="K1825" s="21">
        <v>0</v>
      </c>
      <c r="L1825" s="21"/>
      <c r="M1825" s="21"/>
      <c r="N1825" s="43">
        <v>4707</v>
      </c>
      <c r="O1825" s="21" t="s">
        <v>3889</v>
      </c>
      <c r="P1825" s="194">
        <v>1</v>
      </c>
      <c r="Q1825" s="21">
        <v>1</v>
      </c>
      <c r="R1825" s="39" t="str">
        <f t="shared" ref="R1825:R1832" si="334">IF(Q1825=0,"?","-")</f>
        <v>-</v>
      </c>
      <c r="S1825" s="120">
        <f t="shared" si="332"/>
        <v>2856019</v>
      </c>
      <c r="T1825" s="123">
        <v>3713826</v>
      </c>
      <c r="U1825" s="123">
        <f>1965554+712612</f>
        <v>2678166</v>
      </c>
      <c r="V1825" s="123">
        <f t="shared" si="327"/>
        <v>1035660</v>
      </c>
      <c r="W1825" s="122" t="str">
        <f t="shared" si="328"/>
        <v>1</v>
      </c>
      <c r="X1825" s="123">
        <f>694600+100200+10805+52202</f>
        <v>857807</v>
      </c>
      <c r="Y1825" s="123">
        <f>AB1825</f>
        <v>694600</v>
      </c>
      <c r="Z1825" s="123">
        <f t="shared" si="333"/>
        <v>163207</v>
      </c>
      <c r="AA1825" s="122" t="str">
        <f t="shared" si="329"/>
        <v>1</v>
      </c>
      <c r="AB1825" s="120">
        <f t="shared" si="330"/>
        <v>694600</v>
      </c>
      <c r="AC1825" s="123">
        <v>0</v>
      </c>
      <c r="AD1825" s="123">
        <v>694600</v>
      </c>
      <c r="AE1825" s="123">
        <v>122543</v>
      </c>
      <c r="AG1825" s="151">
        <f t="shared" si="326"/>
        <v>261412</v>
      </c>
      <c r="AH1825" s="123">
        <f>261412+AI1825+AL1825</f>
        <v>307774</v>
      </c>
      <c r="AI1825" s="123">
        <v>18761</v>
      </c>
      <c r="AL1825" s="123">
        <v>27601</v>
      </c>
    </row>
    <row r="1826" spans="1:41" s="123" customFormat="1" ht="16.2" thickBot="1" x14ac:dyDescent="0.35">
      <c r="A1826" s="21"/>
      <c r="B1826" s="212" t="s">
        <v>235</v>
      </c>
      <c r="C1826" s="31" t="str">
        <f>VLOOKUP((CONCATENATE(B1826)),ID!$A$2:$D$305,3,0)</f>
        <v>FO010</v>
      </c>
      <c r="D1826" s="21">
        <v>1</v>
      </c>
      <c r="E1826" s="21" t="s">
        <v>4001</v>
      </c>
      <c r="F1826" s="21" t="s">
        <v>3865</v>
      </c>
      <c r="G1826" s="21" t="s">
        <v>3862</v>
      </c>
      <c r="H1826" s="88">
        <v>4839</v>
      </c>
      <c r="I1826" s="43">
        <v>5061</v>
      </c>
      <c r="J1826" s="43">
        <v>5036</v>
      </c>
      <c r="K1826" s="21">
        <v>0</v>
      </c>
      <c r="L1826" s="21"/>
      <c r="M1826" s="21"/>
      <c r="N1826" s="43">
        <v>5071</v>
      </c>
      <c r="O1826" s="21" t="s">
        <v>3889</v>
      </c>
      <c r="P1826" s="194">
        <v>1</v>
      </c>
      <c r="Q1826" s="21">
        <v>1</v>
      </c>
      <c r="R1826" s="39" t="str">
        <f t="shared" si="334"/>
        <v>-</v>
      </c>
      <c r="S1826" s="120">
        <f t="shared" si="332"/>
        <v>3412878</v>
      </c>
      <c r="T1826" s="123">
        <v>4237382</v>
      </c>
      <c r="U1826" s="123">
        <f>2532310+765226</f>
        <v>3297536</v>
      </c>
      <c r="V1826" s="123">
        <f t="shared" si="327"/>
        <v>939846</v>
      </c>
      <c r="W1826" s="122" t="str">
        <f t="shared" si="328"/>
        <v>1</v>
      </c>
      <c r="X1826" s="123">
        <f>Y1826+10708+71238+56658</f>
        <v>824504</v>
      </c>
      <c r="Y1826" s="123">
        <f>AB1826</f>
        <v>685900</v>
      </c>
      <c r="Z1826" s="123">
        <f t="shared" si="333"/>
        <v>138604</v>
      </c>
      <c r="AA1826" s="122" t="str">
        <f t="shared" si="329"/>
        <v>1</v>
      </c>
      <c r="AB1826" s="120">
        <f t="shared" si="330"/>
        <v>685900</v>
      </c>
      <c r="AC1826" s="123">
        <v>0</v>
      </c>
      <c r="AD1826" s="123">
        <v>685900</v>
      </c>
      <c r="AE1826" s="123">
        <v>86776</v>
      </c>
      <c r="AG1826" s="151">
        <f t="shared" si="326"/>
        <v>256165</v>
      </c>
      <c r="AH1826" s="123">
        <f>256165+AI1826+AL1826</f>
        <v>302212</v>
      </c>
      <c r="AI1826" s="123">
        <v>18654</v>
      </c>
      <c r="AL1826" s="123">
        <v>27393</v>
      </c>
    </row>
    <row r="1827" spans="1:41" s="123" customFormat="1" ht="16.2" thickBot="1" x14ac:dyDescent="0.35">
      <c r="A1827" s="21"/>
      <c r="B1827" s="212" t="s">
        <v>235</v>
      </c>
      <c r="C1827" s="31" t="str">
        <f>VLOOKUP((CONCATENATE(B1827)),ID!$A$2:$D$305,3,0)</f>
        <v>FO010</v>
      </c>
      <c r="D1827" s="21">
        <v>1</v>
      </c>
      <c r="E1827" s="21" t="s">
        <v>4001</v>
      </c>
      <c r="F1827" s="21" t="s">
        <v>3865</v>
      </c>
      <c r="G1827" s="21" t="s">
        <v>3862</v>
      </c>
      <c r="H1827" s="88">
        <v>5204</v>
      </c>
      <c r="I1827" s="43">
        <v>5418</v>
      </c>
      <c r="J1827" s="43">
        <v>5417</v>
      </c>
      <c r="K1827" s="21">
        <v>0</v>
      </c>
      <c r="L1827" s="21"/>
      <c r="M1827" s="21"/>
      <c r="N1827" s="43">
        <v>5428</v>
      </c>
      <c r="O1827" s="21" t="s">
        <v>3889</v>
      </c>
      <c r="P1827" s="194">
        <v>1</v>
      </c>
      <c r="Q1827" s="21">
        <v>1</v>
      </c>
      <c r="R1827" s="39" t="str">
        <f t="shared" si="334"/>
        <v>-</v>
      </c>
      <c r="S1827" s="120">
        <f t="shared" si="332"/>
        <v>3616948</v>
      </c>
      <c r="T1827" s="123">
        <v>4433496</v>
      </c>
      <c r="U1827" s="123">
        <f>2482136+905411</f>
        <v>3387547</v>
      </c>
      <c r="V1827" s="123">
        <f t="shared" si="327"/>
        <v>1045949</v>
      </c>
      <c r="W1827" s="122" t="str">
        <f t="shared" si="328"/>
        <v>1</v>
      </c>
      <c r="X1827" s="123">
        <f>Y1827+10613+70492+53593</f>
        <v>816548</v>
      </c>
      <c r="Y1827" s="123">
        <f>AB1827</f>
        <v>681850</v>
      </c>
      <c r="Z1827" s="123">
        <f t="shared" si="333"/>
        <v>134698</v>
      </c>
      <c r="AA1827" s="122" t="str">
        <f t="shared" si="329"/>
        <v>1</v>
      </c>
      <c r="AB1827" s="120">
        <f t="shared" si="330"/>
        <v>681850</v>
      </c>
      <c r="AC1827" s="123">
        <v>0</v>
      </c>
      <c r="AD1827" s="123">
        <v>681850</v>
      </c>
      <c r="AE1827" s="123">
        <v>168592</v>
      </c>
      <c r="AG1827" s="151">
        <f t="shared" si="326"/>
        <v>323202</v>
      </c>
      <c r="AH1827" s="123">
        <f>323202+AI1827+AL1827</f>
        <v>367066</v>
      </c>
      <c r="AI1827" s="123">
        <v>16732</v>
      </c>
      <c r="AL1827" s="123">
        <v>27132</v>
      </c>
    </row>
    <row r="1828" spans="1:41" s="123" customFormat="1" ht="16.2" thickBot="1" x14ac:dyDescent="0.35">
      <c r="A1828" s="21"/>
      <c r="B1828" s="212" t="s">
        <v>4061</v>
      </c>
      <c r="C1828" s="31" t="str">
        <f>VLOOKUP((CONCATENATE(B1828)),ID!$A$2:$D$305,3,0)</f>
        <v>FO011</v>
      </c>
      <c r="D1828" s="21">
        <v>1</v>
      </c>
      <c r="E1828" s="21" t="s">
        <v>4001</v>
      </c>
      <c r="F1828" s="21" t="s">
        <v>1117</v>
      </c>
      <c r="G1828" s="21" t="s">
        <v>3853</v>
      </c>
      <c r="H1828" s="88">
        <v>3653</v>
      </c>
      <c r="I1828" s="43">
        <v>3861</v>
      </c>
      <c r="J1828" s="43">
        <v>3862</v>
      </c>
      <c r="K1828" s="21">
        <v>0</v>
      </c>
      <c r="L1828" s="21"/>
      <c r="M1828" s="21"/>
      <c r="N1828" s="43">
        <v>3876</v>
      </c>
      <c r="O1828" s="21" t="s">
        <v>4050</v>
      </c>
      <c r="P1828" s="194">
        <v>1</v>
      </c>
      <c r="Q1828" s="21">
        <v>1</v>
      </c>
      <c r="R1828" s="39" t="str">
        <f t="shared" si="334"/>
        <v>-</v>
      </c>
      <c r="S1828" s="120">
        <f t="shared" si="332"/>
        <v>1632521</v>
      </c>
      <c r="T1828" s="123">
        <v>1646179</v>
      </c>
      <c r="U1828" s="123">
        <f>415706+133732+1251+20643+729689+126701</f>
        <v>1427722</v>
      </c>
      <c r="V1828" s="123">
        <f t="shared" si="327"/>
        <v>218457</v>
      </c>
      <c r="W1828" s="122" t="str">
        <f t="shared" si="328"/>
        <v>1</v>
      </c>
      <c r="X1828" s="123">
        <v>13658</v>
      </c>
      <c r="Y1828" s="123">
        <v>0</v>
      </c>
      <c r="Z1828" s="123">
        <f t="shared" si="333"/>
        <v>13658</v>
      </c>
      <c r="AA1828" s="122" t="str">
        <f t="shared" si="329"/>
        <v>1</v>
      </c>
      <c r="AB1828" s="120">
        <f t="shared" si="330"/>
        <v>0</v>
      </c>
      <c r="AC1828" s="123">
        <v>0</v>
      </c>
      <c r="AD1828" s="123">
        <v>0</v>
      </c>
      <c r="AE1828" s="123">
        <v>30500</v>
      </c>
      <c r="AG1828" s="151">
        <f t="shared" si="326"/>
        <v>106923</v>
      </c>
      <c r="AH1828" s="123">
        <v>106923</v>
      </c>
      <c r="AO1828" s="123">
        <v>1202822</v>
      </c>
    </row>
    <row r="1829" spans="1:41" s="123" customFormat="1" ht="16.2" thickBot="1" x14ac:dyDescent="0.35">
      <c r="A1829" s="21">
        <v>308.10000000000002</v>
      </c>
      <c r="B1829" s="212" t="s">
        <v>4061</v>
      </c>
      <c r="C1829" s="31" t="str">
        <f>VLOOKUP((CONCATENATE(B1829)),ID!$A$2:$D$305,3,0)</f>
        <v>FO011</v>
      </c>
      <c r="D1829" s="21">
        <v>1</v>
      </c>
      <c r="E1829" s="21" t="s">
        <v>4001</v>
      </c>
      <c r="F1829" s="21" t="s">
        <v>1117</v>
      </c>
      <c r="G1829" s="21" t="s">
        <v>3853</v>
      </c>
      <c r="H1829" s="88">
        <v>4199</v>
      </c>
      <c r="I1829" s="43">
        <v>4315</v>
      </c>
      <c r="J1829" s="43">
        <v>4317</v>
      </c>
      <c r="K1829" s="21">
        <v>0</v>
      </c>
      <c r="L1829" s="21"/>
      <c r="M1829" s="21"/>
      <c r="N1829" s="43">
        <v>4329</v>
      </c>
      <c r="O1829" s="21" t="s">
        <v>4050</v>
      </c>
      <c r="P1829" s="194">
        <v>1</v>
      </c>
      <c r="Q1829" s="21">
        <v>1</v>
      </c>
      <c r="R1829" s="39" t="str">
        <f t="shared" si="334"/>
        <v>-</v>
      </c>
      <c r="S1829" s="183">
        <f t="shared" si="332"/>
        <v>1761893</v>
      </c>
      <c r="T1829" s="134">
        <v>1771902</v>
      </c>
      <c r="U1829" s="134">
        <f>T1829-34729-35147-82816</f>
        <v>1619210</v>
      </c>
      <c r="V1829" s="134">
        <f t="shared" si="327"/>
        <v>152692</v>
      </c>
      <c r="W1829" s="184" t="str">
        <f t="shared" si="328"/>
        <v>1</v>
      </c>
      <c r="X1829" s="134">
        <f>10009</f>
        <v>10009</v>
      </c>
      <c r="Y1829" s="134">
        <v>0</v>
      </c>
      <c r="Z1829" s="134">
        <f t="shared" si="333"/>
        <v>10009</v>
      </c>
      <c r="AA1829" s="184" t="str">
        <f t="shared" si="329"/>
        <v>1</v>
      </c>
      <c r="AB1829" s="183">
        <f t="shared" si="330"/>
        <v>0</v>
      </c>
      <c r="AC1829" s="134">
        <v>0</v>
      </c>
      <c r="AD1829" s="134">
        <v>0</v>
      </c>
      <c r="AE1829" s="134">
        <v>34729</v>
      </c>
      <c r="AF1829" s="134"/>
      <c r="AG1829" s="152">
        <f t="shared" si="326"/>
        <v>167223</v>
      </c>
      <c r="AH1829" s="134">
        <v>167223</v>
      </c>
      <c r="AI1829" s="134"/>
      <c r="AJ1829" s="134"/>
      <c r="AK1829" s="134"/>
      <c r="AL1829" s="134"/>
      <c r="AM1829" s="134"/>
      <c r="AN1829" s="134"/>
      <c r="AO1829" s="134">
        <v>1202822</v>
      </c>
    </row>
    <row r="1830" spans="1:41" s="123" customFormat="1" ht="16.2" thickBot="1" x14ac:dyDescent="0.35">
      <c r="A1830" s="21">
        <v>308.2</v>
      </c>
      <c r="B1830" s="212" t="s">
        <v>4061</v>
      </c>
      <c r="C1830" s="31" t="str">
        <f>VLOOKUP((CONCATENATE(B1830)),ID!$A$2:$D$305,3,0)</f>
        <v>FO011</v>
      </c>
      <c r="D1830" s="21">
        <v>1</v>
      </c>
      <c r="E1830" s="21" t="s">
        <v>4001</v>
      </c>
      <c r="F1830" s="21" t="s">
        <v>1117</v>
      </c>
      <c r="G1830" s="21" t="s">
        <v>3853</v>
      </c>
      <c r="H1830" s="88">
        <v>4565</v>
      </c>
      <c r="I1830" s="43">
        <v>4727</v>
      </c>
      <c r="J1830" s="43">
        <v>4727</v>
      </c>
      <c r="K1830" s="21">
        <v>0</v>
      </c>
      <c r="L1830" s="21"/>
      <c r="M1830" s="21"/>
      <c r="N1830" s="43">
        <v>4737</v>
      </c>
      <c r="O1830" s="21" t="s">
        <v>4050</v>
      </c>
      <c r="P1830" s="194">
        <v>1</v>
      </c>
      <c r="Q1830" s="21">
        <v>1</v>
      </c>
      <c r="R1830" s="39" t="str">
        <f t="shared" si="334"/>
        <v>-</v>
      </c>
      <c r="S1830" s="183">
        <f t="shared" si="332"/>
        <v>1790661</v>
      </c>
      <c r="T1830" s="134">
        <v>1808045</v>
      </c>
      <c r="U1830" s="134">
        <f>T1830-40911-7316-22651-71582</f>
        <v>1665585</v>
      </c>
      <c r="V1830" s="134">
        <f t="shared" si="327"/>
        <v>142460</v>
      </c>
      <c r="W1830" s="184" t="str">
        <f t="shared" si="328"/>
        <v>1</v>
      </c>
      <c r="X1830" s="134">
        <f>17384</f>
        <v>17384</v>
      </c>
      <c r="Y1830" s="134">
        <v>0</v>
      </c>
      <c r="Z1830" s="134">
        <f t="shared" si="333"/>
        <v>17384</v>
      </c>
      <c r="AA1830" s="184" t="str">
        <f t="shared" si="329"/>
        <v>1</v>
      </c>
      <c r="AB1830" s="183">
        <f t="shared" si="330"/>
        <v>0</v>
      </c>
      <c r="AC1830" s="134">
        <v>0</v>
      </c>
      <c r="AD1830" s="134">
        <v>0</v>
      </c>
      <c r="AE1830" s="134">
        <v>40911</v>
      </c>
      <c r="AF1830" s="134"/>
      <c r="AG1830" s="152">
        <f>AH1830-AL1830-AI1830</f>
        <v>28168</v>
      </c>
      <c r="AH1830" s="134">
        <v>28168</v>
      </c>
      <c r="AI1830" s="134"/>
      <c r="AJ1830" s="134"/>
      <c r="AK1830" s="134"/>
      <c r="AL1830" s="134"/>
      <c r="AM1830" s="134"/>
      <c r="AN1830" s="134"/>
      <c r="AO1830" s="134">
        <v>1202822</v>
      </c>
    </row>
    <row r="1831" spans="1:41" s="123" customFormat="1" ht="16.2" thickBot="1" x14ac:dyDescent="0.35">
      <c r="A1831" s="21"/>
      <c r="B1831" s="212" t="s">
        <v>4061</v>
      </c>
      <c r="C1831" s="31" t="str">
        <f>VLOOKUP((CONCATENATE(B1831)),ID!$A$2:$D$305,3,0)</f>
        <v>FO011</v>
      </c>
      <c r="D1831" s="21">
        <v>1</v>
      </c>
      <c r="E1831" s="21" t="s">
        <v>4001</v>
      </c>
      <c r="F1831" s="21" t="s">
        <v>1117</v>
      </c>
      <c r="G1831" s="21" t="s">
        <v>3853</v>
      </c>
      <c r="H1831" s="88">
        <v>4930</v>
      </c>
      <c r="I1831" s="43">
        <v>5101</v>
      </c>
      <c r="J1831" s="43">
        <v>5100</v>
      </c>
      <c r="K1831" s="21">
        <v>0</v>
      </c>
      <c r="L1831" s="21"/>
      <c r="M1831" s="21"/>
      <c r="N1831" s="43">
        <v>5112</v>
      </c>
      <c r="O1831" s="21" t="s">
        <v>4050</v>
      </c>
      <c r="P1831" s="194">
        <v>1</v>
      </c>
      <c r="Q1831" s="21">
        <v>1</v>
      </c>
      <c r="R1831" s="39" t="str">
        <f t="shared" si="334"/>
        <v>-</v>
      </c>
      <c r="S1831" s="183">
        <f t="shared" si="332"/>
        <v>1807876</v>
      </c>
      <c r="T1831" s="134">
        <v>1977342</v>
      </c>
      <c r="U1831" s="134">
        <f>T1831-76853-20230-52472</f>
        <v>1827787</v>
      </c>
      <c r="V1831" s="134">
        <f t="shared" si="327"/>
        <v>149555</v>
      </c>
      <c r="W1831" s="184" t="str">
        <f t="shared" si="328"/>
        <v>1</v>
      </c>
      <c r="X1831" s="134">
        <f>AB1831+19466</f>
        <v>169466</v>
      </c>
      <c r="Y1831" s="134">
        <v>0</v>
      </c>
      <c r="Z1831" s="134">
        <f t="shared" si="333"/>
        <v>169466</v>
      </c>
      <c r="AA1831" s="184" t="str">
        <f t="shared" si="329"/>
        <v>1</v>
      </c>
      <c r="AB1831" s="183">
        <f t="shared" si="330"/>
        <v>150000</v>
      </c>
      <c r="AC1831" s="134">
        <v>150000</v>
      </c>
      <c r="AD1831" s="134">
        <v>0</v>
      </c>
      <c r="AE1831" s="134">
        <v>76853</v>
      </c>
      <c r="AF1831" s="134"/>
      <c r="AG1831" s="152">
        <f>AH1831-AL1831-AI1831</f>
        <v>17814</v>
      </c>
      <c r="AH1831" s="134">
        <v>17814</v>
      </c>
      <c r="AI1831" s="134"/>
      <c r="AJ1831" s="134"/>
      <c r="AK1831" s="134"/>
      <c r="AL1831" s="134"/>
      <c r="AM1831" s="134"/>
      <c r="AN1831" s="134"/>
      <c r="AO1831" s="134">
        <v>1202822</v>
      </c>
    </row>
    <row r="1832" spans="1:41" s="123" customFormat="1" ht="16.2" thickBot="1" x14ac:dyDescent="0.35">
      <c r="A1832" s="21"/>
      <c r="B1832" s="212" t="s">
        <v>4061</v>
      </c>
      <c r="C1832" s="31" t="str">
        <f>VLOOKUP((CONCATENATE(B1832)),ID!$A$2:$D$305,3,0)</f>
        <v>FO011</v>
      </c>
      <c r="D1832" s="21">
        <v>1</v>
      </c>
      <c r="E1832" s="21" t="s">
        <v>4001</v>
      </c>
      <c r="F1832" s="21" t="s">
        <v>1117</v>
      </c>
      <c r="G1832" s="21" t="s">
        <v>3853</v>
      </c>
      <c r="H1832" s="88">
        <v>5295</v>
      </c>
      <c r="I1832" s="43">
        <v>5456</v>
      </c>
      <c r="J1832" s="43">
        <v>5457</v>
      </c>
      <c r="K1832" s="21">
        <v>0</v>
      </c>
      <c r="L1832" s="21"/>
      <c r="M1832" s="21"/>
      <c r="N1832" s="43">
        <v>5478</v>
      </c>
      <c r="O1832" s="21" t="s">
        <v>4050</v>
      </c>
      <c r="P1832" s="194">
        <v>1</v>
      </c>
      <c r="Q1832" s="21">
        <v>1</v>
      </c>
      <c r="R1832" s="39" t="str">
        <f t="shared" si="334"/>
        <v>-</v>
      </c>
      <c r="S1832" s="183">
        <f t="shared" si="332"/>
        <v>1764369</v>
      </c>
      <c r="T1832" s="134">
        <v>1798441</v>
      </c>
      <c r="U1832" s="134">
        <f>T1832-170401-26678-91901</f>
        <v>1509461</v>
      </c>
      <c r="V1832" s="134">
        <f t="shared" si="327"/>
        <v>288980</v>
      </c>
      <c r="W1832" s="184" t="str">
        <f t="shared" si="328"/>
        <v>1</v>
      </c>
      <c r="X1832" s="134">
        <v>34072</v>
      </c>
      <c r="Y1832" s="134">
        <v>0</v>
      </c>
      <c r="Z1832" s="134">
        <f t="shared" si="333"/>
        <v>34072</v>
      </c>
      <c r="AA1832" s="184" t="str">
        <f t="shared" si="329"/>
        <v>1</v>
      </c>
      <c r="AB1832" s="183">
        <f t="shared" si="330"/>
        <v>0</v>
      </c>
      <c r="AC1832" s="134">
        <v>0</v>
      </c>
      <c r="AD1832" s="134">
        <v>0</v>
      </c>
      <c r="AE1832" s="134">
        <v>170401</v>
      </c>
      <c r="AF1832" s="134"/>
      <c r="AG1832" s="152">
        <f>AH1832-AL1832-AI1832</f>
        <v>19881</v>
      </c>
      <c r="AH1832" s="134">
        <v>19881</v>
      </c>
      <c r="AI1832" s="134"/>
      <c r="AJ1832" s="134"/>
      <c r="AK1832" s="134"/>
      <c r="AL1832" s="134"/>
      <c r="AM1832" s="134"/>
      <c r="AN1832" s="134"/>
      <c r="AO1832" s="134">
        <v>1202822</v>
      </c>
    </row>
    <row r="1833" spans="1:41" s="83" customFormat="1" x14ac:dyDescent="0.3">
      <c r="H1833" s="97"/>
      <c r="P1833" s="195"/>
      <c r="S1833" s="106"/>
      <c r="T1833" s="102"/>
      <c r="U1833" s="102"/>
      <c r="V1833" s="102"/>
      <c r="W1833" s="102"/>
      <c r="X1833" s="102"/>
      <c r="Y1833" s="102"/>
      <c r="Z1833" s="102"/>
      <c r="AA1833" s="102"/>
      <c r="AB1833" s="102"/>
      <c r="AC1833" s="102"/>
      <c r="AD1833" s="102"/>
      <c r="AE1833" s="102"/>
      <c r="AF1833" s="102"/>
      <c r="AG1833" s="154"/>
      <c r="AH1833" s="102"/>
      <c r="AI1833" s="102"/>
      <c r="AJ1833" s="102"/>
      <c r="AK1833" s="102"/>
      <c r="AL1833" s="102"/>
      <c r="AM1833" s="102"/>
      <c r="AN1833" s="102"/>
      <c r="AO1833" s="102"/>
    </row>
  </sheetData>
  <mergeCells count="1">
    <mergeCell ref="AE1041:AE1045"/>
  </mergeCells>
  <phoneticPr fontId="12" type="noConversion"/>
  <pageMargins left="0.7" right="0.7" top="0.75" bottom="0.75" header="0.3" footer="0.3"/>
  <pageSetup paperSize="9" orientation="portrait" r:id="rId1"/>
  <ignoredErrors>
    <ignoredError sqref="AD370 V954 V956 V1509" formula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3A5C9-F2E0-4187-82F8-C03BC0F8ACAC}">
  <dimension ref="A1:D1832"/>
  <sheetViews>
    <sheetView topLeftCell="A169" workbookViewId="0">
      <selection activeCell="A276" sqref="A276"/>
    </sheetView>
  </sheetViews>
  <sheetFormatPr defaultRowHeight="14.4" x14ac:dyDescent="0.3"/>
  <cols>
    <col min="1" max="1" width="61.109375" style="207" bestFit="1" customWidth="1"/>
    <col min="2" max="2" width="21.33203125" style="207" bestFit="1" customWidth="1"/>
  </cols>
  <sheetData>
    <row r="1" spans="1:4" s="206" customFormat="1" x14ac:dyDescent="0.3">
      <c r="A1" s="210" t="s">
        <v>3724</v>
      </c>
      <c r="B1" s="210" t="s">
        <v>3725</v>
      </c>
      <c r="C1" s="206" t="s">
        <v>4134</v>
      </c>
    </row>
    <row r="2" spans="1:4" x14ac:dyDescent="0.3">
      <c r="A2" s="208" t="s">
        <v>8</v>
      </c>
      <c r="B2" s="207" t="s">
        <v>4005</v>
      </c>
      <c r="C2" t="s">
        <v>4210</v>
      </c>
      <c r="D2" t="str">
        <f>CONCATENATE(A2,B2,C2)</f>
        <v>Anglo South American BankBankBA001</v>
      </c>
    </row>
    <row r="3" spans="1:4" x14ac:dyDescent="0.3">
      <c r="A3" s="208" t="s">
        <v>23</v>
      </c>
      <c r="B3" s="208" t="s">
        <v>4005</v>
      </c>
      <c r="C3" s="208" t="s">
        <v>4211</v>
      </c>
      <c r="D3" t="str">
        <f t="shared" ref="D3:D66" si="0">CONCATENATE(A3,B3,C3)</f>
        <v>Bank of AfricaBankBA002</v>
      </c>
    </row>
    <row r="4" spans="1:4" x14ac:dyDescent="0.3">
      <c r="A4" s="208" t="s">
        <v>25</v>
      </c>
      <c r="B4" s="208" t="s">
        <v>4005</v>
      </c>
      <c r="C4" s="208" t="s">
        <v>4212</v>
      </c>
      <c r="D4" t="str">
        <f t="shared" si="0"/>
        <v>Bank of IrelandBankBA003</v>
      </c>
    </row>
    <row r="5" spans="1:4" x14ac:dyDescent="0.3">
      <c r="A5" s="208" t="s">
        <v>26</v>
      </c>
      <c r="B5" s="208" t="s">
        <v>4005</v>
      </c>
      <c r="C5" s="208" t="s">
        <v>4213</v>
      </c>
      <c r="D5" t="str">
        <f t="shared" si="0"/>
        <v>Bank of LiverpoolBankBA004</v>
      </c>
    </row>
    <row r="6" spans="1:4" x14ac:dyDescent="0.3">
      <c r="A6" s="208" t="s">
        <v>27</v>
      </c>
      <c r="B6" s="208" t="s">
        <v>4005</v>
      </c>
      <c r="C6" s="208" t="s">
        <v>4214</v>
      </c>
      <c r="D6" t="str">
        <f t="shared" si="0"/>
        <v>Bank of New ZealandBankBA005</v>
      </c>
    </row>
    <row r="7" spans="1:4" x14ac:dyDescent="0.3">
      <c r="A7" s="208" t="s">
        <v>28</v>
      </c>
      <c r="B7" s="208" t="s">
        <v>4005</v>
      </c>
      <c r="C7" s="208" t="s">
        <v>4215</v>
      </c>
      <c r="D7" t="str">
        <f t="shared" si="0"/>
        <v>Bank of ScotlandBankBA006</v>
      </c>
    </row>
    <row r="8" spans="1:4" x14ac:dyDescent="0.3">
      <c r="A8" s="208" t="s">
        <v>30</v>
      </c>
      <c r="B8" s="208" t="s">
        <v>4005</v>
      </c>
      <c r="C8" s="208" t="s">
        <v>4216</v>
      </c>
      <c r="D8" t="str">
        <f t="shared" si="0"/>
        <v>Barclay (banking)BankBA007</v>
      </c>
    </row>
    <row r="9" spans="1:4" x14ac:dyDescent="0.3">
      <c r="A9" s="208" t="s">
        <v>52</v>
      </c>
      <c r="B9" s="208" t="s">
        <v>4005</v>
      </c>
      <c r="C9" s="208" t="s">
        <v>4217</v>
      </c>
      <c r="D9" t="str">
        <f t="shared" si="0"/>
        <v>British Linen BankBankBA008</v>
      </c>
    </row>
    <row r="10" spans="1:4" x14ac:dyDescent="0.3">
      <c r="A10" s="208" t="s">
        <v>67</v>
      </c>
      <c r="B10" s="208" t="s">
        <v>4005</v>
      </c>
      <c r="C10" s="208" t="s">
        <v>4218</v>
      </c>
      <c r="D10" t="str">
        <f t="shared" si="0"/>
        <v>Capital &amp; Counties BankBankBA009</v>
      </c>
    </row>
    <row r="11" spans="1:4" x14ac:dyDescent="0.3">
      <c r="A11" s="208" t="s">
        <v>76</v>
      </c>
      <c r="B11" s="208" t="s">
        <v>4005</v>
      </c>
      <c r="C11" s="208" t="s">
        <v>4219</v>
      </c>
      <c r="D11" t="str">
        <f t="shared" si="0"/>
        <v>Chartered BankBankBA010</v>
      </c>
    </row>
    <row r="12" spans="1:4" x14ac:dyDescent="0.3">
      <c r="A12" s="208" t="s">
        <v>83</v>
      </c>
      <c r="B12" s="208" t="s">
        <v>4005</v>
      </c>
      <c r="C12" s="208" t="s">
        <v>4220</v>
      </c>
      <c r="D12" t="str">
        <f t="shared" si="0"/>
        <v>Clydesdale BankBankBA011</v>
      </c>
    </row>
    <row r="13" spans="1:4" x14ac:dyDescent="0.3">
      <c r="A13" s="208" t="s">
        <v>84</v>
      </c>
      <c r="B13" s="208" t="s">
        <v>4005</v>
      </c>
      <c r="C13" s="208" t="s">
        <v>4221</v>
      </c>
      <c r="D13" t="str">
        <f t="shared" si="0"/>
        <v>Commercial Bank of ScotlandBankBA012</v>
      </c>
    </row>
    <row r="14" spans="1:4" x14ac:dyDescent="0.3">
      <c r="A14" s="208" t="s">
        <v>92</v>
      </c>
      <c r="B14" s="208" t="s">
        <v>4005</v>
      </c>
      <c r="C14" s="208" t="s">
        <v>4222</v>
      </c>
      <c r="D14" t="str">
        <f t="shared" si="0"/>
        <v>Crompton &amp; Evans' Union BankBankBA013</v>
      </c>
    </row>
    <row r="15" spans="1:4" x14ac:dyDescent="0.3">
      <c r="A15" s="208" t="s">
        <v>146</v>
      </c>
      <c r="B15" s="208" t="s">
        <v>4005</v>
      </c>
      <c r="C15" s="208" t="s">
        <v>4223</v>
      </c>
      <c r="D15" t="str">
        <f t="shared" si="0"/>
        <v>Hibernian BankBankBA014</v>
      </c>
    </row>
    <row r="16" spans="1:4" x14ac:dyDescent="0.3">
      <c r="A16" s="208" t="s">
        <v>149</v>
      </c>
      <c r="B16" s="208" t="s">
        <v>4005</v>
      </c>
      <c r="C16" s="208" t="s">
        <v>4224</v>
      </c>
      <c r="D16" t="str">
        <f t="shared" si="0"/>
        <v>Hongkong &amp; Shanghai BankingBankBA015</v>
      </c>
    </row>
    <row r="17" spans="1:4" x14ac:dyDescent="0.3">
      <c r="A17" s="208" t="s">
        <v>166</v>
      </c>
      <c r="B17" s="208" t="s">
        <v>4005</v>
      </c>
      <c r="C17" s="208" t="s">
        <v>4225</v>
      </c>
      <c r="D17" t="str">
        <f t="shared" si="0"/>
        <v>Lancashire &amp; Yorkshire BankBankBA016</v>
      </c>
    </row>
    <row r="18" spans="1:4" x14ac:dyDescent="0.3">
      <c r="A18" s="208" t="s">
        <v>181</v>
      </c>
      <c r="B18" s="208" t="s">
        <v>4005</v>
      </c>
      <c r="C18" s="208" t="s">
        <v>4226</v>
      </c>
      <c r="D18" t="str">
        <f t="shared" si="0"/>
        <v>Lloyd’s BankBankBA017</v>
      </c>
    </row>
    <row r="19" spans="1:4" x14ac:dyDescent="0.3">
      <c r="A19" s="208" t="s">
        <v>182</v>
      </c>
      <c r="B19" s="208" t="s">
        <v>4005</v>
      </c>
      <c r="C19" s="208" t="s">
        <v>4227</v>
      </c>
      <c r="D19" t="str">
        <f t="shared" si="0"/>
        <v>London &amp; Brazilian BankBankBA018</v>
      </c>
    </row>
    <row r="20" spans="1:4" x14ac:dyDescent="0.3">
      <c r="A20" s="208" t="s">
        <v>185</v>
      </c>
      <c r="B20" s="208" t="s">
        <v>4005</v>
      </c>
      <c r="C20" s="208" t="s">
        <v>4228</v>
      </c>
      <c r="D20" t="str">
        <f t="shared" si="0"/>
        <v>London &amp; Provincial BankBankBA019</v>
      </c>
    </row>
    <row r="21" spans="1:4" x14ac:dyDescent="0.3">
      <c r="A21" s="208" t="s">
        <v>187</v>
      </c>
      <c r="B21" s="208" t="s">
        <v>4005</v>
      </c>
      <c r="C21" s="208" t="s">
        <v>4229</v>
      </c>
      <c r="D21" t="str">
        <f t="shared" si="0"/>
        <v>London &amp; River Plate BankBankBA020</v>
      </c>
    </row>
    <row r="22" spans="1:4" x14ac:dyDescent="0.3">
      <c r="A22" s="208" t="s">
        <v>188</v>
      </c>
      <c r="B22" s="208" t="s">
        <v>4005</v>
      </c>
      <c r="C22" s="208" t="s">
        <v>4230</v>
      </c>
      <c r="D22" t="str">
        <f t="shared" si="0"/>
        <v>London &amp; South Western BankBankBA021</v>
      </c>
    </row>
    <row r="23" spans="1:4" x14ac:dyDescent="0.3">
      <c r="A23" s="208" t="s">
        <v>190</v>
      </c>
      <c r="B23" s="208" t="s">
        <v>4005</v>
      </c>
      <c r="C23" s="208" t="s">
        <v>4231</v>
      </c>
      <c r="D23" t="str">
        <f t="shared" si="0"/>
        <v>London Bank of AustraliaBankBA022</v>
      </c>
    </row>
    <row r="24" spans="1:4" x14ac:dyDescent="0.3">
      <c r="A24" s="208" t="s">
        <v>193</v>
      </c>
      <c r="B24" s="208" t="s">
        <v>4005</v>
      </c>
      <c r="C24" s="208" t="s">
        <v>4232</v>
      </c>
      <c r="D24" t="str">
        <f t="shared" si="0"/>
        <v>London City and Midland BankBankBA023</v>
      </c>
    </row>
    <row r="25" spans="1:4" x14ac:dyDescent="0.3">
      <c r="A25" s="208" t="s">
        <v>194</v>
      </c>
      <c r="B25" s="208" t="s">
        <v>4005</v>
      </c>
      <c r="C25" s="208" t="s">
        <v>4233</v>
      </c>
      <c r="D25" t="str">
        <f t="shared" si="0"/>
        <v>London County &amp; Westminster BankBankBA024</v>
      </c>
    </row>
    <row r="26" spans="1:4" x14ac:dyDescent="0.3">
      <c r="A26" s="208" t="s">
        <v>196</v>
      </c>
      <c r="B26" s="208" t="s">
        <v>4005</v>
      </c>
      <c r="C26" s="208" t="s">
        <v>4234</v>
      </c>
      <c r="D26" t="str">
        <f t="shared" si="0"/>
        <v>London Joint Stock BankBankBA025</v>
      </c>
    </row>
    <row r="27" spans="1:4" x14ac:dyDescent="0.3">
      <c r="A27" s="208" t="s">
        <v>201</v>
      </c>
      <c r="B27" s="208" t="s">
        <v>4005</v>
      </c>
      <c r="C27" s="208" t="s">
        <v>4235</v>
      </c>
      <c r="D27" t="str">
        <f t="shared" si="0"/>
        <v>Manchester &amp; Liverpool District BankingBankBA026</v>
      </c>
    </row>
    <row r="28" spans="1:4" x14ac:dyDescent="0.3">
      <c r="A28" s="208" t="s">
        <v>202</v>
      </c>
      <c r="B28" s="208" t="s">
        <v>4005</v>
      </c>
      <c r="C28" s="208" t="s">
        <v>4236</v>
      </c>
      <c r="D28" t="str">
        <f t="shared" si="0"/>
        <v>Manchester and County BankBankBA027</v>
      </c>
    </row>
    <row r="29" spans="1:4" x14ac:dyDescent="0.3">
      <c r="A29" s="208" t="s">
        <v>208</v>
      </c>
      <c r="B29" s="208" t="s">
        <v>4005</v>
      </c>
      <c r="C29" s="208" t="s">
        <v>4237</v>
      </c>
      <c r="D29" t="str">
        <f t="shared" si="0"/>
        <v>Martin's BankBankBA028</v>
      </c>
    </row>
    <row r="30" spans="1:4" x14ac:dyDescent="0.3">
      <c r="A30" s="208" t="s">
        <v>214</v>
      </c>
      <c r="B30" s="208" t="s">
        <v>4005</v>
      </c>
      <c r="C30" s="208" t="s">
        <v>4238</v>
      </c>
      <c r="D30" t="str">
        <f t="shared" si="0"/>
        <v>Metropolitan BankBankBA029</v>
      </c>
    </row>
    <row r="31" spans="1:4" x14ac:dyDescent="0.3">
      <c r="A31" s="208" t="s">
        <v>225</v>
      </c>
      <c r="B31" s="208" t="s">
        <v>4005</v>
      </c>
      <c r="C31" s="208" t="s">
        <v>4239</v>
      </c>
      <c r="D31" t="str">
        <f t="shared" si="0"/>
        <v>Natal BankBankBA030</v>
      </c>
    </row>
    <row r="32" spans="1:4" x14ac:dyDescent="0.3">
      <c r="A32" s="208" t="s">
        <v>226</v>
      </c>
      <c r="B32" s="208" t="s">
        <v>4005</v>
      </c>
      <c r="C32" s="208" t="s">
        <v>4240</v>
      </c>
      <c r="D32" t="str">
        <f t="shared" si="0"/>
        <v>National Bank (Ireland)BankBA031</v>
      </c>
    </row>
    <row r="33" spans="1:4" x14ac:dyDescent="0.3">
      <c r="A33" s="208" t="s">
        <v>227</v>
      </c>
      <c r="B33" s="208" t="s">
        <v>4005</v>
      </c>
      <c r="C33" s="208" t="s">
        <v>4241</v>
      </c>
      <c r="D33" t="str">
        <f t="shared" si="0"/>
        <v>National Bank of EgyptBankBA032</v>
      </c>
    </row>
    <row r="34" spans="1:4" x14ac:dyDescent="0.3">
      <c r="A34" s="208" t="s">
        <v>228</v>
      </c>
      <c r="B34" s="208" t="s">
        <v>4005</v>
      </c>
      <c r="C34" s="208" t="s">
        <v>4242</v>
      </c>
      <c r="D34" t="str">
        <f t="shared" si="0"/>
        <v>National Bank of IndiaBankBA033</v>
      </c>
    </row>
    <row r="35" spans="1:4" x14ac:dyDescent="0.3">
      <c r="A35" s="208" t="s">
        <v>229</v>
      </c>
      <c r="B35" s="208" t="s">
        <v>4005</v>
      </c>
      <c r="C35" s="208" t="s">
        <v>4243</v>
      </c>
      <c r="D35" t="str">
        <f t="shared" si="0"/>
        <v>National Bank of New ZealandBankBA034</v>
      </c>
    </row>
    <row r="36" spans="1:4" x14ac:dyDescent="0.3">
      <c r="A36" s="208" t="s">
        <v>230</v>
      </c>
      <c r="B36" s="208" t="s">
        <v>4005</v>
      </c>
      <c r="C36" s="208" t="s">
        <v>4244</v>
      </c>
      <c r="D36" t="str">
        <f t="shared" si="0"/>
        <v>National Bank of ScotlandBankBA035</v>
      </c>
    </row>
    <row r="37" spans="1:4" x14ac:dyDescent="0.3">
      <c r="A37" s="208" t="s">
        <v>231</v>
      </c>
      <c r="B37" s="208" t="s">
        <v>4005</v>
      </c>
      <c r="C37" s="208" t="s">
        <v>4245</v>
      </c>
      <c r="D37" t="str">
        <f t="shared" si="0"/>
        <v>National Bank of South AfricaBankBA036</v>
      </c>
    </row>
    <row r="38" spans="1:4" x14ac:dyDescent="0.3">
      <c r="A38" s="208" t="s">
        <v>233</v>
      </c>
      <c r="B38" s="208" t="s">
        <v>4005</v>
      </c>
      <c r="C38" s="208" t="s">
        <v>4246</v>
      </c>
      <c r="D38" t="str">
        <f t="shared" si="0"/>
        <v>National Provincial Bank of EnglandBankBA037</v>
      </c>
    </row>
    <row r="39" spans="1:4" x14ac:dyDescent="0.3">
      <c r="A39" s="208" t="s">
        <v>245</v>
      </c>
      <c r="B39" s="208" t="s">
        <v>4005</v>
      </c>
      <c r="C39" s="208" t="s">
        <v>4247</v>
      </c>
      <c r="D39" t="str">
        <f t="shared" si="0"/>
        <v>North Eastern BankingBankBA038</v>
      </c>
    </row>
    <row r="40" spans="1:4" x14ac:dyDescent="0.3">
      <c r="A40" s="208" t="s">
        <v>248</v>
      </c>
      <c r="B40" s="208" t="s">
        <v>4005</v>
      </c>
      <c r="C40" s="208" t="s">
        <v>4248</v>
      </c>
      <c r="D40" t="str">
        <f t="shared" si="0"/>
        <v>North of Scotland &amp; Town &amp; Country BankBankBA039</v>
      </c>
    </row>
    <row r="41" spans="1:4" x14ac:dyDescent="0.3">
      <c r="A41" s="208" t="s">
        <v>251</v>
      </c>
      <c r="B41" s="208" t="s">
        <v>4005</v>
      </c>
      <c r="C41" s="208" t="s">
        <v>4249</v>
      </c>
      <c r="D41" t="str">
        <f t="shared" si="0"/>
        <v>Northern BankingBankBA040</v>
      </c>
    </row>
    <row r="42" spans="1:4" x14ac:dyDescent="0.3">
      <c r="A42" s="208" t="s">
        <v>254</v>
      </c>
      <c r="B42" s="208" t="s">
        <v>4005</v>
      </c>
      <c r="C42" s="208" t="s">
        <v>4250</v>
      </c>
      <c r="D42" t="str">
        <f t="shared" si="0"/>
        <v>Parr’s BankBankBA041</v>
      </c>
    </row>
    <row r="43" spans="1:4" x14ac:dyDescent="0.3">
      <c r="A43" s="208" t="s">
        <v>266</v>
      </c>
      <c r="B43" s="208" t="s">
        <v>4005</v>
      </c>
      <c r="C43" s="208" t="s">
        <v>4251</v>
      </c>
      <c r="D43" t="str">
        <f t="shared" si="0"/>
        <v>Provincial Bank of IrelandBankBA042</v>
      </c>
    </row>
    <row r="44" spans="1:4" x14ac:dyDescent="0.3">
      <c r="A44" s="208" t="s">
        <v>274</v>
      </c>
      <c r="B44" s="208" t="s">
        <v>4005</v>
      </c>
      <c r="C44" s="208" t="s">
        <v>4252</v>
      </c>
      <c r="D44" t="str">
        <f t="shared" si="0"/>
        <v>Royal Bank of IrelandBankBA043</v>
      </c>
    </row>
    <row r="45" spans="1:4" x14ac:dyDescent="0.3">
      <c r="A45" s="208" t="s">
        <v>275</v>
      </c>
      <c r="B45" s="208" t="s">
        <v>4005</v>
      </c>
      <c r="C45" s="208" t="s">
        <v>4253</v>
      </c>
      <c r="D45" t="str">
        <f t="shared" si="0"/>
        <v>Royal Bank of ScotlandBankBA044</v>
      </c>
    </row>
    <row r="46" spans="1:4" x14ac:dyDescent="0.3">
      <c r="A46" s="208" t="s">
        <v>285</v>
      </c>
      <c r="B46" s="208" t="s">
        <v>4005</v>
      </c>
      <c r="C46" s="208" t="s">
        <v>4254</v>
      </c>
      <c r="D46" t="str">
        <f t="shared" si="0"/>
        <v>Sheffield &amp; Hallamshire BankBankBA045</v>
      </c>
    </row>
    <row r="47" spans="1:4" x14ac:dyDescent="0.3">
      <c r="A47" s="208" t="s">
        <v>287</v>
      </c>
      <c r="B47" s="208" t="s">
        <v>4005</v>
      </c>
      <c r="C47" s="208" t="s">
        <v>4255</v>
      </c>
      <c r="D47" t="str">
        <f t="shared" si="0"/>
        <v>Sheffield BankingBankBA046</v>
      </c>
    </row>
    <row r="48" spans="1:4" x14ac:dyDescent="0.3">
      <c r="A48" s="208" t="s">
        <v>296</v>
      </c>
      <c r="B48" s="208" t="s">
        <v>4005</v>
      </c>
      <c r="C48" s="208" t="s">
        <v>4256</v>
      </c>
      <c r="D48" t="str">
        <f t="shared" si="0"/>
        <v>Standard Bank of South AfricaBankBA047</v>
      </c>
    </row>
    <row r="49" spans="1:4" x14ac:dyDescent="0.3">
      <c r="A49" s="208" t="s">
        <v>307</v>
      </c>
      <c r="B49" s="208" t="s">
        <v>4005</v>
      </c>
      <c r="C49" s="208" t="s">
        <v>4257</v>
      </c>
      <c r="D49" t="str">
        <f t="shared" si="0"/>
        <v>Ulster BankBankBA048</v>
      </c>
    </row>
    <row r="50" spans="1:4" x14ac:dyDescent="0.3">
      <c r="A50" s="208" t="s">
        <v>309</v>
      </c>
      <c r="B50" s="208" t="s">
        <v>4005</v>
      </c>
      <c r="C50" s="208" t="s">
        <v>4258</v>
      </c>
      <c r="D50" t="str">
        <f t="shared" si="0"/>
        <v>Union Bank of AustraliaBankBA049</v>
      </c>
    </row>
    <row r="51" spans="1:4" x14ac:dyDescent="0.3">
      <c r="A51" s="208" t="s">
        <v>310</v>
      </c>
      <c r="B51" s="208" t="s">
        <v>4005</v>
      </c>
      <c r="C51" s="208" t="s">
        <v>4259</v>
      </c>
      <c r="D51" t="str">
        <f t="shared" si="0"/>
        <v>Union Bank of ScotlandBankBA050</v>
      </c>
    </row>
    <row r="52" spans="1:4" x14ac:dyDescent="0.3">
      <c r="A52" s="208" t="s">
        <v>312</v>
      </c>
      <c r="B52" s="208" t="s">
        <v>4005</v>
      </c>
      <c r="C52" s="208" t="s">
        <v>4260</v>
      </c>
      <c r="D52" t="str">
        <f t="shared" si="0"/>
        <v>Union of London &amp; Smith’s BankBankBA051</v>
      </c>
    </row>
    <row r="53" spans="1:4" x14ac:dyDescent="0.3">
      <c r="A53" s="208" t="s">
        <v>315</v>
      </c>
      <c r="B53" s="208" t="s">
        <v>4005</v>
      </c>
      <c r="C53" s="208" t="s">
        <v>4261</v>
      </c>
      <c r="D53" t="str">
        <f t="shared" si="0"/>
        <v>United Counties BankBankBA052</v>
      </c>
    </row>
    <row r="54" spans="1:4" x14ac:dyDescent="0.3">
      <c r="A54" s="208" t="s">
        <v>334</v>
      </c>
      <c r="B54" s="208" t="s">
        <v>4005</v>
      </c>
      <c r="C54" s="208" t="s">
        <v>4262</v>
      </c>
      <c r="D54" t="str">
        <f t="shared" si="0"/>
        <v>Williams Deacon's BankBankBA053</v>
      </c>
    </row>
    <row r="55" spans="1:4" x14ac:dyDescent="0.3">
      <c r="A55" s="208" t="s">
        <v>31</v>
      </c>
      <c r="B55" s="208" t="s">
        <v>3937</v>
      </c>
      <c r="C55" s="208" t="s">
        <v>4263</v>
      </c>
      <c r="D55" t="str">
        <f t="shared" si="0"/>
        <v>Barclay Perkins (beer)BreweryBR001</v>
      </c>
    </row>
    <row r="56" spans="1:4" x14ac:dyDescent="0.3">
      <c r="A56" s="208" t="s">
        <v>33</v>
      </c>
      <c r="B56" s="208" t="s">
        <v>3937</v>
      </c>
      <c r="C56" s="208" t="s">
        <v>4264</v>
      </c>
      <c r="D56" t="str">
        <f t="shared" si="0"/>
        <v>Bass Ratcliff &amp; Gretton (beer)BreweryBR002</v>
      </c>
    </row>
    <row r="57" spans="1:4" x14ac:dyDescent="0.3">
      <c r="A57" s="208" t="s">
        <v>66</v>
      </c>
      <c r="B57" s="208" t="s">
        <v>3937</v>
      </c>
      <c r="C57" s="208" t="s">
        <v>4265</v>
      </c>
      <c r="D57" t="str">
        <f t="shared" si="0"/>
        <v>Cannon BreweryBreweryBR003</v>
      </c>
    </row>
    <row r="58" spans="1:4" x14ac:dyDescent="0.3">
      <c r="A58" s="208" t="s">
        <v>4073</v>
      </c>
      <c r="B58" s="208" t="s">
        <v>3937</v>
      </c>
      <c r="C58" s="208" t="s">
        <v>4266</v>
      </c>
      <c r="D58" t="str">
        <f t="shared" si="0"/>
        <v>City of Chicago Brewing &amp; Malting (English Company)BreweryBR004</v>
      </c>
    </row>
    <row r="59" spans="1:4" x14ac:dyDescent="0.3">
      <c r="A59" s="208" t="s">
        <v>80</v>
      </c>
      <c r="B59" s="208" t="s">
        <v>3937</v>
      </c>
      <c r="C59" s="208" t="s">
        <v>4267</v>
      </c>
      <c r="D59" t="str">
        <f t="shared" si="0"/>
        <v>City of London BreweryBreweryBR005</v>
      </c>
    </row>
    <row r="60" spans="1:4" x14ac:dyDescent="0.3">
      <c r="A60" s="208" t="s">
        <v>91</v>
      </c>
      <c r="B60" s="208" t="s">
        <v>3937</v>
      </c>
      <c r="C60" s="208" t="s">
        <v>4268</v>
      </c>
      <c r="D60" t="str">
        <f t="shared" si="0"/>
        <v>Courage (beer)BreweryBR006</v>
      </c>
    </row>
    <row r="61" spans="1:4" x14ac:dyDescent="0.3">
      <c r="A61" s="208" t="s">
        <v>99</v>
      </c>
      <c r="B61" s="208" t="s">
        <v>3937</v>
      </c>
      <c r="C61" s="208" t="s">
        <v>4269</v>
      </c>
      <c r="D61" t="str">
        <f t="shared" si="0"/>
        <v>Distillers (whisky)BreweryBR007</v>
      </c>
    </row>
    <row r="62" spans="1:4" x14ac:dyDescent="0.3">
      <c r="A62" s="208" t="s">
        <v>145</v>
      </c>
      <c r="B62" s="208" t="s">
        <v>3937</v>
      </c>
      <c r="C62" s="208" t="s">
        <v>4270</v>
      </c>
      <c r="D62" t="str">
        <f t="shared" si="0"/>
        <v>Guinness (stout)BreweryBR008</v>
      </c>
    </row>
    <row r="63" spans="1:4" x14ac:dyDescent="0.3">
      <c r="A63" s="208" t="s">
        <v>155</v>
      </c>
      <c r="B63" s="208" t="s">
        <v>3937</v>
      </c>
      <c r="C63" s="208" t="s">
        <v>4271</v>
      </c>
      <c r="D63" t="str">
        <f t="shared" si="0"/>
        <v>Ind Coope (beer)BreweryBR009</v>
      </c>
    </row>
    <row r="64" spans="1:4" x14ac:dyDescent="0.3">
      <c r="A64" s="208" t="s">
        <v>205</v>
      </c>
      <c r="B64" s="208" t="s">
        <v>3937</v>
      </c>
      <c r="C64" s="208" t="s">
        <v>4272</v>
      </c>
      <c r="D64" t="str">
        <f t="shared" si="0"/>
        <v>Mann Crossman &amp; Paulin (beer)BreweryBR010</v>
      </c>
    </row>
    <row r="65" spans="1:4" x14ac:dyDescent="0.3">
      <c r="A65" s="208" t="s">
        <v>218</v>
      </c>
      <c r="B65" s="208" t="s">
        <v>3937</v>
      </c>
      <c r="C65" s="208" t="s">
        <v>4273</v>
      </c>
      <c r="D65" t="str">
        <f t="shared" si="0"/>
        <v>Meux’s  BreweryBreweryBR011</v>
      </c>
    </row>
    <row r="66" spans="1:4" x14ac:dyDescent="0.3">
      <c r="A66" s="208" t="s">
        <v>260</v>
      </c>
      <c r="B66" s="208" t="s">
        <v>3937</v>
      </c>
      <c r="C66" s="208" t="s">
        <v>4274</v>
      </c>
      <c r="D66" t="str">
        <f t="shared" si="0"/>
        <v>Peter Walker &amp; Son (beer)BreweryBR012</v>
      </c>
    </row>
    <row r="67" spans="1:4" x14ac:dyDescent="0.3">
      <c r="A67" s="208" t="s">
        <v>288</v>
      </c>
      <c r="B67" s="208" t="s">
        <v>3937</v>
      </c>
      <c r="C67" s="208" t="s">
        <v>4275</v>
      </c>
      <c r="D67" t="str">
        <f t="shared" ref="D67:D130" si="1">CONCATENATE(A67,B67,C67)</f>
        <v>South African BreweriesBreweryBR013</v>
      </c>
    </row>
    <row r="68" spans="1:4" x14ac:dyDescent="0.3">
      <c r="A68" s="208" t="s">
        <v>295</v>
      </c>
      <c r="B68" s="208" t="s">
        <v>3937</v>
      </c>
      <c r="C68" s="208" t="s">
        <v>4276</v>
      </c>
      <c r="D68" t="str">
        <f t="shared" si="1"/>
        <v>St Louis BreweriesBreweryBR014</v>
      </c>
    </row>
    <row r="69" spans="1:4" x14ac:dyDescent="0.3">
      <c r="A69" s="208" t="s">
        <v>324</v>
      </c>
      <c r="B69" s="208" t="s">
        <v>3937</v>
      </c>
      <c r="C69" s="208" t="s">
        <v>4277</v>
      </c>
      <c r="D69" t="str">
        <f t="shared" si="1"/>
        <v>Watney Combe Reid (beer)BreweryBR015</v>
      </c>
    </row>
    <row r="70" spans="1:4" x14ac:dyDescent="0.3">
      <c r="A70" s="208" t="s">
        <v>329</v>
      </c>
      <c r="B70" s="208" t="s">
        <v>3937</v>
      </c>
      <c r="C70" s="208" t="s">
        <v>4278</v>
      </c>
      <c r="D70" t="str">
        <f t="shared" si="1"/>
        <v>Whitbread (beer)BreweryBR016</v>
      </c>
    </row>
    <row r="71" spans="1:4" x14ac:dyDescent="0.3">
      <c r="A71" s="208" t="s">
        <v>336</v>
      </c>
      <c r="B71" s="208" t="s">
        <v>3937</v>
      </c>
      <c r="C71" s="208" t="s">
        <v>4279</v>
      </c>
      <c r="D71" t="str">
        <f t="shared" si="1"/>
        <v>Worthington (beer)BreweryBR017</v>
      </c>
    </row>
    <row r="72" spans="1:4" x14ac:dyDescent="0.3">
      <c r="A72" s="208" t="s">
        <v>132</v>
      </c>
      <c r="B72" s="208" t="s">
        <v>3945</v>
      </c>
      <c r="C72" s="208" t="s">
        <v>4281</v>
      </c>
      <c r="D72" t="str">
        <f t="shared" si="1"/>
        <v>Grand Junction CanalCanalCN001</v>
      </c>
    </row>
    <row r="73" spans="1:4" x14ac:dyDescent="0.3">
      <c r="A73" s="208" t="s">
        <v>169</v>
      </c>
      <c r="B73" s="208" t="s">
        <v>3945</v>
      </c>
      <c r="C73" s="208" t="s">
        <v>4282</v>
      </c>
      <c r="D73" t="str">
        <f t="shared" si="1"/>
        <v>Leeds &amp; Liverpool CanalCanalCN002</v>
      </c>
    </row>
    <row r="74" spans="1:4" x14ac:dyDescent="0.3">
      <c r="A74" s="208" t="s">
        <v>203</v>
      </c>
      <c r="B74" s="208" t="s">
        <v>3945</v>
      </c>
      <c r="C74" s="208" t="s">
        <v>4283</v>
      </c>
      <c r="D74" t="str">
        <f t="shared" si="1"/>
        <v>Manchester Ship CanalCanalCN003</v>
      </c>
    </row>
    <row r="75" spans="1:4" x14ac:dyDescent="0.3">
      <c r="A75" s="208" t="s">
        <v>269</v>
      </c>
      <c r="B75" s="208" t="s">
        <v>3945</v>
      </c>
      <c r="C75" s="208" t="s">
        <v>4284</v>
      </c>
      <c r="D75" t="str">
        <f t="shared" si="1"/>
        <v>Regent’s Canal &amp; DockCanalCN004</v>
      </c>
    </row>
    <row r="76" spans="1:4" x14ac:dyDescent="0.3">
      <c r="A76" s="208" t="s">
        <v>74</v>
      </c>
      <c r="B76" s="208" t="s">
        <v>3948</v>
      </c>
      <c r="C76" s="208" t="s">
        <v>4280</v>
      </c>
      <c r="D76" t="str">
        <f t="shared" si="1"/>
        <v>Charing X, West End &amp; City ElectricityElectric &amp; LightEL001</v>
      </c>
    </row>
    <row r="77" spans="1:4" x14ac:dyDescent="0.3">
      <c r="A77" s="208" t="s">
        <v>81</v>
      </c>
      <c r="B77" s="208" t="s">
        <v>3948</v>
      </c>
      <c r="C77" s="208" t="s">
        <v>4285</v>
      </c>
      <c r="D77" t="str">
        <f t="shared" si="1"/>
        <v>City of London Electric LightingElectric &amp; LightEL002</v>
      </c>
    </row>
    <row r="78" spans="1:4" x14ac:dyDescent="0.3">
      <c r="A78" s="208" t="s">
        <v>216</v>
      </c>
      <c r="B78" s="208" t="s">
        <v>3948</v>
      </c>
      <c r="C78" s="208" t="s">
        <v>4286</v>
      </c>
      <c r="D78" t="str">
        <f t="shared" si="1"/>
        <v>Metropolitan Electric SupplyElectric &amp; LightEL003</v>
      </c>
    </row>
    <row r="79" spans="1:4" x14ac:dyDescent="0.3">
      <c r="A79" s="208" t="s">
        <v>238</v>
      </c>
      <c r="B79" s="208" t="s">
        <v>3948</v>
      </c>
      <c r="C79" s="208" t="s">
        <v>4287</v>
      </c>
      <c r="D79" t="str">
        <f t="shared" si="1"/>
        <v>Newcastle-upon-Tyne Electric SupplyElectric &amp; LightEL004</v>
      </c>
    </row>
    <row r="80" spans="1:4" x14ac:dyDescent="0.3">
      <c r="A80" s="208" t="s">
        <v>320</v>
      </c>
      <c r="B80" s="208" t="s">
        <v>3948</v>
      </c>
      <c r="C80" s="208" t="s">
        <v>4288</v>
      </c>
      <c r="D80" t="str">
        <f t="shared" si="1"/>
        <v>Victoria Falls &amp; Transvaal PowerElectric &amp; LightEL005</v>
      </c>
    </row>
    <row r="81" spans="1:4" x14ac:dyDescent="0.3">
      <c r="A81" s="208" t="s">
        <v>328</v>
      </c>
      <c r="B81" s="208" t="s">
        <v>3948</v>
      </c>
      <c r="C81" s="208" t="s">
        <v>4289</v>
      </c>
      <c r="D81" t="str">
        <f t="shared" si="1"/>
        <v>Westminster Electric SupplyElectric &amp; LightEL006</v>
      </c>
    </row>
    <row r="82" spans="1:4" x14ac:dyDescent="0.3">
      <c r="A82" s="208" t="s">
        <v>259</v>
      </c>
      <c r="B82" s="208" t="s">
        <v>4001</v>
      </c>
      <c r="C82" s="208" t="s">
        <v>4290</v>
      </c>
      <c r="D82" t="str">
        <f t="shared" si="1"/>
        <v>Peruvian Corporation (natural chemicals)Finance- OtherFO001</v>
      </c>
    </row>
    <row r="83" spans="1:4" x14ac:dyDescent="0.3">
      <c r="A83" s="208" t="s">
        <v>281</v>
      </c>
      <c r="B83" s="208" t="s">
        <v>4001</v>
      </c>
      <c r="C83" s="208" t="s">
        <v>4291</v>
      </c>
      <c r="D83" t="str">
        <f t="shared" si="1"/>
        <v>Scottish American InvestmentFinance- OtherFO002</v>
      </c>
    </row>
    <row r="84" spans="1:4" x14ac:dyDescent="0.3">
      <c r="A84" s="208" t="s">
        <v>282</v>
      </c>
      <c r="B84" s="208" t="s">
        <v>4001</v>
      </c>
      <c r="C84" s="208" t="s">
        <v>4292</v>
      </c>
      <c r="D84" t="str">
        <f t="shared" si="1"/>
        <v>Scottish American MortgageFinance- OtherFO003</v>
      </c>
    </row>
    <row r="85" spans="1:4" x14ac:dyDescent="0.3">
      <c r="A85" s="208" t="s">
        <v>283</v>
      </c>
      <c r="B85" s="208" t="s">
        <v>4001</v>
      </c>
      <c r="C85" s="208" t="s">
        <v>4293</v>
      </c>
      <c r="D85" t="str">
        <f t="shared" si="1"/>
        <v>Scottish Australian InvestmentFinance- OtherFO004</v>
      </c>
    </row>
    <row r="86" spans="1:4" x14ac:dyDescent="0.3">
      <c r="A86" s="208" t="s">
        <v>305</v>
      </c>
      <c r="B86" s="208" t="s">
        <v>4001</v>
      </c>
      <c r="C86" s="208" t="s">
        <v>4294</v>
      </c>
      <c r="D86" t="str">
        <f t="shared" si="1"/>
        <v>Trust &amp; Agency of AustralasiaFinance- OtherFO005</v>
      </c>
    </row>
    <row r="87" spans="1:4" x14ac:dyDescent="0.3">
      <c r="A87" s="208" t="s">
        <v>306</v>
      </c>
      <c r="B87" s="208" t="s">
        <v>4001</v>
      </c>
      <c r="C87" s="208" t="s">
        <v>4295</v>
      </c>
      <c r="D87" t="str">
        <f t="shared" si="1"/>
        <v>Trustees Executors &amp; Securities InsuranceFinance- OtherFO006</v>
      </c>
    </row>
    <row r="88" spans="1:4" x14ac:dyDescent="0.3">
      <c r="A88" s="208" t="s">
        <v>97</v>
      </c>
      <c r="B88" s="208" t="s">
        <v>4001</v>
      </c>
      <c r="C88" s="208" t="s">
        <v>4296</v>
      </c>
      <c r="D88" t="str">
        <f t="shared" si="1"/>
        <v>Debenture Corporation (trustees/insurer)Finance- OtherFO007</v>
      </c>
    </row>
    <row r="89" spans="1:4" x14ac:dyDescent="0.3">
      <c r="A89" s="208" t="s">
        <v>151</v>
      </c>
      <c r="B89" s="208" t="s">
        <v>4001</v>
      </c>
      <c r="C89" s="208" t="s">
        <v>4297</v>
      </c>
      <c r="D89" t="str">
        <f t="shared" si="1"/>
        <v>Hudson’s Bay (real estate)Finance- OtherFO008</v>
      </c>
    </row>
    <row r="90" spans="1:4" x14ac:dyDescent="0.3">
      <c r="A90" s="208" t="s">
        <v>223</v>
      </c>
      <c r="B90" s="208" t="s">
        <v>4001</v>
      </c>
      <c r="C90" s="208" t="s">
        <v>4298</v>
      </c>
      <c r="D90" t="str">
        <f t="shared" si="1"/>
        <v>Mortgage Company of EgyptFinance- OtherFO009</v>
      </c>
    </row>
    <row r="91" spans="1:4" x14ac:dyDescent="0.3">
      <c r="A91" s="208" t="s">
        <v>235</v>
      </c>
      <c r="B91" s="208" t="s">
        <v>4001</v>
      </c>
      <c r="C91" s="208" t="s">
        <v>4299</v>
      </c>
      <c r="D91" t="str">
        <f t="shared" si="1"/>
        <v>New Zealand &amp; Australian Land (sheep)Finance- OtherFO010</v>
      </c>
    </row>
    <row r="92" spans="1:4" x14ac:dyDescent="0.3">
      <c r="A92" s="208" t="s">
        <v>4061</v>
      </c>
      <c r="B92" s="208" t="s">
        <v>4001</v>
      </c>
      <c r="C92" s="208" t="s">
        <v>4300</v>
      </c>
      <c r="D92" t="str">
        <f t="shared" si="1"/>
        <v>Pekin Syndicate (coal mines, Railway)Finance- OtherFO011</v>
      </c>
    </row>
    <row r="93" spans="1:4" x14ac:dyDescent="0.3">
      <c r="A93" s="208" t="s">
        <v>3</v>
      </c>
      <c r="B93" s="208" t="s">
        <v>344</v>
      </c>
      <c r="C93" s="208" t="s">
        <v>4301</v>
      </c>
      <c r="D93" t="str">
        <f t="shared" si="1"/>
        <v>Alliance &amp; Dublin Consumers GasGLCGLC01</v>
      </c>
    </row>
    <row r="94" spans="1:4" x14ac:dyDescent="0.3">
      <c r="A94" s="208" t="s">
        <v>43</v>
      </c>
      <c r="B94" s="208" t="s">
        <v>344</v>
      </c>
      <c r="C94" s="208" t="s">
        <v>4302</v>
      </c>
      <c r="D94" t="str">
        <f t="shared" si="1"/>
        <v>Bristol GasGLCGLC02</v>
      </c>
    </row>
    <row r="95" spans="1:4" x14ac:dyDescent="0.3">
      <c r="A95" s="208" t="s">
        <v>85</v>
      </c>
      <c r="B95" s="208" t="s">
        <v>344</v>
      </c>
      <c r="C95" s="208" t="s">
        <v>4303</v>
      </c>
      <c r="D95" t="str">
        <f t="shared" si="1"/>
        <v>Commercial GasGLCGLC03</v>
      </c>
    </row>
    <row r="96" spans="1:4" x14ac:dyDescent="0.3">
      <c r="A96" s="208" t="s">
        <v>89</v>
      </c>
      <c r="B96" s="208" t="s">
        <v>344</v>
      </c>
      <c r="C96" s="208" t="s">
        <v>4304</v>
      </c>
      <c r="D96" t="str">
        <f t="shared" si="1"/>
        <v>Continental Union GasGLCGLC04</v>
      </c>
    </row>
    <row r="97" spans="1:4" x14ac:dyDescent="0.3">
      <c r="A97" s="208" t="s">
        <v>117</v>
      </c>
      <c r="B97" s="208" t="s">
        <v>344</v>
      </c>
      <c r="C97" s="208" t="s">
        <v>4305</v>
      </c>
      <c r="D97" t="str">
        <f t="shared" si="1"/>
        <v>European GasGLCGLC05</v>
      </c>
    </row>
    <row r="98" spans="1:4" x14ac:dyDescent="0.3">
      <c r="A98" s="208" t="s">
        <v>125</v>
      </c>
      <c r="B98" s="208" t="s">
        <v>344</v>
      </c>
      <c r="C98" s="208" t="s">
        <v>4306</v>
      </c>
      <c r="D98" t="str">
        <f t="shared" si="1"/>
        <v>Gas Light &amp; CokeGLCGLC06</v>
      </c>
    </row>
    <row r="99" spans="1:4" x14ac:dyDescent="0.3">
      <c r="A99" s="208" t="s">
        <v>153</v>
      </c>
      <c r="B99" s="208" t="s">
        <v>344</v>
      </c>
      <c r="C99" s="208" t="s">
        <v>4307</v>
      </c>
      <c r="D99" t="str">
        <f t="shared" si="1"/>
        <v>Imperial Continental GasGLCGLC07</v>
      </c>
    </row>
    <row r="100" spans="1:4" x14ac:dyDescent="0.3">
      <c r="A100" s="208" t="s">
        <v>180</v>
      </c>
      <c r="B100" s="208" t="s">
        <v>344</v>
      </c>
      <c r="C100" s="208" t="s">
        <v>4308</v>
      </c>
      <c r="D100" t="str">
        <f t="shared" si="1"/>
        <v>Liverpool United Gas LightGLCGLC08</v>
      </c>
    </row>
    <row r="101" spans="1:4" x14ac:dyDescent="0.3">
      <c r="A101" s="208" t="s">
        <v>237</v>
      </c>
      <c r="B101" s="208" t="s">
        <v>344</v>
      </c>
      <c r="C101" s="208" t="s">
        <v>4309</v>
      </c>
      <c r="D101" t="str">
        <f t="shared" si="1"/>
        <v>Newcastle-upon-Tyne &amp; G GasGLCGLC09</v>
      </c>
    </row>
    <row r="102" spans="1:4" x14ac:dyDescent="0.3">
      <c r="A102" s="208" t="s">
        <v>265</v>
      </c>
      <c r="B102" s="208" t="s">
        <v>344</v>
      </c>
      <c r="C102" s="208" t="s">
        <v>4310</v>
      </c>
      <c r="D102" t="str">
        <f t="shared" si="1"/>
        <v>Primitiva Gas of Buenos AiresGLCGLC10</v>
      </c>
    </row>
    <row r="103" spans="1:4" x14ac:dyDescent="0.3">
      <c r="A103" s="208" t="s">
        <v>291</v>
      </c>
      <c r="B103" s="208" t="s">
        <v>344</v>
      </c>
      <c r="C103" s="208" t="s">
        <v>4311</v>
      </c>
      <c r="D103" t="str">
        <f t="shared" si="1"/>
        <v>South Metropolitan GasGLCGLC11</v>
      </c>
    </row>
    <row r="104" spans="1:4" x14ac:dyDescent="0.3">
      <c r="A104" s="208" t="s">
        <v>4</v>
      </c>
      <c r="B104" s="208" t="s">
        <v>341</v>
      </c>
      <c r="C104" s="208" t="s">
        <v>4312</v>
      </c>
      <c r="D104" t="str">
        <f t="shared" si="1"/>
        <v>Alliance AssuranceInsuranceIN001</v>
      </c>
    </row>
    <row r="105" spans="1:4" x14ac:dyDescent="0.3">
      <c r="A105" s="208" t="s">
        <v>22</v>
      </c>
      <c r="B105" s="208" t="s">
        <v>341</v>
      </c>
      <c r="C105" s="208" t="s">
        <v>4313</v>
      </c>
      <c r="D105" t="str">
        <f t="shared" si="1"/>
        <v>Atlas AssuranceInsuranceIN002</v>
      </c>
    </row>
    <row r="106" spans="1:4" x14ac:dyDescent="0.3">
      <c r="A106" s="208" t="s">
        <v>86</v>
      </c>
      <c r="B106" s="208" t="s">
        <v>341</v>
      </c>
      <c r="C106" s="208" t="s">
        <v>4314</v>
      </c>
      <c r="D106" t="str">
        <f t="shared" si="1"/>
        <v>Commercial Union AssuranceInsuranceIN003</v>
      </c>
    </row>
    <row r="107" spans="1:4" x14ac:dyDescent="0.3">
      <c r="A107" s="208" t="s">
        <v>105</v>
      </c>
      <c r="B107" s="208" t="s">
        <v>341</v>
      </c>
      <c r="C107" s="208" t="s">
        <v>4315</v>
      </c>
      <c r="D107" t="str">
        <f t="shared" si="1"/>
        <v>Eagle InsuranceInsuranceIN004</v>
      </c>
    </row>
    <row r="108" spans="1:4" x14ac:dyDescent="0.3">
      <c r="A108" s="208" t="s">
        <v>112</v>
      </c>
      <c r="B108" s="208" t="s">
        <v>341</v>
      </c>
      <c r="C108" s="208" t="s">
        <v>4316</v>
      </c>
      <c r="D108" t="str">
        <f t="shared" si="1"/>
        <v>Employers' Liability InsuranceInsuranceIN005</v>
      </c>
    </row>
    <row r="109" spans="1:4" x14ac:dyDescent="0.3">
      <c r="A109" s="208" t="s">
        <v>116</v>
      </c>
      <c r="B109" s="208" t="s">
        <v>341</v>
      </c>
      <c r="C109" s="208" t="s">
        <v>4317</v>
      </c>
      <c r="D109" t="str">
        <f t="shared" si="1"/>
        <v>Equity &amp; Law Life AssuranceInsuranceIN006</v>
      </c>
    </row>
    <row r="110" spans="1:4" x14ac:dyDescent="0.3">
      <c r="A110" s="208" t="s">
        <v>126</v>
      </c>
      <c r="B110" s="208" t="s">
        <v>341</v>
      </c>
      <c r="C110" s="208" t="s">
        <v>4318</v>
      </c>
      <c r="D110" t="str">
        <f t="shared" si="1"/>
        <v>General Accident Fire &amp; Life AssuranceInsuranceIN007</v>
      </c>
    </row>
    <row r="111" spans="1:4" x14ac:dyDescent="0.3">
      <c r="A111" s="208" t="s">
        <v>127</v>
      </c>
      <c r="B111" s="208" t="s">
        <v>341</v>
      </c>
      <c r="C111" s="208" t="s">
        <v>4319</v>
      </c>
      <c r="D111" t="str">
        <f t="shared" si="1"/>
        <v>General Life AssuranceInsuranceIN008</v>
      </c>
    </row>
    <row r="112" spans="1:4" x14ac:dyDescent="0.3">
      <c r="A112" s="208" t="s">
        <v>143</v>
      </c>
      <c r="B112" s="208" t="s">
        <v>341</v>
      </c>
      <c r="C112" s="208" t="s">
        <v>4320</v>
      </c>
      <c r="D112" t="str">
        <f t="shared" si="1"/>
        <v>Guardian AssuranceInsuranceIN009</v>
      </c>
    </row>
    <row r="113" spans="1:4" x14ac:dyDescent="0.3">
      <c r="A113" s="208" t="s">
        <v>168</v>
      </c>
      <c r="B113" s="208" t="s">
        <v>341</v>
      </c>
      <c r="C113" s="208" t="s">
        <v>4321</v>
      </c>
      <c r="D113" t="str">
        <f t="shared" si="1"/>
        <v>Law Union and Rock InsuranceInsuranceIN010</v>
      </c>
    </row>
    <row r="114" spans="1:4" x14ac:dyDescent="0.3">
      <c r="A114" s="208" t="s">
        <v>171</v>
      </c>
      <c r="B114" s="208" t="s">
        <v>341</v>
      </c>
      <c r="C114" s="208" t="s">
        <v>4322</v>
      </c>
      <c r="D114" t="str">
        <f t="shared" si="1"/>
        <v>Legal &amp; General Life AssuranceInsuranceIN011</v>
      </c>
    </row>
    <row r="115" spans="1:4" x14ac:dyDescent="0.3">
      <c r="A115" s="208" t="s">
        <v>179</v>
      </c>
      <c r="B115" s="208" t="s">
        <v>341</v>
      </c>
      <c r="C115" s="208" t="s">
        <v>4323</v>
      </c>
      <c r="D115" t="str">
        <f t="shared" si="1"/>
        <v>Liverpool &amp; London &amp; Globe InsuranceInsuranceIN012</v>
      </c>
    </row>
    <row r="116" spans="1:4" x14ac:dyDescent="0.3">
      <c r="A116" s="208" t="s">
        <v>183</v>
      </c>
      <c r="B116" s="208" t="s">
        <v>341</v>
      </c>
      <c r="C116" s="208" t="s">
        <v>4324</v>
      </c>
      <c r="D116" t="str">
        <f t="shared" si="1"/>
        <v>London &amp; Lancashire Fire InsuranceInsuranceIN013</v>
      </c>
    </row>
    <row r="117" spans="1:4" x14ac:dyDescent="0.3">
      <c r="A117" s="208" t="s">
        <v>186</v>
      </c>
      <c r="B117" s="208" t="s">
        <v>341</v>
      </c>
      <c r="C117" s="208" t="s">
        <v>4325</v>
      </c>
      <c r="D117" t="str">
        <f t="shared" si="1"/>
        <v>London &amp; Provincial Marine &amp; General InsuranceInsuranceIN014</v>
      </c>
    </row>
    <row r="118" spans="1:4" x14ac:dyDescent="0.3">
      <c r="A118" s="208" t="s">
        <v>242</v>
      </c>
      <c r="B118" s="208" t="s">
        <v>341</v>
      </c>
      <c r="C118" s="208" t="s">
        <v>4326</v>
      </c>
      <c r="D118" t="str">
        <f t="shared" si="1"/>
        <v>North British &amp; Mercantile InsuranceInsuranceIN015</v>
      </c>
    </row>
    <row r="119" spans="1:4" x14ac:dyDescent="0.3">
      <c r="A119" s="208" t="s">
        <v>250</v>
      </c>
      <c r="B119" s="208" t="s">
        <v>341</v>
      </c>
      <c r="C119" s="208" t="s">
        <v>4327</v>
      </c>
      <c r="D119" t="str">
        <f t="shared" si="1"/>
        <v>Northern AssuranceInsuranceIN016</v>
      </c>
    </row>
    <row r="120" spans="1:4" x14ac:dyDescent="0.3">
      <c r="A120" s="208" t="s">
        <v>252</v>
      </c>
      <c r="B120" s="208" t="s">
        <v>341</v>
      </c>
      <c r="C120" s="208" t="s">
        <v>4328</v>
      </c>
      <c r="D120" t="str">
        <f t="shared" si="1"/>
        <v>Norwich Union Fire InsuranceInsuranceIN017</v>
      </c>
    </row>
    <row r="121" spans="1:4" x14ac:dyDescent="0.3">
      <c r="A121" s="208" t="s">
        <v>261</v>
      </c>
      <c r="B121" s="208" t="s">
        <v>341</v>
      </c>
      <c r="C121" s="208" t="s">
        <v>4329</v>
      </c>
      <c r="D121" t="str">
        <f t="shared" si="1"/>
        <v>Phoenix AssuranceInsuranceIN018</v>
      </c>
    </row>
    <row r="122" spans="1:4" x14ac:dyDescent="0.3">
      <c r="A122" s="208" t="s">
        <v>276</v>
      </c>
      <c r="B122" s="208" t="s">
        <v>341</v>
      </c>
      <c r="C122" s="208" t="s">
        <v>4330</v>
      </c>
      <c r="D122" t="str">
        <f t="shared" si="1"/>
        <v>Royal InsuranceInsuranceIN019</v>
      </c>
    </row>
    <row r="123" spans="1:4" x14ac:dyDescent="0.3">
      <c r="A123" s="208" t="s">
        <v>284</v>
      </c>
      <c r="B123" s="208" t="s">
        <v>341</v>
      </c>
      <c r="C123" s="208" t="s">
        <v>4331</v>
      </c>
      <c r="D123" t="str">
        <f t="shared" si="1"/>
        <v>Scottish Union and National InsuranceInsuranceIN020</v>
      </c>
    </row>
    <row r="124" spans="1:4" x14ac:dyDescent="0.3">
      <c r="A124" s="208" t="s">
        <v>303</v>
      </c>
      <c r="B124" s="208" t="s">
        <v>341</v>
      </c>
      <c r="C124" s="208" t="s">
        <v>4332</v>
      </c>
      <c r="D124" t="str">
        <f t="shared" si="1"/>
        <v>Thames &amp; Mersey Marine InsuranceInsuranceIN021</v>
      </c>
    </row>
    <row r="125" spans="1:4" x14ac:dyDescent="0.3">
      <c r="A125" s="208" t="s">
        <v>16</v>
      </c>
      <c r="B125" s="208" t="s">
        <v>3876</v>
      </c>
      <c r="C125" s="208" t="s">
        <v>4333</v>
      </c>
      <c r="D125" t="str">
        <f t="shared" si="1"/>
        <v>Armstrong-Whitworth (ships/arms)Iron coal and steelIC001</v>
      </c>
    </row>
    <row r="126" spans="1:4" x14ac:dyDescent="0.3">
      <c r="A126" s="208" t="s">
        <v>37</v>
      </c>
      <c r="B126" s="208" t="s">
        <v>3876</v>
      </c>
      <c r="C126" s="208" t="s">
        <v>4334</v>
      </c>
      <c r="D126" t="str">
        <f t="shared" si="1"/>
        <v>Bolckow Vaughan (steel/coal)Iron coal and steelIC002</v>
      </c>
    </row>
    <row r="127" spans="1:4" x14ac:dyDescent="0.3">
      <c r="A127" s="208" t="s">
        <v>63</v>
      </c>
      <c r="B127" s="208" t="s">
        <v>3876</v>
      </c>
      <c r="C127" s="208" t="s">
        <v>4335</v>
      </c>
      <c r="D127" t="str">
        <f t="shared" si="1"/>
        <v>Cammell Laird (ships/steel)Iron coal and steelIC003</v>
      </c>
    </row>
    <row r="128" spans="1:4" x14ac:dyDescent="0.3">
      <c r="A128" s="208" t="s">
        <v>69</v>
      </c>
      <c r="B128" s="208" t="s">
        <v>3876</v>
      </c>
      <c r="C128" s="208" t="s">
        <v>4336</v>
      </c>
      <c r="D128" t="str">
        <f t="shared" si="1"/>
        <v>Cargo Fleet IronIron coal and steelIC004</v>
      </c>
    </row>
    <row r="129" spans="1:4" x14ac:dyDescent="0.3">
      <c r="A129" s="208" t="s">
        <v>87</v>
      </c>
      <c r="B129" s="208" t="s">
        <v>3876</v>
      </c>
      <c r="C129" s="208" t="s">
        <v>4337</v>
      </c>
      <c r="D129" t="str">
        <f t="shared" si="1"/>
        <v>Consett IronIron coal and steelIC005</v>
      </c>
    </row>
    <row r="130" spans="1:4" x14ac:dyDescent="0.3">
      <c r="A130" s="208" t="s">
        <v>103</v>
      </c>
      <c r="B130" s="208" t="s">
        <v>3876</v>
      </c>
      <c r="C130" s="208" t="s">
        <v>4338</v>
      </c>
      <c r="D130" t="str">
        <f t="shared" si="1"/>
        <v>Dunderland Iron OreIron coal and steelIC006</v>
      </c>
    </row>
    <row r="131" spans="1:4" x14ac:dyDescent="0.3">
      <c r="A131" s="208" t="s">
        <v>144</v>
      </c>
      <c r="B131" s="208" t="s">
        <v>3876</v>
      </c>
      <c r="C131" s="208" t="s">
        <v>4339</v>
      </c>
      <c r="D131" t="str">
        <f t="shared" ref="D131:D194" si="2">CONCATENATE(A131,B131,C131)</f>
        <v>Guest Keen &amp; Nettlefold (steel/coal)Iron coal and steelIC007</v>
      </c>
    </row>
    <row r="132" spans="1:4" x14ac:dyDescent="0.3">
      <c r="A132" s="208" t="s">
        <v>150</v>
      </c>
      <c r="B132" s="208" t="s">
        <v>3876</v>
      </c>
      <c r="C132" s="208" t="s">
        <v>4340</v>
      </c>
      <c r="D132" t="str">
        <f t="shared" si="2"/>
        <v>Howard &amp; Bullough (textile machinery)Iron coal and steelIC008</v>
      </c>
    </row>
    <row r="133" spans="1:4" x14ac:dyDescent="0.3">
      <c r="A133" s="208" t="s">
        <v>163</v>
      </c>
      <c r="B133" s="208" t="s">
        <v>3876</v>
      </c>
      <c r="C133" s="208" t="s">
        <v>4341</v>
      </c>
      <c r="D133" t="str">
        <f t="shared" si="2"/>
        <v>John Brown (ships/arms/steel)Iron coal and steelIC009</v>
      </c>
    </row>
    <row r="134" spans="1:4" x14ac:dyDescent="0.3">
      <c r="A134" s="208" t="s">
        <v>243</v>
      </c>
      <c r="B134" s="208" t="s">
        <v>3876</v>
      </c>
      <c r="C134" s="208" t="s">
        <v>4342</v>
      </c>
      <c r="D134" t="str">
        <f t="shared" si="2"/>
        <v>North British LocomotiveIron coal and steelIC010</v>
      </c>
    </row>
    <row r="135" spans="1:4" x14ac:dyDescent="0.3">
      <c r="A135" s="208" t="s">
        <v>255</v>
      </c>
      <c r="B135" s="208" t="s">
        <v>3876</v>
      </c>
      <c r="C135" s="208" t="s">
        <v>4343</v>
      </c>
      <c r="D135" t="str">
        <f t="shared" si="2"/>
        <v>Pearson &amp; Knowles Coal &amp; IronIron coal and steelIC011</v>
      </c>
    </row>
    <row r="136" spans="1:4" x14ac:dyDescent="0.3">
      <c r="A136" s="208" t="s">
        <v>256</v>
      </c>
      <c r="B136" s="208" t="s">
        <v>3876</v>
      </c>
      <c r="C136" s="208" t="s">
        <v>4344</v>
      </c>
      <c r="D136" t="str">
        <f t="shared" si="2"/>
        <v>Pease &amp; Partners (coal mines)Iron coal and steelIC012</v>
      </c>
    </row>
    <row r="137" spans="1:4" x14ac:dyDescent="0.3">
      <c r="A137" s="208" t="s">
        <v>264</v>
      </c>
      <c r="B137" s="208" t="s">
        <v>3876</v>
      </c>
      <c r="C137" s="208" t="s">
        <v>4345</v>
      </c>
      <c r="D137" t="str">
        <f t="shared" si="2"/>
        <v>Powell Duffryn Steam CoalIron coal and steelIC013</v>
      </c>
    </row>
    <row r="138" spans="1:4" x14ac:dyDescent="0.3">
      <c r="A138" s="208" t="s">
        <v>271</v>
      </c>
      <c r="B138" s="208" t="s">
        <v>3876</v>
      </c>
      <c r="C138" s="208" t="s">
        <v>4346</v>
      </c>
      <c r="D138" t="str">
        <f t="shared" si="2"/>
        <v>Rhymney IronIron coal and steelIC014</v>
      </c>
    </row>
    <row r="139" spans="1:4" x14ac:dyDescent="0.3">
      <c r="A139" s="208" t="s">
        <v>297</v>
      </c>
      <c r="B139" s="208" t="s">
        <v>3876</v>
      </c>
      <c r="C139" s="208" t="s">
        <v>4347</v>
      </c>
      <c r="D139" t="str">
        <f t="shared" si="2"/>
        <v>Staveley Coal &amp; IronIron coal and steelIC015</v>
      </c>
    </row>
    <row r="140" spans="1:4" x14ac:dyDescent="0.3">
      <c r="A140" s="208" t="s">
        <v>299</v>
      </c>
      <c r="B140" s="208" t="s">
        <v>3876</v>
      </c>
      <c r="C140" s="208" t="s">
        <v>4348</v>
      </c>
      <c r="D140" t="str">
        <f t="shared" si="2"/>
        <v>Stewarts &amp; Lloyds (steel)Iron coal and steelIC016</v>
      </c>
    </row>
    <row r="141" spans="1:4" x14ac:dyDescent="0.3">
      <c r="A141" s="208" t="s">
        <v>301</v>
      </c>
      <c r="B141" s="208" t="s">
        <v>3876</v>
      </c>
      <c r="C141" s="208" t="s">
        <v>4349</v>
      </c>
      <c r="D141" t="str">
        <f t="shared" si="2"/>
        <v>Swan Hunter &amp; WR (engineering/ships)Iron coal and steelIC017</v>
      </c>
    </row>
    <row r="142" spans="1:4" x14ac:dyDescent="0.3">
      <c r="A142" s="208" t="s">
        <v>304</v>
      </c>
      <c r="B142" s="208" t="s">
        <v>3876</v>
      </c>
      <c r="C142" s="208" t="s">
        <v>4350</v>
      </c>
      <c r="D142" t="str">
        <f t="shared" si="2"/>
        <v>Tredegar Iron &amp; CoalIron coal and steelIC018</v>
      </c>
    </row>
    <row r="143" spans="1:4" x14ac:dyDescent="0.3">
      <c r="A143" s="208" t="s">
        <v>314</v>
      </c>
      <c r="B143" s="208" t="s">
        <v>3876</v>
      </c>
      <c r="C143" s="208" t="s">
        <v>4351</v>
      </c>
      <c r="D143" t="str">
        <f t="shared" si="2"/>
        <v>United CollieriesIron coal and steelIC019</v>
      </c>
    </row>
    <row r="144" spans="1:4" x14ac:dyDescent="0.3">
      <c r="A144" s="208" t="s">
        <v>319</v>
      </c>
      <c r="B144" s="208" t="s">
        <v>3876</v>
      </c>
      <c r="C144" s="208" t="s">
        <v>4352</v>
      </c>
      <c r="D144" t="str">
        <f t="shared" si="2"/>
        <v>Vickers (ships/arms/steel/engineering)Iron coal and steelIC020</v>
      </c>
    </row>
    <row r="145" spans="1:4" x14ac:dyDescent="0.3">
      <c r="A145" s="208" t="s">
        <v>331</v>
      </c>
      <c r="B145" s="208" t="s">
        <v>3876</v>
      </c>
      <c r="C145" s="208" t="s">
        <v>4353</v>
      </c>
      <c r="D145" t="str">
        <f t="shared" si="2"/>
        <v>Wigan Coal &amp; Iron (+steel)Iron coal and steelIC021</v>
      </c>
    </row>
    <row r="146" spans="1:4" x14ac:dyDescent="0.3">
      <c r="A146" s="208" t="s">
        <v>335</v>
      </c>
      <c r="B146" s="208" t="s">
        <v>3876</v>
      </c>
      <c r="C146" s="208" t="s">
        <v>4354</v>
      </c>
      <c r="D146" t="str">
        <f t="shared" si="2"/>
        <v>Workington Iron &amp; SteelIron coal and steelIC022</v>
      </c>
    </row>
    <row r="147" spans="1:4" x14ac:dyDescent="0.3">
      <c r="A147" s="208" t="s">
        <v>3993</v>
      </c>
      <c r="B147" s="208" t="s">
        <v>3876</v>
      </c>
      <c r="C147" s="208" t="s">
        <v>4355</v>
      </c>
      <c r="D147" t="str">
        <f t="shared" si="2"/>
        <v>Dorman LongIron coal and steelIC023</v>
      </c>
    </row>
    <row r="148" spans="1:4" x14ac:dyDescent="0.3">
      <c r="A148" s="208" t="s">
        <v>332</v>
      </c>
      <c r="B148" s="208" t="s">
        <v>3876</v>
      </c>
      <c r="C148" s="208" t="s">
        <v>4356</v>
      </c>
      <c r="D148" t="str">
        <f t="shared" si="2"/>
        <v>William Cory &amp; Son (coal factors)Iron coal and steelIC024</v>
      </c>
    </row>
    <row r="149" spans="1:4" x14ac:dyDescent="0.3">
      <c r="A149" s="208" t="s">
        <v>12</v>
      </c>
      <c r="B149" s="208" t="s">
        <v>3903</v>
      </c>
      <c r="C149" s="208" t="s">
        <v>4209</v>
      </c>
      <c r="D149" t="str">
        <f t="shared" si="2"/>
        <v>Apollinaris &amp; Johannis (spring water)OtherOT001</v>
      </c>
    </row>
    <row r="150" spans="1:4" x14ac:dyDescent="0.3">
      <c r="A150" s="208" t="s">
        <v>17</v>
      </c>
      <c r="B150" s="208" t="s">
        <v>3903</v>
      </c>
      <c r="C150" s="208" t="s">
        <v>4357</v>
      </c>
      <c r="D150" t="str">
        <f t="shared" si="2"/>
        <v>Artizans Labourers &amp; General DwellingsOtherOT002</v>
      </c>
    </row>
    <row r="151" spans="1:4" x14ac:dyDescent="0.3">
      <c r="A151" s="208" t="s">
        <v>3901</v>
      </c>
      <c r="B151" s="208" t="s">
        <v>3903</v>
      </c>
      <c r="C151" s="208" t="s">
        <v>4358</v>
      </c>
      <c r="D151" t="str">
        <f t="shared" si="2"/>
        <v>Associated News/Amalgamated PressOtherOT003</v>
      </c>
    </row>
    <row r="152" spans="1:4" x14ac:dyDescent="0.3">
      <c r="A152" s="208" t="s">
        <v>21</v>
      </c>
      <c r="B152" s="208" t="s">
        <v>3903</v>
      </c>
      <c r="C152" s="208" t="s">
        <v>4359</v>
      </c>
      <c r="D152" t="str">
        <f t="shared" si="2"/>
        <v>Associated Portland CementOtherOT004</v>
      </c>
    </row>
    <row r="153" spans="1:4" x14ac:dyDescent="0.3">
      <c r="A153" s="208" t="s">
        <v>36</v>
      </c>
      <c r="B153" s="208" t="s">
        <v>3903</v>
      </c>
      <c r="C153" s="208" t="s">
        <v>4360</v>
      </c>
      <c r="D153" t="str">
        <f t="shared" si="2"/>
        <v>Bleachers (textile finishing)OtherOT005</v>
      </c>
    </row>
    <row r="154" spans="1:4" x14ac:dyDescent="0.3">
      <c r="A154" s="208" t="s">
        <v>40</v>
      </c>
      <c r="B154" s="208" t="s">
        <v>3903</v>
      </c>
      <c r="C154" s="208" t="s">
        <v>4361</v>
      </c>
      <c r="D154" t="str">
        <f t="shared" si="2"/>
        <v>Bovril (food processing/farming)OtherOT006</v>
      </c>
    </row>
    <row r="155" spans="1:4" x14ac:dyDescent="0.3">
      <c r="A155" s="208" t="s">
        <v>41</v>
      </c>
      <c r="B155" s="208" t="s">
        <v>3903</v>
      </c>
      <c r="C155" s="208" t="s">
        <v>4362</v>
      </c>
      <c r="D155" t="str">
        <f t="shared" si="2"/>
        <v>Bradford Dyers (textile finishing)OtherOT007</v>
      </c>
    </row>
    <row r="156" spans="1:4" x14ac:dyDescent="0.3">
      <c r="A156" s="208" t="s">
        <v>47</v>
      </c>
      <c r="B156" s="208" t="s">
        <v>3903</v>
      </c>
      <c r="C156" s="208" t="s">
        <v>4363</v>
      </c>
      <c r="D156" t="str">
        <f t="shared" si="2"/>
        <v>British Cotton &amp; Wool DyersOtherOT008</v>
      </c>
    </row>
    <row r="157" spans="1:4" x14ac:dyDescent="0.3">
      <c r="A157" s="208" t="s">
        <v>50</v>
      </c>
      <c r="B157" s="208" t="s">
        <v>3903</v>
      </c>
      <c r="C157" s="208" t="s">
        <v>4364</v>
      </c>
      <c r="D157" t="str">
        <f t="shared" si="2"/>
        <v>British Insulated &amp; Helsby CablesOtherOT009</v>
      </c>
    </row>
    <row r="158" spans="1:4" x14ac:dyDescent="0.3">
      <c r="A158" s="208" t="s">
        <v>53</v>
      </c>
      <c r="B158" s="208" t="s">
        <v>3903</v>
      </c>
      <c r="C158" s="208" t="s">
        <v>4365</v>
      </c>
      <c r="D158" t="str">
        <f t="shared" si="2"/>
        <v>British Oil &amp; Cake Mills (seed-crushing)OtherOT010</v>
      </c>
    </row>
    <row r="159" spans="1:4" x14ac:dyDescent="0.3">
      <c r="A159" s="208" t="s">
        <v>54</v>
      </c>
      <c r="B159" s="208" t="s">
        <v>3903</v>
      </c>
      <c r="C159" s="208" t="s">
        <v>4366</v>
      </c>
      <c r="D159" t="str">
        <f t="shared" si="2"/>
        <v>British Wagon (hire purchase)OtherOT011</v>
      </c>
    </row>
    <row r="160" spans="1:4" x14ac:dyDescent="0.3">
      <c r="A160" s="208" t="s">
        <v>55</v>
      </c>
      <c r="B160" s="208" t="s">
        <v>3903</v>
      </c>
      <c r="C160" s="208" t="s">
        <v>4367</v>
      </c>
      <c r="D160" t="str">
        <f t="shared" si="2"/>
        <v>Brunner Mond (chemicals)OtherOT012</v>
      </c>
    </row>
    <row r="161" spans="1:4" x14ac:dyDescent="0.3">
      <c r="A161" s="208" t="s">
        <v>61</v>
      </c>
      <c r="B161" s="208" t="s">
        <v>3903</v>
      </c>
      <c r="C161" s="208" t="s">
        <v>4368</v>
      </c>
      <c r="D161" t="str">
        <f t="shared" si="2"/>
        <v>Calico Printers (textile finishing)OtherOT013</v>
      </c>
    </row>
    <row r="162" spans="1:4" x14ac:dyDescent="0.3">
      <c r="A162" s="208" t="s">
        <v>4059</v>
      </c>
      <c r="B162" s="208" t="s">
        <v>3903</v>
      </c>
      <c r="C162" s="208" t="s">
        <v>4369</v>
      </c>
      <c r="D162" t="str">
        <f t="shared" si="2"/>
        <v>Canadian Car &amp; Foundry (Railcars)OtherOT014</v>
      </c>
    </row>
    <row r="163" spans="1:4" x14ac:dyDescent="0.3">
      <c r="A163" s="208" t="s">
        <v>77</v>
      </c>
      <c r="B163" s="208" t="s">
        <v>3903</v>
      </c>
      <c r="C163" s="208" t="s">
        <v>4370</v>
      </c>
      <c r="D163" t="str">
        <f t="shared" si="2"/>
        <v>Chinese Engineering &amp; Mining (coal)OtherOT015</v>
      </c>
    </row>
    <row r="164" spans="1:4" x14ac:dyDescent="0.3">
      <c r="A164" s="208" t="s">
        <v>82</v>
      </c>
      <c r="B164" s="208" t="s">
        <v>3903</v>
      </c>
      <c r="C164" s="208" t="s">
        <v>4371</v>
      </c>
      <c r="D164" t="str">
        <f t="shared" si="2"/>
        <v>City of London Real Property (offices)OtherOT016</v>
      </c>
    </row>
    <row r="165" spans="1:4" x14ac:dyDescent="0.3">
      <c r="A165" s="208" t="s">
        <v>95</v>
      </c>
      <c r="B165" s="208" t="s">
        <v>3903</v>
      </c>
      <c r="C165" s="208" t="s">
        <v>4372</v>
      </c>
      <c r="D165" t="str">
        <f t="shared" si="2"/>
        <v>Dalgety (merchants/finance)OtherOT017</v>
      </c>
    </row>
    <row r="166" spans="1:4" x14ac:dyDescent="0.3">
      <c r="A166" s="208" t="s">
        <v>96</v>
      </c>
      <c r="B166" s="208" t="s">
        <v>3903</v>
      </c>
      <c r="C166" s="208" t="s">
        <v>4373</v>
      </c>
      <c r="D166" t="str">
        <f t="shared" si="2"/>
        <v>Debenhams (warehouses, stores)OtherOT018</v>
      </c>
    </row>
    <row r="167" spans="1:4" x14ac:dyDescent="0.3">
      <c r="A167" s="208" t="s">
        <v>104</v>
      </c>
      <c r="B167" s="208" t="s">
        <v>3903</v>
      </c>
      <c r="C167" s="208" t="s">
        <v>4374</v>
      </c>
      <c r="D167" t="str">
        <f t="shared" si="2"/>
        <v>Dunlop Pneumatic TyreOtherOT019</v>
      </c>
    </row>
    <row r="168" spans="1:4" x14ac:dyDescent="0.3">
      <c r="A168" s="208" t="s">
        <v>108</v>
      </c>
      <c r="B168" s="208" t="s">
        <v>3903</v>
      </c>
      <c r="C168" s="208" t="s">
        <v>4375</v>
      </c>
      <c r="D168" t="str">
        <f t="shared" si="2"/>
        <v>Eastmans (cold stores, chain butchers)OtherOT020</v>
      </c>
    </row>
    <row r="169" spans="1:4" x14ac:dyDescent="0.3">
      <c r="A169" s="208" t="s">
        <v>109</v>
      </c>
      <c r="B169" s="208" t="s">
        <v>3903</v>
      </c>
      <c r="C169" s="208" t="s">
        <v>4376</v>
      </c>
      <c r="D169" t="str">
        <f t="shared" si="2"/>
        <v>Edward Lloyd (paper/pulp)OtherOT021</v>
      </c>
    </row>
    <row r="170" spans="1:4" x14ac:dyDescent="0.3">
      <c r="A170" s="208" t="s">
        <v>114</v>
      </c>
      <c r="B170" s="208" t="s">
        <v>3903</v>
      </c>
      <c r="C170" s="208" t="s">
        <v>4377</v>
      </c>
      <c r="D170" t="str">
        <f t="shared" si="2"/>
        <v>English Sewing CottonOtherOT022</v>
      </c>
    </row>
    <row r="171" spans="1:4" x14ac:dyDescent="0.3">
      <c r="A171" s="208" t="s">
        <v>119</v>
      </c>
      <c r="B171" s="208" t="s">
        <v>3903</v>
      </c>
      <c r="C171" s="208" t="s">
        <v>4378</v>
      </c>
      <c r="D171" t="str">
        <f t="shared" si="2"/>
        <v>Fine Cotton Spinners &amp; DoublersOtherOT023</v>
      </c>
    </row>
    <row r="172" spans="1:4" x14ac:dyDescent="0.3">
      <c r="A172" s="208" t="s">
        <v>131</v>
      </c>
      <c r="B172" s="208" t="s">
        <v>3903</v>
      </c>
      <c r="C172" s="208" t="s">
        <v>4379</v>
      </c>
      <c r="D172" t="str">
        <f t="shared" si="2"/>
        <v>Gordon HotelsOtherOT024</v>
      </c>
    </row>
    <row r="173" spans="1:4" x14ac:dyDescent="0.3">
      <c r="A173" s="208" t="s">
        <v>148</v>
      </c>
      <c r="B173" s="208" t="s">
        <v>3903</v>
      </c>
      <c r="C173" s="208" t="s">
        <v>4380</v>
      </c>
      <c r="D173" t="str">
        <f t="shared" si="2"/>
        <v>Home &amp; Colonial Stores (grocery chain)OtherOT025</v>
      </c>
    </row>
    <row r="174" spans="1:4" x14ac:dyDescent="0.3">
      <c r="A174" s="208" t="s">
        <v>154</v>
      </c>
      <c r="B174" s="208" t="s">
        <v>3903</v>
      </c>
      <c r="C174" s="208" t="s">
        <v>4381</v>
      </c>
      <c r="D174" t="str">
        <f t="shared" si="2"/>
        <v>Imperial TobaccoOtherOT026</v>
      </c>
    </row>
    <row r="175" spans="1:4" x14ac:dyDescent="0.3">
      <c r="A175" s="208" t="s">
        <v>162</v>
      </c>
      <c r="B175" s="208" t="s">
        <v>3903</v>
      </c>
      <c r="C175" s="208" t="s">
        <v>4382</v>
      </c>
      <c r="D175" t="str">
        <f t="shared" si="2"/>
        <v>J. Lyons (restaurants, bakery)OtherOT027</v>
      </c>
    </row>
    <row r="176" spans="1:4" x14ac:dyDescent="0.3">
      <c r="A176" s="208" t="s">
        <v>164</v>
      </c>
      <c r="B176" s="208" t="s">
        <v>3903</v>
      </c>
      <c r="C176" s="208" t="s">
        <v>4383</v>
      </c>
      <c r="D176" t="str">
        <f t="shared" si="2"/>
        <v>Kellner-Partington Paper PulpOtherOT028</v>
      </c>
    </row>
    <row r="177" spans="1:4" x14ac:dyDescent="0.3">
      <c r="A177" s="208" t="s">
        <v>170</v>
      </c>
      <c r="B177" s="208" t="s">
        <v>3903</v>
      </c>
      <c r="C177" s="208" t="s">
        <v>4384</v>
      </c>
      <c r="D177" t="str">
        <f t="shared" si="2"/>
        <v>Leeds FireclayOtherOT029</v>
      </c>
    </row>
    <row r="178" spans="1:4" x14ac:dyDescent="0.3">
      <c r="A178" s="208" t="s">
        <v>173</v>
      </c>
      <c r="B178" s="208" t="s">
        <v>3903</v>
      </c>
      <c r="C178" s="208" t="s">
        <v>4385</v>
      </c>
      <c r="D178" t="str">
        <f t="shared" si="2"/>
        <v>Lever Bros (soap/chemical)OtherOT030</v>
      </c>
    </row>
    <row r="179" spans="1:4" x14ac:dyDescent="0.3">
      <c r="A179" s="208" t="s">
        <v>174</v>
      </c>
      <c r="B179" s="208" t="s">
        <v>3903</v>
      </c>
      <c r="C179" s="208" t="s">
        <v>4386</v>
      </c>
      <c r="D179" t="str">
        <f t="shared" si="2"/>
        <v>Liebigs Extract of MeatOtherOT031</v>
      </c>
    </row>
    <row r="180" spans="1:4" x14ac:dyDescent="0.3">
      <c r="A180" s="208" t="s">
        <v>175</v>
      </c>
      <c r="B180" s="208" t="s">
        <v>3903</v>
      </c>
      <c r="C180" s="208" t="s">
        <v>4387</v>
      </c>
      <c r="D180" t="str">
        <f t="shared" si="2"/>
        <v>Linen ThreadOtherOT032</v>
      </c>
    </row>
    <row r="181" spans="1:4" x14ac:dyDescent="0.3">
      <c r="A181" s="208" t="s">
        <v>176</v>
      </c>
      <c r="B181" s="208" t="s">
        <v>3903</v>
      </c>
      <c r="C181" s="208" t="s">
        <v>4388</v>
      </c>
      <c r="D181" t="str">
        <f t="shared" si="2"/>
        <v>Lipton (grocery chain/tea plantations)OtherOT033</v>
      </c>
    </row>
    <row r="182" spans="1:4" x14ac:dyDescent="0.3">
      <c r="A182" s="208" t="s">
        <v>178</v>
      </c>
      <c r="B182" s="208" t="s">
        <v>3903</v>
      </c>
      <c r="C182" s="208" t="s">
        <v>4389</v>
      </c>
      <c r="D182" t="str">
        <f t="shared" si="2"/>
        <v>Lister (silk)OtherOT034</v>
      </c>
    </row>
    <row r="183" spans="1:4" x14ac:dyDescent="0.3">
      <c r="A183" s="208" t="s">
        <v>206</v>
      </c>
      <c r="B183" s="208" t="s">
        <v>3903</v>
      </c>
      <c r="C183" s="208" t="s">
        <v>4390</v>
      </c>
      <c r="D183" t="str">
        <f t="shared" si="2"/>
        <v>Maple (furniture)OtherOT035</v>
      </c>
    </row>
    <row r="184" spans="1:4" x14ac:dyDescent="0.3">
      <c r="A184" s="208" t="s">
        <v>209</v>
      </c>
      <c r="B184" s="208" t="s">
        <v>3903</v>
      </c>
      <c r="C184" s="208" t="s">
        <v>4391</v>
      </c>
      <c r="D184" t="str">
        <f t="shared" si="2"/>
        <v>Mather &amp; Platt (engineering)OtherOT036</v>
      </c>
    </row>
    <row r="185" spans="1:4" x14ac:dyDescent="0.3">
      <c r="A185" s="208" t="s">
        <v>4060</v>
      </c>
      <c r="B185" s="208" t="s">
        <v>3903</v>
      </c>
      <c r="C185" s="208" t="s">
        <v>4392</v>
      </c>
      <c r="D185" t="str">
        <f t="shared" si="2"/>
        <v>Metropolitan Amalgamated (Railcars)OtherOT037</v>
      </c>
    </row>
    <row r="186" spans="1:4" x14ac:dyDescent="0.3">
      <c r="A186" s="208" t="s">
        <v>222</v>
      </c>
      <c r="B186" s="208" t="s">
        <v>3903</v>
      </c>
      <c r="C186" s="208" t="s">
        <v>4393</v>
      </c>
      <c r="D186" t="str">
        <f t="shared" si="2"/>
        <v>Millar’s Karri &amp; Jarrah (timber)OtherOT038</v>
      </c>
    </row>
    <row r="187" spans="1:4" x14ac:dyDescent="0.3">
      <c r="A187" s="208" t="s">
        <v>224</v>
      </c>
      <c r="B187" s="208" t="s">
        <v>3903</v>
      </c>
      <c r="C187" s="208" t="s">
        <v>4394</v>
      </c>
      <c r="D187" t="str">
        <f t="shared" si="2"/>
        <v>Moss Empires (variety theatres)OtherOT039</v>
      </c>
    </row>
    <row r="188" spans="1:4" x14ac:dyDescent="0.3">
      <c r="A188" s="208" t="s">
        <v>241</v>
      </c>
      <c r="B188" s="208" t="s">
        <v>3903</v>
      </c>
      <c r="C188" s="208" t="s">
        <v>4395</v>
      </c>
      <c r="D188" t="str">
        <f t="shared" si="2"/>
        <v>Nobel DynamiteOtherOT040</v>
      </c>
    </row>
    <row r="189" spans="1:4" x14ac:dyDescent="0.3">
      <c r="A189" s="208" t="s">
        <v>262</v>
      </c>
      <c r="B189" s="208" t="s">
        <v>3903</v>
      </c>
      <c r="C189" s="208" t="s">
        <v>4396</v>
      </c>
      <c r="D189" t="str">
        <f t="shared" si="2"/>
        <v>Pillsbury-Washburn Flour MillsOtherOT041</v>
      </c>
    </row>
    <row r="190" spans="1:4" x14ac:dyDescent="0.3">
      <c r="A190" s="208" t="s">
        <v>273</v>
      </c>
      <c r="B190" s="208" t="s">
        <v>3903</v>
      </c>
      <c r="C190" s="208" t="s">
        <v>4397</v>
      </c>
      <c r="D190" t="str">
        <f t="shared" si="2"/>
        <v>Rio de Janeiro City ImprovementsOtherOT042</v>
      </c>
    </row>
    <row r="191" spans="1:4" x14ac:dyDescent="0.3">
      <c r="A191" s="208" t="s">
        <v>278</v>
      </c>
      <c r="B191" s="208" t="s">
        <v>3903</v>
      </c>
      <c r="C191" s="208" t="s">
        <v>4398</v>
      </c>
      <c r="D191" t="str">
        <f t="shared" si="2"/>
        <v>Rylands &amp; Sons (cotton warehouses)OtherOT043</v>
      </c>
    </row>
    <row r="192" spans="1:4" x14ac:dyDescent="0.3">
      <c r="A192" s="208" t="s">
        <v>279</v>
      </c>
      <c r="B192" s="208" t="s">
        <v>3903</v>
      </c>
      <c r="C192" s="208" t="s">
        <v>4399</v>
      </c>
      <c r="D192" t="str">
        <f t="shared" si="2"/>
        <v>Salt UnionOtherOT044</v>
      </c>
    </row>
    <row r="193" spans="1:4" x14ac:dyDescent="0.3">
      <c r="A193" s="208" t="s">
        <v>294</v>
      </c>
      <c r="B193" s="208" t="s">
        <v>3903</v>
      </c>
      <c r="C193" s="208" t="s">
        <v>4400</v>
      </c>
      <c r="D193" t="str">
        <f t="shared" si="2"/>
        <v>Spillers &amp; Bakers (flour mills)OtherOT045</v>
      </c>
    </row>
    <row r="194" spans="1:4" x14ac:dyDescent="0.3">
      <c r="A194" s="208" t="s">
        <v>298</v>
      </c>
      <c r="B194" s="208" t="s">
        <v>3903</v>
      </c>
      <c r="C194" s="208" t="s">
        <v>4401</v>
      </c>
      <c r="D194" t="str">
        <f t="shared" si="2"/>
        <v>Steel Bros (India merchants)OtherOT046</v>
      </c>
    </row>
    <row r="195" spans="1:4" x14ac:dyDescent="0.3">
      <c r="A195" s="208" t="s">
        <v>313</v>
      </c>
      <c r="B195" s="208" t="s">
        <v>3903</v>
      </c>
      <c r="C195" s="208" t="s">
        <v>4402</v>
      </c>
      <c r="D195" t="str">
        <f t="shared" ref="D195:D258" si="3">CONCATENATE(A195,B195,C195)</f>
        <v>United AlkaliOtherOT047</v>
      </c>
    </row>
    <row r="196" spans="1:4" x14ac:dyDescent="0.3">
      <c r="A196" s="208" t="s">
        <v>318</v>
      </c>
      <c r="B196" s="208" t="s">
        <v>3903</v>
      </c>
      <c r="C196" s="208" t="s">
        <v>4403</v>
      </c>
      <c r="D196" t="str">
        <f t="shared" si="3"/>
        <v>Van den Bergh (margarine)OtherOT048</v>
      </c>
    </row>
    <row r="197" spans="1:4" x14ac:dyDescent="0.3">
      <c r="A197" s="208" t="s">
        <v>321</v>
      </c>
      <c r="B197" s="208" t="s">
        <v>3903</v>
      </c>
      <c r="C197" s="208" t="s">
        <v>4404</v>
      </c>
      <c r="D197" t="str">
        <f t="shared" si="3"/>
        <v>Wall Paper ManufacturersOtherOT049</v>
      </c>
    </row>
    <row r="198" spans="1:4" x14ac:dyDescent="0.3">
      <c r="A198" s="208" t="s">
        <v>323</v>
      </c>
      <c r="B198" s="208" t="s">
        <v>3903</v>
      </c>
      <c r="C198" s="208" t="s">
        <v>4405</v>
      </c>
      <c r="D198" t="str">
        <f t="shared" si="3"/>
        <v>Waterlow &amp; Sons (stationers/printers)OtherOT050</v>
      </c>
    </row>
    <row r="199" spans="1:4" x14ac:dyDescent="0.3">
      <c r="A199" s="208" t="s">
        <v>0</v>
      </c>
      <c r="B199" s="208" t="s">
        <v>3903</v>
      </c>
      <c r="C199" s="208" t="s">
        <v>4406</v>
      </c>
      <c r="D199" t="str">
        <f t="shared" si="3"/>
        <v>A.J. White (patent medicines)OtherOT051</v>
      </c>
    </row>
    <row r="200" spans="1:4" x14ac:dyDescent="0.3">
      <c r="A200" s="208" t="s">
        <v>3995</v>
      </c>
      <c r="B200" s="208" t="s">
        <v>3903</v>
      </c>
      <c r="C200" s="208" t="s">
        <v>4407</v>
      </c>
      <c r="D200" t="str">
        <f t="shared" si="3"/>
        <v>International TeaOtherOT052</v>
      </c>
    </row>
    <row r="201" spans="1:4" x14ac:dyDescent="0.3">
      <c r="A201" s="208" t="s">
        <v>161</v>
      </c>
      <c r="B201" s="208" t="s">
        <v>3903</v>
      </c>
      <c r="C201" s="208" t="s">
        <v>4408</v>
      </c>
      <c r="D201" t="str">
        <f t="shared" si="3"/>
        <v>J &amp; P Coats (sewing thread)OtherOT053</v>
      </c>
    </row>
    <row r="202" spans="1:4" x14ac:dyDescent="0.3">
      <c r="A202" s="208" t="s">
        <v>322</v>
      </c>
      <c r="B202" s="208" t="s">
        <v>3903</v>
      </c>
      <c r="C202" s="208" t="s">
        <v>4409</v>
      </c>
      <c r="D202" t="str">
        <f t="shared" si="3"/>
        <v>Waring &amp; Gillow (furniture)OtherOT054</v>
      </c>
    </row>
    <row r="203" spans="1:4" x14ac:dyDescent="0.3">
      <c r="A203" s="208" t="s">
        <v>1</v>
      </c>
      <c r="B203" s="208" t="s">
        <v>4057</v>
      </c>
      <c r="C203" s="208" t="s">
        <v>4135</v>
      </c>
      <c r="D203" t="str">
        <f t="shared" si="3"/>
        <v>Alabama, NO, T &amp; Pacific Junction RailwayRailRL001</v>
      </c>
    </row>
    <row r="204" spans="1:4" x14ac:dyDescent="0.3">
      <c r="A204" s="208" t="s">
        <v>2</v>
      </c>
      <c r="B204" s="208" t="s">
        <v>4057</v>
      </c>
      <c r="C204" s="208" t="s">
        <v>4136</v>
      </c>
      <c r="D204" t="str">
        <f t="shared" si="3"/>
        <v>Alexandra (Newport) Docks &amp; RailwayRailRL002</v>
      </c>
    </row>
    <row r="205" spans="1:4" x14ac:dyDescent="0.3">
      <c r="A205" s="208" t="s">
        <v>11</v>
      </c>
      <c r="B205" s="208" t="s">
        <v>4057</v>
      </c>
      <c r="C205" s="208" t="s">
        <v>4137</v>
      </c>
      <c r="D205" t="str">
        <f t="shared" si="3"/>
        <v>Antofagasta &amp; Bolivia RailwayRailRL003</v>
      </c>
    </row>
    <row r="206" spans="1:4" x14ac:dyDescent="0.3">
      <c r="A206" s="208" t="s">
        <v>13</v>
      </c>
      <c r="B206" s="208" t="s">
        <v>4057</v>
      </c>
      <c r="C206" s="208" t="s">
        <v>4138</v>
      </c>
      <c r="D206" t="str">
        <f t="shared" si="3"/>
        <v>Argentine Great Western RailwayRailRL004</v>
      </c>
    </row>
    <row r="207" spans="1:4" x14ac:dyDescent="0.3">
      <c r="A207" s="208" t="s">
        <v>15</v>
      </c>
      <c r="B207" s="208" t="s">
        <v>4057</v>
      </c>
      <c r="C207" s="208" t="s">
        <v>4139</v>
      </c>
      <c r="D207" t="str">
        <f t="shared" si="3"/>
        <v>Argentine North Eastern RailwayRailRL005</v>
      </c>
    </row>
    <row r="208" spans="1:4" x14ac:dyDescent="0.3">
      <c r="A208" s="208" t="s">
        <v>18</v>
      </c>
      <c r="B208" s="208" t="s">
        <v>4057</v>
      </c>
      <c r="C208" s="208" t="s">
        <v>4140</v>
      </c>
      <c r="D208" t="str">
        <f t="shared" si="3"/>
        <v>Assam Bengal RailwayRailRL006</v>
      </c>
    </row>
    <row r="209" spans="1:4" x14ac:dyDescent="0.3">
      <c r="A209" s="208" t="s">
        <v>3768</v>
      </c>
      <c r="B209" s="208" t="s">
        <v>4057</v>
      </c>
      <c r="C209" s="208" t="s">
        <v>4141</v>
      </c>
      <c r="D209" t="str">
        <f t="shared" si="3"/>
        <v>Barry Railway CompanyRailRL007</v>
      </c>
    </row>
    <row r="210" spans="1:4" x14ac:dyDescent="0.3">
      <c r="A210" s="208" t="s">
        <v>34</v>
      </c>
      <c r="B210" s="208" t="s">
        <v>4057</v>
      </c>
      <c r="C210" s="208" t="s">
        <v>4142</v>
      </c>
      <c r="D210" t="str">
        <f t="shared" si="3"/>
        <v>Bengal &amp; North Western RailwayRailRL008</v>
      </c>
    </row>
    <row r="211" spans="1:4" x14ac:dyDescent="0.3">
      <c r="A211" s="208" t="s">
        <v>35</v>
      </c>
      <c r="B211" s="208" t="s">
        <v>4057</v>
      </c>
      <c r="C211" s="208" t="s">
        <v>4143</v>
      </c>
      <c r="D211" t="str">
        <f t="shared" si="3"/>
        <v>Bengal Nagpur RailwayRailRL009</v>
      </c>
    </row>
    <row r="212" spans="1:4" x14ac:dyDescent="0.3">
      <c r="A212" s="208" t="s">
        <v>38</v>
      </c>
      <c r="B212" s="208" t="s">
        <v>4057</v>
      </c>
      <c r="C212" s="208" t="s">
        <v>4144</v>
      </c>
      <c r="D212" t="str">
        <f t="shared" si="3"/>
        <v>Bombay Baroda &amp; Central India RailwayRailRL010</v>
      </c>
    </row>
    <row r="213" spans="1:4" x14ac:dyDescent="0.3">
      <c r="A213" s="208" t="s">
        <v>42</v>
      </c>
      <c r="B213" s="208" t="s">
        <v>4057</v>
      </c>
      <c r="C213" s="208" t="s">
        <v>4145</v>
      </c>
      <c r="D213" t="str">
        <f t="shared" si="3"/>
        <v>Brecon &amp; Merthyr Tydfil RailwayRailRL011</v>
      </c>
    </row>
    <row r="214" spans="1:4" x14ac:dyDescent="0.3">
      <c r="A214" s="208" t="s">
        <v>56</v>
      </c>
      <c r="B214" s="208" t="s">
        <v>4057</v>
      </c>
      <c r="C214" s="208" t="s">
        <v>4146</v>
      </c>
      <c r="D214" t="str">
        <f t="shared" si="3"/>
        <v>Buenos Ayres &amp; Pacific RailwayRailRL012</v>
      </c>
    </row>
    <row r="215" spans="1:4" x14ac:dyDescent="0.3">
      <c r="A215" s="208" t="s">
        <v>57</v>
      </c>
      <c r="B215" s="208" t="s">
        <v>4057</v>
      </c>
      <c r="C215" s="208" t="s">
        <v>4147</v>
      </c>
      <c r="D215" t="str">
        <f t="shared" si="3"/>
        <v>Buenos Ayres Great Southern RailwayRailRL013</v>
      </c>
    </row>
    <row r="216" spans="1:4" x14ac:dyDescent="0.3">
      <c r="A216" s="208" t="s">
        <v>58</v>
      </c>
      <c r="B216" s="208" t="s">
        <v>4057</v>
      </c>
      <c r="C216" s="208" t="s">
        <v>4148</v>
      </c>
      <c r="D216" t="str">
        <f t="shared" si="3"/>
        <v>Buenos Ayres Western RailwayRailRL014</v>
      </c>
    </row>
    <row r="217" spans="1:4" x14ac:dyDescent="0.3">
      <c r="A217" s="208" t="s">
        <v>59</v>
      </c>
      <c r="B217" s="208" t="s">
        <v>4057</v>
      </c>
      <c r="C217" s="208" t="s">
        <v>4149</v>
      </c>
      <c r="D217" t="str">
        <f t="shared" si="3"/>
        <v>Burma RailwaysRailRL015</v>
      </c>
    </row>
    <row r="218" spans="1:4" x14ac:dyDescent="0.3">
      <c r="A218" s="208" t="s">
        <v>60</v>
      </c>
      <c r="B218" s="208" t="s">
        <v>4057</v>
      </c>
      <c r="C218" s="208" t="s">
        <v>4150</v>
      </c>
      <c r="D218" t="str">
        <f t="shared" si="3"/>
        <v>Caledonian RailwayRailRL016</v>
      </c>
    </row>
    <row r="219" spans="1:4" x14ac:dyDescent="0.3">
      <c r="A219" s="208" t="s">
        <v>62</v>
      </c>
      <c r="B219" s="208" t="s">
        <v>4057</v>
      </c>
      <c r="C219" s="208" t="s">
        <v>4151</v>
      </c>
      <c r="D219" t="str">
        <f t="shared" si="3"/>
        <v>Cambrian RailwaysRailRL017</v>
      </c>
    </row>
    <row r="220" spans="1:4" x14ac:dyDescent="0.3">
      <c r="A220" s="208" t="s">
        <v>65</v>
      </c>
      <c r="B220" s="208" t="s">
        <v>4057</v>
      </c>
      <c r="C220" s="208" t="s">
        <v>4152</v>
      </c>
      <c r="D220" t="str">
        <f t="shared" si="3"/>
        <v>Canadian Pacific RailwayRailRL018</v>
      </c>
    </row>
    <row r="221" spans="1:4" x14ac:dyDescent="0.3">
      <c r="A221" s="208" t="s">
        <v>68</v>
      </c>
      <c r="B221" s="208" t="s">
        <v>4057</v>
      </c>
      <c r="C221" s="208" t="s">
        <v>4153</v>
      </c>
      <c r="D221" t="str">
        <f t="shared" si="3"/>
        <v>Cardiff RailwayRailRL019</v>
      </c>
    </row>
    <row r="222" spans="1:4" x14ac:dyDescent="0.3">
      <c r="A222" s="208" t="s">
        <v>71</v>
      </c>
      <c r="B222" s="208" t="s">
        <v>4057</v>
      </c>
      <c r="C222" s="208" t="s">
        <v>4154</v>
      </c>
      <c r="D222" t="str">
        <f t="shared" si="3"/>
        <v>Central Argentine RailwayRailRL020</v>
      </c>
    </row>
    <row r="223" spans="1:4" x14ac:dyDescent="0.3">
      <c r="A223" s="208" t="s">
        <v>72</v>
      </c>
      <c r="B223" s="208" t="s">
        <v>4057</v>
      </c>
      <c r="C223" s="208" t="s">
        <v>4155</v>
      </c>
      <c r="D223" t="str">
        <f t="shared" si="3"/>
        <v>Central London RailwayRailRL021</v>
      </c>
    </row>
    <row r="224" spans="1:4" x14ac:dyDescent="0.3">
      <c r="A224" s="208" t="s">
        <v>73</v>
      </c>
      <c r="B224" s="208" t="s">
        <v>4057</v>
      </c>
      <c r="C224" s="208" t="s">
        <v>4156</v>
      </c>
      <c r="D224" t="str">
        <f t="shared" si="3"/>
        <v>Central Uruguay Railway &amp; ExtensionsRailRL022</v>
      </c>
    </row>
    <row r="225" spans="1:4" x14ac:dyDescent="0.3">
      <c r="A225" s="208" t="s">
        <v>78</v>
      </c>
      <c r="B225" s="208" t="s">
        <v>4057</v>
      </c>
      <c r="C225" s="208" t="s">
        <v>4157</v>
      </c>
      <c r="D225" t="str">
        <f t="shared" si="3"/>
        <v>City &amp; South London RailwayRailRL023</v>
      </c>
    </row>
    <row r="226" spans="1:4" x14ac:dyDescent="0.3">
      <c r="A226" s="208" t="s">
        <v>90</v>
      </c>
      <c r="B226" s="208" t="s">
        <v>4057</v>
      </c>
      <c r="C226" s="208" t="s">
        <v>4158</v>
      </c>
      <c r="D226" t="str">
        <f t="shared" si="3"/>
        <v>Cordoba Central RailwaysRailRL024</v>
      </c>
    </row>
    <row r="227" spans="1:4" x14ac:dyDescent="0.3">
      <c r="A227" s="208" t="s">
        <v>93</v>
      </c>
      <c r="B227" s="208" t="s">
        <v>4057</v>
      </c>
      <c r="C227" s="208" t="s">
        <v>4159</v>
      </c>
      <c r="D227" t="str">
        <f t="shared" si="3"/>
        <v>Cuban Central RailwaysRailRL025</v>
      </c>
    </row>
    <row r="228" spans="1:4" x14ac:dyDescent="0.3">
      <c r="A228" s="208" t="s">
        <v>101</v>
      </c>
      <c r="B228" s="208" t="s">
        <v>4057</v>
      </c>
      <c r="C228" s="208" t="s">
        <v>4160</v>
      </c>
      <c r="D228" t="str">
        <f t="shared" si="3"/>
        <v>Dublin &amp; South Eastern RailwayRailRL026</v>
      </c>
    </row>
    <row r="229" spans="1:4" x14ac:dyDescent="0.3">
      <c r="A229" s="208" t="s">
        <v>110</v>
      </c>
      <c r="B229" s="208" t="s">
        <v>4057</v>
      </c>
      <c r="C229" s="208" t="s">
        <v>4161</v>
      </c>
      <c r="D229" t="str">
        <f t="shared" si="3"/>
        <v>Egyptian Delta Light RailwaysRailRL027</v>
      </c>
    </row>
    <row r="230" spans="1:4" x14ac:dyDescent="0.3">
      <c r="A230" s="208" t="s">
        <v>115</v>
      </c>
      <c r="B230" s="208" t="s">
        <v>4057</v>
      </c>
      <c r="C230" s="208" t="s">
        <v>4162</v>
      </c>
      <c r="D230" t="str">
        <f t="shared" si="3"/>
        <v>Entre Rios RailwaysRailRL028</v>
      </c>
    </row>
    <row r="231" spans="1:4" x14ac:dyDescent="0.3">
      <c r="A231" s="208" t="s">
        <v>123</v>
      </c>
      <c r="B231" s="208" t="s">
        <v>4057</v>
      </c>
      <c r="C231" s="208" t="s">
        <v>4163</v>
      </c>
      <c r="D231" t="str">
        <f t="shared" si="3"/>
        <v>Furness RailwayRailRL029</v>
      </c>
    </row>
    <row r="232" spans="1:4" x14ac:dyDescent="0.3">
      <c r="A232" s="208" t="s">
        <v>128</v>
      </c>
      <c r="B232" s="208" t="s">
        <v>4057</v>
      </c>
      <c r="C232" s="208" t="s">
        <v>4164</v>
      </c>
      <c r="D232" t="str">
        <f t="shared" si="3"/>
        <v>Glasgow &amp; South Western RailwayRailRL030</v>
      </c>
    </row>
    <row r="233" spans="1:4" x14ac:dyDescent="0.3">
      <c r="A233" s="208" t="s">
        <v>4058</v>
      </c>
      <c r="B233" s="208" t="s">
        <v>4057</v>
      </c>
      <c r="C233" s="208" t="s">
        <v>4165</v>
      </c>
      <c r="D233" t="str">
        <f t="shared" si="3"/>
        <v>Glasgow District Subway (cable Rail)RailRL031</v>
      </c>
    </row>
    <row r="234" spans="1:4" x14ac:dyDescent="0.3">
      <c r="A234" s="208" t="s">
        <v>133</v>
      </c>
      <c r="B234" s="208" t="s">
        <v>4057</v>
      </c>
      <c r="C234" s="208" t="s">
        <v>4166</v>
      </c>
      <c r="D234" t="str">
        <f t="shared" si="3"/>
        <v>Grand Trunk Railway of CanadaRailRL032</v>
      </c>
    </row>
    <row r="235" spans="1:4" x14ac:dyDescent="0.3">
      <c r="A235" s="208" t="s">
        <v>134</v>
      </c>
      <c r="B235" s="208" t="s">
        <v>4057</v>
      </c>
      <c r="C235" s="208" t="s">
        <v>4167</v>
      </c>
      <c r="D235" t="str">
        <f t="shared" si="3"/>
        <v>Great Central RailwayRailRL033</v>
      </c>
    </row>
    <row r="236" spans="1:4" x14ac:dyDescent="0.3">
      <c r="A236" s="208" t="s">
        <v>135</v>
      </c>
      <c r="B236" s="208" t="s">
        <v>4057</v>
      </c>
      <c r="C236" s="208" t="s">
        <v>4168</v>
      </c>
      <c r="D236" t="str">
        <f t="shared" si="3"/>
        <v>Great Eastern RailwayRailRL034</v>
      </c>
    </row>
    <row r="237" spans="1:4" x14ac:dyDescent="0.3">
      <c r="A237" s="208" t="s">
        <v>136</v>
      </c>
      <c r="B237" s="208" t="s">
        <v>4057</v>
      </c>
      <c r="C237" s="208" t="s">
        <v>4169</v>
      </c>
      <c r="D237" t="str">
        <f t="shared" si="3"/>
        <v>Great North of Scotland RailwayRailRL035</v>
      </c>
    </row>
    <row r="238" spans="1:4" x14ac:dyDescent="0.3">
      <c r="A238" s="208" t="s">
        <v>137</v>
      </c>
      <c r="B238" s="208" t="s">
        <v>4057</v>
      </c>
      <c r="C238" s="208" t="s">
        <v>4170</v>
      </c>
      <c r="D238" t="str">
        <f t="shared" si="3"/>
        <v>Great Northern &amp; City RailwayRailRL036</v>
      </c>
    </row>
    <row r="239" spans="1:4" x14ac:dyDescent="0.3">
      <c r="A239" s="208" t="s">
        <v>3817</v>
      </c>
      <c r="B239" s="208" t="s">
        <v>4057</v>
      </c>
      <c r="C239" s="208" t="s">
        <v>4171</v>
      </c>
      <c r="D239" t="str">
        <f t="shared" si="3"/>
        <v>Great Northern Railway - UKRailRL037</v>
      </c>
    </row>
    <row r="240" spans="1:4" x14ac:dyDescent="0.3">
      <c r="A240" s="208" t="s">
        <v>139</v>
      </c>
      <c r="B240" s="208" t="s">
        <v>4057</v>
      </c>
      <c r="C240" s="208" t="s">
        <v>4172</v>
      </c>
      <c r="D240" t="str">
        <f t="shared" si="3"/>
        <v>Great Northern Railway (Ireland)RailRL038</v>
      </c>
    </row>
    <row r="241" spans="1:4" x14ac:dyDescent="0.3">
      <c r="A241" s="208" t="s">
        <v>140</v>
      </c>
      <c r="B241" s="208" t="s">
        <v>4057</v>
      </c>
      <c r="C241" s="208" t="s">
        <v>4173</v>
      </c>
      <c r="D241" t="str">
        <f t="shared" si="3"/>
        <v>Great Southern &amp; Western RailwayRailRL039</v>
      </c>
    </row>
    <row r="242" spans="1:4" x14ac:dyDescent="0.3">
      <c r="A242" s="208" t="s">
        <v>141</v>
      </c>
      <c r="B242" s="208" t="s">
        <v>4057</v>
      </c>
      <c r="C242" s="208" t="s">
        <v>4174</v>
      </c>
      <c r="D242" t="str">
        <f t="shared" si="3"/>
        <v>Great Western of Brazil RailwayRailRL040</v>
      </c>
    </row>
    <row r="243" spans="1:4" x14ac:dyDescent="0.3">
      <c r="A243" s="208" t="s">
        <v>142</v>
      </c>
      <c r="B243" s="208" t="s">
        <v>4057</v>
      </c>
      <c r="C243" s="208" t="s">
        <v>4175</v>
      </c>
      <c r="D243" t="str">
        <f t="shared" si="3"/>
        <v>Great Western RailwayRailRL041</v>
      </c>
    </row>
    <row r="244" spans="1:4" x14ac:dyDescent="0.3">
      <c r="A244" s="208" t="s">
        <v>147</v>
      </c>
      <c r="B244" s="208" t="s">
        <v>4057</v>
      </c>
      <c r="C244" s="208" t="s">
        <v>4176</v>
      </c>
      <c r="D244" t="str">
        <f t="shared" si="3"/>
        <v>Highland RailwayRailRL042</v>
      </c>
    </row>
    <row r="245" spans="1:4" x14ac:dyDescent="0.3">
      <c r="A245" s="208" t="s">
        <v>152</v>
      </c>
      <c r="B245" s="208" t="s">
        <v>4057</v>
      </c>
      <c r="C245" s="208" t="s">
        <v>4177</v>
      </c>
      <c r="D245" t="str">
        <f t="shared" si="3"/>
        <v>Hull &amp; Barnsley RailwayRailRL043</v>
      </c>
    </row>
    <row r="246" spans="1:4" x14ac:dyDescent="0.3">
      <c r="A246" s="208" t="s">
        <v>159</v>
      </c>
      <c r="B246" s="208" t="s">
        <v>4057</v>
      </c>
      <c r="C246" s="208" t="s">
        <v>4178</v>
      </c>
      <c r="D246" t="str">
        <f t="shared" si="3"/>
        <v>Interoceanic Railway of MexicoRailRL044</v>
      </c>
    </row>
    <row r="247" spans="1:4" x14ac:dyDescent="0.3">
      <c r="A247" s="208" t="s">
        <v>167</v>
      </c>
      <c r="B247" s="208" t="s">
        <v>4057</v>
      </c>
      <c r="C247" s="208" t="s">
        <v>4179</v>
      </c>
      <c r="D247" t="str">
        <f t="shared" si="3"/>
        <v>Lancashire &amp; Yorkshire RailwayRailRL045</v>
      </c>
    </row>
    <row r="248" spans="1:4" x14ac:dyDescent="0.3">
      <c r="A248" s="208" t="s">
        <v>172</v>
      </c>
      <c r="B248" s="208" t="s">
        <v>4057</v>
      </c>
      <c r="C248" s="208" t="s">
        <v>4180</v>
      </c>
      <c r="D248" t="str">
        <f t="shared" si="3"/>
        <v>Leopoldina RailwayRailRL046</v>
      </c>
    </row>
    <row r="249" spans="1:4" x14ac:dyDescent="0.3">
      <c r="A249" s="208" t="s">
        <v>184</v>
      </c>
      <c r="B249" s="208" t="s">
        <v>4057</v>
      </c>
      <c r="C249" s="208" t="s">
        <v>4181</v>
      </c>
      <c r="D249" t="str">
        <f t="shared" si="3"/>
        <v>London &amp; North Western RailwayRailRL047</v>
      </c>
    </row>
    <row r="250" spans="1:4" x14ac:dyDescent="0.3">
      <c r="A250" s="208" t="s">
        <v>189</v>
      </c>
      <c r="B250" s="208" t="s">
        <v>4057</v>
      </c>
      <c r="C250" s="208" t="s">
        <v>4182</v>
      </c>
      <c r="D250" t="str">
        <f t="shared" si="3"/>
        <v>London &amp; South Western RailwayRailRL048</v>
      </c>
    </row>
    <row r="251" spans="1:4" x14ac:dyDescent="0.3">
      <c r="A251" s="208" t="s">
        <v>191</v>
      </c>
      <c r="B251" s="208" t="s">
        <v>4057</v>
      </c>
      <c r="C251" s="208" t="s">
        <v>4183</v>
      </c>
      <c r="D251" t="str">
        <f t="shared" si="3"/>
        <v>London Brighton &amp; South Coast RailwayRailRL049</v>
      </c>
    </row>
    <row r="252" spans="1:4" x14ac:dyDescent="0.3">
      <c r="A252" s="208" t="s">
        <v>192</v>
      </c>
      <c r="B252" s="208" t="s">
        <v>4057</v>
      </c>
      <c r="C252" s="208" t="s">
        <v>4184</v>
      </c>
      <c r="D252" t="str">
        <f t="shared" si="3"/>
        <v>London Chatham &amp; Dover RailwayRailRL050</v>
      </c>
    </row>
    <row r="253" spans="1:4" x14ac:dyDescent="0.3">
      <c r="A253" s="208" t="s">
        <v>197</v>
      </c>
      <c r="B253" s="208" t="s">
        <v>4057</v>
      </c>
      <c r="C253" s="208" t="s">
        <v>4185</v>
      </c>
      <c r="D253" t="str">
        <f t="shared" si="3"/>
        <v>London Tilbury &amp; Southend RailwayRailRL051</v>
      </c>
    </row>
    <row r="254" spans="1:4" x14ac:dyDescent="0.3">
      <c r="A254" s="208" t="s">
        <v>199</v>
      </c>
      <c r="B254" s="208" t="s">
        <v>4057</v>
      </c>
      <c r="C254" s="208" t="s">
        <v>4186</v>
      </c>
      <c r="D254" t="str">
        <f t="shared" si="3"/>
        <v>Madras &amp; Southern Mahratta RailwayRailRL052</v>
      </c>
    </row>
    <row r="255" spans="1:4" x14ac:dyDescent="0.3">
      <c r="A255" s="208" t="s">
        <v>204</v>
      </c>
      <c r="B255" s="208" t="s">
        <v>4057</v>
      </c>
      <c r="C255" s="208" t="s">
        <v>4187</v>
      </c>
      <c r="D255" t="str">
        <f t="shared" si="3"/>
        <v>Manila RailwayRailRL053</v>
      </c>
    </row>
    <row r="256" spans="1:4" x14ac:dyDescent="0.3">
      <c r="A256" s="208" t="s">
        <v>212</v>
      </c>
      <c r="B256" s="208" t="s">
        <v>4057</v>
      </c>
      <c r="C256" s="208" t="s">
        <v>4188</v>
      </c>
      <c r="D256" t="str">
        <f t="shared" si="3"/>
        <v>Mersey RailwayRailRL054</v>
      </c>
    </row>
    <row r="257" spans="1:4" x14ac:dyDescent="0.3">
      <c r="A257" s="208" t="s">
        <v>215</v>
      </c>
      <c r="B257" s="208" t="s">
        <v>4057</v>
      </c>
      <c r="C257" s="208" t="s">
        <v>4189</v>
      </c>
      <c r="D257" t="str">
        <f t="shared" si="3"/>
        <v>Metropolitan District RailwayRailRL055</v>
      </c>
    </row>
    <row r="258" spans="1:4" x14ac:dyDescent="0.3">
      <c r="A258" s="208" t="s">
        <v>217</v>
      </c>
      <c r="B258" s="208" t="s">
        <v>4057</v>
      </c>
      <c r="C258" s="208" t="s">
        <v>4190</v>
      </c>
      <c r="D258" t="str">
        <f t="shared" si="3"/>
        <v>Metropolitan RailwayRailRL056</v>
      </c>
    </row>
    <row r="259" spans="1:4" x14ac:dyDescent="0.3">
      <c r="A259" s="208" t="s">
        <v>219</v>
      </c>
      <c r="B259" s="208" t="s">
        <v>4057</v>
      </c>
      <c r="C259" s="208" t="s">
        <v>4191</v>
      </c>
      <c r="D259" t="str">
        <f t="shared" ref="D259:D322" si="4">CONCATENATE(A259,B259,C259)</f>
        <v>Mexican RailwayRailRL057</v>
      </c>
    </row>
    <row r="260" spans="1:4" x14ac:dyDescent="0.3">
      <c r="A260" s="208" t="s">
        <v>220</v>
      </c>
      <c r="B260" s="208" t="s">
        <v>4057</v>
      </c>
      <c r="C260" s="208" t="s">
        <v>4192</v>
      </c>
      <c r="D260" t="str">
        <f t="shared" si="4"/>
        <v>Midland Great Western Railway (Ireland)RailRL058</v>
      </c>
    </row>
    <row r="261" spans="1:4" x14ac:dyDescent="0.3">
      <c r="A261" s="208" t="s">
        <v>221</v>
      </c>
      <c r="B261" s="208" t="s">
        <v>4057</v>
      </c>
      <c r="C261" s="208" t="s">
        <v>4193</v>
      </c>
      <c r="D261" t="str">
        <f t="shared" si="4"/>
        <v>Midland RailwayRailRL059</v>
      </c>
    </row>
    <row r="262" spans="1:4" x14ac:dyDescent="0.3">
      <c r="A262" s="208" t="s">
        <v>240</v>
      </c>
      <c r="B262" s="208" t="s">
        <v>4057</v>
      </c>
      <c r="C262" s="208" t="s">
        <v>4194</v>
      </c>
      <c r="D262" t="str">
        <f t="shared" si="4"/>
        <v>Nizam’s RailwaysRailRL060</v>
      </c>
    </row>
    <row r="263" spans="1:4" x14ac:dyDescent="0.3">
      <c r="A263" s="208" t="s">
        <v>263</v>
      </c>
      <c r="B263" s="208" t="s">
        <v>4057</v>
      </c>
      <c r="C263" s="208" t="s">
        <v>4195</v>
      </c>
      <c r="D263" t="str">
        <f t="shared" si="4"/>
        <v>Port Talbot Railway &amp; DocksRailRL061</v>
      </c>
    </row>
    <row r="264" spans="1:4" x14ac:dyDescent="0.3">
      <c r="A264" s="208" t="s">
        <v>272</v>
      </c>
      <c r="B264" s="208" t="s">
        <v>4057</v>
      </c>
      <c r="C264" s="208" t="s">
        <v>4196</v>
      </c>
      <c r="D264" t="str">
        <f t="shared" si="4"/>
        <v>Rhymney RailwayRailRL062</v>
      </c>
    </row>
    <row r="265" spans="1:4" x14ac:dyDescent="0.3">
      <c r="A265" s="208" t="s">
        <v>289</v>
      </c>
      <c r="B265" s="208" t="s">
        <v>4057</v>
      </c>
      <c r="C265" s="208" t="s">
        <v>4197</v>
      </c>
      <c r="D265" t="str">
        <f t="shared" si="4"/>
        <v>South Eastern RailwayRailRL063</v>
      </c>
    </row>
    <row r="266" spans="1:4" x14ac:dyDescent="0.3">
      <c r="A266" s="208" t="s">
        <v>290</v>
      </c>
      <c r="B266" s="208" t="s">
        <v>4057</v>
      </c>
      <c r="C266" s="208" t="s">
        <v>4198</v>
      </c>
      <c r="D266" t="str">
        <f t="shared" si="4"/>
        <v>South Indian RailwayRailRL064</v>
      </c>
    </row>
    <row r="267" spans="1:4" x14ac:dyDescent="0.3">
      <c r="A267" s="208" t="s">
        <v>293</v>
      </c>
      <c r="B267" s="208" t="s">
        <v>4057</v>
      </c>
      <c r="C267" s="208" t="s">
        <v>4199</v>
      </c>
      <c r="D267" t="str">
        <f t="shared" si="4"/>
        <v>Southern Punjab RailwayRailRL065</v>
      </c>
    </row>
    <row r="268" spans="1:4" x14ac:dyDescent="0.3">
      <c r="A268" s="208" t="s">
        <v>302</v>
      </c>
      <c r="B268" s="208" t="s">
        <v>4057</v>
      </c>
      <c r="C268" s="208" t="s">
        <v>4200</v>
      </c>
      <c r="D268" t="str">
        <f t="shared" si="4"/>
        <v>Taff Vale RailwayRailRL066</v>
      </c>
    </row>
    <row r="269" spans="1:4" x14ac:dyDescent="0.3">
      <c r="A269" s="208" t="s">
        <v>308</v>
      </c>
      <c r="B269" s="208" t="s">
        <v>4057</v>
      </c>
      <c r="C269" s="208" t="s">
        <v>4201</v>
      </c>
      <c r="D269" t="str">
        <f t="shared" si="4"/>
        <v>Underground Electric RailwayRailRL067</v>
      </c>
    </row>
    <row r="270" spans="1:4" x14ac:dyDescent="0.3">
      <c r="A270" s="208" t="s">
        <v>316</v>
      </c>
      <c r="B270" s="208" t="s">
        <v>4057</v>
      </c>
      <c r="C270" s="208" t="s">
        <v>4202</v>
      </c>
      <c r="D270" t="str">
        <f t="shared" si="4"/>
        <v>United Railways of the Havana &amp; R WRailRL068</v>
      </c>
    </row>
    <row r="271" spans="1:4" x14ac:dyDescent="0.3">
      <c r="A271" s="208" t="s">
        <v>326</v>
      </c>
      <c r="B271" s="208" t="s">
        <v>4057</v>
      </c>
      <c r="C271" s="208" t="s">
        <v>4203</v>
      </c>
      <c r="D271" t="str">
        <f t="shared" si="4"/>
        <v>Western Railway of HavanaRailRL069</v>
      </c>
    </row>
    <row r="272" spans="1:4" x14ac:dyDescent="0.3">
      <c r="A272" s="208" t="s">
        <v>330</v>
      </c>
      <c r="B272" s="208" t="s">
        <v>4057</v>
      </c>
      <c r="C272" s="208" t="s">
        <v>4204</v>
      </c>
      <c r="D272" t="str">
        <f t="shared" si="4"/>
        <v>White Pass &amp; Yukon RailwayRailRL070</v>
      </c>
    </row>
    <row r="273" spans="1:4" x14ac:dyDescent="0.3">
      <c r="A273" s="208" t="s">
        <v>244</v>
      </c>
      <c r="B273" s="208" t="s">
        <v>4057</v>
      </c>
      <c r="C273" s="208" t="s">
        <v>4205</v>
      </c>
      <c r="D273" t="str">
        <f t="shared" si="4"/>
        <v>North British RailwayRailRL071</v>
      </c>
    </row>
    <row r="274" spans="1:4" x14ac:dyDescent="0.3">
      <c r="A274" s="208" t="s">
        <v>246</v>
      </c>
      <c r="B274" s="208" t="s">
        <v>4057</v>
      </c>
      <c r="C274" s="208" t="s">
        <v>4206</v>
      </c>
      <c r="D274" t="str">
        <f t="shared" si="4"/>
        <v>North Eastern RailwayRailRL072</v>
      </c>
    </row>
    <row r="275" spans="1:4" x14ac:dyDescent="0.3">
      <c r="A275" s="208" t="s">
        <v>247</v>
      </c>
      <c r="B275" s="208" t="s">
        <v>4057</v>
      </c>
      <c r="C275" s="208" t="s">
        <v>4207</v>
      </c>
      <c r="D275" t="str">
        <f t="shared" si="4"/>
        <v>North London RailwayRailRL073</v>
      </c>
    </row>
    <row r="276" spans="1:4" x14ac:dyDescent="0.3">
      <c r="A276" s="208" t="s">
        <v>249</v>
      </c>
      <c r="B276" s="208" t="s">
        <v>4057</v>
      </c>
      <c r="C276" s="208" t="s">
        <v>4208</v>
      </c>
      <c r="D276" t="str">
        <f t="shared" si="4"/>
        <v>North Staffordshire RailwayRailRL074</v>
      </c>
    </row>
    <row r="277" spans="1:4" x14ac:dyDescent="0.3">
      <c r="A277" s="208" t="s">
        <v>14</v>
      </c>
      <c r="B277" s="208" t="s">
        <v>3960</v>
      </c>
      <c r="C277" s="208" t="s">
        <v>4410</v>
      </c>
      <c r="D277" t="str">
        <f t="shared" si="4"/>
        <v>Argentine Navigation (steamships)ShippingSP001</v>
      </c>
    </row>
    <row r="278" spans="1:4" x14ac:dyDescent="0.3">
      <c r="A278" s="208" t="s">
        <v>49</v>
      </c>
      <c r="B278" s="208" t="s">
        <v>3960</v>
      </c>
      <c r="C278" s="208" t="s">
        <v>4411</v>
      </c>
      <c r="D278" t="str">
        <f t="shared" si="4"/>
        <v>British India Steam NavigationShippingSP002</v>
      </c>
    </row>
    <row r="279" spans="1:4" x14ac:dyDescent="0.3">
      <c r="A279" s="208" t="s">
        <v>94</v>
      </c>
      <c r="B279" s="208" t="s">
        <v>3960</v>
      </c>
      <c r="C279" s="208" t="s">
        <v>4412</v>
      </c>
      <c r="D279" t="str">
        <f t="shared" si="4"/>
        <v>Cunard SteamshipShippingSP003</v>
      </c>
    </row>
    <row r="280" spans="1:4" x14ac:dyDescent="0.3">
      <c r="A280" s="208" t="s">
        <v>111</v>
      </c>
      <c r="B280" s="208" t="s">
        <v>3960</v>
      </c>
      <c r="C280" s="208" t="s">
        <v>4413</v>
      </c>
      <c r="D280" t="str">
        <f t="shared" si="4"/>
        <v>Ellerman Lines (ships)ShippingSP004</v>
      </c>
    </row>
    <row r="281" spans="1:4" x14ac:dyDescent="0.3">
      <c r="A281" s="208" t="s">
        <v>124</v>
      </c>
      <c r="B281" s="208" t="s">
        <v>3960</v>
      </c>
      <c r="C281" s="208" t="s">
        <v>4414</v>
      </c>
      <c r="D281" t="str">
        <f t="shared" si="4"/>
        <v>Furness Withy (shipping/shipbuilding)ShippingSP005</v>
      </c>
    </row>
    <row r="282" spans="1:4" x14ac:dyDescent="0.3">
      <c r="A282" s="208" t="s">
        <v>258</v>
      </c>
      <c r="B282" s="208" t="s">
        <v>3960</v>
      </c>
      <c r="C282" s="208" t="s">
        <v>4415</v>
      </c>
      <c r="D282" t="str">
        <f t="shared" si="4"/>
        <v>Peninsular &amp; Oriental Steam NavigationShippingSP006</v>
      </c>
    </row>
    <row r="283" spans="1:4" x14ac:dyDescent="0.3">
      <c r="A283" s="208" t="s">
        <v>277</v>
      </c>
      <c r="B283" s="208" t="s">
        <v>3960</v>
      </c>
      <c r="C283" s="208" t="s">
        <v>4416</v>
      </c>
      <c r="D283" t="str">
        <f t="shared" si="4"/>
        <v>Royal Mail Steam PacketShippingSP007</v>
      </c>
    </row>
    <row r="284" spans="1:4" x14ac:dyDescent="0.3">
      <c r="A284" s="208" t="s">
        <v>311</v>
      </c>
      <c r="B284" s="208" t="s">
        <v>3960</v>
      </c>
      <c r="C284" s="208" t="s">
        <v>4417</v>
      </c>
      <c r="D284" t="str">
        <f t="shared" si="4"/>
        <v>Union Castle Mail SteamshipShippingSP008</v>
      </c>
    </row>
    <row r="285" spans="1:4" x14ac:dyDescent="0.3">
      <c r="A285" s="208" t="s">
        <v>88</v>
      </c>
      <c r="B285" s="208" t="s">
        <v>3965</v>
      </c>
      <c r="C285" s="208" t="s">
        <v>4418</v>
      </c>
      <c r="D285" t="str">
        <f t="shared" si="4"/>
        <v>Consolidated Tea &amp; Lands (plantations)Tea T01</v>
      </c>
    </row>
    <row r="286" spans="1:4" x14ac:dyDescent="0.3">
      <c r="A286" s="208" t="s">
        <v>9</v>
      </c>
      <c r="B286" s="208" t="s">
        <v>3968</v>
      </c>
      <c r="C286" s="208" t="s">
        <v>4419</v>
      </c>
      <c r="D286" t="str">
        <f t="shared" si="4"/>
        <v>Anglo-American TelegraphTelegraphTE001</v>
      </c>
    </row>
    <row r="287" spans="1:4" x14ac:dyDescent="0.3">
      <c r="A287" s="208" t="s">
        <v>98</v>
      </c>
      <c r="B287" s="208" t="s">
        <v>3968</v>
      </c>
      <c r="C287" s="208" t="s">
        <v>4420</v>
      </c>
      <c r="D287" t="str">
        <f t="shared" si="4"/>
        <v>Direct United States CableTelegraphTE002</v>
      </c>
    </row>
    <row r="288" spans="1:4" x14ac:dyDescent="0.3">
      <c r="A288" s="208" t="s">
        <v>106</v>
      </c>
      <c r="B288" s="208" t="s">
        <v>3968</v>
      </c>
      <c r="C288" s="208" t="s">
        <v>4421</v>
      </c>
      <c r="D288" t="str">
        <f t="shared" si="4"/>
        <v>Eastern Extension TelegraphTelegraphTE003</v>
      </c>
    </row>
    <row r="289" spans="1:4" x14ac:dyDescent="0.3">
      <c r="A289" s="208" t="s">
        <v>107</v>
      </c>
      <c r="B289" s="208" t="s">
        <v>3968</v>
      </c>
      <c r="C289" s="208" t="s">
        <v>4422</v>
      </c>
      <c r="D289" t="str">
        <f t="shared" si="4"/>
        <v>Eastern TelegraphTelegraphTE004</v>
      </c>
    </row>
    <row r="290" spans="1:4" x14ac:dyDescent="0.3">
      <c r="A290" s="208" t="s">
        <v>207</v>
      </c>
      <c r="B290" s="208" t="s">
        <v>3968</v>
      </c>
      <c r="C290" s="208" t="s">
        <v>4423</v>
      </c>
      <c r="D290" t="str">
        <f t="shared" si="4"/>
        <v>Marconi’s Wireless Telegraph (radio)TelegraphTE005</v>
      </c>
    </row>
    <row r="291" spans="1:4" x14ac:dyDescent="0.3">
      <c r="A291" s="208" t="s">
        <v>234</v>
      </c>
      <c r="B291" s="208" t="s">
        <v>3968</v>
      </c>
      <c r="C291" s="208" t="s">
        <v>4424</v>
      </c>
      <c r="D291" t="str">
        <f t="shared" si="4"/>
        <v>National TelephoneTelegraphTE006</v>
      </c>
    </row>
    <row r="292" spans="1:4" x14ac:dyDescent="0.3">
      <c r="A292" s="208" t="s">
        <v>317</v>
      </c>
      <c r="B292" s="208" t="s">
        <v>3968</v>
      </c>
      <c r="C292" s="208" t="s">
        <v>4425</v>
      </c>
      <c r="D292" t="str">
        <f t="shared" si="4"/>
        <v>United River Plate TelephoneTelegraphTE007</v>
      </c>
    </row>
    <row r="293" spans="1:4" x14ac:dyDescent="0.3">
      <c r="A293" s="208" t="s">
        <v>325</v>
      </c>
      <c r="B293" s="208" t="s">
        <v>3968</v>
      </c>
      <c r="C293" s="208" t="s">
        <v>4426</v>
      </c>
      <c r="D293" t="str">
        <f t="shared" si="4"/>
        <v>West India &amp; Panama TelegraphTelegraphTE008</v>
      </c>
    </row>
    <row r="294" spans="1:4" x14ac:dyDescent="0.3">
      <c r="A294" s="208" t="s">
        <v>327</v>
      </c>
      <c r="B294" s="208" t="s">
        <v>3968</v>
      </c>
      <c r="C294" s="208" t="s">
        <v>4427</v>
      </c>
      <c r="D294" t="str">
        <f t="shared" si="4"/>
        <v>Western TelegraphTelegraphTE009</v>
      </c>
    </row>
    <row r="295" spans="1:4" x14ac:dyDescent="0.3">
      <c r="A295" s="208" t="s">
        <v>10</v>
      </c>
      <c r="B295" s="208" t="s">
        <v>3972</v>
      </c>
      <c r="C295" s="208" t="s">
        <v>4428</v>
      </c>
      <c r="D295" t="str">
        <f t="shared" si="4"/>
        <v>Anglo-Argentine TramwaysTramwaysTR001</v>
      </c>
    </row>
    <row r="296" spans="1:4" x14ac:dyDescent="0.3">
      <c r="A296" s="208" t="s">
        <v>39</v>
      </c>
      <c r="B296" s="208" t="s">
        <v>3972</v>
      </c>
      <c r="C296" s="208" t="s">
        <v>4429</v>
      </c>
      <c r="D296" t="str">
        <f t="shared" si="4"/>
        <v>Bombay Electric Supply &amp; TramwaysTramwaysTR002</v>
      </c>
    </row>
    <row r="297" spans="1:4" x14ac:dyDescent="0.3">
      <c r="A297" s="208" t="s">
        <v>44</v>
      </c>
      <c r="B297" s="208" t="s">
        <v>3972</v>
      </c>
      <c r="C297" s="208" t="s">
        <v>4430</v>
      </c>
      <c r="D297" t="str">
        <f t="shared" si="4"/>
        <v>Bristol Tramways &amp; CarriageTramwaysTR003</v>
      </c>
    </row>
    <row r="298" spans="1:4" x14ac:dyDescent="0.3">
      <c r="A298" s="208" t="s">
        <v>48</v>
      </c>
      <c r="B298" s="208" t="s">
        <v>3972</v>
      </c>
      <c r="C298" s="208" t="s">
        <v>4431</v>
      </c>
      <c r="D298" t="str">
        <f t="shared" si="4"/>
        <v>British Electric Traction (tramways)TramwaysTR004</v>
      </c>
    </row>
    <row r="299" spans="1:4" x14ac:dyDescent="0.3">
      <c r="A299" s="208" t="s">
        <v>102</v>
      </c>
      <c r="B299" s="208" t="s">
        <v>3972</v>
      </c>
      <c r="C299" s="208" t="s">
        <v>4432</v>
      </c>
      <c r="D299" t="str">
        <f t="shared" si="4"/>
        <v>Dublin United TramwaysTramwaysTR005</v>
      </c>
    </row>
    <row r="300" spans="1:4" x14ac:dyDescent="0.3">
      <c r="A300" s="208" t="s">
        <v>177</v>
      </c>
      <c r="B300" s="208" t="s">
        <v>3972</v>
      </c>
      <c r="C300" s="208" t="s">
        <v>4433</v>
      </c>
      <c r="D300" t="str">
        <f t="shared" si="4"/>
        <v>Lisbon Electric TramwaysTramwaysTR006</v>
      </c>
    </row>
    <row r="301" spans="1:4" x14ac:dyDescent="0.3">
      <c r="A301" s="208" t="s">
        <v>195</v>
      </c>
      <c r="B301" s="208" t="s">
        <v>3972</v>
      </c>
      <c r="C301" s="208" t="s">
        <v>4434</v>
      </c>
      <c r="D301" t="str">
        <f t="shared" si="4"/>
        <v>London General OmnibusTramwaysTR007</v>
      </c>
    </row>
    <row r="302" spans="1:4" x14ac:dyDescent="0.3">
      <c r="A302" s="208" t="s">
        <v>198</v>
      </c>
      <c r="B302" s="208" t="s">
        <v>3972</v>
      </c>
      <c r="C302" s="208" t="s">
        <v>4435</v>
      </c>
      <c r="D302" t="str">
        <f t="shared" si="4"/>
        <v>London United TramwaysTramwaysTR008</v>
      </c>
    </row>
    <row r="303" spans="1:4" x14ac:dyDescent="0.3">
      <c r="A303" s="208" t="s">
        <v>45</v>
      </c>
      <c r="B303" s="208" t="s">
        <v>3979</v>
      </c>
      <c r="C303" s="208" t="s">
        <v>4436</v>
      </c>
      <c r="D303" t="str">
        <f t="shared" si="4"/>
        <v>Bristol WaterworksWaterworksWW01</v>
      </c>
    </row>
    <row r="304" spans="1:4" x14ac:dyDescent="0.3">
      <c r="A304" s="208" t="s">
        <v>236</v>
      </c>
      <c r="B304" s="208" t="s">
        <v>3979</v>
      </c>
      <c r="C304" s="208" t="s">
        <v>4437</v>
      </c>
      <c r="D304" t="str">
        <f t="shared" si="4"/>
        <v>Newcastle &amp; Gateshead WaterWaterworksWW02</v>
      </c>
    </row>
    <row r="305" spans="1:4" x14ac:dyDescent="0.3">
      <c r="A305" s="208" t="s">
        <v>292</v>
      </c>
      <c r="B305" s="208" t="s">
        <v>3979</v>
      </c>
      <c r="C305" s="208" t="s">
        <v>4438</v>
      </c>
      <c r="D305" t="str">
        <f t="shared" si="4"/>
        <v>South Staffordshire WaterworksWaterworksWW03</v>
      </c>
    </row>
    <row r="306" spans="1:4" x14ac:dyDescent="0.3">
      <c r="A306"/>
      <c r="B306"/>
      <c r="D306" t="str">
        <f t="shared" si="4"/>
        <v/>
      </c>
    </row>
    <row r="307" spans="1:4" x14ac:dyDescent="0.3">
      <c r="A307"/>
      <c r="B307"/>
      <c r="D307" t="str">
        <f t="shared" si="4"/>
        <v/>
      </c>
    </row>
    <row r="308" spans="1:4" x14ac:dyDescent="0.3">
      <c r="A308"/>
      <c r="B308"/>
      <c r="D308" t="str">
        <f t="shared" si="4"/>
        <v/>
      </c>
    </row>
    <row r="309" spans="1:4" x14ac:dyDescent="0.3">
      <c r="A309"/>
      <c r="B309"/>
      <c r="D309" t="str">
        <f t="shared" si="4"/>
        <v/>
      </c>
    </row>
    <row r="310" spans="1:4" x14ac:dyDescent="0.3">
      <c r="A310"/>
      <c r="B310"/>
      <c r="D310" t="str">
        <f t="shared" si="4"/>
        <v/>
      </c>
    </row>
    <row r="311" spans="1:4" x14ac:dyDescent="0.3">
      <c r="A311"/>
      <c r="B311"/>
      <c r="D311" t="str">
        <f t="shared" si="4"/>
        <v/>
      </c>
    </row>
    <row r="312" spans="1:4" x14ac:dyDescent="0.3">
      <c r="A312"/>
      <c r="B312"/>
      <c r="D312" t="str">
        <f t="shared" si="4"/>
        <v/>
      </c>
    </row>
    <row r="313" spans="1:4" x14ac:dyDescent="0.3">
      <c r="A313"/>
      <c r="B313"/>
      <c r="D313" t="str">
        <f t="shared" si="4"/>
        <v/>
      </c>
    </row>
    <row r="314" spans="1:4" x14ac:dyDescent="0.3">
      <c r="A314"/>
      <c r="B314"/>
      <c r="D314" t="str">
        <f t="shared" si="4"/>
        <v/>
      </c>
    </row>
    <row r="315" spans="1:4" x14ac:dyDescent="0.3">
      <c r="A315"/>
      <c r="B315"/>
      <c r="D315" t="str">
        <f t="shared" si="4"/>
        <v/>
      </c>
    </row>
    <row r="316" spans="1:4" x14ac:dyDescent="0.3">
      <c r="A316"/>
      <c r="B316"/>
      <c r="D316" t="str">
        <f t="shared" si="4"/>
        <v/>
      </c>
    </row>
    <row r="317" spans="1:4" x14ac:dyDescent="0.3">
      <c r="A317"/>
      <c r="B317"/>
      <c r="D317" t="str">
        <f t="shared" si="4"/>
        <v/>
      </c>
    </row>
    <row r="318" spans="1:4" x14ac:dyDescent="0.3">
      <c r="A318"/>
      <c r="B318"/>
      <c r="D318" t="str">
        <f t="shared" si="4"/>
        <v/>
      </c>
    </row>
    <row r="319" spans="1:4" x14ac:dyDescent="0.3">
      <c r="A319"/>
      <c r="B319"/>
      <c r="D319" t="str">
        <f t="shared" si="4"/>
        <v/>
      </c>
    </row>
    <row r="320" spans="1:4" x14ac:dyDescent="0.3">
      <c r="A320"/>
      <c r="B320"/>
      <c r="D320" t="str">
        <f t="shared" si="4"/>
        <v/>
      </c>
    </row>
    <row r="321" spans="1:4" x14ac:dyDescent="0.3">
      <c r="A321"/>
      <c r="B321"/>
      <c r="D321" t="str">
        <f t="shared" si="4"/>
        <v/>
      </c>
    </row>
    <row r="322" spans="1:4" x14ac:dyDescent="0.3">
      <c r="A322"/>
      <c r="B322"/>
      <c r="D322" t="str">
        <f t="shared" si="4"/>
        <v/>
      </c>
    </row>
    <row r="323" spans="1:4" x14ac:dyDescent="0.3">
      <c r="A323"/>
      <c r="B323"/>
      <c r="D323" t="str">
        <f t="shared" ref="D323:D386" si="5">CONCATENATE(A323,B323,C323)</f>
        <v/>
      </c>
    </row>
    <row r="324" spans="1:4" x14ac:dyDescent="0.3">
      <c r="A324"/>
      <c r="B324"/>
      <c r="D324" t="str">
        <f t="shared" si="5"/>
        <v/>
      </c>
    </row>
    <row r="325" spans="1:4" x14ac:dyDescent="0.3">
      <c r="A325"/>
      <c r="B325"/>
      <c r="D325" t="str">
        <f t="shared" si="5"/>
        <v/>
      </c>
    </row>
    <row r="326" spans="1:4" x14ac:dyDescent="0.3">
      <c r="A326"/>
      <c r="B326"/>
      <c r="D326" t="str">
        <f t="shared" si="5"/>
        <v/>
      </c>
    </row>
    <row r="327" spans="1:4" x14ac:dyDescent="0.3">
      <c r="A327"/>
      <c r="B327"/>
      <c r="D327" t="str">
        <f t="shared" si="5"/>
        <v/>
      </c>
    </row>
    <row r="328" spans="1:4" x14ac:dyDescent="0.3">
      <c r="A328"/>
      <c r="B328"/>
      <c r="D328" t="str">
        <f t="shared" si="5"/>
        <v/>
      </c>
    </row>
    <row r="329" spans="1:4" x14ac:dyDescent="0.3">
      <c r="A329"/>
      <c r="B329"/>
      <c r="D329" t="str">
        <f t="shared" si="5"/>
        <v/>
      </c>
    </row>
    <row r="330" spans="1:4" x14ac:dyDescent="0.3">
      <c r="A330"/>
      <c r="B330"/>
      <c r="D330" t="str">
        <f t="shared" si="5"/>
        <v/>
      </c>
    </row>
    <row r="331" spans="1:4" x14ac:dyDescent="0.3">
      <c r="A331"/>
      <c r="B331"/>
      <c r="D331" t="str">
        <f t="shared" si="5"/>
        <v/>
      </c>
    </row>
    <row r="332" spans="1:4" x14ac:dyDescent="0.3">
      <c r="A332"/>
      <c r="B332"/>
      <c r="D332" t="str">
        <f t="shared" si="5"/>
        <v/>
      </c>
    </row>
    <row r="333" spans="1:4" x14ac:dyDescent="0.3">
      <c r="A333"/>
      <c r="B333"/>
      <c r="D333" t="str">
        <f t="shared" si="5"/>
        <v/>
      </c>
    </row>
    <row r="334" spans="1:4" x14ac:dyDescent="0.3">
      <c r="A334"/>
      <c r="B334"/>
      <c r="D334" t="str">
        <f t="shared" si="5"/>
        <v/>
      </c>
    </row>
    <row r="335" spans="1:4" x14ac:dyDescent="0.3">
      <c r="A335"/>
      <c r="B335"/>
      <c r="D335" t="str">
        <f t="shared" si="5"/>
        <v/>
      </c>
    </row>
    <row r="336" spans="1:4" x14ac:dyDescent="0.3">
      <c r="A336"/>
      <c r="B336"/>
      <c r="D336" t="str">
        <f t="shared" si="5"/>
        <v/>
      </c>
    </row>
    <row r="337" spans="1:4" x14ac:dyDescent="0.3">
      <c r="A337"/>
      <c r="B337"/>
      <c r="D337" t="str">
        <f t="shared" si="5"/>
        <v/>
      </c>
    </row>
    <row r="338" spans="1:4" x14ac:dyDescent="0.3">
      <c r="A338"/>
      <c r="B338"/>
      <c r="D338" t="str">
        <f t="shared" si="5"/>
        <v/>
      </c>
    </row>
    <row r="339" spans="1:4" x14ac:dyDescent="0.3">
      <c r="A339"/>
      <c r="B339"/>
      <c r="D339" t="str">
        <f t="shared" si="5"/>
        <v/>
      </c>
    </row>
    <row r="340" spans="1:4" x14ac:dyDescent="0.3">
      <c r="A340"/>
      <c r="B340"/>
      <c r="D340" t="str">
        <f t="shared" si="5"/>
        <v/>
      </c>
    </row>
    <row r="341" spans="1:4" x14ac:dyDescent="0.3">
      <c r="A341"/>
      <c r="B341"/>
      <c r="D341" t="str">
        <f t="shared" si="5"/>
        <v/>
      </c>
    </row>
    <row r="342" spans="1:4" x14ac:dyDescent="0.3">
      <c r="A342"/>
      <c r="B342"/>
      <c r="D342" t="str">
        <f t="shared" si="5"/>
        <v/>
      </c>
    </row>
    <row r="343" spans="1:4" x14ac:dyDescent="0.3">
      <c r="A343"/>
      <c r="B343"/>
      <c r="D343" t="str">
        <f t="shared" si="5"/>
        <v/>
      </c>
    </row>
    <row r="344" spans="1:4" x14ac:dyDescent="0.3">
      <c r="A344"/>
      <c r="B344"/>
      <c r="D344" t="str">
        <f t="shared" si="5"/>
        <v/>
      </c>
    </row>
    <row r="345" spans="1:4" x14ac:dyDescent="0.3">
      <c r="A345"/>
      <c r="B345"/>
      <c r="D345" t="str">
        <f t="shared" si="5"/>
        <v/>
      </c>
    </row>
    <row r="346" spans="1:4" x14ac:dyDescent="0.3">
      <c r="A346"/>
      <c r="B346"/>
      <c r="D346" t="str">
        <f t="shared" si="5"/>
        <v/>
      </c>
    </row>
    <row r="347" spans="1:4" x14ac:dyDescent="0.3">
      <c r="A347"/>
      <c r="B347"/>
      <c r="D347" t="str">
        <f t="shared" si="5"/>
        <v/>
      </c>
    </row>
    <row r="348" spans="1:4" x14ac:dyDescent="0.3">
      <c r="A348"/>
      <c r="B348"/>
      <c r="D348" t="str">
        <f t="shared" si="5"/>
        <v/>
      </c>
    </row>
    <row r="349" spans="1:4" x14ac:dyDescent="0.3">
      <c r="A349"/>
      <c r="B349"/>
      <c r="D349" t="str">
        <f t="shared" si="5"/>
        <v/>
      </c>
    </row>
    <row r="350" spans="1:4" x14ac:dyDescent="0.3">
      <c r="A350"/>
      <c r="B350"/>
      <c r="D350" t="str">
        <f t="shared" si="5"/>
        <v/>
      </c>
    </row>
    <row r="351" spans="1:4" x14ac:dyDescent="0.3">
      <c r="A351"/>
      <c r="B351"/>
      <c r="D351" t="str">
        <f t="shared" si="5"/>
        <v/>
      </c>
    </row>
    <row r="352" spans="1:4" x14ac:dyDescent="0.3">
      <c r="A352"/>
      <c r="B352"/>
      <c r="D352" t="str">
        <f t="shared" si="5"/>
        <v/>
      </c>
    </row>
    <row r="353" spans="1:4" x14ac:dyDescent="0.3">
      <c r="A353"/>
      <c r="B353"/>
      <c r="D353" t="str">
        <f t="shared" si="5"/>
        <v/>
      </c>
    </row>
    <row r="354" spans="1:4" x14ac:dyDescent="0.3">
      <c r="A354"/>
      <c r="B354"/>
      <c r="D354" t="str">
        <f t="shared" si="5"/>
        <v/>
      </c>
    </row>
    <row r="355" spans="1:4" x14ac:dyDescent="0.3">
      <c r="A355"/>
      <c r="B355"/>
      <c r="D355" t="str">
        <f t="shared" si="5"/>
        <v/>
      </c>
    </row>
    <row r="356" spans="1:4" x14ac:dyDescent="0.3">
      <c r="A356"/>
      <c r="B356"/>
      <c r="D356" t="str">
        <f t="shared" si="5"/>
        <v/>
      </c>
    </row>
    <row r="357" spans="1:4" x14ac:dyDescent="0.3">
      <c r="A357"/>
      <c r="B357"/>
      <c r="D357" t="str">
        <f t="shared" si="5"/>
        <v/>
      </c>
    </row>
    <row r="358" spans="1:4" x14ac:dyDescent="0.3">
      <c r="A358"/>
      <c r="B358"/>
      <c r="D358" t="str">
        <f t="shared" si="5"/>
        <v/>
      </c>
    </row>
    <row r="359" spans="1:4" x14ac:dyDescent="0.3">
      <c r="A359"/>
      <c r="B359"/>
      <c r="D359" t="str">
        <f t="shared" si="5"/>
        <v/>
      </c>
    </row>
    <row r="360" spans="1:4" x14ac:dyDescent="0.3">
      <c r="A360"/>
      <c r="B360"/>
      <c r="D360" t="str">
        <f t="shared" si="5"/>
        <v/>
      </c>
    </row>
    <row r="361" spans="1:4" x14ac:dyDescent="0.3">
      <c r="A361"/>
      <c r="B361"/>
      <c r="D361" t="str">
        <f t="shared" si="5"/>
        <v/>
      </c>
    </row>
    <row r="362" spans="1:4" x14ac:dyDescent="0.3">
      <c r="A362"/>
      <c r="B362"/>
      <c r="D362" t="str">
        <f t="shared" si="5"/>
        <v/>
      </c>
    </row>
    <row r="363" spans="1:4" x14ac:dyDescent="0.3">
      <c r="A363"/>
      <c r="B363"/>
      <c r="D363" t="str">
        <f t="shared" si="5"/>
        <v/>
      </c>
    </row>
    <row r="364" spans="1:4" x14ac:dyDescent="0.3">
      <c r="A364"/>
      <c r="B364"/>
      <c r="D364" t="str">
        <f t="shared" si="5"/>
        <v/>
      </c>
    </row>
    <row r="365" spans="1:4" x14ac:dyDescent="0.3">
      <c r="A365"/>
      <c r="B365"/>
      <c r="D365" t="str">
        <f t="shared" si="5"/>
        <v/>
      </c>
    </row>
    <row r="366" spans="1:4" x14ac:dyDescent="0.3">
      <c r="A366"/>
      <c r="B366"/>
      <c r="D366" t="str">
        <f t="shared" si="5"/>
        <v/>
      </c>
    </row>
    <row r="367" spans="1:4" x14ac:dyDescent="0.3">
      <c r="A367"/>
      <c r="B367"/>
      <c r="D367" t="str">
        <f t="shared" si="5"/>
        <v/>
      </c>
    </row>
    <row r="368" spans="1:4" x14ac:dyDescent="0.3">
      <c r="A368"/>
      <c r="B368"/>
      <c r="D368" t="str">
        <f t="shared" si="5"/>
        <v/>
      </c>
    </row>
    <row r="369" spans="1:4" x14ac:dyDescent="0.3">
      <c r="A369"/>
      <c r="B369"/>
      <c r="D369" t="str">
        <f t="shared" si="5"/>
        <v/>
      </c>
    </row>
    <row r="370" spans="1:4" x14ac:dyDescent="0.3">
      <c r="A370"/>
      <c r="B370"/>
      <c r="D370" t="str">
        <f t="shared" si="5"/>
        <v/>
      </c>
    </row>
    <row r="371" spans="1:4" x14ac:dyDescent="0.3">
      <c r="A371"/>
      <c r="B371"/>
      <c r="D371" t="str">
        <f t="shared" si="5"/>
        <v/>
      </c>
    </row>
    <row r="372" spans="1:4" x14ac:dyDescent="0.3">
      <c r="A372"/>
      <c r="B372"/>
      <c r="D372" t="str">
        <f t="shared" si="5"/>
        <v/>
      </c>
    </row>
    <row r="373" spans="1:4" x14ac:dyDescent="0.3">
      <c r="A373"/>
      <c r="B373"/>
      <c r="D373" t="str">
        <f t="shared" si="5"/>
        <v/>
      </c>
    </row>
    <row r="374" spans="1:4" x14ac:dyDescent="0.3">
      <c r="A374"/>
      <c r="B374"/>
      <c r="D374" t="str">
        <f t="shared" si="5"/>
        <v/>
      </c>
    </row>
    <row r="375" spans="1:4" x14ac:dyDescent="0.3">
      <c r="A375"/>
      <c r="B375"/>
      <c r="D375" t="str">
        <f t="shared" si="5"/>
        <v/>
      </c>
    </row>
    <row r="376" spans="1:4" x14ac:dyDescent="0.3">
      <c r="A376"/>
      <c r="B376"/>
      <c r="D376" t="str">
        <f t="shared" si="5"/>
        <v/>
      </c>
    </row>
    <row r="377" spans="1:4" x14ac:dyDescent="0.3">
      <c r="A377"/>
      <c r="B377"/>
      <c r="D377" t="str">
        <f t="shared" si="5"/>
        <v/>
      </c>
    </row>
    <row r="378" spans="1:4" x14ac:dyDescent="0.3">
      <c r="A378"/>
      <c r="B378"/>
      <c r="D378" t="str">
        <f t="shared" si="5"/>
        <v/>
      </c>
    </row>
    <row r="379" spans="1:4" x14ac:dyDescent="0.3">
      <c r="A379"/>
      <c r="B379"/>
      <c r="D379" t="str">
        <f t="shared" si="5"/>
        <v/>
      </c>
    </row>
    <row r="380" spans="1:4" x14ac:dyDescent="0.3">
      <c r="A380"/>
      <c r="B380"/>
      <c r="D380" t="str">
        <f t="shared" si="5"/>
        <v/>
      </c>
    </row>
    <row r="381" spans="1:4" x14ac:dyDescent="0.3">
      <c r="A381"/>
      <c r="B381"/>
      <c r="D381" t="str">
        <f t="shared" si="5"/>
        <v/>
      </c>
    </row>
    <row r="382" spans="1:4" x14ac:dyDescent="0.3">
      <c r="A382"/>
      <c r="B382"/>
      <c r="D382" t="str">
        <f t="shared" si="5"/>
        <v/>
      </c>
    </row>
    <row r="383" spans="1:4" x14ac:dyDescent="0.3">
      <c r="A383"/>
      <c r="B383"/>
      <c r="D383" t="str">
        <f t="shared" si="5"/>
        <v/>
      </c>
    </row>
    <row r="384" spans="1:4" x14ac:dyDescent="0.3">
      <c r="A384"/>
      <c r="B384"/>
      <c r="D384" t="str">
        <f t="shared" si="5"/>
        <v/>
      </c>
    </row>
    <row r="385" spans="1:4" x14ac:dyDescent="0.3">
      <c r="A385"/>
      <c r="B385"/>
      <c r="D385" t="str">
        <f t="shared" si="5"/>
        <v/>
      </c>
    </row>
    <row r="386" spans="1:4" x14ac:dyDescent="0.3">
      <c r="A386"/>
      <c r="B386"/>
      <c r="D386" t="str">
        <f t="shared" si="5"/>
        <v/>
      </c>
    </row>
    <row r="387" spans="1:4" x14ac:dyDescent="0.3">
      <c r="A387"/>
      <c r="B387"/>
      <c r="D387" t="str">
        <f t="shared" ref="D387:D450" si="6">CONCATENATE(A387,B387,C387)</f>
        <v/>
      </c>
    </row>
    <row r="388" spans="1:4" x14ac:dyDescent="0.3">
      <c r="A388"/>
      <c r="B388"/>
      <c r="D388" t="str">
        <f t="shared" si="6"/>
        <v/>
      </c>
    </row>
    <row r="389" spans="1:4" x14ac:dyDescent="0.3">
      <c r="A389"/>
      <c r="B389"/>
      <c r="D389" t="str">
        <f t="shared" si="6"/>
        <v/>
      </c>
    </row>
    <row r="390" spans="1:4" x14ac:dyDescent="0.3">
      <c r="A390"/>
      <c r="B390"/>
      <c r="D390" t="str">
        <f t="shared" si="6"/>
        <v/>
      </c>
    </row>
    <row r="391" spans="1:4" x14ac:dyDescent="0.3">
      <c r="A391"/>
      <c r="B391"/>
      <c r="D391" t="str">
        <f t="shared" si="6"/>
        <v/>
      </c>
    </row>
    <row r="392" spans="1:4" x14ac:dyDescent="0.3">
      <c r="A392"/>
      <c r="B392"/>
      <c r="D392" t="str">
        <f t="shared" si="6"/>
        <v/>
      </c>
    </row>
    <row r="393" spans="1:4" x14ac:dyDescent="0.3">
      <c r="A393"/>
      <c r="B393"/>
      <c r="D393" t="str">
        <f t="shared" si="6"/>
        <v/>
      </c>
    </row>
    <row r="394" spans="1:4" x14ac:dyDescent="0.3">
      <c r="A394"/>
      <c r="B394"/>
      <c r="D394" t="str">
        <f t="shared" si="6"/>
        <v/>
      </c>
    </row>
    <row r="395" spans="1:4" x14ac:dyDescent="0.3">
      <c r="A395"/>
      <c r="B395"/>
      <c r="D395" t="str">
        <f t="shared" si="6"/>
        <v/>
      </c>
    </row>
    <row r="396" spans="1:4" x14ac:dyDescent="0.3">
      <c r="A396"/>
      <c r="B396"/>
      <c r="D396" t="str">
        <f t="shared" si="6"/>
        <v/>
      </c>
    </row>
    <row r="397" spans="1:4" x14ac:dyDescent="0.3">
      <c r="A397"/>
      <c r="B397"/>
      <c r="D397" t="str">
        <f t="shared" si="6"/>
        <v/>
      </c>
    </row>
    <row r="398" spans="1:4" x14ac:dyDescent="0.3">
      <c r="A398"/>
      <c r="B398"/>
      <c r="D398" t="str">
        <f t="shared" si="6"/>
        <v/>
      </c>
    </row>
    <row r="399" spans="1:4" x14ac:dyDescent="0.3">
      <c r="A399"/>
      <c r="B399"/>
      <c r="D399" t="str">
        <f t="shared" si="6"/>
        <v/>
      </c>
    </row>
    <row r="400" spans="1:4" x14ac:dyDescent="0.3">
      <c r="A400"/>
      <c r="B400"/>
      <c r="D400" t="str">
        <f t="shared" si="6"/>
        <v/>
      </c>
    </row>
    <row r="401" spans="1:4" x14ac:dyDescent="0.3">
      <c r="A401"/>
      <c r="B401"/>
      <c r="D401" t="str">
        <f t="shared" si="6"/>
        <v/>
      </c>
    </row>
    <row r="402" spans="1:4" x14ac:dyDescent="0.3">
      <c r="A402"/>
      <c r="B402"/>
      <c r="D402" t="str">
        <f t="shared" si="6"/>
        <v/>
      </c>
    </row>
    <row r="403" spans="1:4" x14ac:dyDescent="0.3">
      <c r="A403"/>
      <c r="B403"/>
      <c r="D403" t="str">
        <f t="shared" si="6"/>
        <v/>
      </c>
    </row>
    <row r="404" spans="1:4" x14ac:dyDescent="0.3">
      <c r="A404"/>
      <c r="B404"/>
      <c r="D404" t="str">
        <f t="shared" si="6"/>
        <v/>
      </c>
    </row>
    <row r="405" spans="1:4" x14ac:dyDescent="0.3">
      <c r="A405"/>
      <c r="B405"/>
      <c r="D405" t="str">
        <f t="shared" si="6"/>
        <v/>
      </c>
    </row>
    <row r="406" spans="1:4" x14ac:dyDescent="0.3">
      <c r="A406"/>
      <c r="B406"/>
      <c r="D406" t="str">
        <f t="shared" si="6"/>
        <v/>
      </c>
    </row>
    <row r="407" spans="1:4" x14ac:dyDescent="0.3">
      <c r="A407"/>
      <c r="B407"/>
      <c r="D407" t="str">
        <f t="shared" si="6"/>
        <v/>
      </c>
    </row>
    <row r="408" spans="1:4" x14ac:dyDescent="0.3">
      <c r="A408"/>
      <c r="B408"/>
      <c r="D408" t="str">
        <f t="shared" si="6"/>
        <v/>
      </c>
    </row>
    <row r="409" spans="1:4" x14ac:dyDescent="0.3">
      <c r="A409"/>
      <c r="B409"/>
      <c r="D409" t="str">
        <f t="shared" si="6"/>
        <v/>
      </c>
    </row>
    <row r="410" spans="1:4" x14ac:dyDescent="0.3">
      <c r="A410"/>
      <c r="B410"/>
      <c r="D410" t="str">
        <f t="shared" si="6"/>
        <v/>
      </c>
    </row>
    <row r="411" spans="1:4" x14ac:dyDescent="0.3">
      <c r="A411"/>
      <c r="B411"/>
      <c r="D411" t="str">
        <f t="shared" si="6"/>
        <v/>
      </c>
    </row>
    <row r="412" spans="1:4" x14ac:dyDescent="0.3">
      <c r="A412"/>
      <c r="B412"/>
      <c r="D412" t="str">
        <f t="shared" si="6"/>
        <v/>
      </c>
    </row>
    <row r="413" spans="1:4" x14ac:dyDescent="0.3">
      <c r="A413"/>
      <c r="B413"/>
      <c r="D413" t="str">
        <f t="shared" si="6"/>
        <v/>
      </c>
    </row>
    <row r="414" spans="1:4" x14ac:dyDescent="0.3">
      <c r="A414"/>
      <c r="B414"/>
      <c r="D414" t="str">
        <f t="shared" si="6"/>
        <v/>
      </c>
    </row>
    <row r="415" spans="1:4" x14ac:dyDescent="0.3">
      <c r="A415"/>
      <c r="B415"/>
      <c r="D415" t="str">
        <f t="shared" si="6"/>
        <v/>
      </c>
    </row>
    <row r="416" spans="1:4" x14ac:dyDescent="0.3">
      <c r="A416"/>
      <c r="B416"/>
      <c r="D416" t="str">
        <f t="shared" si="6"/>
        <v/>
      </c>
    </row>
    <row r="417" spans="1:4" x14ac:dyDescent="0.3">
      <c r="A417"/>
      <c r="B417"/>
      <c r="D417" t="str">
        <f t="shared" si="6"/>
        <v/>
      </c>
    </row>
    <row r="418" spans="1:4" x14ac:dyDescent="0.3">
      <c r="A418"/>
      <c r="B418"/>
      <c r="D418" t="str">
        <f t="shared" si="6"/>
        <v/>
      </c>
    </row>
    <row r="419" spans="1:4" x14ac:dyDescent="0.3">
      <c r="A419"/>
      <c r="B419"/>
      <c r="D419" t="str">
        <f t="shared" si="6"/>
        <v/>
      </c>
    </row>
    <row r="420" spans="1:4" x14ac:dyDescent="0.3">
      <c r="A420"/>
      <c r="B420"/>
      <c r="D420" t="str">
        <f t="shared" si="6"/>
        <v/>
      </c>
    </row>
    <row r="421" spans="1:4" x14ac:dyDescent="0.3">
      <c r="A421"/>
      <c r="B421"/>
      <c r="D421" t="str">
        <f t="shared" si="6"/>
        <v/>
      </c>
    </row>
    <row r="422" spans="1:4" x14ac:dyDescent="0.3">
      <c r="A422"/>
      <c r="B422"/>
      <c r="D422" t="str">
        <f t="shared" si="6"/>
        <v/>
      </c>
    </row>
    <row r="423" spans="1:4" x14ac:dyDescent="0.3">
      <c r="A423"/>
      <c r="B423"/>
      <c r="D423" t="str">
        <f t="shared" si="6"/>
        <v/>
      </c>
    </row>
    <row r="424" spans="1:4" x14ac:dyDescent="0.3">
      <c r="A424"/>
      <c r="B424"/>
      <c r="D424" t="str">
        <f t="shared" si="6"/>
        <v/>
      </c>
    </row>
    <row r="425" spans="1:4" x14ac:dyDescent="0.3">
      <c r="A425"/>
      <c r="B425"/>
      <c r="D425" t="str">
        <f t="shared" si="6"/>
        <v/>
      </c>
    </row>
    <row r="426" spans="1:4" x14ac:dyDescent="0.3">
      <c r="A426"/>
      <c r="B426"/>
      <c r="D426" t="str">
        <f t="shared" si="6"/>
        <v/>
      </c>
    </row>
    <row r="427" spans="1:4" x14ac:dyDescent="0.3">
      <c r="A427"/>
      <c r="B427"/>
      <c r="D427" t="str">
        <f t="shared" si="6"/>
        <v/>
      </c>
    </row>
    <row r="428" spans="1:4" x14ac:dyDescent="0.3">
      <c r="A428"/>
      <c r="B428"/>
      <c r="D428" t="str">
        <f t="shared" si="6"/>
        <v/>
      </c>
    </row>
    <row r="429" spans="1:4" x14ac:dyDescent="0.3">
      <c r="A429"/>
      <c r="B429"/>
      <c r="D429" t="str">
        <f t="shared" si="6"/>
        <v/>
      </c>
    </row>
    <row r="430" spans="1:4" x14ac:dyDescent="0.3">
      <c r="A430"/>
      <c r="B430"/>
      <c r="D430" t="str">
        <f t="shared" si="6"/>
        <v/>
      </c>
    </row>
    <row r="431" spans="1:4" x14ac:dyDescent="0.3">
      <c r="A431"/>
      <c r="B431"/>
      <c r="D431" t="str">
        <f t="shared" si="6"/>
        <v/>
      </c>
    </row>
    <row r="432" spans="1:4" x14ac:dyDescent="0.3">
      <c r="A432"/>
      <c r="B432"/>
      <c r="D432" t="str">
        <f t="shared" si="6"/>
        <v/>
      </c>
    </row>
    <row r="433" spans="1:4" x14ac:dyDescent="0.3">
      <c r="A433"/>
      <c r="B433"/>
      <c r="D433" t="str">
        <f t="shared" si="6"/>
        <v/>
      </c>
    </row>
    <row r="434" spans="1:4" x14ac:dyDescent="0.3">
      <c r="A434"/>
      <c r="B434"/>
      <c r="D434" t="str">
        <f t="shared" si="6"/>
        <v/>
      </c>
    </row>
    <row r="435" spans="1:4" x14ac:dyDescent="0.3">
      <c r="A435"/>
      <c r="B435"/>
      <c r="D435" t="str">
        <f t="shared" si="6"/>
        <v/>
      </c>
    </row>
    <row r="436" spans="1:4" x14ac:dyDescent="0.3">
      <c r="A436"/>
      <c r="B436"/>
      <c r="D436" t="str">
        <f t="shared" si="6"/>
        <v/>
      </c>
    </row>
    <row r="437" spans="1:4" x14ac:dyDescent="0.3">
      <c r="A437"/>
      <c r="B437"/>
      <c r="D437" t="str">
        <f t="shared" si="6"/>
        <v/>
      </c>
    </row>
    <row r="438" spans="1:4" x14ac:dyDescent="0.3">
      <c r="A438"/>
      <c r="B438"/>
      <c r="D438" t="str">
        <f t="shared" si="6"/>
        <v/>
      </c>
    </row>
    <row r="439" spans="1:4" x14ac:dyDescent="0.3">
      <c r="A439"/>
      <c r="B439"/>
      <c r="D439" t="str">
        <f t="shared" si="6"/>
        <v/>
      </c>
    </row>
    <row r="440" spans="1:4" x14ac:dyDescent="0.3">
      <c r="A440"/>
      <c r="B440"/>
      <c r="D440" t="str">
        <f t="shared" si="6"/>
        <v/>
      </c>
    </row>
    <row r="441" spans="1:4" x14ac:dyDescent="0.3">
      <c r="A441"/>
      <c r="B441"/>
      <c r="D441" t="str">
        <f t="shared" si="6"/>
        <v/>
      </c>
    </row>
    <row r="442" spans="1:4" x14ac:dyDescent="0.3">
      <c r="A442"/>
      <c r="B442"/>
      <c r="D442" t="str">
        <f t="shared" si="6"/>
        <v/>
      </c>
    </row>
    <row r="443" spans="1:4" x14ac:dyDescent="0.3">
      <c r="A443"/>
      <c r="B443"/>
      <c r="D443" t="str">
        <f t="shared" si="6"/>
        <v/>
      </c>
    </row>
    <row r="444" spans="1:4" x14ac:dyDescent="0.3">
      <c r="A444"/>
      <c r="B444"/>
      <c r="D444" t="str">
        <f t="shared" si="6"/>
        <v/>
      </c>
    </row>
    <row r="445" spans="1:4" x14ac:dyDescent="0.3">
      <c r="A445"/>
      <c r="B445"/>
      <c r="D445" t="str">
        <f t="shared" si="6"/>
        <v/>
      </c>
    </row>
    <row r="446" spans="1:4" x14ac:dyDescent="0.3">
      <c r="A446"/>
      <c r="B446"/>
      <c r="D446" t="str">
        <f t="shared" si="6"/>
        <v/>
      </c>
    </row>
    <row r="447" spans="1:4" x14ac:dyDescent="0.3">
      <c r="A447"/>
      <c r="B447"/>
      <c r="D447" t="str">
        <f t="shared" si="6"/>
        <v/>
      </c>
    </row>
    <row r="448" spans="1:4" x14ac:dyDescent="0.3">
      <c r="A448"/>
      <c r="B448"/>
      <c r="D448" t="str">
        <f t="shared" si="6"/>
        <v/>
      </c>
    </row>
    <row r="449" spans="1:4" x14ac:dyDescent="0.3">
      <c r="A449"/>
      <c r="B449"/>
      <c r="D449" t="str">
        <f t="shared" si="6"/>
        <v/>
      </c>
    </row>
    <row r="450" spans="1:4" x14ac:dyDescent="0.3">
      <c r="A450"/>
      <c r="B450"/>
      <c r="D450" t="str">
        <f t="shared" si="6"/>
        <v/>
      </c>
    </row>
    <row r="451" spans="1:4" x14ac:dyDescent="0.3">
      <c r="A451"/>
      <c r="B451"/>
      <c r="D451" t="str">
        <f t="shared" ref="D451:D514" si="7">CONCATENATE(A451,B451,C451)</f>
        <v/>
      </c>
    </row>
    <row r="452" spans="1:4" x14ac:dyDescent="0.3">
      <c r="A452"/>
      <c r="B452"/>
      <c r="D452" t="str">
        <f t="shared" si="7"/>
        <v/>
      </c>
    </row>
    <row r="453" spans="1:4" x14ac:dyDescent="0.3">
      <c r="A453"/>
      <c r="B453"/>
      <c r="D453" t="str">
        <f t="shared" si="7"/>
        <v/>
      </c>
    </row>
    <row r="454" spans="1:4" x14ac:dyDescent="0.3">
      <c r="A454"/>
      <c r="B454"/>
      <c r="D454" t="str">
        <f t="shared" si="7"/>
        <v/>
      </c>
    </row>
    <row r="455" spans="1:4" x14ac:dyDescent="0.3">
      <c r="A455"/>
      <c r="B455"/>
      <c r="D455" t="str">
        <f t="shared" si="7"/>
        <v/>
      </c>
    </row>
    <row r="456" spans="1:4" x14ac:dyDescent="0.3">
      <c r="A456"/>
      <c r="B456"/>
      <c r="D456" t="str">
        <f t="shared" si="7"/>
        <v/>
      </c>
    </row>
    <row r="457" spans="1:4" x14ac:dyDescent="0.3">
      <c r="A457"/>
      <c r="B457"/>
      <c r="D457" t="str">
        <f t="shared" si="7"/>
        <v/>
      </c>
    </row>
    <row r="458" spans="1:4" x14ac:dyDescent="0.3">
      <c r="A458"/>
      <c r="B458"/>
      <c r="D458" t="str">
        <f t="shared" si="7"/>
        <v/>
      </c>
    </row>
    <row r="459" spans="1:4" x14ac:dyDescent="0.3">
      <c r="A459"/>
      <c r="B459"/>
      <c r="D459" t="str">
        <f t="shared" si="7"/>
        <v/>
      </c>
    </row>
    <row r="460" spans="1:4" x14ac:dyDescent="0.3">
      <c r="A460"/>
      <c r="B460"/>
      <c r="D460" t="str">
        <f t="shared" si="7"/>
        <v/>
      </c>
    </row>
    <row r="461" spans="1:4" x14ac:dyDescent="0.3">
      <c r="A461"/>
      <c r="B461"/>
      <c r="D461" t="str">
        <f t="shared" si="7"/>
        <v/>
      </c>
    </row>
    <row r="462" spans="1:4" x14ac:dyDescent="0.3">
      <c r="A462"/>
      <c r="B462"/>
      <c r="D462" t="str">
        <f t="shared" si="7"/>
        <v/>
      </c>
    </row>
    <row r="463" spans="1:4" x14ac:dyDescent="0.3">
      <c r="A463"/>
      <c r="B463"/>
      <c r="D463" t="str">
        <f t="shared" si="7"/>
        <v/>
      </c>
    </row>
    <row r="464" spans="1:4" x14ac:dyDescent="0.3">
      <c r="A464"/>
      <c r="B464"/>
      <c r="D464" t="str">
        <f t="shared" si="7"/>
        <v/>
      </c>
    </row>
    <row r="465" spans="1:4" x14ac:dyDescent="0.3">
      <c r="A465"/>
      <c r="B465"/>
      <c r="D465" t="str">
        <f t="shared" si="7"/>
        <v/>
      </c>
    </row>
    <row r="466" spans="1:4" x14ac:dyDescent="0.3">
      <c r="A466"/>
      <c r="B466"/>
      <c r="D466" t="str">
        <f t="shared" si="7"/>
        <v/>
      </c>
    </row>
    <row r="467" spans="1:4" x14ac:dyDescent="0.3">
      <c r="A467"/>
      <c r="B467"/>
      <c r="D467" t="str">
        <f t="shared" si="7"/>
        <v/>
      </c>
    </row>
    <row r="468" spans="1:4" x14ac:dyDescent="0.3">
      <c r="A468"/>
      <c r="B468"/>
      <c r="D468" t="str">
        <f t="shared" si="7"/>
        <v/>
      </c>
    </row>
    <row r="469" spans="1:4" x14ac:dyDescent="0.3">
      <c r="A469"/>
      <c r="B469"/>
      <c r="D469" t="str">
        <f t="shared" si="7"/>
        <v/>
      </c>
    </row>
    <row r="470" spans="1:4" x14ac:dyDescent="0.3">
      <c r="A470"/>
      <c r="B470"/>
      <c r="D470" t="str">
        <f t="shared" si="7"/>
        <v/>
      </c>
    </row>
    <row r="471" spans="1:4" x14ac:dyDescent="0.3">
      <c r="A471"/>
      <c r="B471"/>
      <c r="D471" t="str">
        <f t="shared" si="7"/>
        <v/>
      </c>
    </row>
    <row r="472" spans="1:4" x14ac:dyDescent="0.3">
      <c r="A472"/>
      <c r="B472"/>
      <c r="D472" t="str">
        <f t="shared" si="7"/>
        <v/>
      </c>
    </row>
    <row r="473" spans="1:4" x14ac:dyDescent="0.3">
      <c r="A473"/>
      <c r="B473"/>
      <c r="D473" t="str">
        <f t="shared" si="7"/>
        <v/>
      </c>
    </row>
    <row r="474" spans="1:4" x14ac:dyDescent="0.3">
      <c r="A474"/>
      <c r="B474"/>
      <c r="D474" t="str">
        <f t="shared" si="7"/>
        <v/>
      </c>
    </row>
    <row r="475" spans="1:4" x14ac:dyDescent="0.3">
      <c r="A475"/>
      <c r="B475"/>
      <c r="D475" t="str">
        <f t="shared" si="7"/>
        <v/>
      </c>
    </row>
    <row r="476" spans="1:4" x14ac:dyDescent="0.3">
      <c r="A476"/>
      <c r="B476"/>
      <c r="D476" t="str">
        <f t="shared" si="7"/>
        <v/>
      </c>
    </row>
    <row r="477" spans="1:4" x14ac:dyDescent="0.3">
      <c r="A477"/>
      <c r="B477"/>
      <c r="D477" t="str">
        <f t="shared" si="7"/>
        <v/>
      </c>
    </row>
    <row r="478" spans="1:4" x14ac:dyDescent="0.3">
      <c r="A478"/>
      <c r="B478"/>
      <c r="D478" t="str">
        <f t="shared" si="7"/>
        <v/>
      </c>
    </row>
    <row r="479" spans="1:4" x14ac:dyDescent="0.3">
      <c r="A479"/>
      <c r="B479"/>
      <c r="D479" t="str">
        <f t="shared" si="7"/>
        <v/>
      </c>
    </row>
    <row r="480" spans="1:4" x14ac:dyDescent="0.3">
      <c r="A480"/>
      <c r="B480"/>
      <c r="D480" t="str">
        <f t="shared" si="7"/>
        <v/>
      </c>
    </row>
    <row r="481" spans="1:4" x14ac:dyDescent="0.3">
      <c r="A481"/>
      <c r="B481"/>
      <c r="D481" t="str">
        <f t="shared" si="7"/>
        <v/>
      </c>
    </row>
    <row r="482" spans="1:4" x14ac:dyDescent="0.3">
      <c r="A482"/>
      <c r="B482"/>
      <c r="D482" t="str">
        <f t="shared" si="7"/>
        <v/>
      </c>
    </row>
    <row r="483" spans="1:4" x14ac:dyDescent="0.3">
      <c r="A483"/>
      <c r="B483"/>
      <c r="D483" t="str">
        <f t="shared" si="7"/>
        <v/>
      </c>
    </row>
    <row r="484" spans="1:4" x14ac:dyDescent="0.3">
      <c r="A484"/>
      <c r="B484"/>
      <c r="D484" t="str">
        <f t="shared" si="7"/>
        <v/>
      </c>
    </row>
    <row r="485" spans="1:4" x14ac:dyDescent="0.3">
      <c r="A485"/>
      <c r="B485"/>
      <c r="D485" t="str">
        <f t="shared" si="7"/>
        <v/>
      </c>
    </row>
    <row r="486" spans="1:4" x14ac:dyDescent="0.3">
      <c r="A486"/>
      <c r="B486"/>
      <c r="D486" t="str">
        <f t="shared" si="7"/>
        <v/>
      </c>
    </row>
    <row r="487" spans="1:4" x14ac:dyDescent="0.3">
      <c r="A487"/>
      <c r="B487"/>
      <c r="D487" t="str">
        <f t="shared" si="7"/>
        <v/>
      </c>
    </row>
    <row r="488" spans="1:4" x14ac:dyDescent="0.3">
      <c r="A488"/>
      <c r="B488"/>
      <c r="D488" t="str">
        <f t="shared" si="7"/>
        <v/>
      </c>
    </row>
    <row r="489" spans="1:4" x14ac:dyDescent="0.3">
      <c r="A489"/>
      <c r="B489"/>
      <c r="D489" t="str">
        <f t="shared" si="7"/>
        <v/>
      </c>
    </row>
    <row r="490" spans="1:4" x14ac:dyDescent="0.3">
      <c r="A490"/>
      <c r="B490"/>
      <c r="D490" t="str">
        <f t="shared" si="7"/>
        <v/>
      </c>
    </row>
    <row r="491" spans="1:4" x14ac:dyDescent="0.3">
      <c r="A491"/>
      <c r="B491"/>
      <c r="D491" t="str">
        <f t="shared" si="7"/>
        <v/>
      </c>
    </row>
    <row r="492" spans="1:4" x14ac:dyDescent="0.3">
      <c r="A492"/>
      <c r="B492"/>
      <c r="D492" t="str">
        <f t="shared" si="7"/>
        <v/>
      </c>
    </row>
    <row r="493" spans="1:4" x14ac:dyDescent="0.3">
      <c r="A493"/>
      <c r="B493"/>
      <c r="D493" t="str">
        <f t="shared" si="7"/>
        <v/>
      </c>
    </row>
    <row r="494" spans="1:4" x14ac:dyDescent="0.3">
      <c r="A494"/>
      <c r="B494"/>
      <c r="D494" t="str">
        <f t="shared" si="7"/>
        <v/>
      </c>
    </row>
    <row r="495" spans="1:4" x14ac:dyDescent="0.3">
      <c r="A495"/>
      <c r="B495"/>
      <c r="D495" t="str">
        <f t="shared" si="7"/>
        <v/>
      </c>
    </row>
    <row r="496" spans="1:4" x14ac:dyDescent="0.3">
      <c r="A496"/>
      <c r="B496"/>
      <c r="D496" t="str">
        <f t="shared" si="7"/>
        <v/>
      </c>
    </row>
    <row r="497" spans="1:4" x14ac:dyDescent="0.3">
      <c r="A497"/>
      <c r="B497"/>
      <c r="D497" t="str">
        <f t="shared" si="7"/>
        <v/>
      </c>
    </row>
    <row r="498" spans="1:4" x14ac:dyDescent="0.3">
      <c r="A498"/>
      <c r="B498"/>
      <c r="D498" t="str">
        <f t="shared" si="7"/>
        <v/>
      </c>
    </row>
    <row r="499" spans="1:4" x14ac:dyDescent="0.3">
      <c r="A499"/>
      <c r="B499"/>
      <c r="D499" t="str">
        <f t="shared" si="7"/>
        <v/>
      </c>
    </row>
    <row r="500" spans="1:4" x14ac:dyDescent="0.3">
      <c r="A500"/>
      <c r="B500"/>
      <c r="D500" t="str">
        <f t="shared" si="7"/>
        <v/>
      </c>
    </row>
    <row r="501" spans="1:4" x14ac:dyDescent="0.3">
      <c r="A501"/>
      <c r="B501"/>
      <c r="D501" t="str">
        <f t="shared" si="7"/>
        <v/>
      </c>
    </row>
    <row r="502" spans="1:4" x14ac:dyDescent="0.3">
      <c r="A502"/>
      <c r="B502"/>
      <c r="D502" t="str">
        <f t="shared" si="7"/>
        <v/>
      </c>
    </row>
    <row r="503" spans="1:4" x14ac:dyDescent="0.3">
      <c r="A503"/>
      <c r="B503"/>
      <c r="D503" t="str">
        <f t="shared" si="7"/>
        <v/>
      </c>
    </row>
    <row r="504" spans="1:4" x14ac:dyDescent="0.3">
      <c r="A504"/>
      <c r="B504"/>
      <c r="D504" t="str">
        <f t="shared" si="7"/>
        <v/>
      </c>
    </row>
    <row r="505" spans="1:4" x14ac:dyDescent="0.3">
      <c r="A505"/>
      <c r="B505"/>
      <c r="D505" t="str">
        <f t="shared" si="7"/>
        <v/>
      </c>
    </row>
    <row r="506" spans="1:4" x14ac:dyDescent="0.3">
      <c r="A506"/>
      <c r="B506"/>
      <c r="D506" t="str">
        <f t="shared" si="7"/>
        <v/>
      </c>
    </row>
    <row r="507" spans="1:4" x14ac:dyDescent="0.3">
      <c r="A507"/>
      <c r="B507"/>
      <c r="D507" t="str">
        <f t="shared" si="7"/>
        <v/>
      </c>
    </row>
    <row r="508" spans="1:4" x14ac:dyDescent="0.3">
      <c r="A508"/>
      <c r="B508"/>
      <c r="D508" t="str">
        <f t="shared" si="7"/>
        <v/>
      </c>
    </row>
    <row r="509" spans="1:4" x14ac:dyDescent="0.3">
      <c r="A509"/>
      <c r="B509"/>
      <c r="D509" t="str">
        <f t="shared" si="7"/>
        <v/>
      </c>
    </row>
    <row r="510" spans="1:4" x14ac:dyDescent="0.3">
      <c r="A510"/>
      <c r="B510"/>
      <c r="D510" t="str">
        <f t="shared" si="7"/>
        <v/>
      </c>
    </row>
    <row r="511" spans="1:4" x14ac:dyDescent="0.3">
      <c r="A511"/>
      <c r="B511"/>
      <c r="D511" t="str">
        <f t="shared" si="7"/>
        <v/>
      </c>
    </row>
    <row r="512" spans="1:4" x14ac:dyDescent="0.3">
      <c r="A512"/>
      <c r="B512"/>
      <c r="D512" t="str">
        <f t="shared" si="7"/>
        <v/>
      </c>
    </row>
    <row r="513" spans="1:4" x14ac:dyDescent="0.3">
      <c r="A513"/>
      <c r="B513"/>
      <c r="D513" t="str">
        <f t="shared" si="7"/>
        <v/>
      </c>
    </row>
    <row r="514" spans="1:4" x14ac:dyDescent="0.3">
      <c r="A514"/>
      <c r="B514"/>
      <c r="D514" t="str">
        <f t="shared" si="7"/>
        <v/>
      </c>
    </row>
    <row r="515" spans="1:4" x14ac:dyDescent="0.3">
      <c r="A515"/>
      <c r="B515"/>
      <c r="D515" t="str">
        <f t="shared" ref="D515:D578" si="8">CONCATENATE(A515,B515,C515)</f>
        <v/>
      </c>
    </row>
    <row r="516" spans="1:4" x14ac:dyDescent="0.3">
      <c r="A516"/>
      <c r="B516"/>
      <c r="D516" t="str">
        <f t="shared" si="8"/>
        <v/>
      </c>
    </row>
    <row r="517" spans="1:4" x14ac:dyDescent="0.3">
      <c r="A517"/>
      <c r="B517"/>
      <c r="D517" t="str">
        <f t="shared" si="8"/>
        <v/>
      </c>
    </row>
    <row r="518" spans="1:4" x14ac:dyDescent="0.3">
      <c r="A518"/>
      <c r="B518"/>
      <c r="D518" t="str">
        <f t="shared" si="8"/>
        <v/>
      </c>
    </row>
    <row r="519" spans="1:4" x14ac:dyDescent="0.3">
      <c r="A519"/>
      <c r="B519"/>
      <c r="D519" t="str">
        <f t="shared" si="8"/>
        <v/>
      </c>
    </row>
    <row r="520" spans="1:4" x14ac:dyDescent="0.3">
      <c r="A520"/>
      <c r="B520"/>
      <c r="D520" t="str">
        <f t="shared" si="8"/>
        <v/>
      </c>
    </row>
    <row r="521" spans="1:4" x14ac:dyDescent="0.3">
      <c r="A521"/>
      <c r="B521"/>
      <c r="D521" t="str">
        <f t="shared" si="8"/>
        <v/>
      </c>
    </row>
    <row r="522" spans="1:4" x14ac:dyDescent="0.3">
      <c r="A522"/>
      <c r="B522"/>
      <c r="D522" t="str">
        <f t="shared" si="8"/>
        <v/>
      </c>
    </row>
    <row r="523" spans="1:4" x14ac:dyDescent="0.3">
      <c r="A523"/>
      <c r="B523"/>
      <c r="D523" t="str">
        <f t="shared" si="8"/>
        <v/>
      </c>
    </row>
    <row r="524" spans="1:4" x14ac:dyDescent="0.3">
      <c r="A524"/>
      <c r="B524"/>
      <c r="D524" t="str">
        <f t="shared" si="8"/>
        <v/>
      </c>
    </row>
    <row r="525" spans="1:4" x14ac:dyDescent="0.3">
      <c r="A525"/>
      <c r="B525"/>
      <c r="D525" t="str">
        <f t="shared" si="8"/>
        <v/>
      </c>
    </row>
    <row r="526" spans="1:4" x14ac:dyDescent="0.3">
      <c r="A526"/>
      <c r="B526"/>
      <c r="D526" t="str">
        <f t="shared" si="8"/>
        <v/>
      </c>
    </row>
    <row r="527" spans="1:4" x14ac:dyDescent="0.3">
      <c r="A527"/>
      <c r="B527"/>
      <c r="D527" t="str">
        <f t="shared" si="8"/>
        <v/>
      </c>
    </row>
    <row r="528" spans="1:4" x14ac:dyDescent="0.3">
      <c r="A528"/>
      <c r="B528"/>
      <c r="D528" t="str">
        <f t="shared" si="8"/>
        <v/>
      </c>
    </row>
    <row r="529" spans="1:4" x14ac:dyDescent="0.3">
      <c r="A529"/>
      <c r="B529"/>
      <c r="D529" t="str">
        <f t="shared" si="8"/>
        <v/>
      </c>
    </row>
    <row r="530" spans="1:4" x14ac:dyDescent="0.3">
      <c r="A530"/>
      <c r="B530"/>
      <c r="D530" t="str">
        <f t="shared" si="8"/>
        <v/>
      </c>
    </row>
    <row r="531" spans="1:4" x14ac:dyDescent="0.3">
      <c r="A531"/>
      <c r="B531"/>
      <c r="D531" t="str">
        <f t="shared" si="8"/>
        <v/>
      </c>
    </row>
    <row r="532" spans="1:4" x14ac:dyDescent="0.3">
      <c r="A532"/>
      <c r="B532"/>
      <c r="D532" t="str">
        <f t="shared" si="8"/>
        <v/>
      </c>
    </row>
    <row r="533" spans="1:4" x14ac:dyDescent="0.3">
      <c r="A533"/>
      <c r="B533"/>
      <c r="D533" t="str">
        <f t="shared" si="8"/>
        <v/>
      </c>
    </row>
    <row r="534" spans="1:4" x14ac:dyDescent="0.3">
      <c r="A534"/>
      <c r="B534"/>
      <c r="D534" t="str">
        <f t="shared" si="8"/>
        <v/>
      </c>
    </row>
    <row r="535" spans="1:4" x14ac:dyDescent="0.3">
      <c r="A535"/>
      <c r="B535"/>
      <c r="D535" t="str">
        <f t="shared" si="8"/>
        <v/>
      </c>
    </row>
    <row r="536" spans="1:4" x14ac:dyDescent="0.3">
      <c r="A536"/>
      <c r="B536"/>
      <c r="D536" t="str">
        <f t="shared" si="8"/>
        <v/>
      </c>
    </row>
    <row r="537" spans="1:4" x14ac:dyDescent="0.3">
      <c r="A537"/>
      <c r="B537"/>
      <c r="D537" t="str">
        <f t="shared" si="8"/>
        <v/>
      </c>
    </row>
    <row r="538" spans="1:4" x14ac:dyDescent="0.3">
      <c r="A538"/>
      <c r="B538"/>
      <c r="D538" t="str">
        <f t="shared" si="8"/>
        <v/>
      </c>
    </row>
    <row r="539" spans="1:4" x14ac:dyDescent="0.3">
      <c r="A539"/>
      <c r="B539"/>
      <c r="D539" t="str">
        <f t="shared" si="8"/>
        <v/>
      </c>
    </row>
    <row r="540" spans="1:4" x14ac:dyDescent="0.3">
      <c r="A540"/>
      <c r="B540"/>
      <c r="D540" t="str">
        <f t="shared" si="8"/>
        <v/>
      </c>
    </row>
    <row r="541" spans="1:4" x14ac:dyDescent="0.3">
      <c r="A541"/>
      <c r="B541"/>
      <c r="D541" t="str">
        <f t="shared" si="8"/>
        <v/>
      </c>
    </row>
    <row r="542" spans="1:4" x14ac:dyDescent="0.3">
      <c r="A542"/>
      <c r="B542"/>
      <c r="D542" t="str">
        <f t="shared" si="8"/>
        <v/>
      </c>
    </row>
    <row r="543" spans="1:4" x14ac:dyDescent="0.3">
      <c r="A543"/>
      <c r="B543"/>
      <c r="D543" t="str">
        <f t="shared" si="8"/>
        <v/>
      </c>
    </row>
    <row r="544" spans="1:4" x14ac:dyDescent="0.3">
      <c r="A544"/>
      <c r="B544"/>
      <c r="D544" t="str">
        <f t="shared" si="8"/>
        <v/>
      </c>
    </row>
    <row r="545" spans="1:4" x14ac:dyDescent="0.3">
      <c r="A545"/>
      <c r="B545"/>
      <c r="D545" t="str">
        <f t="shared" si="8"/>
        <v/>
      </c>
    </row>
    <row r="546" spans="1:4" x14ac:dyDescent="0.3">
      <c r="A546"/>
      <c r="B546"/>
      <c r="D546" t="str">
        <f t="shared" si="8"/>
        <v/>
      </c>
    </row>
    <row r="547" spans="1:4" x14ac:dyDescent="0.3">
      <c r="A547"/>
      <c r="B547"/>
      <c r="D547" t="str">
        <f t="shared" si="8"/>
        <v/>
      </c>
    </row>
    <row r="548" spans="1:4" x14ac:dyDescent="0.3">
      <c r="A548"/>
      <c r="B548"/>
      <c r="D548" t="str">
        <f t="shared" si="8"/>
        <v/>
      </c>
    </row>
    <row r="549" spans="1:4" x14ac:dyDescent="0.3">
      <c r="A549"/>
      <c r="B549"/>
      <c r="D549" t="str">
        <f t="shared" si="8"/>
        <v/>
      </c>
    </row>
    <row r="550" spans="1:4" x14ac:dyDescent="0.3">
      <c r="A550"/>
      <c r="B550"/>
      <c r="D550" t="str">
        <f t="shared" si="8"/>
        <v/>
      </c>
    </row>
    <row r="551" spans="1:4" x14ac:dyDescent="0.3">
      <c r="A551"/>
      <c r="B551"/>
      <c r="D551" t="str">
        <f t="shared" si="8"/>
        <v/>
      </c>
    </row>
    <row r="552" spans="1:4" x14ac:dyDescent="0.3">
      <c r="A552"/>
      <c r="B552"/>
      <c r="D552" t="str">
        <f t="shared" si="8"/>
        <v/>
      </c>
    </row>
    <row r="553" spans="1:4" x14ac:dyDescent="0.3">
      <c r="A553"/>
      <c r="B553"/>
      <c r="D553" t="str">
        <f t="shared" si="8"/>
        <v/>
      </c>
    </row>
    <row r="554" spans="1:4" x14ac:dyDescent="0.3">
      <c r="A554"/>
      <c r="B554"/>
      <c r="D554" t="str">
        <f t="shared" si="8"/>
        <v/>
      </c>
    </row>
    <row r="555" spans="1:4" x14ac:dyDescent="0.3">
      <c r="A555"/>
      <c r="B555"/>
      <c r="D555" t="str">
        <f t="shared" si="8"/>
        <v/>
      </c>
    </row>
    <row r="556" spans="1:4" x14ac:dyDescent="0.3">
      <c r="A556"/>
      <c r="B556"/>
      <c r="D556" t="str">
        <f t="shared" si="8"/>
        <v/>
      </c>
    </row>
    <row r="557" spans="1:4" x14ac:dyDescent="0.3">
      <c r="A557"/>
      <c r="B557"/>
      <c r="D557" t="str">
        <f t="shared" si="8"/>
        <v/>
      </c>
    </row>
    <row r="558" spans="1:4" x14ac:dyDescent="0.3">
      <c r="A558"/>
      <c r="B558"/>
      <c r="D558" t="str">
        <f t="shared" si="8"/>
        <v/>
      </c>
    </row>
    <row r="559" spans="1:4" x14ac:dyDescent="0.3">
      <c r="A559"/>
      <c r="B559"/>
      <c r="D559" t="str">
        <f t="shared" si="8"/>
        <v/>
      </c>
    </row>
    <row r="560" spans="1:4" x14ac:dyDescent="0.3">
      <c r="A560"/>
      <c r="B560"/>
      <c r="D560" t="str">
        <f t="shared" si="8"/>
        <v/>
      </c>
    </row>
    <row r="561" spans="1:4" x14ac:dyDescent="0.3">
      <c r="A561"/>
      <c r="B561"/>
      <c r="D561" t="str">
        <f t="shared" si="8"/>
        <v/>
      </c>
    </row>
    <row r="562" spans="1:4" x14ac:dyDescent="0.3">
      <c r="A562"/>
      <c r="B562"/>
      <c r="D562" t="str">
        <f t="shared" si="8"/>
        <v/>
      </c>
    </row>
    <row r="563" spans="1:4" x14ac:dyDescent="0.3">
      <c r="A563"/>
      <c r="B563"/>
      <c r="D563" t="str">
        <f t="shared" si="8"/>
        <v/>
      </c>
    </row>
    <row r="564" spans="1:4" x14ac:dyDescent="0.3">
      <c r="A564"/>
      <c r="B564"/>
      <c r="D564" t="str">
        <f t="shared" si="8"/>
        <v/>
      </c>
    </row>
    <row r="565" spans="1:4" x14ac:dyDescent="0.3">
      <c r="A565"/>
      <c r="B565"/>
      <c r="D565" t="str">
        <f t="shared" si="8"/>
        <v/>
      </c>
    </row>
    <row r="566" spans="1:4" x14ac:dyDescent="0.3">
      <c r="A566"/>
      <c r="B566"/>
      <c r="D566" t="str">
        <f t="shared" si="8"/>
        <v/>
      </c>
    </row>
    <row r="567" spans="1:4" x14ac:dyDescent="0.3">
      <c r="A567"/>
      <c r="B567"/>
      <c r="D567" t="str">
        <f t="shared" si="8"/>
        <v/>
      </c>
    </row>
    <row r="568" spans="1:4" x14ac:dyDescent="0.3">
      <c r="A568"/>
      <c r="B568"/>
      <c r="D568" t="str">
        <f t="shared" si="8"/>
        <v/>
      </c>
    </row>
    <row r="569" spans="1:4" x14ac:dyDescent="0.3">
      <c r="A569"/>
      <c r="B569"/>
      <c r="D569" t="str">
        <f t="shared" si="8"/>
        <v/>
      </c>
    </row>
    <row r="570" spans="1:4" x14ac:dyDescent="0.3">
      <c r="A570"/>
      <c r="B570"/>
      <c r="D570" t="str">
        <f t="shared" si="8"/>
        <v/>
      </c>
    </row>
    <row r="571" spans="1:4" x14ac:dyDescent="0.3">
      <c r="A571"/>
      <c r="B571"/>
      <c r="D571" t="str">
        <f t="shared" si="8"/>
        <v/>
      </c>
    </row>
    <row r="572" spans="1:4" x14ac:dyDescent="0.3">
      <c r="A572"/>
      <c r="B572"/>
      <c r="D572" t="str">
        <f t="shared" si="8"/>
        <v/>
      </c>
    </row>
    <row r="573" spans="1:4" x14ac:dyDescent="0.3">
      <c r="A573"/>
      <c r="B573"/>
      <c r="D573" t="str">
        <f t="shared" si="8"/>
        <v/>
      </c>
    </row>
    <row r="574" spans="1:4" x14ac:dyDescent="0.3">
      <c r="A574"/>
      <c r="B574"/>
      <c r="D574" t="str">
        <f t="shared" si="8"/>
        <v/>
      </c>
    </row>
    <row r="575" spans="1:4" x14ac:dyDescent="0.3">
      <c r="A575"/>
      <c r="B575"/>
      <c r="D575" t="str">
        <f t="shared" si="8"/>
        <v/>
      </c>
    </row>
    <row r="576" spans="1:4" x14ac:dyDescent="0.3">
      <c r="A576"/>
      <c r="B576"/>
      <c r="D576" t="str">
        <f t="shared" si="8"/>
        <v/>
      </c>
    </row>
    <row r="577" spans="1:4" x14ac:dyDescent="0.3">
      <c r="A577"/>
      <c r="B577"/>
      <c r="D577" t="str">
        <f t="shared" si="8"/>
        <v/>
      </c>
    </row>
    <row r="578" spans="1:4" x14ac:dyDescent="0.3">
      <c r="A578"/>
      <c r="B578"/>
      <c r="D578" t="str">
        <f t="shared" si="8"/>
        <v/>
      </c>
    </row>
    <row r="579" spans="1:4" x14ac:dyDescent="0.3">
      <c r="A579"/>
      <c r="B579"/>
      <c r="D579" t="str">
        <f t="shared" ref="D579:D642" si="9">CONCATENATE(A579,B579,C579)</f>
        <v/>
      </c>
    </row>
    <row r="580" spans="1:4" x14ac:dyDescent="0.3">
      <c r="A580"/>
      <c r="B580"/>
      <c r="D580" t="str">
        <f t="shared" si="9"/>
        <v/>
      </c>
    </row>
    <row r="581" spans="1:4" x14ac:dyDescent="0.3">
      <c r="A581"/>
      <c r="B581"/>
      <c r="D581" t="str">
        <f t="shared" si="9"/>
        <v/>
      </c>
    </row>
    <row r="582" spans="1:4" x14ac:dyDescent="0.3">
      <c r="A582"/>
      <c r="B582"/>
      <c r="D582" t="str">
        <f t="shared" si="9"/>
        <v/>
      </c>
    </row>
    <row r="583" spans="1:4" x14ac:dyDescent="0.3">
      <c r="A583"/>
      <c r="B583"/>
      <c r="D583" t="str">
        <f t="shared" si="9"/>
        <v/>
      </c>
    </row>
    <row r="584" spans="1:4" x14ac:dyDescent="0.3">
      <c r="A584"/>
      <c r="B584"/>
      <c r="D584" t="str">
        <f t="shared" si="9"/>
        <v/>
      </c>
    </row>
    <row r="585" spans="1:4" x14ac:dyDescent="0.3">
      <c r="A585"/>
      <c r="B585"/>
      <c r="D585" t="str">
        <f t="shared" si="9"/>
        <v/>
      </c>
    </row>
    <row r="586" spans="1:4" x14ac:dyDescent="0.3">
      <c r="A586"/>
      <c r="B586"/>
      <c r="D586" t="str">
        <f t="shared" si="9"/>
        <v/>
      </c>
    </row>
    <row r="587" spans="1:4" x14ac:dyDescent="0.3">
      <c r="A587"/>
      <c r="B587"/>
      <c r="D587" t="str">
        <f t="shared" si="9"/>
        <v/>
      </c>
    </row>
    <row r="588" spans="1:4" x14ac:dyDescent="0.3">
      <c r="A588"/>
      <c r="B588"/>
      <c r="D588" t="str">
        <f t="shared" si="9"/>
        <v/>
      </c>
    </row>
    <row r="589" spans="1:4" x14ac:dyDescent="0.3">
      <c r="A589"/>
      <c r="B589"/>
      <c r="D589" t="str">
        <f t="shared" si="9"/>
        <v/>
      </c>
    </row>
    <row r="590" spans="1:4" x14ac:dyDescent="0.3">
      <c r="A590"/>
      <c r="B590"/>
      <c r="D590" t="str">
        <f t="shared" si="9"/>
        <v/>
      </c>
    </row>
    <row r="591" spans="1:4" x14ac:dyDescent="0.3">
      <c r="A591"/>
      <c r="B591"/>
      <c r="D591" t="str">
        <f t="shared" si="9"/>
        <v/>
      </c>
    </row>
    <row r="592" spans="1:4" x14ac:dyDescent="0.3">
      <c r="A592"/>
      <c r="B592"/>
      <c r="D592" t="str">
        <f t="shared" si="9"/>
        <v/>
      </c>
    </row>
    <row r="593" spans="1:4" x14ac:dyDescent="0.3">
      <c r="A593"/>
      <c r="B593"/>
      <c r="D593" t="str">
        <f t="shared" si="9"/>
        <v/>
      </c>
    </row>
    <row r="594" spans="1:4" x14ac:dyDescent="0.3">
      <c r="A594"/>
      <c r="B594"/>
      <c r="D594" t="str">
        <f t="shared" si="9"/>
        <v/>
      </c>
    </row>
    <row r="595" spans="1:4" x14ac:dyDescent="0.3">
      <c r="A595"/>
      <c r="B595"/>
      <c r="D595" t="str">
        <f t="shared" si="9"/>
        <v/>
      </c>
    </row>
    <row r="596" spans="1:4" x14ac:dyDescent="0.3">
      <c r="A596"/>
      <c r="B596"/>
      <c r="D596" t="str">
        <f t="shared" si="9"/>
        <v/>
      </c>
    </row>
    <row r="597" spans="1:4" x14ac:dyDescent="0.3">
      <c r="A597"/>
      <c r="B597"/>
      <c r="D597" t="str">
        <f t="shared" si="9"/>
        <v/>
      </c>
    </row>
    <row r="598" spans="1:4" x14ac:dyDescent="0.3">
      <c r="A598"/>
      <c r="B598"/>
      <c r="D598" t="str">
        <f t="shared" si="9"/>
        <v/>
      </c>
    </row>
    <row r="599" spans="1:4" x14ac:dyDescent="0.3">
      <c r="A599"/>
      <c r="B599"/>
      <c r="D599" t="str">
        <f t="shared" si="9"/>
        <v/>
      </c>
    </row>
    <row r="600" spans="1:4" x14ac:dyDescent="0.3">
      <c r="A600"/>
      <c r="B600"/>
      <c r="D600" t="str">
        <f t="shared" si="9"/>
        <v/>
      </c>
    </row>
    <row r="601" spans="1:4" x14ac:dyDescent="0.3">
      <c r="A601"/>
      <c r="B601"/>
      <c r="D601" t="str">
        <f t="shared" si="9"/>
        <v/>
      </c>
    </row>
    <row r="602" spans="1:4" x14ac:dyDescent="0.3">
      <c r="A602"/>
      <c r="B602"/>
      <c r="D602" t="str">
        <f t="shared" si="9"/>
        <v/>
      </c>
    </row>
    <row r="603" spans="1:4" x14ac:dyDescent="0.3">
      <c r="A603"/>
      <c r="B603"/>
      <c r="D603" t="str">
        <f t="shared" si="9"/>
        <v/>
      </c>
    </row>
    <row r="604" spans="1:4" x14ac:dyDescent="0.3">
      <c r="A604"/>
      <c r="B604"/>
      <c r="D604" t="str">
        <f t="shared" si="9"/>
        <v/>
      </c>
    </row>
    <row r="605" spans="1:4" x14ac:dyDescent="0.3">
      <c r="A605"/>
      <c r="B605"/>
      <c r="D605" t="str">
        <f t="shared" si="9"/>
        <v/>
      </c>
    </row>
    <row r="606" spans="1:4" x14ac:dyDescent="0.3">
      <c r="A606"/>
      <c r="B606"/>
      <c r="D606" t="str">
        <f t="shared" si="9"/>
        <v/>
      </c>
    </row>
    <row r="607" spans="1:4" x14ac:dyDescent="0.3">
      <c r="A607"/>
      <c r="B607"/>
      <c r="D607" t="str">
        <f t="shared" si="9"/>
        <v/>
      </c>
    </row>
    <row r="608" spans="1:4" x14ac:dyDescent="0.3">
      <c r="A608"/>
      <c r="B608"/>
      <c r="D608" t="str">
        <f t="shared" si="9"/>
        <v/>
      </c>
    </row>
    <row r="609" spans="1:4" x14ac:dyDescent="0.3">
      <c r="A609"/>
      <c r="B609"/>
      <c r="D609" t="str">
        <f t="shared" si="9"/>
        <v/>
      </c>
    </row>
    <row r="610" spans="1:4" x14ac:dyDescent="0.3">
      <c r="A610"/>
      <c r="B610"/>
      <c r="D610" t="str">
        <f t="shared" si="9"/>
        <v/>
      </c>
    </row>
    <row r="611" spans="1:4" x14ac:dyDescent="0.3">
      <c r="A611"/>
      <c r="B611"/>
      <c r="D611" t="str">
        <f t="shared" si="9"/>
        <v/>
      </c>
    </row>
    <row r="612" spans="1:4" x14ac:dyDescent="0.3">
      <c r="A612"/>
      <c r="B612"/>
      <c r="D612" t="str">
        <f t="shared" si="9"/>
        <v/>
      </c>
    </row>
    <row r="613" spans="1:4" x14ac:dyDescent="0.3">
      <c r="A613"/>
      <c r="B613"/>
      <c r="D613" t="str">
        <f t="shared" si="9"/>
        <v/>
      </c>
    </row>
    <row r="614" spans="1:4" x14ac:dyDescent="0.3">
      <c r="A614"/>
      <c r="B614"/>
      <c r="D614" t="str">
        <f t="shared" si="9"/>
        <v/>
      </c>
    </row>
    <row r="615" spans="1:4" x14ac:dyDescent="0.3">
      <c r="A615"/>
      <c r="B615"/>
      <c r="D615" t="str">
        <f t="shared" si="9"/>
        <v/>
      </c>
    </row>
    <row r="616" spans="1:4" x14ac:dyDescent="0.3">
      <c r="A616"/>
      <c r="B616"/>
      <c r="D616" t="str">
        <f t="shared" si="9"/>
        <v/>
      </c>
    </row>
    <row r="617" spans="1:4" x14ac:dyDescent="0.3">
      <c r="A617"/>
      <c r="B617"/>
      <c r="D617" t="str">
        <f t="shared" si="9"/>
        <v/>
      </c>
    </row>
    <row r="618" spans="1:4" x14ac:dyDescent="0.3">
      <c r="A618"/>
      <c r="B618"/>
      <c r="D618" t="str">
        <f t="shared" si="9"/>
        <v/>
      </c>
    </row>
    <row r="619" spans="1:4" x14ac:dyDescent="0.3">
      <c r="A619"/>
      <c r="B619"/>
      <c r="D619" t="str">
        <f t="shared" si="9"/>
        <v/>
      </c>
    </row>
    <row r="620" spans="1:4" x14ac:dyDescent="0.3">
      <c r="A620"/>
      <c r="B620"/>
      <c r="D620" t="str">
        <f t="shared" si="9"/>
        <v/>
      </c>
    </row>
    <row r="621" spans="1:4" x14ac:dyDescent="0.3">
      <c r="A621"/>
      <c r="B621"/>
      <c r="D621" t="str">
        <f t="shared" si="9"/>
        <v/>
      </c>
    </row>
    <row r="622" spans="1:4" x14ac:dyDescent="0.3">
      <c r="A622"/>
      <c r="B622"/>
      <c r="D622" t="str">
        <f t="shared" si="9"/>
        <v/>
      </c>
    </row>
    <row r="623" spans="1:4" x14ac:dyDescent="0.3">
      <c r="A623"/>
      <c r="B623"/>
      <c r="D623" t="str">
        <f t="shared" si="9"/>
        <v/>
      </c>
    </row>
    <row r="624" spans="1:4" x14ac:dyDescent="0.3">
      <c r="A624"/>
      <c r="B624"/>
      <c r="D624" t="str">
        <f t="shared" si="9"/>
        <v/>
      </c>
    </row>
    <row r="625" spans="1:4" x14ac:dyDescent="0.3">
      <c r="A625"/>
      <c r="B625"/>
      <c r="D625" t="str">
        <f t="shared" si="9"/>
        <v/>
      </c>
    </row>
    <row r="626" spans="1:4" x14ac:dyDescent="0.3">
      <c r="A626"/>
      <c r="B626"/>
      <c r="D626" t="str">
        <f t="shared" si="9"/>
        <v/>
      </c>
    </row>
    <row r="627" spans="1:4" x14ac:dyDescent="0.3">
      <c r="A627"/>
      <c r="B627"/>
      <c r="D627" t="str">
        <f t="shared" si="9"/>
        <v/>
      </c>
    </row>
    <row r="628" spans="1:4" x14ac:dyDescent="0.3">
      <c r="A628"/>
      <c r="B628"/>
      <c r="D628" t="str">
        <f t="shared" si="9"/>
        <v/>
      </c>
    </row>
    <row r="629" spans="1:4" x14ac:dyDescent="0.3">
      <c r="A629"/>
      <c r="B629"/>
      <c r="D629" t="str">
        <f t="shared" si="9"/>
        <v/>
      </c>
    </row>
    <row r="630" spans="1:4" x14ac:dyDescent="0.3">
      <c r="A630"/>
      <c r="B630"/>
      <c r="D630" t="str">
        <f t="shared" si="9"/>
        <v/>
      </c>
    </row>
    <row r="631" spans="1:4" x14ac:dyDescent="0.3">
      <c r="A631"/>
      <c r="B631"/>
      <c r="D631" t="str">
        <f t="shared" si="9"/>
        <v/>
      </c>
    </row>
    <row r="632" spans="1:4" x14ac:dyDescent="0.3">
      <c r="A632"/>
      <c r="B632"/>
      <c r="D632" t="str">
        <f t="shared" si="9"/>
        <v/>
      </c>
    </row>
    <row r="633" spans="1:4" x14ac:dyDescent="0.3">
      <c r="A633"/>
      <c r="B633"/>
      <c r="D633" t="str">
        <f t="shared" si="9"/>
        <v/>
      </c>
    </row>
    <row r="634" spans="1:4" x14ac:dyDescent="0.3">
      <c r="A634"/>
      <c r="B634"/>
      <c r="D634" t="str">
        <f t="shared" si="9"/>
        <v/>
      </c>
    </row>
    <row r="635" spans="1:4" x14ac:dyDescent="0.3">
      <c r="A635"/>
      <c r="B635"/>
      <c r="D635" t="str">
        <f t="shared" si="9"/>
        <v/>
      </c>
    </row>
    <row r="636" spans="1:4" x14ac:dyDescent="0.3">
      <c r="A636"/>
      <c r="B636"/>
      <c r="D636" t="str">
        <f t="shared" si="9"/>
        <v/>
      </c>
    </row>
    <row r="637" spans="1:4" x14ac:dyDescent="0.3">
      <c r="A637"/>
      <c r="B637"/>
      <c r="D637" t="str">
        <f t="shared" si="9"/>
        <v/>
      </c>
    </row>
    <row r="638" spans="1:4" x14ac:dyDescent="0.3">
      <c r="A638"/>
      <c r="B638"/>
      <c r="D638" t="str">
        <f t="shared" si="9"/>
        <v/>
      </c>
    </row>
    <row r="639" spans="1:4" x14ac:dyDescent="0.3">
      <c r="A639"/>
      <c r="B639"/>
      <c r="D639" t="str">
        <f t="shared" si="9"/>
        <v/>
      </c>
    </row>
    <row r="640" spans="1:4" x14ac:dyDescent="0.3">
      <c r="A640"/>
      <c r="B640"/>
      <c r="D640" t="str">
        <f t="shared" si="9"/>
        <v/>
      </c>
    </row>
    <row r="641" spans="1:4" x14ac:dyDescent="0.3">
      <c r="A641"/>
      <c r="B641"/>
      <c r="D641" t="str">
        <f t="shared" si="9"/>
        <v/>
      </c>
    </row>
    <row r="642" spans="1:4" x14ac:dyDescent="0.3">
      <c r="A642"/>
      <c r="B642"/>
      <c r="D642" t="str">
        <f t="shared" si="9"/>
        <v/>
      </c>
    </row>
    <row r="643" spans="1:4" x14ac:dyDescent="0.3">
      <c r="A643"/>
      <c r="B643"/>
      <c r="D643" t="str">
        <f t="shared" ref="D643:D706" si="10">CONCATENATE(A643,B643,C643)</f>
        <v/>
      </c>
    </row>
    <row r="644" spans="1:4" x14ac:dyDescent="0.3">
      <c r="A644"/>
      <c r="B644"/>
      <c r="D644" t="str">
        <f t="shared" si="10"/>
        <v/>
      </c>
    </row>
    <row r="645" spans="1:4" x14ac:dyDescent="0.3">
      <c r="A645"/>
      <c r="B645"/>
      <c r="D645" t="str">
        <f t="shared" si="10"/>
        <v/>
      </c>
    </row>
    <row r="646" spans="1:4" x14ac:dyDescent="0.3">
      <c r="A646"/>
      <c r="B646"/>
      <c r="D646" t="str">
        <f t="shared" si="10"/>
        <v/>
      </c>
    </row>
    <row r="647" spans="1:4" x14ac:dyDescent="0.3">
      <c r="A647"/>
      <c r="B647"/>
      <c r="D647" t="str">
        <f t="shared" si="10"/>
        <v/>
      </c>
    </row>
    <row r="648" spans="1:4" x14ac:dyDescent="0.3">
      <c r="A648"/>
      <c r="B648"/>
      <c r="D648" t="str">
        <f t="shared" si="10"/>
        <v/>
      </c>
    </row>
    <row r="649" spans="1:4" x14ac:dyDescent="0.3">
      <c r="A649"/>
      <c r="B649"/>
      <c r="D649" t="str">
        <f t="shared" si="10"/>
        <v/>
      </c>
    </row>
    <row r="650" spans="1:4" x14ac:dyDescent="0.3">
      <c r="A650"/>
      <c r="B650"/>
      <c r="D650" t="str">
        <f t="shared" si="10"/>
        <v/>
      </c>
    </row>
    <row r="651" spans="1:4" x14ac:dyDescent="0.3">
      <c r="A651"/>
      <c r="B651"/>
      <c r="D651" t="str">
        <f t="shared" si="10"/>
        <v/>
      </c>
    </row>
    <row r="652" spans="1:4" x14ac:dyDescent="0.3">
      <c r="A652"/>
      <c r="B652"/>
      <c r="D652" t="str">
        <f t="shared" si="10"/>
        <v/>
      </c>
    </row>
    <row r="653" spans="1:4" x14ac:dyDescent="0.3">
      <c r="A653"/>
      <c r="B653"/>
      <c r="D653" t="str">
        <f t="shared" si="10"/>
        <v/>
      </c>
    </row>
    <row r="654" spans="1:4" x14ac:dyDescent="0.3">
      <c r="A654"/>
      <c r="B654"/>
      <c r="D654" t="str">
        <f t="shared" si="10"/>
        <v/>
      </c>
    </row>
    <row r="655" spans="1:4" x14ac:dyDescent="0.3">
      <c r="A655"/>
      <c r="B655"/>
      <c r="D655" t="str">
        <f t="shared" si="10"/>
        <v/>
      </c>
    </row>
    <row r="656" spans="1:4" x14ac:dyDescent="0.3">
      <c r="A656"/>
      <c r="B656"/>
      <c r="D656" t="str">
        <f t="shared" si="10"/>
        <v/>
      </c>
    </row>
    <row r="657" spans="1:4" x14ac:dyDescent="0.3">
      <c r="A657"/>
      <c r="B657"/>
      <c r="D657" t="str">
        <f t="shared" si="10"/>
        <v/>
      </c>
    </row>
    <row r="658" spans="1:4" x14ac:dyDescent="0.3">
      <c r="A658"/>
      <c r="B658"/>
      <c r="D658" t="str">
        <f t="shared" si="10"/>
        <v/>
      </c>
    </row>
    <row r="659" spans="1:4" x14ac:dyDescent="0.3">
      <c r="A659"/>
      <c r="B659"/>
      <c r="D659" t="str">
        <f t="shared" si="10"/>
        <v/>
      </c>
    </row>
    <row r="660" spans="1:4" x14ac:dyDescent="0.3">
      <c r="A660"/>
      <c r="B660"/>
      <c r="D660" t="str">
        <f t="shared" si="10"/>
        <v/>
      </c>
    </row>
    <row r="661" spans="1:4" x14ac:dyDescent="0.3">
      <c r="A661"/>
      <c r="B661"/>
      <c r="D661" t="str">
        <f t="shared" si="10"/>
        <v/>
      </c>
    </row>
    <row r="662" spans="1:4" x14ac:dyDescent="0.3">
      <c r="A662"/>
      <c r="B662"/>
      <c r="D662" t="str">
        <f t="shared" si="10"/>
        <v/>
      </c>
    </row>
    <row r="663" spans="1:4" x14ac:dyDescent="0.3">
      <c r="A663"/>
      <c r="B663"/>
      <c r="D663" t="str">
        <f t="shared" si="10"/>
        <v/>
      </c>
    </row>
    <row r="664" spans="1:4" x14ac:dyDescent="0.3">
      <c r="A664"/>
      <c r="B664"/>
      <c r="D664" t="str">
        <f t="shared" si="10"/>
        <v/>
      </c>
    </row>
    <row r="665" spans="1:4" x14ac:dyDescent="0.3">
      <c r="A665"/>
      <c r="B665"/>
      <c r="D665" t="str">
        <f t="shared" si="10"/>
        <v/>
      </c>
    </row>
    <row r="666" spans="1:4" x14ac:dyDescent="0.3">
      <c r="A666"/>
      <c r="B666"/>
      <c r="D666" t="str">
        <f t="shared" si="10"/>
        <v/>
      </c>
    </row>
    <row r="667" spans="1:4" x14ac:dyDescent="0.3">
      <c r="A667"/>
      <c r="B667"/>
      <c r="D667" t="str">
        <f t="shared" si="10"/>
        <v/>
      </c>
    </row>
    <row r="668" spans="1:4" x14ac:dyDescent="0.3">
      <c r="A668"/>
      <c r="B668"/>
      <c r="D668" t="str">
        <f t="shared" si="10"/>
        <v/>
      </c>
    </row>
    <row r="669" spans="1:4" x14ac:dyDescent="0.3">
      <c r="A669"/>
      <c r="B669"/>
      <c r="D669" t="str">
        <f t="shared" si="10"/>
        <v/>
      </c>
    </row>
    <row r="670" spans="1:4" x14ac:dyDescent="0.3">
      <c r="A670"/>
      <c r="B670"/>
      <c r="D670" t="str">
        <f t="shared" si="10"/>
        <v/>
      </c>
    </row>
    <row r="671" spans="1:4" x14ac:dyDescent="0.3">
      <c r="A671"/>
      <c r="B671"/>
      <c r="D671" t="str">
        <f t="shared" si="10"/>
        <v/>
      </c>
    </row>
    <row r="672" spans="1:4" x14ac:dyDescent="0.3">
      <c r="A672"/>
      <c r="B672"/>
      <c r="D672" t="str">
        <f t="shared" si="10"/>
        <v/>
      </c>
    </row>
    <row r="673" spans="1:4" x14ac:dyDescent="0.3">
      <c r="A673"/>
      <c r="B673"/>
      <c r="D673" t="str">
        <f t="shared" si="10"/>
        <v/>
      </c>
    </row>
    <row r="674" spans="1:4" x14ac:dyDescent="0.3">
      <c r="A674"/>
      <c r="B674"/>
      <c r="D674" t="str">
        <f t="shared" si="10"/>
        <v/>
      </c>
    </row>
    <row r="675" spans="1:4" x14ac:dyDescent="0.3">
      <c r="A675"/>
      <c r="B675"/>
      <c r="D675" t="str">
        <f t="shared" si="10"/>
        <v/>
      </c>
    </row>
    <row r="676" spans="1:4" x14ac:dyDescent="0.3">
      <c r="A676"/>
      <c r="B676"/>
      <c r="D676" t="str">
        <f t="shared" si="10"/>
        <v/>
      </c>
    </row>
    <row r="677" spans="1:4" x14ac:dyDescent="0.3">
      <c r="A677"/>
      <c r="B677"/>
      <c r="D677" t="str">
        <f t="shared" si="10"/>
        <v/>
      </c>
    </row>
    <row r="678" spans="1:4" x14ac:dyDescent="0.3">
      <c r="A678"/>
      <c r="B678"/>
      <c r="D678" t="str">
        <f t="shared" si="10"/>
        <v/>
      </c>
    </row>
    <row r="679" spans="1:4" x14ac:dyDescent="0.3">
      <c r="A679"/>
      <c r="B679"/>
      <c r="D679" t="str">
        <f t="shared" si="10"/>
        <v/>
      </c>
    </row>
    <row r="680" spans="1:4" x14ac:dyDescent="0.3">
      <c r="A680"/>
      <c r="B680"/>
      <c r="D680" t="str">
        <f t="shared" si="10"/>
        <v/>
      </c>
    </row>
    <row r="681" spans="1:4" x14ac:dyDescent="0.3">
      <c r="A681"/>
      <c r="B681"/>
      <c r="D681" t="str">
        <f t="shared" si="10"/>
        <v/>
      </c>
    </row>
    <row r="682" spans="1:4" x14ac:dyDescent="0.3">
      <c r="A682"/>
      <c r="B682"/>
      <c r="D682" t="str">
        <f t="shared" si="10"/>
        <v/>
      </c>
    </row>
    <row r="683" spans="1:4" x14ac:dyDescent="0.3">
      <c r="A683"/>
      <c r="B683"/>
      <c r="D683" t="str">
        <f t="shared" si="10"/>
        <v/>
      </c>
    </row>
    <row r="684" spans="1:4" x14ac:dyDescent="0.3">
      <c r="A684"/>
      <c r="B684"/>
      <c r="D684" t="str">
        <f t="shared" si="10"/>
        <v/>
      </c>
    </row>
    <row r="685" spans="1:4" x14ac:dyDescent="0.3">
      <c r="A685"/>
      <c r="B685"/>
      <c r="D685" t="str">
        <f t="shared" si="10"/>
        <v/>
      </c>
    </row>
    <row r="686" spans="1:4" x14ac:dyDescent="0.3">
      <c r="A686"/>
      <c r="B686"/>
      <c r="D686" t="str">
        <f t="shared" si="10"/>
        <v/>
      </c>
    </row>
    <row r="687" spans="1:4" x14ac:dyDescent="0.3">
      <c r="A687"/>
      <c r="B687"/>
      <c r="D687" t="str">
        <f t="shared" si="10"/>
        <v/>
      </c>
    </row>
    <row r="688" spans="1:4" x14ac:dyDescent="0.3">
      <c r="A688"/>
      <c r="B688"/>
      <c r="D688" t="str">
        <f t="shared" si="10"/>
        <v/>
      </c>
    </row>
    <row r="689" spans="1:4" x14ac:dyDescent="0.3">
      <c r="A689"/>
      <c r="B689"/>
      <c r="D689" t="str">
        <f t="shared" si="10"/>
        <v/>
      </c>
    </row>
    <row r="690" spans="1:4" x14ac:dyDescent="0.3">
      <c r="A690"/>
      <c r="B690"/>
      <c r="D690" t="str">
        <f t="shared" si="10"/>
        <v/>
      </c>
    </row>
    <row r="691" spans="1:4" x14ac:dyDescent="0.3">
      <c r="A691"/>
      <c r="B691"/>
      <c r="D691" t="str">
        <f t="shared" si="10"/>
        <v/>
      </c>
    </row>
    <row r="692" spans="1:4" x14ac:dyDescent="0.3">
      <c r="A692"/>
      <c r="B692"/>
      <c r="D692" t="str">
        <f t="shared" si="10"/>
        <v/>
      </c>
    </row>
    <row r="693" spans="1:4" x14ac:dyDescent="0.3">
      <c r="A693"/>
      <c r="B693"/>
      <c r="D693" t="str">
        <f t="shared" si="10"/>
        <v/>
      </c>
    </row>
    <row r="694" spans="1:4" x14ac:dyDescent="0.3">
      <c r="A694"/>
      <c r="B694"/>
      <c r="D694" t="str">
        <f t="shared" si="10"/>
        <v/>
      </c>
    </row>
    <row r="695" spans="1:4" x14ac:dyDescent="0.3">
      <c r="A695"/>
      <c r="B695"/>
      <c r="D695" t="str">
        <f t="shared" si="10"/>
        <v/>
      </c>
    </row>
    <row r="696" spans="1:4" x14ac:dyDescent="0.3">
      <c r="A696"/>
      <c r="B696"/>
      <c r="D696" t="str">
        <f t="shared" si="10"/>
        <v/>
      </c>
    </row>
    <row r="697" spans="1:4" x14ac:dyDescent="0.3">
      <c r="A697"/>
      <c r="B697"/>
      <c r="D697" t="str">
        <f t="shared" si="10"/>
        <v/>
      </c>
    </row>
    <row r="698" spans="1:4" x14ac:dyDescent="0.3">
      <c r="A698"/>
      <c r="B698"/>
      <c r="D698" t="str">
        <f t="shared" si="10"/>
        <v/>
      </c>
    </row>
    <row r="699" spans="1:4" x14ac:dyDescent="0.3">
      <c r="A699"/>
      <c r="B699"/>
      <c r="D699" t="str">
        <f t="shared" si="10"/>
        <v/>
      </c>
    </row>
    <row r="700" spans="1:4" x14ac:dyDescent="0.3">
      <c r="A700"/>
      <c r="B700"/>
      <c r="D700" t="str">
        <f t="shared" si="10"/>
        <v/>
      </c>
    </row>
    <row r="701" spans="1:4" x14ac:dyDescent="0.3">
      <c r="A701"/>
      <c r="B701"/>
      <c r="D701" t="str">
        <f t="shared" si="10"/>
        <v/>
      </c>
    </row>
    <row r="702" spans="1:4" x14ac:dyDescent="0.3">
      <c r="A702"/>
      <c r="B702"/>
      <c r="D702" t="str">
        <f t="shared" si="10"/>
        <v/>
      </c>
    </row>
    <row r="703" spans="1:4" x14ac:dyDescent="0.3">
      <c r="A703"/>
      <c r="B703"/>
      <c r="D703" t="str">
        <f t="shared" si="10"/>
        <v/>
      </c>
    </row>
    <row r="704" spans="1:4" x14ac:dyDescent="0.3">
      <c r="A704"/>
      <c r="B704"/>
      <c r="D704" t="str">
        <f t="shared" si="10"/>
        <v/>
      </c>
    </row>
    <row r="705" spans="1:4" x14ac:dyDescent="0.3">
      <c r="A705"/>
      <c r="B705"/>
      <c r="D705" t="str">
        <f t="shared" si="10"/>
        <v/>
      </c>
    </row>
    <row r="706" spans="1:4" x14ac:dyDescent="0.3">
      <c r="A706"/>
      <c r="B706"/>
      <c r="D706" t="str">
        <f t="shared" si="10"/>
        <v/>
      </c>
    </row>
    <row r="707" spans="1:4" x14ac:dyDescent="0.3">
      <c r="A707"/>
      <c r="B707"/>
      <c r="D707" t="str">
        <f t="shared" ref="D707:D770" si="11">CONCATENATE(A707,B707,C707)</f>
        <v/>
      </c>
    </row>
    <row r="708" spans="1:4" x14ac:dyDescent="0.3">
      <c r="A708"/>
      <c r="B708"/>
      <c r="D708" t="str">
        <f t="shared" si="11"/>
        <v/>
      </c>
    </row>
    <row r="709" spans="1:4" x14ac:dyDescent="0.3">
      <c r="A709"/>
      <c r="B709"/>
      <c r="D709" t="str">
        <f t="shared" si="11"/>
        <v/>
      </c>
    </row>
    <row r="710" spans="1:4" x14ac:dyDescent="0.3">
      <c r="A710"/>
      <c r="B710"/>
      <c r="D710" t="str">
        <f t="shared" si="11"/>
        <v/>
      </c>
    </row>
    <row r="711" spans="1:4" x14ac:dyDescent="0.3">
      <c r="A711"/>
      <c r="B711"/>
      <c r="D711" t="str">
        <f t="shared" si="11"/>
        <v/>
      </c>
    </row>
    <row r="712" spans="1:4" x14ac:dyDescent="0.3">
      <c r="A712"/>
      <c r="B712"/>
      <c r="D712" t="str">
        <f t="shared" si="11"/>
        <v/>
      </c>
    </row>
    <row r="713" spans="1:4" x14ac:dyDescent="0.3">
      <c r="A713"/>
      <c r="B713"/>
      <c r="D713" t="str">
        <f t="shared" si="11"/>
        <v/>
      </c>
    </row>
    <row r="714" spans="1:4" x14ac:dyDescent="0.3">
      <c r="A714"/>
      <c r="B714"/>
      <c r="D714" t="str">
        <f t="shared" si="11"/>
        <v/>
      </c>
    </row>
    <row r="715" spans="1:4" x14ac:dyDescent="0.3">
      <c r="A715"/>
      <c r="B715"/>
      <c r="D715" t="str">
        <f t="shared" si="11"/>
        <v/>
      </c>
    </row>
    <row r="716" spans="1:4" x14ac:dyDescent="0.3">
      <c r="A716"/>
      <c r="B716"/>
      <c r="D716" t="str">
        <f t="shared" si="11"/>
        <v/>
      </c>
    </row>
    <row r="717" spans="1:4" x14ac:dyDescent="0.3">
      <c r="A717"/>
      <c r="B717"/>
      <c r="D717" t="str">
        <f t="shared" si="11"/>
        <v/>
      </c>
    </row>
    <row r="718" spans="1:4" x14ac:dyDescent="0.3">
      <c r="A718"/>
      <c r="B718"/>
      <c r="D718" t="str">
        <f t="shared" si="11"/>
        <v/>
      </c>
    </row>
    <row r="719" spans="1:4" x14ac:dyDescent="0.3">
      <c r="A719"/>
      <c r="B719"/>
      <c r="D719" t="str">
        <f t="shared" si="11"/>
        <v/>
      </c>
    </row>
    <row r="720" spans="1:4" x14ac:dyDescent="0.3">
      <c r="A720"/>
      <c r="B720"/>
      <c r="D720" t="str">
        <f t="shared" si="11"/>
        <v/>
      </c>
    </row>
    <row r="721" spans="1:4" x14ac:dyDescent="0.3">
      <c r="A721"/>
      <c r="B721"/>
      <c r="D721" t="str">
        <f t="shared" si="11"/>
        <v/>
      </c>
    </row>
    <row r="722" spans="1:4" x14ac:dyDescent="0.3">
      <c r="A722"/>
      <c r="B722"/>
      <c r="D722" t="str">
        <f t="shared" si="11"/>
        <v/>
      </c>
    </row>
    <row r="723" spans="1:4" x14ac:dyDescent="0.3">
      <c r="A723"/>
      <c r="B723"/>
      <c r="D723" t="str">
        <f t="shared" si="11"/>
        <v/>
      </c>
    </row>
    <row r="724" spans="1:4" x14ac:dyDescent="0.3">
      <c r="A724"/>
      <c r="B724"/>
      <c r="D724" t="str">
        <f t="shared" si="11"/>
        <v/>
      </c>
    </row>
    <row r="725" spans="1:4" x14ac:dyDescent="0.3">
      <c r="A725"/>
      <c r="B725"/>
      <c r="D725" t="str">
        <f t="shared" si="11"/>
        <v/>
      </c>
    </row>
    <row r="726" spans="1:4" x14ac:dyDescent="0.3">
      <c r="A726"/>
      <c r="B726"/>
      <c r="D726" t="str">
        <f t="shared" si="11"/>
        <v/>
      </c>
    </row>
    <row r="727" spans="1:4" x14ac:dyDescent="0.3">
      <c r="A727"/>
      <c r="B727"/>
      <c r="D727" t="str">
        <f t="shared" si="11"/>
        <v/>
      </c>
    </row>
    <row r="728" spans="1:4" x14ac:dyDescent="0.3">
      <c r="A728"/>
      <c r="B728"/>
      <c r="D728" t="str">
        <f t="shared" si="11"/>
        <v/>
      </c>
    </row>
    <row r="729" spans="1:4" x14ac:dyDescent="0.3">
      <c r="A729"/>
      <c r="B729"/>
      <c r="D729" t="str">
        <f t="shared" si="11"/>
        <v/>
      </c>
    </row>
    <row r="730" spans="1:4" x14ac:dyDescent="0.3">
      <c r="A730"/>
      <c r="B730"/>
      <c r="D730" t="str">
        <f t="shared" si="11"/>
        <v/>
      </c>
    </row>
    <row r="731" spans="1:4" x14ac:dyDescent="0.3">
      <c r="A731"/>
      <c r="B731"/>
      <c r="D731" t="str">
        <f t="shared" si="11"/>
        <v/>
      </c>
    </row>
    <row r="732" spans="1:4" x14ac:dyDescent="0.3">
      <c r="A732"/>
      <c r="B732"/>
      <c r="D732" t="str">
        <f t="shared" si="11"/>
        <v/>
      </c>
    </row>
    <row r="733" spans="1:4" x14ac:dyDescent="0.3">
      <c r="A733"/>
      <c r="B733"/>
      <c r="D733" t="str">
        <f t="shared" si="11"/>
        <v/>
      </c>
    </row>
    <row r="734" spans="1:4" x14ac:dyDescent="0.3">
      <c r="A734"/>
      <c r="B734"/>
      <c r="D734" t="str">
        <f t="shared" si="11"/>
        <v/>
      </c>
    </row>
    <row r="735" spans="1:4" x14ac:dyDescent="0.3">
      <c r="A735"/>
      <c r="B735"/>
      <c r="D735" t="str">
        <f t="shared" si="11"/>
        <v/>
      </c>
    </row>
    <row r="736" spans="1:4" x14ac:dyDescent="0.3">
      <c r="A736"/>
      <c r="B736"/>
      <c r="D736" t="str">
        <f t="shared" si="11"/>
        <v/>
      </c>
    </row>
    <row r="737" spans="1:4" x14ac:dyDescent="0.3">
      <c r="A737"/>
      <c r="B737"/>
      <c r="D737" t="str">
        <f t="shared" si="11"/>
        <v/>
      </c>
    </row>
    <row r="738" spans="1:4" x14ac:dyDescent="0.3">
      <c r="A738"/>
      <c r="B738"/>
      <c r="D738" t="str">
        <f t="shared" si="11"/>
        <v/>
      </c>
    </row>
    <row r="739" spans="1:4" x14ac:dyDescent="0.3">
      <c r="A739"/>
      <c r="B739"/>
      <c r="D739" t="str">
        <f t="shared" si="11"/>
        <v/>
      </c>
    </row>
    <row r="740" spans="1:4" x14ac:dyDescent="0.3">
      <c r="A740"/>
      <c r="B740"/>
      <c r="D740" t="str">
        <f t="shared" si="11"/>
        <v/>
      </c>
    </row>
    <row r="741" spans="1:4" x14ac:dyDescent="0.3">
      <c r="A741"/>
      <c r="B741"/>
      <c r="D741" t="str">
        <f t="shared" si="11"/>
        <v/>
      </c>
    </row>
    <row r="742" spans="1:4" x14ac:dyDescent="0.3">
      <c r="A742"/>
      <c r="B742"/>
      <c r="D742" t="str">
        <f t="shared" si="11"/>
        <v/>
      </c>
    </row>
    <row r="743" spans="1:4" x14ac:dyDescent="0.3">
      <c r="A743"/>
      <c r="B743"/>
      <c r="D743" t="str">
        <f t="shared" si="11"/>
        <v/>
      </c>
    </row>
    <row r="744" spans="1:4" x14ac:dyDescent="0.3">
      <c r="A744"/>
      <c r="B744"/>
      <c r="D744" t="str">
        <f t="shared" si="11"/>
        <v/>
      </c>
    </row>
    <row r="745" spans="1:4" x14ac:dyDescent="0.3">
      <c r="A745"/>
      <c r="B745"/>
      <c r="D745" t="str">
        <f t="shared" si="11"/>
        <v/>
      </c>
    </row>
    <row r="746" spans="1:4" x14ac:dyDescent="0.3">
      <c r="A746"/>
      <c r="B746"/>
      <c r="D746" t="str">
        <f t="shared" si="11"/>
        <v/>
      </c>
    </row>
    <row r="747" spans="1:4" x14ac:dyDescent="0.3">
      <c r="A747"/>
      <c r="B747"/>
      <c r="D747" t="str">
        <f t="shared" si="11"/>
        <v/>
      </c>
    </row>
    <row r="748" spans="1:4" x14ac:dyDescent="0.3">
      <c r="A748"/>
      <c r="B748"/>
      <c r="D748" t="str">
        <f t="shared" si="11"/>
        <v/>
      </c>
    </row>
    <row r="749" spans="1:4" x14ac:dyDescent="0.3">
      <c r="A749"/>
      <c r="B749"/>
      <c r="D749" t="str">
        <f t="shared" si="11"/>
        <v/>
      </c>
    </row>
    <row r="750" spans="1:4" x14ac:dyDescent="0.3">
      <c r="A750"/>
      <c r="B750"/>
      <c r="D750" t="str">
        <f t="shared" si="11"/>
        <v/>
      </c>
    </row>
    <row r="751" spans="1:4" x14ac:dyDescent="0.3">
      <c r="A751"/>
      <c r="B751"/>
      <c r="D751" t="str">
        <f t="shared" si="11"/>
        <v/>
      </c>
    </row>
    <row r="752" spans="1:4" x14ac:dyDescent="0.3">
      <c r="A752"/>
      <c r="B752"/>
      <c r="D752" t="str">
        <f t="shared" si="11"/>
        <v/>
      </c>
    </row>
    <row r="753" spans="1:4" x14ac:dyDescent="0.3">
      <c r="A753"/>
      <c r="B753"/>
      <c r="D753" t="str">
        <f t="shared" si="11"/>
        <v/>
      </c>
    </row>
    <row r="754" spans="1:4" x14ac:dyDescent="0.3">
      <c r="A754"/>
      <c r="B754"/>
      <c r="D754" t="str">
        <f t="shared" si="11"/>
        <v/>
      </c>
    </row>
    <row r="755" spans="1:4" x14ac:dyDescent="0.3">
      <c r="A755"/>
      <c r="B755"/>
      <c r="D755" t="str">
        <f t="shared" si="11"/>
        <v/>
      </c>
    </row>
    <row r="756" spans="1:4" x14ac:dyDescent="0.3">
      <c r="A756"/>
      <c r="B756"/>
      <c r="D756" t="str">
        <f t="shared" si="11"/>
        <v/>
      </c>
    </row>
    <row r="757" spans="1:4" x14ac:dyDescent="0.3">
      <c r="A757"/>
      <c r="B757"/>
      <c r="D757" t="str">
        <f t="shared" si="11"/>
        <v/>
      </c>
    </row>
    <row r="758" spans="1:4" x14ac:dyDescent="0.3">
      <c r="A758"/>
      <c r="B758"/>
      <c r="D758" t="str">
        <f t="shared" si="11"/>
        <v/>
      </c>
    </row>
    <row r="759" spans="1:4" x14ac:dyDescent="0.3">
      <c r="A759"/>
      <c r="B759"/>
      <c r="D759" t="str">
        <f t="shared" si="11"/>
        <v/>
      </c>
    </row>
    <row r="760" spans="1:4" x14ac:dyDescent="0.3">
      <c r="A760"/>
      <c r="B760"/>
      <c r="D760" t="str">
        <f t="shared" si="11"/>
        <v/>
      </c>
    </row>
    <row r="761" spans="1:4" x14ac:dyDescent="0.3">
      <c r="A761"/>
      <c r="B761"/>
      <c r="D761" t="str">
        <f t="shared" si="11"/>
        <v/>
      </c>
    </row>
    <row r="762" spans="1:4" x14ac:dyDescent="0.3">
      <c r="A762"/>
      <c r="B762"/>
      <c r="D762" t="str">
        <f t="shared" si="11"/>
        <v/>
      </c>
    </row>
    <row r="763" spans="1:4" x14ac:dyDescent="0.3">
      <c r="A763"/>
      <c r="B763"/>
      <c r="D763" t="str">
        <f t="shared" si="11"/>
        <v/>
      </c>
    </row>
    <row r="764" spans="1:4" x14ac:dyDescent="0.3">
      <c r="A764"/>
      <c r="B764"/>
      <c r="D764" t="str">
        <f t="shared" si="11"/>
        <v/>
      </c>
    </row>
    <row r="765" spans="1:4" x14ac:dyDescent="0.3">
      <c r="A765"/>
      <c r="B765"/>
      <c r="D765" t="str">
        <f t="shared" si="11"/>
        <v/>
      </c>
    </row>
    <row r="766" spans="1:4" x14ac:dyDescent="0.3">
      <c r="A766"/>
      <c r="B766"/>
      <c r="D766" t="str">
        <f t="shared" si="11"/>
        <v/>
      </c>
    </row>
    <row r="767" spans="1:4" x14ac:dyDescent="0.3">
      <c r="A767"/>
      <c r="B767"/>
      <c r="D767" t="str">
        <f t="shared" si="11"/>
        <v/>
      </c>
    </row>
    <row r="768" spans="1:4" x14ac:dyDescent="0.3">
      <c r="A768"/>
      <c r="B768"/>
      <c r="D768" t="str">
        <f t="shared" si="11"/>
        <v/>
      </c>
    </row>
    <row r="769" spans="1:4" x14ac:dyDescent="0.3">
      <c r="A769"/>
      <c r="B769"/>
      <c r="D769" t="str">
        <f t="shared" si="11"/>
        <v/>
      </c>
    </row>
    <row r="770" spans="1:4" x14ac:dyDescent="0.3">
      <c r="A770"/>
      <c r="B770"/>
      <c r="D770" t="str">
        <f t="shared" si="11"/>
        <v/>
      </c>
    </row>
    <row r="771" spans="1:4" x14ac:dyDescent="0.3">
      <c r="A771"/>
      <c r="B771"/>
      <c r="D771" t="str">
        <f t="shared" ref="D771:D834" si="12">CONCATENATE(A771,B771,C771)</f>
        <v/>
      </c>
    </row>
    <row r="772" spans="1:4" x14ac:dyDescent="0.3">
      <c r="A772"/>
      <c r="B772"/>
      <c r="D772" t="str">
        <f t="shared" si="12"/>
        <v/>
      </c>
    </row>
    <row r="773" spans="1:4" x14ac:dyDescent="0.3">
      <c r="A773"/>
      <c r="B773"/>
      <c r="D773" t="str">
        <f t="shared" si="12"/>
        <v/>
      </c>
    </row>
    <row r="774" spans="1:4" x14ac:dyDescent="0.3">
      <c r="A774"/>
      <c r="B774"/>
      <c r="D774" t="str">
        <f t="shared" si="12"/>
        <v/>
      </c>
    </row>
    <row r="775" spans="1:4" x14ac:dyDescent="0.3">
      <c r="A775"/>
      <c r="B775"/>
      <c r="D775" t="str">
        <f t="shared" si="12"/>
        <v/>
      </c>
    </row>
    <row r="776" spans="1:4" x14ac:dyDescent="0.3">
      <c r="A776"/>
      <c r="B776"/>
      <c r="D776" t="str">
        <f t="shared" si="12"/>
        <v/>
      </c>
    </row>
    <row r="777" spans="1:4" x14ac:dyDescent="0.3">
      <c r="A777"/>
      <c r="B777"/>
      <c r="D777" t="str">
        <f t="shared" si="12"/>
        <v/>
      </c>
    </row>
    <row r="778" spans="1:4" x14ac:dyDescent="0.3">
      <c r="A778"/>
      <c r="B778"/>
      <c r="D778" t="str">
        <f t="shared" si="12"/>
        <v/>
      </c>
    </row>
    <row r="779" spans="1:4" x14ac:dyDescent="0.3">
      <c r="A779"/>
      <c r="B779"/>
      <c r="D779" t="str">
        <f t="shared" si="12"/>
        <v/>
      </c>
    </row>
    <row r="780" spans="1:4" x14ac:dyDescent="0.3">
      <c r="A780"/>
      <c r="B780"/>
      <c r="D780" t="str">
        <f t="shared" si="12"/>
        <v/>
      </c>
    </row>
    <row r="781" spans="1:4" x14ac:dyDescent="0.3">
      <c r="A781"/>
      <c r="B781"/>
      <c r="D781" t="str">
        <f t="shared" si="12"/>
        <v/>
      </c>
    </row>
    <row r="782" spans="1:4" x14ac:dyDescent="0.3">
      <c r="A782"/>
      <c r="B782"/>
      <c r="D782" t="str">
        <f t="shared" si="12"/>
        <v/>
      </c>
    </row>
    <row r="783" spans="1:4" x14ac:dyDescent="0.3">
      <c r="A783"/>
      <c r="B783"/>
      <c r="D783" t="str">
        <f t="shared" si="12"/>
        <v/>
      </c>
    </row>
    <row r="784" spans="1:4" x14ac:dyDescent="0.3">
      <c r="A784"/>
      <c r="B784"/>
      <c r="D784" t="str">
        <f t="shared" si="12"/>
        <v/>
      </c>
    </row>
    <row r="785" spans="1:4" x14ac:dyDescent="0.3">
      <c r="A785"/>
      <c r="B785"/>
      <c r="D785" t="str">
        <f t="shared" si="12"/>
        <v/>
      </c>
    </row>
    <row r="786" spans="1:4" x14ac:dyDescent="0.3">
      <c r="A786"/>
      <c r="B786"/>
      <c r="D786" t="str">
        <f t="shared" si="12"/>
        <v/>
      </c>
    </row>
    <row r="787" spans="1:4" x14ac:dyDescent="0.3">
      <c r="A787"/>
      <c r="B787"/>
      <c r="D787" t="str">
        <f t="shared" si="12"/>
        <v/>
      </c>
    </row>
    <row r="788" spans="1:4" x14ac:dyDescent="0.3">
      <c r="A788"/>
      <c r="B788"/>
      <c r="D788" t="str">
        <f t="shared" si="12"/>
        <v/>
      </c>
    </row>
    <row r="789" spans="1:4" x14ac:dyDescent="0.3">
      <c r="A789"/>
      <c r="B789"/>
      <c r="D789" t="str">
        <f t="shared" si="12"/>
        <v/>
      </c>
    </row>
    <row r="790" spans="1:4" x14ac:dyDescent="0.3">
      <c r="A790"/>
      <c r="B790"/>
      <c r="D790" t="str">
        <f t="shared" si="12"/>
        <v/>
      </c>
    </row>
    <row r="791" spans="1:4" x14ac:dyDescent="0.3">
      <c r="A791"/>
      <c r="B791"/>
      <c r="D791" t="str">
        <f t="shared" si="12"/>
        <v/>
      </c>
    </row>
    <row r="792" spans="1:4" x14ac:dyDescent="0.3">
      <c r="A792"/>
      <c r="B792"/>
      <c r="D792" t="str">
        <f t="shared" si="12"/>
        <v/>
      </c>
    </row>
    <row r="793" spans="1:4" x14ac:dyDescent="0.3">
      <c r="A793"/>
      <c r="B793"/>
      <c r="D793" t="str">
        <f t="shared" si="12"/>
        <v/>
      </c>
    </row>
    <row r="794" spans="1:4" x14ac:dyDescent="0.3">
      <c r="A794"/>
      <c r="B794"/>
      <c r="D794" t="str">
        <f t="shared" si="12"/>
        <v/>
      </c>
    </row>
    <row r="795" spans="1:4" x14ac:dyDescent="0.3">
      <c r="A795"/>
      <c r="B795"/>
      <c r="D795" t="str">
        <f t="shared" si="12"/>
        <v/>
      </c>
    </row>
    <row r="796" spans="1:4" x14ac:dyDescent="0.3">
      <c r="A796"/>
      <c r="B796"/>
      <c r="D796" t="str">
        <f t="shared" si="12"/>
        <v/>
      </c>
    </row>
    <row r="797" spans="1:4" x14ac:dyDescent="0.3">
      <c r="A797"/>
      <c r="B797"/>
      <c r="D797" t="str">
        <f t="shared" si="12"/>
        <v/>
      </c>
    </row>
    <row r="798" spans="1:4" x14ac:dyDescent="0.3">
      <c r="A798"/>
      <c r="B798"/>
      <c r="D798" t="str">
        <f t="shared" si="12"/>
        <v/>
      </c>
    </row>
    <row r="799" spans="1:4" x14ac:dyDescent="0.3">
      <c r="A799"/>
      <c r="B799"/>
      <c r="D799" t="str">
        <f t="shared" si="12"/>
        <v/>
      </c>
    </row>
    <row r="800" spans="1:4" x14ac:dyDescent="0.3">
      <c r="A800"/>
      <c r="B800"/>
      <c r="D800" t="str">
        <f t="shared" si="12"/>
        <v/>
      </c>
    </row>
    <row r="801" spans="1:4" x14ac:dyDescent="0.3">
      <c r="A801"/>
      <c r="B801"/>
      <c r="D801" t="str">
        <f t="shared" si="12"/>
        <v/>
      </c>
    </row>
    <row r="802" spans="1:4" x14ac:dyDescent="0.3">
      <c r="A802"/>
      <c r="B802"/>
      <c r="D802" t="str">
        <f t="shared" si="12"/>
        <v/>
      </c>
    </row>
    <row r="803" spans="1:4" x14ac:dyDescent="0.3">
      <c r="A803"/>
      <c r="B803"/>
      <c r="D803" t="str">
        <f t="shared" si="12"/>
        <v/>
      </c>
    </row>
    <row r="804" spans="1:4" x14ac:dyDescent="0.3">
      <c r="A804"/>
      <c r="B804"/>
      <c r="D804" t="str">
        <f t="shared" si="12"/>
        <v/>
      </c>
    </row>
    <row r="805" spans="1:4" x14ac:dyDescent="0.3">
      <c r="A805"/>
      <c r="B805"/>
      <c r="D805" t="str">
        <f t="shared" si="12"/>
        <v/>
      </c>
    </row>
    <row r="806" spans="1:4" x14ac:dyDescent="0.3">
      <c r="A806"/>
      <c r="B806"/>
      <c r="D806" t="str">
        <f t="shared" si="12"/>
        <v/>
      </c>
    </row>
    <row r="807" spans="1:4" x14ac:dyDescent="0.3">
      <c r="A807"/>
      <c r="B807"/>
      <c r="D807" t="str">
        <f t="shared" si="12"/>
        <v/>
      </c>
    </row>
    <row r="808" spans="1:4" x14ac:dyDescent="0.3">
      <c r="A808"/>
      <c r="B808"/>
      <c r="D808" t="str">
        <f t="shared" si="12"/>
        <v/>
      </c>
    </row>
    <row r="809" spans="1:4" x14ac:dyDescent="0.3">
      <c r="A809"/>
      <c r="B809"/>
      <c r="D809" t="str">
        <f t="shared" si="12"/>
        <v/>
      </c>
    </row>
    <row r="810" spans="1:4" x14ac:dyDescent="0.3">
      <c r="A810"/>
      <c r="B810"/>
      <c r="D810" t="str">
        <f t="shared" si="12"/>
        <v/>
      </c>
    </row>
    <row r="811" spans="1:4" x14ac:dyDescent="0.3">
      <c r="A811"/>
      <c r="B811"/>
      <c r="D811" t="str">
        <f t="shared" si="12"/>
        <v/>
      </c>
    </row>
    <row r="812" spans="1:4" x14ac:dyDescent="0.3">
      <c r="A812"/>
      <c r="B812"/>
      <c r="D812" t="str">
        <f t="shared" si="12"/>
        <v/>
      </c>
    </row>
    <row r="813" spans="1:4" x14ac:dyDescent="0.3">
      <c r="A813"/>
      <c r="B813"/>
      <c r="D813" t="str">
        <f t="shared" si="12"/>
        <v/>
      </c>
    </row>
    <row r="814" spans="1:4" x14ac:dyDescent="0.3">
      <c r="A814"/>
      <c r="B814"/>
      <c r="D814" t="str">
        <f t="shared" si="12"/>
        <v/>
      </c>
    </row>
    <row r="815" spans="1:4" x14ac:dyDescent="0.3">
      <c r="A815"/>
      <c r="B815"/>
      <c r="D815" t="str">
        <f t="shared" si="12"/>
        <v/>
      </c>
    </row>
    <row r="816" spans="1:4" x14ac:dyDescent="0.3">
      <c r="A816"/>
      <c r="B816"/>
      <c r="D816" t="str">
        <f t="shared" si="12"/>
        <v/>
      </c>
    </row>
    <row r="817" spans="1:4" x14ac:dyDescent="0.3">
      <c r="A817"/>
      <c r="B817"/>
      <c r="D817" t="str">
        <f t="shared" si="12"/>
        <v/>
      </c>
    </row>
    <row r="818" spans="1:4" x14ac:dyDescent="0.3">
      <c r="A818"/>
      <c r="B818"/>
      <c r="D818" t="str">
        <f t="shared" si="12"/>
        <v/>
      </c>
    </row>
    <row r="819" spans="1:4" x14ac:dyDescent="0.3">
      <c r="A819"/>
      <c r="B819"/>
      <c r="D819" t="str">
        <f t="shared" si="12"/>
        <v/>
      </c>
    </row>
    <row r="820" spans="1:4" x14ac:dyDescent="0.3">
      <c r="A820"/>
      <c r="B820"/>
      <c r="D820" t="str">
        <f t="shared" si="12"/>
        <v/>
      </c>
    </row>
    <row r="821" spans="1:4" x14ac:dyDescent="0.3">
      <c r="A821"/>
      <c r="B821"/>
      <c r="D821" t="str">
        <f t="shared" si="12"/>
        <v/>
      </c>
    </row>
    <row r="822" spans="1:4" x14ac:dyDescent="0.3">
      <c r="A822"/>
      <c r="B822"/>
      <c r="D822" t="str">
        <f t="shared" si="12"/>
        <v/>
      </c>
    </row>
    <row r="823" spans="1:4" x14ac:dyDescent="0.3">
      <c r="A823"/>
      <c r="B823"/>
      <c r="D823" t="str">
        <f t="shared" si="12"/>
        <v/>
      </c>
    </row>
    <row r="824" spans="1:4" x14ac:dyDescent="0.3">
      <c r="A824"/>
      <c r="B824"/>
      <c r="D824" t="str">
        <f t="shared" si="12"/>
        <v/>
      </c>
    </row>
    <row r="825" spans="1:4" x14ac:dyDescent="0.3">
      <c r="A825"/>
      <c r="B825"/>
      <c r="D825" t="str">
        <f t="shared" si="12"/>
        <v/>
      </c>
    </row>
    <row r="826" spans="1:4" x14ac:dyDescent="0.3">
      <c r="A826"/>
      <c r="B826"/>
      <c r="D826" t="str">
        <f t="shared" si="12"/>
        <v/>
      </c>
    </row>
    <row r="827" spans="1:4" x14ac:dyDescent="0.3">
      <c r="A827"/>
      <c r="B827"/>
      <c r="D827" t="str">
        <f t="shared" si="12"/>
        <v/>
      </c>
    </row>
    <row r="828" spans="1:4" x14ac:dyDescent="0.3">
      <c r="A828"/>
      <c r="B828"/>
      <c r="D828" t="str">
        <f t="shared" si="12"/>
        <v/>
      </c>
    </row>
    <row r="829" spans="1:4" x14ac:dyDescent="0.3">
      <c r="A829"/>
      <c r="B829"/>
      <c r="D829" t="str">
        <f t="shared" si="12"/>
        <v/>
      </c>
    </row>
    <row r="830" spans="1:4" x14ac:dyDescent="0.3">
      <c r="A830"/>
      <c r="B830"/>
      <c r="D830" t="str">
        <f t="shared" si="12"/>
        <v/>
      </c>
    </row>
    <row r="831" spans="1:4" x14ac:dyDescent="0.3">
      <c r="A831"/>
      <c r="B831"/>
      <c r="D831" t="str">
        <f t="shared" si="12"/>
        <v/>
      </c>
    </row>
    <row r="832" spans="1:4" x14ac:dyDescent="0.3">
      <c r="A832"/>
      <c r="B832"/>
      <c r="D832" t="str">
        <f t="shared" si="12"/>
        <v/>
      </c>
    </row>
    <row r="833" spans="1:4" x14ac:dyDescent="0.3">
      <c r="A833"/>
      <c r="B833"/>
      <c r="D833" t="str">
        <f t="shared" si="12"/>
        <v/>
      </c>
    </row>
    <row r="834" spans="1:4" x14ac:dyDescent="0.3">
      <c r="A834"/>
      <c r="B834"/>
      <c r="D834" t="str">
        <f t="shared" si="12"/>
        <v/>
      </c>
    </row>
    <row r="835" spans="1:4" x14ac:dyDescent="0.3">
      <c r="A835"/>
      <c r="B835"/>
      <c r="D835" t="str">
        <f t="shared" ref="D835:D898" si="13">CONCATENATE(A835,B835,C835)</f>
        <v/>
      </c>
    </row>
    <row r="836" spans="1:4" x14ac:dyDescent="0.3">
      <c r="A836"/>
      <c r="B836"/>
      <c r="D836" t="str">
        <f t="shared" si="13"/>
        <v/>
      </c>
    </row>
    <row r="837" spans="1:4" x14ac:dyDescent="0.3">
      <c r="A837"/>
      <c r="B837"/>
      <c r="D837" t="str">
        <f t="shared" si="13"/>
        <v/>
      </c>
    </row>
    <row r="838" spans="1:4" x14ac:dyDescent="0.3">
      <c r="A838"/>
      <c r="B838"/>
      <c r="D838" t="str">
        <f t="shared" si="13"/>
        <v/>
      </c>
    </row>
    <row r="839" spans="1:4" x14ac:dyDescent="0.3">
      <c r="A839"/>
      <c r="B839"/>
      <c r="D839" t="str">
        <f t="shared" si="13"/>
        <v/>
      </c>
    </row>
    <row r="840" spans="1:4" x14ac:dyDescent="0.3">
      <c r="A840"/>
      <c r="B840"/>
      <c r="D840" t="str">
        <f t="shared" si="13"/>
        <v/>
      </c>
    </row>
    <row r="841" spans="1:4" x14ac:dyDescent="0.3">
      <c r="A841"/>
      <c r="B841"/>
      <c r="D841" t="str">
        <f t="shared" si="13"/>
        <v/>
      </c>
    </row>
    <row r="842" spans="1:4" x14ac:dyDescent="0.3">
      <c r="A842"/>
      <c r="B842"/>
      <c r="D842" t="str">
        <f t="shared" si="13"/>
        <v/>
      </c>
    </row>
    <row r="843" spans="1:4" x14ac:dyDescent="0.3">
      <c r="A843"/>
      <c r="B843"/>
      <c r="D843" t="str">
        <f t="shared" si="13"/>
        <v/>
      </c>
    </row>
    <row r="844" spans="1:4" x14ac:dyDescent="0.3">
      <c r="A844"/>
      <c r="B844"/>
      <c r="D844" t="str">
        <f t="shared" si="13"/>
        <v/>
      </c>
    </row>
    <row r="845" spans="1:4" x14ac:dyDescent="0.3">
      <c r="A845"/>
      <c r="B845"/>
      <c r="D845" t="str">
        <f t="shared" si="13"/>
        <v/>
      </c>
    </row>
    <row r="846" spans="1:4" x14ac:dyDescent="0.3">
      <c r="A846"/>
      <c r="B846"/>
      <c r="D846" t="str">
        <f t="shared" si="13"/>
        <v/>
      </c>
    </row>
    <row r="847" spans="1:4" x14ac:dyDescent="0.3">
      <c r="A847"/>
      <c r="B847"/>
      <c r="D847" t="str">
        <f t="shared" si="13"/>
        <v/>
      </c>
    </row>
    <row r="848" spans="1:4" x14ac:dyDescent="0.3">
      <c r="A848"/>
      <c r="B848"/>
      <c r="D848" t="str">
        <f t="shared" si="13"/>
        <v/>
      </c>
    </row>
    <row r="849" spans="1:4" x14ac:dyDescent="0.3">
      <c r="A849"/>
      <c r="B849"/>
      <c r="D849" t="str">
        <f t="shared" si="13"/>
        <v/>
      </c>
    </row>
    <row r="850" spans="1:4" x14ac:dyDescent="0.3">
      <c r="A850"/>
      <c r="B850"/>
      <c r="D850" t="str">
        <f t="shared" si="13"/>
        <v/>
      </c>
    </row>
    <row r="851" spans="1:4" x14ac:dyDescent="0.3">
      <c r="A851"/>
      <c r="B851"/>
      <c r="D851" t="str">
        <f t="shared" si="13"/>
        <v/>
      </c>
    </row>
    <row r="852" spans="1:4" x14ac:dyDescent="0.3">
      <c r="A852"/>
      <c r="B852"/>
      <c r="D852" t="str">
        <f t="shared" si="13"/>
        <v/>
      </c>
    </row>
    <row r="853" spans="1:4" x14ac:dyDescent="0.3">
      <c r="A853"/>
      <c r="B853"/>
      <c r="D853" t="str">
        <f t="shared" si="13"/>
        <v/>
      </c>
    </row>
    <row r="854" spans="1:4" x14ac:dyDescent="0.3">
      <c r="A854"/>
      <c r="B854"/>
      <c r="D854" t="str">
        <f t="shared" si="13"/>
        <v/>
      </c>
    </row>
    <row r="855" spans="1:4" x14ac:dyDescent="0.3">
      <c r="A855"/>
      <c r="B855"/>
      <c r="D855" t="str">
        <f t="shared" si="13"/>
        <v/>
      </c>
    </row>
    <row r="856" spans="1:4" x14ac:dyDescent="0.3">
      <c r="A856"/>
      <c r="B856"/>
      <c r="D856" t="str">
        <f t="shared" si="13"/>
        <v/>
      </c>
    </row>
    <row r="857" spans="1:4" x14ac:dyDescent="0.3">
      <c r="A857"/>
      <c r="B857"/>
      <c r="D857" t="str">
        <f t="shared" si="13"/>
        <v/>
      </c>
    </row>
    <row r="858" spans="1:4" x14ac:dyDescent="0.3">
      <c r="A858"/>
      <c r="B858"/>
      <c r="D858" t="str">
        <f t="shared" si="13"/>
        <v/>
      </c>
    </row>
    <row r="859" spans="1:4" x14ac:dyDescent="0.3">
      <c r="A859"/>
      <c r="B859"/>
      <c r="D859" t="str">
        <f t="shared" si="13"/>
        <v/>
      </c>
    </row>
    <row r="860" spans="1:4" x14ac:dyDescent="0.3">
      <c r="A860"/>
      <c r="B860"/>
      <c r="D860" t="str">
        <f t="shared" si="13"/>
        <v/>
      </c>
    </row>
    <row r="861" spans="1:4" x14ac:dyDescent="0.3">
      <c r="A861"/>
      <c r="B861"/>
      <c r="D861" t="str">
        <f t="shared" si="13"/>
        <v/>
      </c>
    </row>
    <row r="862" spans="1:4" x14ac:dyDescent="0.3">
      <c r="A862"/>
      <c r="B862"/>
      <c r="D862" t="str">
        <f t="shared" si="13"/>
        <v/>
      </c>
    </row>
    <row r="863" spans="1:4" x14ac:dyDescent="0.3">
      <c r="A863"/>
      <c r="B863"/>
      <c r="D863" t="str">
        <f t="shared" si="13"/>
        <v/>
      </c>
    </row>
    <row r="864" spans="1:4" x14ac:dyDescent="0.3">
      <c r="A864"/>
      <c r="B864"/>
      <c r="D864" t="str">
        <f t="shared" si="13"/>
        <v/>
      </c>
    </row>
    <row r="865" spans="1:4" x14ac:dyDescent="0.3">
      <c r="A865"/>
      <c r="B865"/>
      <c r="D865" t="str">
        <f t="shared" si="13"/>
        <v/>
      </c>
    </row>
    <row r="866" spans="1:4" x14ac:dyDescent="0.3">
      <c r="A866"/>
      <c r="B866"/>
      <c r="D866" t="str">
        <f t="shared" si="13"/>
        <v/>
      </c>
    </row>
    <row r="867" spans="1:4" x14ac:dyDescent="0.3">
      <c r="A867"/>
      <c r="B867"/>
      <c r="D867" t="str">
        <f t="shared" si="13"/>
        <v/>
      </c>
    </row>
    <row r="868" spans="1:4" x14ac:dyDescent="0.3">
      <c r="A868"/>
      <c r="B868"/>
      <c r="D868" t="str">
        <f t="shared" si="13"/>
        <v/>
      </c>
    </row>
    <row r="869" spans="1:4" x14ac:dyDescent="0.3">
      <c r="A869"/>
      <c r="B869"/>
      <c r="D869" t="str">
        <f t="shared" si="13"/>
        <v/>
      </c>
    </row>
    <row r="870" spans="1:4" x14ac:dyDescent="0.3">
      <c r="A870"/>
      <c r="B870"/>
      <c r="D870" t="str">
        <f t="shared" si="13"/>
        <v/>
      </c>
    </row>
    <row r="871" spans="1:4" x14ac:dyDescent="0.3">
      <c r="A871"/>
      <c r="B871"/>
      <c r="D871" t="str">
        <f t="shared" si="13"/>
        <v/>
      </c>
    </row>
    <row r="872" spans="1:4" x14ac:dyDescent="0.3">
      <c r="A872"/>
      <c r="B872"/>
      <c r="D872" t="str">
        <f t="shared" si="13"/>
        <v/>
      </c>
    </row>
    <row r="873" spans="1:4" x14ac:dyDescent="0.3">
      <c r="A873"/>
      <c r="B873"/>
      <c r="D873" t="str">
        <f t="shared" si="13"/>
        <v/>
      </c>
    </row>
    <row r="874" spans="1:4" x14ac:dyDescent="0.3">
      <c r="A874"/>
      <c r="B874"/>
      <c r="D874" t="str">
        <f t="shared" si="13"/>
        <v/>
      </c>
    </row>
    <row r="875" spans="1:4" x14ac:dyDescent="0.3">
      <c r="A875"/>
      <c r="B875"/>
      <c r="D875" t="str">
        <f t="shared" si="13"/>
        <v/>
      </c>
    </row>
    <row r="876" spans="1:4" x14ac:dyDescent="0.3">
      <c r="A876"/>
      <c r="B876"/>
      <c r="D876" t="str">
        <f t="shared" si="13"/>
        <v/>
      </c>
    </row>
    <row r="877" spans="1:4" x14ac:dyDescent="0.3">
      <c r="A877"/>
      <c r="B877"/>
      <c r="D877" t="str">
        <f t="shared" si="13"/>
        <v/>
      </c>
    </row>
    <row r="878" spans="1:4" x14ac:dyDescent="0.3">
      <c r="A878"/>
      <c r="B878"/>
      <c r="D878" t="str">
        <f t="shared" si="13"/>
        <v/>
      </c>
    </row>
    <row r="879" spans="1:4" x14ac:dyDescent="0.3">
      <c r="A879"/>
      <c r="B879"/>
      <c r="D879" t="str">
        <f t="shared" si="13"/>
        <v/>
      </c>
    </row>
    <row r="880" spans="1:4" x14ac:dyDescent="0.3">
      <c r="A880"/>
      <c r="B880"/>
      <c r="D880" t="str">
        <f t="shared" si="13"/>
        <v/>
      </c>
    </row>
    <row r="881" spans="1:4" x14ac:dyDescent="0.3">
      <c r="A881"/>
      <c r="B881"/>
      <c r="D881" t="str">
        <f t="shared" si="13"/>
        <v/>
      </c>
    </row>
    <row r="882" spans="1:4" x14ac:dyDescent="0.3">
      <c r="A882"/>
      <c r="B882"/>
      <c r="D882" t="str">
        <f t="shared" si="13"/>
        <v/>
      </c>
    </row>
    <row r="883" spans="1:4" x14ac:dyDescent="0.3">
      <c r="A883"/>
      <c r="B883"/>
      <c r="D883" t="str">
        <f t="shared" si="13"/>
        <v/>
      </c>
    </row>
    <row r="884" spans="1:4" x14ac:dyDescent="0.3">
      <c r="A884"/>
      <c r="B884"/>
      <c r="D884" t="str">
        <f t="shared" si="13"/>
        <v/>
      </c>
    </row>
    <row r="885" spans="1:4" x14ac:dyDescent="0.3">
      <c r="A885"/>
      <c r="B885"/>
      <c r="D885" t="str">
        <f t="shared" si="13"/>
        <v/>
      </c>
    </row>
    <row r="886" spans="1:4" x14ac:dyDescent="0.3">
      <c r="A886"/>
      <c r="B886"/>
      <c r="D886" t="str">
        <f t="shared" si="13"/>
        <v/>
      </c>
    </row>
    <row r="887" spans="1:4" x14ac:dyDescent="0.3">
      <c r="A887"/>
      <c r="B887"/>
      <c r="D887" t="str">
        <f t="shared" si="13"/>
        <v/>
      </c>
    </row>
    <row r="888" spans="1:4" x14ac:dyDescent="0.3">
      <c r="A888"/>
      <c r="B888"/>
      <c r="D888" t="str">
        <f t="shared" si="13"/>
        <v/>
      </c>
    </row>
    <row r="889" spans="1:4" x14ac:dyDescent="0.3">
      <c r="A889"/>
      <c r="B889"/>
      <c r="D889" t="str">
        <f t="shared" si="13"/>
        <v/>
      </c>
    </row>
    <row r="890" spans="1:4" x14ac:dyDescent="0.3">
      <c r="A890"/>
      <c r="B890"/>
      <c r="D890" t="str">
        <f t="shared" si="13"/>
        <v/>
      </c>
    </row>
    <row r="891" spans="1:4" x14ac:dyDescent="0.3">
      <c r="A891"/>
      <c r="B891"/>
      <c r="D891" t="str">
        <f t="shared" si="13"/>
        <v/>
      </c>
    </row>
    <row r="892" spans="1:4" x14ac:dyDescent="0.3">
      <c r="A892"/>
      <c r="B892"/>
      <c r="D892" t="str">
        <f t="shared" si="13"/>
        <v/>
      </c>
    </row>
    <row r="893" spans="1:4" x14ac:dyDescent="0.3">
      <c r="A893"/>
      <c r="B893"/>
      <c r="D893" t="str">
        <f t="shared" si="13"/>
        <v/>
      </c>
    </row>
    <row r="894" spans="1:4" x14ac:dyDescent="0.3">
      <c r="A894"/>
      <c r="B894"/>
      <c r="D894" t="str">
        <f t="shared" si="13"/>
        <v/>
      </c>
    </row>
    <row r="895" spans="1:4" x14ac:dyDescent="0.3">
      <c r="A895"/>
      <c r="B895"/>
      <c r="D895" t="str">
        <f t="shared" si="13"/>
        <v/>
      </c>
    </row>
    <row r="896" spans="1:4" x14ac:dyDescent="0.3">
      <c r="A896"/>
      <c r="B896"/>
      <c r="D896" t="str">
        <f t="shared" si="13"/>
        <v/>
      </c>
    </row>
    <row r="897" spans="1:4" x14ac:dyDescent="0.3">
      <c r="A897"/>
      <c r="B897"/>
      <c r="D897" t="str">
        <f t="shared" si="13"/>
        <v/>
      </c>
    </row>
    <row r="898" spans="1:4" x14ac:dyDescent="0.3">
      <c r="A898"/>
      <c r="B898"/>
      <c r="D898" t="str">
        <f t="shared" si="13"/>
        <v/>
      </c>
    </row>
    <row r="899" spans="1:4" x14ac:dyDescent="0.3">
      <c r="A899"/>
      <c r="B899"/>
      <c r="D899" t="str">
        <f t="shared" ref="D899:D962" si="14">CONCATENATE(A899,B899,C899)</f>
        <v/>
      </c>
    </row>
    <row r="900" spans="1:4" x14ac:dyDescent="0.3">
      <c r="A900"/>
      <c r="B900"/>
      <c r="D900" t="str">
        <f t="shared" si="14"/>
        <v/>
      </c>
    </row>
    <row r="901" spans="1:4" x14ac:dyDescent="0.3">
      <c r="A901"/>
      <c r="B901"/>
      <c r="D901" t="str">
        <f t="shared" si="14"/>
        <v/>
      </c>
    </row>
    <row r="902" spans="1:4" x14ac:dyDescent="0.3">
      <c r="A902"/>
      <c r="B902"/>
      <c r="D902" t="str">
        <f t="shared" si="14"/>
        <v/>
      </c>
    </row>
    <row r="903" spans="1:4" x14ac:dyDescent="0.3">
      <c r="A903"/>
      <c r="B903"/>
      <c r="D903" t="str">
        <f t="shared" si="14"/>
        <v/>
      </c>
    </row>
    <row r="904" spans="1:4" x14ac:dyDescent="0.3">
      <c r="A904"/>
      <c r="B904"/>
      <c r="D904" t="str">
        <f t="shared" si="14"/>
        <v/>
      </c>
    </row>
    <row r="905" spans="1:4" x14ac:dyDescent="0.3">
      <c r="A905"/>
      <c r="B905"/>
      <c r="D905" t="str">
        <f t="shared" si="14"/>
        <v/>
      </c>
    </row>
    <row r="906" spans="1:4" x14ac:dyDescent="0.3">
      <c r="A906"/>
      <c r="B906"/>
      <c r="D906" t="str">
        <f t="shared" si="14"/>
        <v/>
      </c>
    </row>
    <row r="907" spans="1:4" x14ac:dyDescent="0.3">
      <c r="A907"/>
      <c r="B907"/>
      <c r="D907" t="str">
        <f t="shared" si="14"/>
        <v/>
      </c>
    </row>
    <row r="908" spans="1:4" x14ac:dyDescent="0.3">
      <c r="A908"/>
      <c r="B908"/>
      <c r="D908" t="str">
        <f t="shared" si="14"/>
        <v/>
      </c>
    </row>
    <row r="909" spans="1:4" x14ac:dyDescent="0.3">
      <c r="A909"/>
      <c r="B909"/>
      <c r="D909" t="str">
        <f t="shared" si="14"/>
        <v/>
      </c>
    </row>
    <row r="910" spans="1:4" x14ac:dyDescent="0.3">
      <c r="A910"/>
      <c r="B910"/>
      <c r="D910" t="str">
        <f t="shared" si="14"/>
        <v/>
      </c>
    </row>
    <row r="911" spans="1:4" x14ac:dyDescent="0.3">
      <c r="A911"/>
      <c r="B911"/>
      <c r="D911" t="str">
        <f t="shared" si="14"/>
        <v/>
      </c>
    </row>
    <row r="912" spans="1:4" x14ac:dyDescent="0.3">
      <c r="A912"/>
      <c r="B912"/>
      <c r="D912" t="str">
        <f t="shared" si="14"/>
        <v/>
      </c>
    </row>
    <row r="913" spans="1:4" x14ac:dyDescent="0.3">
      <c r="A913"/>
      <c r="B913"/>
      <c r="D913" t="str">
        <f t="shared" si="14"/>
        <v/>
      </c>
    </row>
    <row r="914" spans="1:4" x14ac:dyDescent="0.3">
      <c r="A914"/>
      <c r="B914"/>
      <c r="D914" t="str">
        <f t="shared" si="14"/>
        <v/>
      </c>
    </row>
    <row r="915" spans="1:4" x14ac:dyDescent="0.3">
      <c r="A915"/>
      <c r="B915"/>
      <c r="D915" t="str">
        <f t="shared" si="14"/>
        <v/>
      </c>
    </row>
    <row r="916" spans="1:4" x14ac:dyDescent="0.3">
      <c r="A916"/>
      <c r="B916"/>
      <c r="D916" t="str">
        <f t="shared" si="14"/>
        <v/>
      </c>
    </row>
    <row r="917" spans="1:4" x14ac:dyDescent="0.3">
      <c r="A917"/>
      <c r="B917"/>
      <c r="D917" t="str">
        <f t="shared" si="14"/>
        <v/>
      </c>
    </row>
    <row r="918" spans="1:4" x14ac:dyDescent="0.3">
      <c r="A918"/>
      <c r="B918"/>
      <c r="D918" t="str">
        <f t="shared" si="14"/>
        <v/>
      </c>
    </row>
    <row r="919" spans="1:4" x14ac:dyDescent="0.3">
      <c r="A919"/>
      <c r="B919"/>
      <c r="D919" t="str">
        <f t="shared" si="14"/>
        <v/>
      </c>
    </row>
    <row r="920" spans="1:4" x14ac:dyDescent="0.3">
      <c r="A920"/>
      <c r="B920"/>
      <c r="D920" t="str">
        <f t="shared" si="14"/>
        <v/>
      </c>
    </row>
    <row r="921" spans="1:4" x14ac:dyDescent="0.3">
      <c r="A921"/>
      <c r="B921"/>
      <c r="D921" t="str">
        <f t="shared" si="14"/>
        <v/>
      </c>
    </row>
    <row r="922" spans="1:4" x14ac:dyDescent="0.3">
      <c r="A922"/>
      <c r="B922"/>
      <c r="D922" t="str">
        <f t="shared" si="14"/>
        <v/>
      </c>
    </row>
    <row r="923" spans="1:4" x14ac:dyDescent="0.3">
      <c r="A923"/>
      <c r="B923"/>
      <c r="D923" t="str">
        <f t="shared" si="14"/>
        <v/>
      </c>
    </row>
    <row r="924" spans="1:4" x14ac:dyDescent="0.3">
      <c r="A924"/>
      <c r="B924"/>
      <c r="D924" t="str">
        <f t="shared" si="14"/>
        <v/>
      </c>
    </row>
    <row r="925" spans="1:4" x14ac:dyDescent="0.3">
      <c r="A925"/>
      <c r="B925"/>
      <c r="D925" t="str">
        <f t="shared" si="14"/>
        <v/>
      </c>
    </row>
    <row r="926" spans="1:4" x14ac:dyDescent="0.3">
      <c r="A926"/>
      <c r="B926"/>
      <c r="D926" t="str">
        <f t="shared" si="14"/>
        <v/>
      </c>
    </row>
    <row r="927" spans="1:4" x14ac:dyDescent="0.3">
      <c r="A927"/>
      <c r="B927"/>
      <c r="D927" t="str">
        <f t="shared" si="14"/>
        <v/>
      </c>
    </row>
    <row r="928" spans="1:4" x14ac:dyDescent="0.3">
      <c r="A928"/>
      <c r="B928"/>
      <c r="D928" t="str">
        <f t="shared" si="14"/>
        <v/>
      </c>
    </row>
    <row r="929" spans="1:4" x14ac:dyDescent="0.3">
      <c r="A929"/>
      <c r="B929"/>
      <c r="D929" t="str">
        <f t="shared" si="14"/>
        <v/>
      </c>
    </row>
    <row r="930" spans="1:4" x14ac:dyDescent="0.3">
      <c r="A930"/>
      <c r="B930"/>
      <c r="D930" t="str">
        <f t="shared" si="14"/>
        <v/>
      </c>
    </row>
    <row r="931" spans="1:4" x14ac:dyDescent="0.3">
      <c r="A931"/>
      <c r="B931"/>
      <c r="D931" t="str">
        <f t="shared" si="14"/>
        <v/>
      </c>
    </row>
    <row r="932" spans="1:4" x14ac:dyDescent="0.3">
      <c r="A932"/>
      <c r="B932"/>
      <c r="D932" t="str">
        <f t="shared" si="14"/>
        <v/>
      </c>
    </row>
    <row r="933" spans="1:4" x14ac:dyDescent="0.3">
      <c r="A933"/>
      <c r="B933"/>
      <c r="D933" t="str">
        <f t="shared" si="14"/>
        <v/>
      </c>
    </row>
    <row r="934" spans="1:4" x14ac:dyDescent="0.3">
      <c r="A934"/>
      <c r="B934"/>
      <c r="D934" t="str">
        <f t="shared" si="14"/>
        <v/>
      </c>
    </row>
    <row r="935" spans="1:4" x14ac:dyDescent="0.3">
      <c r="A935"/>
      <c r="B935"/>
      <c r="D935" t="str">
        <f t="shared" si="14"/>
        <v/>
      </c>
    </row>
    <row r="936" spans="1:4" x14ac:dyDescent="0.3">
      <c r="A936"/>
      <c r="B936"/>
      <c r="D936" t="str">
        <f t="shared" si="14"/>
        <v/>
      </c>
    </row>
    <row r="937" spans="1:4" x14ac:dyDescent="0.3">
      <c r="A937"/>
      <c r="B937"/>
      <c r="D937" t="str">
        <f t="shared" si="14"/>
        <v/>
      </c>
    </row>
    <row r="938" spans="1:4" x14ac:dyDescent="0.3">
      <c r="A938"/>
      <c r="B938"/>
      <c r="D938" t="str">
        <f t="shared" si="14"/>
        <v/>
      </c>
    </row>
    <row r="939" spans="1:4" x14ac:dyDescent="0.3">
      <c r="A939"/>
      <c r="B939"/>
      <c r="D939" t="str">
        <f t="shared" si="14"/>
        <v/>
      </c>
    </row>
    <row r="940" spans="1:4" x14ac:dyDescent="0.3">
      <c r="A940"/>
      <c r="B940"/>
      <c r="D940" t="str">
        <f t="shared" si="14"/>
        <v/>
      </c>
    </row>
    <row r="941" spans="1:4" x14ac:dyDescent="0.3">
      <c r="A941"/>
      <c r="B941"/>
      <c r="D941" t="str">
        <f t="shared" si="14"/>
        <v/>
      </c>
    </row>
    <row r="942" spans="1:4" x14ac:dyDescent="0.3">
      <c r="A942"/>
      <c r="B942"/>
      <c r="D942" t="str">
        <f t="shared" si="14"/>
        <v/>
      </c>
    </row>
    <row r="943" spans="1:4" x14ac:dyDescent="0.3">
      <c r="A943"/>
      <c r="B943"/>
      <c r="D943" t="str">
        <f t="shared" si="14"/>
        <v/>
      </c>
    </row>
    <row r="944" spans="1:4" x14ac:dyDescent="0.3">
      <c r="A944"/>
      <c r="B944"/>
      <c r="D944" t="str">
        <f t="shared" si="14"/>
        <v/>
      </c>
    </row>
    <row r="945" spans="1:4" x14ac:dyDescent="0.3">
      <c r="A945"/>
      <c r="B945"/>
      <c r="D945" t="str">
        <f t="shared" si="14"/>
        <v/>
      </c>
    </row>
    <row r="946" spans="1:4" x14ac:dyDescent="0.3">
      <c r="A946"/>
      <c r="B946"/>
      <c r="D946" t="str">
        <f t="shared" si="14"/>
        <v/>
      </c>
    </row>
    <row r="947" spans="1:4" x14ac:dyDescent="0.3">
      <c r="A947"/>
      <c r="B947"/>
      <c r="D947" t="str">
        <f t="shared" si="14"/>
        <v/>
      </c>
    </row>
    <row r="948" spans="1:4" x14ac:dyDescent="0.3">
      <c r="A948"/>
      <c r="B948"/>
      <c r="D948" t="str">
        <f t="shared" si="14"/>
        <v/>
      </c>
    </row>
    <row r="949" spans="1:4" x14ac:dyDescent="0.3">
      <c r="A949"/>
      <c r="B949"/>
      <c r="D949" t="str">
        <f t="shared" si="14"/>
        <v/>
      </c>
    </row>
    <row r="950" spans="1:4" x14ac:dyDescent="0.3">
      <c r="A950"/>
      <c r="B950"/>
      <c r="D950" t="str">
        <f t="shared" si="14"/>
        <v/>
      </c>
    </row>
    <row r="951" spans="1:4" x14ac:dyDescent="0.3">
      <c r="A951"/>
      <c r="B951"/>
      <c r="D951" t="str">
        <f t="shared" si="14"/>
        <v/>
      </c>
    </row>
    <row r="952" spans="1:4" x14ac:dyDescent="0.3">
      <c r="A952"/>
      <c r="B952"/>
      <c r="D952" t="str">
        <f t="shared" si="14"/>
        <v/>
      </c>
    </row>
    <row r="953" spans="1:4" x14ac:dyDescent="0.3">
      <c r="A953"/>
      <c r="B953"/>
      <c r="D953" t="str">
        <f t="shared" si="14"/>
        <v/>
      </c>
    </row>
    <row r="954" spans="1:4" x14ac:dyDescent="0.3">
      <c r="A954"/>
      <c r="B954"/>
      <c r="D954" t="str">
        <f t="shared" si="14"/>
        <v/>
      </c>
    </row>
    <row r="955" spans="1:4" x14ac:dyDescent="0.3">
      <c r="A955"/>
      <c r="B955"/>
      <c r="D955" t="str">
        <f t="shared" si="14"/>
        <v/>
      </c>
    </row>
    <row r="956" spans="1:4" x14ac:dyDescent="0.3">
      <c r="A956"/>
      <c r="B956"/>
      <c r="D956" t="str">
        <f t="shared" si="14"/>
        <v/>
      </c>
    </row>
    <row r="957" spans="1:4" x14ac:dyDescent="0.3">
      <c r="A957"/>
      <c r="B957"/>
      <c r="D957" t="str">
        <f t="shared" si="14"/>
        <v/>
      </c>
    </row>
    <row r="958" spans="1:4" x14ac:dyDescent="0.3">
      <c r="A958"/>
      <c r="B958"/>
      <c r="D958" t="str">
        <f t="shared" si="14"/>
        <v/>
      </c>
    </row>
    <row r="959" spans="1:4" x14ac:dyDescent="0.3">
      <c r="A959"/>
      <c r="B959"/>
      <c r="D959" t="str">
        <f t="shared" si="14"/>
        <v/>
      </c>
    </row>
    <row r="960" spans="1:4" x14ac:dyDescent="0.3">
      <c r="A960"/>
      <c r="B960"/>
      <c r="D960" t="str">
        <f t="shared" si="14"/>
        <v/>
      </c>
    </row>
    <row r="961" spans="1:4" x14ac:dyDescent="0.3">
      <c r="A961"/>
      <c r="B961"/>
      <c r="D961" t="str">
        <f t="shared" si="14"/>
        <v/>
      </c>
    </row>
    <row r="962" spans="1:4" x14ac:dyDescent="0.3">
      <c r="A962"/>
      <c r="B962"/>
      <c r="D962" t="str">
        <f t="shared" si="14"/>
        <v/>
      </c>
    </row>
    <row r="963" spans="1:4" x14ac:dyDescent="0.3">
      <c r="A963"/>
      <c r="B963"/>
      <c r="D963" t="str">
        <f t="shared" ref="D963:D1026" si="15">CONCATENATE(A963,B963,C963)</f>
        <v/>
      </c>
    </row>
    <row r="964" spans="1:4" x14ac:dyDescent="0.3">
      <c r="A964"/>
      <c r="B964"/>
      <c r="D964" t="str">
        <f t="shared" si="15"/>
        <v/>
      </c>
    </row>
    <row r="965" spans="1:4" x14ac:dyDescent="0.3">
      <c r="A965"/>
      <c r="B965"/>
      <c r="D965" t="str">
        <f t="shared" si="15"/>
        <v/>
      </c>
    </row>
    <row r="966" spans="1:4" x14ac:dyDescent="0.3">
      <c r="A966"/>
      <c r="B966"/>
      <c r="D966" t="str">
        <f t="shared" si="15"/>
        <v/>
      </c>
    </row>
    <row r="967" spans="1:4" x14ac:dyDescent="0.3">
      <c r="A967"/>
      <c r="B967"/>
      <c r="D967" t="str">
        <f t="shared" si="15"/>
        <v/>
      </c>
    </row>
    <row r="968" spans="1:4" x14ac:dyDescent="0.3">
      <c r="A968"/>
      <c r="B968"/>
      <c r="D968" t="str">
        <f t="shared" si="15"/>
        <v/>
      </c>
    </row>
    <row r="969" spans="1:4" x14ac:dyDescent="0.3">
      <c r="A969"/>
      <c r="B969"/>
      <c r="D969" t="str">
        <f t="shared" si="15"/>
        <v/>
      </c>
    </row>
    <row r="970" spans="1:4" x14ac:dyDescent="0.3">
      <c r="A970"/>
      <c r="B970"/>
      <c r="D970" t="str">
        <f t="shared" si="15"/>
        <v/>
      </c>
    </row>
    <row r="971" spans="1:4" x14ac:dyDescent="0.3">
      <c r="A971"/>
      <c r="B971"/>
      <c r="D971" t="str">
        <f t="shared" si="15"/>
        <v/>
      </c>
    </row>
    <row r="972" spans="1:4" x14ac:dyDescent="0.3">
      <c r="A972"/>
      <c r="B972"/>
      <c r="D972" t="str">
        <f t="shared" si="15"/>
        <v/>
      </c>
    </row>
    <row r="973" spans="1:4" x14ac:dyDescent="0.3">
      <c r="A973"/>
      <c r="B973"/>
      <c r="D973" t="str">
        <f t="shared" si="15"/>
        <v/>
      </c>
    </row>
    <row r="974" spans="1:4" x14ac:dyDescent="0.3">
      <c r="A974"/>
      <c r="B974"/>
      <c r="D974" t="str">
        <f t="shared" si="15"/>
        <v/>
      </c>
    </row>
    <row r="975" spans="1:4" x14ac:dyDescent="0.3">
      <c r="A975"/>
      <c r="B975"/>
      <c r="D975" t="str">
        <f t="shared" si="15"/>
        <v/>
      </c>
    </row>
    <row r="976" spans="1:4" x14ac:dyDescent="0.3">
      <c r="A976"/>
      <c r="B976"/>
      <c r="D976" t="str">
        <f t="shared" si="15"/>
        <v/>
      </c>
    </row>
    <row r="977" spans="1:4" x14ac:dyDescent="0.3">
      <c r="A977"/>
      <c r="B977"/>
      <c r="D977" t="str">
        <f t="shared" si="15"/>
        <v/>
      </c>
    </row>
    <row r="978" spans="1:4" x14ac:dyDescent="0.3">
      <c r="A978"/>
      <c r="B978"/>
      <c r="D978" t="str">
        <f t="shared" si="15"/>
        <v/>
      </c>
    </row>
    <row r="979" spans="1:4" x14ac:dyDescent="0.3">
      <c r="A979"/>
      <c r="B979"/>
      <c r="D979" t="str">
        <f t="shared" si="15"/>
        <v/>
      </c>
    </row>
    <row r="980" spans="1:4" x14ac:dyDescent="0.3">
      <c r="A980"/>
      <c r="B980"/>
      <c r="D980" t="str">
        <f t="shared" si="15"/>
        <v/>
      </c>
    </row>
    <row r="981" spans="1:4" x14ac:dyDescent="0.3">
      <c r="A981"/>
      <c r="B981"/>
      <c r="D981" t="str">
        <f t="shared" si="15"/>
        <v/>
      </c>
    </row>
    <row r="982" spans="1:4" x14ac:dyDescent="0.3">
      <c r="A982"/>
      <c r="B982"/>
      <c r="D982" t="str">
        <f t="shared" si="15"/>
        <v/>
      </c>
    </row>
    <row r="983" spans="1:4" x14ac:dyDescent="0.3">
      <c r="A983"/>
      <c r="B983"/>
      <c r="D983" t="str">
        <f t="shared" si="15"/>
        <v/>
      </c>
    </row>
    <row r="984" spans="1:4" x14ac:dyDescent="0.3">
      <c r="A984"/>
      <c r="B984"/>
      <c r="D984" t="str">
        <f t="shared" si="15"/>
        <v/>
      </c>
    </row>
    <row r="985" spans="1:4" x14ac:dyDescent="0.3">
      <c r="A985"/>
      <c r="B985"/>
      <c r="D985" t="str">
        <f t="shared" si="15"/>
        <v/>
      </c>
    </row>
    <row r="986" spans="1:4" x14ac:dyDescent="0.3">
      <c r="A986"/>
      <c r="B986"/>
      <c r="D986" t="str">
        <f t="shared" si="15"/>
        <v/>
      </c>
    </row>
    <row r="987" spans="1:4" x14ac:dyDescent="0.3">
      <c r="A987"/>
      <c r="B987"/>
      <c r="D987" t="str">
        <f t="shared" si="15"/>
        <v/>
      </c>
    </row>
    <row r="988" spans="1:4" x14ac:dyDescent="0.3">
      <c r="A988"/>
      <c r="B988"/>
      <c r="D988" t="str">
        <f t="shared" si="15"/>
        <v/>
      </c>
    </row>
    <row r="989" spans="1:4" x14ac:dyDescent="0.3">
      <c r="A989"/>
      <c r="B989"/>
      <c r="D989" t="str">
        <f t="shared" si="15"/>
        <v/>
      </c>
    </row>
    <row r="990" spans="1:4" x14ac:dyDescent="0.3">
      <c r="A990"/>
      <c r="B990"/>
      <c r="D990" t="str">
        <f t="shared" si="15"/>
        <v/>
      </c>
    </row>
    <row r="991" spans="1:4" x14ac:dyDescent="0.3">
      <c r="A991"/>
      <c r="B991"/>
      <c r="D991" t="str">
        <f t="shared" si="15"/>
        <v/>
      </c>
    </row>
    <row r="992" spans="1:4" x14ac:dyDescent="0.3">
      <c r="A992"/>
      <c r="B992"/>
      <c r="D992" t="str">
        <f t="shared" si="15"/>
        <v/>
      </c>
    </row>
    <row r="993" spans="1:4" x14ac:dyDescent="0.3">
      <c r="A993"/>
      <c r="B993"/>
      <c r="D993" t="str">
        <f t="shared" si="15"/>
        <v/>
      </c>
    </row>
    <row r="994" spans="1:4" x14ac:dyDescent="0.3">
      <c r="A994"/>
      <c r="B994"/>
      <c r="D994" t="str">
        <f t="shared" si="15"/>
        <v/>
      </c>
    </row>
    <row r="995" spans="1:4" x14ac:dyDescent="0.3">
      <c r="A995"/>
      <c r="B995"/>
      <c r="D995" t="str">
        <f t="shared" si="15"/>
        <v/>
      </c>
    </row>
    <row r="996" spans="1:4" x14ac:dyDescent="0.3">
      <c r="A996"/>
      <c r="B996"/>
      <c r="D996" t="str">
        <f t="shared" si="15"/>
        <v/>
      </c>
    </row>
    <row r="997" spans="1:4" x14ac:dyDescent="0.3">
      <c r="A997"/>
      <c r="B997"/>
      <c r="D997" t="str">
        <f t="shared" si="15"/>
        <v/>
      </c>
    </row>
    <row r="998" spans="1:4" x14ac:dyDescent="0.3">
      <c r="A998"/>
      <c r="B998"/>
      <c r="D998" t="str">
        <f t="shared" si="15"/>
        <v/>
      </c>
    </row>
    <row r="999" spans="1:4" x14ac:dyDescent="0.3">
      <c r="A999"/>
      <c r="B999"/>
      <c r="D999" t="str">
        <f t="shared" si="15"/>
        <v/>
      </c>
    </row>
    <row r="1000" spans="1:4" x14ac:dyDescent="0.3">
      <c r="A1000"/>
      <c r="B1000"/>
      <c r="D1000" t="str">
        <f t="shared" si="15"/>
        <v/>
      </c>
    </row>
    <row r="1001" spans="1:4" x14ac:dyDescent="0.3">
      <c r="A1001"/>
      <c r="B1001"/>
      <c r="D1001" t="str">
        <f t="shared" si="15"/>
        <v/>
      </c>
    </row>
    <row r="1002" spans="1:4" x14ac:dyDescent="0.3">
      <c r="A1002"/>
      <c r="B1002"/>
      <c r="D1002" t="str">
        <f t="shared" si="15"/>
        <v/>
      </c>
    </row>
    <row r="1003" spans="1:4" x14ac:dyDescent="0.3">
      <c r="A1003"/>
      <c r="B1003"/>
      <c r="D1003" t="str">
        <f t="shared" si="15"/>
        <v/>
      </c>
    </row>
    <row r="1004" spans="1:4" x14ac:dyDescent="0.3">
      <c r="A1004"/>
      <c r="B1004"/>
      <c r="D1004" t="str">
        <f t="shared" si="15"/>
        <v/>
      </c>
    </row>
    <row r="1005" spans="1:4" x14ac:dyDescent="0.3">
      <c r="A1005"/>
      <c r="B1005"/>
      <c r="D1005" t="str">
        <f t="shared" si="15"/>
        <v/>
      </c>
    </row>
    <row r="1006" spans="1:4" x14ac:dyDescent="0.3">
      <c r="A1006"/>
      <c r="B1006"/>
      <c r="D1006" t="str">
        <f t="shared" si="15"/>
        <v/>
      </c>
    </row>
    <row r="1007" spans="1:4" x14ac:dyDescent="0.3">
      <c r="A1007"/>
      <c r="B1007"/>
      <c r="D1007" t="str">
        <f t="shared" si="15"/>
        <v/>
      </c>
    </row>
    <row r="1008" spans="1:4" x14ac:dyDescent="0.3">
      <c r="A1008"/>
      <c r="B1008"/>
      <c r="D1008" t="str">
        <f t="shared" si="15"/>
        <v/>
      </c>
    </row>
    <row r="1009" spans="1:4" x14ac:dyDescent="0.3">
      <c r="A1009"/>
      <c r="B1009"/>
      <c r="D1009" t="str">
        <f t="shared" si="15"/>
        <v/>
      </c>
    </row>
    <row r="1010" spans="1:4" x14ac:dyDescent="0.3">
      <c r="A1010"/>
      <c r="B1010"/>
      <c r="D1010" t="str">
        <f t="shared" si="15"/>
        <v/>
      </c>
    </row>
    <row r="1011" spans="1:4" x14ac:dyDescent="0.3">
      <c r="A1011"/>
      <c r="B1011"/>
      <c r="D1011" t="str">
        <f t="shared" si="15"/>
        <v/>
      </c>
    </row>
    <row r="1012" spans="1:4" x14ac:dyDescent="0.3">
      <c r="A1012"/>
      <c r="B1012"/>
      <c r="D1012" t="str">
        <f t="shared" si="15"/>
        <v/>
      </c>
    </row>
    <row r="1013" spans="1:4" x14ac:dyDescent="0.3">
      <c r="A1013"/>
      <c r="B1013"/>
      <c r="D1013" t="str">
        <f t="shared" si="15"/>
        <v/>
      </c>
    </row>
    <row r="1014" spans="1:4" x14ac:dyDescent="0.3">
      <c r="A1014"/>
      <c r="B1014"/>
      <c r="D1014" t="str">
        <f t="shared" si="15"/>
        <v/>
      </c>
    </row>
    <row r="1015" spans="1:4" x14ac:dyDescent="0.3">
      <c r="A1015"/>
      <c r="B1015"/>
      <c r="D1015" t="str">
        <f t="shared" si="15"/>
        <v/>
      </c>
    </row>
    <row r="1016" spans="1:4" x14ac:dyDescent="0.3">
      <c r="A1016"/>
      <c r="B1016"/>
      <c r="D1016" t="str">
        <f t="shared" si="15"/>
        <v/>
      </c>
    </row>
    <row r="1017" spans="1:4" x14ac:dyDescent="0.3">
      <c r="A1017"/>
      <c r="B1017"/>
      <c r="D1017" t="str">
        <f t="shared" si="15"/>
        <v/>
      </c>
    </row>
    <row r="1018" spans="1:4" x14ac:dyDescent="0.3">
      <c r="A1018"/>
      <c r="B1018"/>
      <c r="D1018" t="str">
        <f t="shared" si="15"/>
        <v/>
      </c>
    </row>
    <row r="1019" spans="1:4" x14ac:dyDescent="0.3">
      <c r="A1019"/>
      <c r="B1019"/>
      <c r="D1019" t="str">
        <f t="shared" si="15"/>
        <v/>
      </c>
    </row>
    <row r="1020" spans="1:4" x14ac:dyDescent="0.3">
      <c r="A1020"/>
      <c r="B1020"/>
      <c r="D1020" t="str">
        <f t="shared" si="15"/>
        <v/>
      </c>
    </row>
    <row r="1021" spans="1:4" x14ac:dyDescent="0.3">
      <c r="A1021"/>
      <c r="B1021"/>
      <c r="D1021" t="str">
        <f t="shared" si="15"/>
        <v/>
      </c>
    </row>
    <row r="1022" spans="1:4" x14ac:dyDescent="0.3">
      <c r="A1022"/>
      <c r="B1022"/>
      <c r="D1022" t="str">
        <f t="shared" si="15"/>
        <v/>
      </c>
    </row>
    <row r="1023" spans="1:4" x14ac:dyDescent="0.3">
      <c r="A1023"/>
      <c r="B1023"/>
      <c r="D1023" t="str">
        <f t="shared" si="15"/>
        <v/>
      </c>
    </row>
    <row r="1024" spans="1:4" x14ac:dyDescent="0.3">
      <c r="A1024"/>
      <c r="B1024"/>
      <c r="D1024" t="str">
        <f t="shared" si="15"/>
        <v/>
      </c>
    </row>
    <row r="1025" spans="1:4" x14ac:dyDescent="0.3">
      <c r="A1025"/>
      <c r="B1025"/>
      <c r="D1025" t="str">
        <f t="shared" si="15"/>
        <v/>
      </c>
    </row>
    <row r="1026" spans="1:4" x14ac:dyDescent="0.3">
      <c r="A1026"/>
      <c r="B1026"/>
      <c r="D1026" t="str">
        <f t="shared" si="15"/>
        <v/>
      </c>
    </row>
    <row r="1027" spans="1:4" x14ac:dyDescent="0.3">
      <c r="A1027"/>
      <c r="B1027"/>
      <c r="D1027" t="str">
        <f t="shared" ref="D1027:D1090" si="16">CONCATENATE(A1027,B1027,C1027)</f>
        <v/>
      </c>
    </row>
    <row r="1028" spans="1:4" x14ac:dyDescent="0.3">
      <c r="A1028"/>
      <c r="B1028"/>
      <c r="D1028" t="str">
        <f t="shared" si="16"/>
        <v/>
      </c>
    </row>
    <row r="1029" spans="1:4" x14ac:dyDescent="0.3">
      <c r="A1029"/>
      <c r="B1029"/>
      <c r="D1029" t="str">
        <f t="shared" si="16"/>
        <v/>
      </c>
    </row>
    <row r="1030" spans="1:4" x14ac:dyDescent="0.3">
      <c r="A1030"/>
      <c r="B1030"/>
      <c r="D1030" t="str">
        <f t="shared" si="16"/>
        <v/>
      </c>
    </row>
    <row r="1031" spans="1:4" x14ac:dyDescent="0.3">
      <c r="A1031"/>
      <c r="B1031"/>
      <c r="D1031" t="str">
        <f t="shared" si="16"/>
        <v/>
      </c>
    </row>
    <row r="1032" spans="1:4" x14ac:dyDescent="0.3">
      <c r="A1032"/>
      <c r="B1032"/>
      <c r="D1032" t="str">
        <f t="shared" si="16"/>
        <v/>
      </c>
    </row>
    <row r="1033" spans="1:4" x14ac:dyDescent="0.3">
      <c r="A1033"/>
      <c r="B1033"/>
      <c r="D1033" t="str">
        <f t="shared" si="16"/>
        <v/>
      </c>
    </row>
    <row r="1034" spans="1:4" x14ac:dyDescent="0.3">
      <c r="A1034"/>
      <c r="B1034"/>
      <c r="D1034" t="str">
        <f t="shared" si="16"/>
        <v/>
      </c>
    </row>
    <row r="1035" spans="1:4" x14ac:dyDescent="0.3">
      <c r="A1035"/>
      <c r="B1035"/>
      <c r="D1035" t="str">
        <f t="shared" si="16"/>
        <v/>
      </c>
    </row>
    <row r="1036" spans="1:4" x14ac:dyDescent="0.3">
      <c r="A1036"/>
      <c r="B1036"/>
      <c r="D1036" t="str">
        <f t="shared" si="16"/>
        <v/>
      </c>
    </row>
    <row r="1037" spans="1:4" x14ac:dyDescent="0.3">
      <c r="A1037"/>
      <c r="B1037"/>
      <c r="D1037" t="str">
        <f t="shared" si="16"/>
        <v/>
      </c>
    </row>
    <row r="1038" spans="1:4" x14ac:dyDescent="0.3">
      <c r="A1038"/>
      <c r="B1038"/>
      <c r="D1038" t="str">
        <f t="shared" si="16"/>
        <v/>
      </c>
    </row>
    <row r="1039" spans="1:4" x14ac:dyDescent="0.3">
      <c r="A1039"/>
      <c r="B1039"/>
      <c r="D1039" t="str">
        <f t="shared" si="16"/>
        <v/>
      </c>
    </row>
    <row r="1040" spans="1:4" x14ac:dyDescent="0.3">
      <c r="A1040"/>
      <c r="B1040"/>
      <c r="D1040" t="str">
        <f t="shared" si="16"/>
        <v/>
      </c>
    </row>
    <row r="1041" spans="1:4" x14ac:dyDescent="0.3">
      <c r="A1041"/>
      <c r="B1041"/>
      <c r="D1041" t="str">
        <f t="shared" si="16"/>
        <v/>
      </c>
    </row>
    <row r="1042" spans="1:4" x14ac:dyDescent="0.3">
      <c r="A1042"/>
      <c r="B1042"/>
      <c r="D1042" t="str">
        <f t="shared" si="16"/>
        <v/>
      </c>
    </row>
    <row r="1043" spans="1:4" x14ac:dyDescent="0.3">
      <c r="A1043"/>
      <c r="B1043"/>
      <c r="D1043" t="str">
        <f t="shared" si="16"/>
        <v/>
      </c>
    </row>
    <row r="1044" spans="1:4" x14ac:dyDescent="0.3">
      <c r="A1044"/>
      <c r="B1044"/>
      <c r="D1044" t="str">
        <f t="shared" si="16"/>
        <v/>
      </c>
    </row>
    <row r="1045" spans="1:4" x14ac:dyDescent="0.3">
      <c r="A1045"/>
      <c r="B1045"/>
      <c r="D1045" t="str">
        <f t="shared" si="16"/>
        <v/>
      </c>
    </row>
    <row r="1046" spans="1:4" x14ac:dyDescent="0.3">
      <c r="A1046"/>
      <c r="B1046"/>
      <c r="D1046" t="str">
        <f t="shared" si="16"/>
        <v/>
      </c>
    </row>
    <row r="1047" spans="1:4" x14ac:dyDescent="0.3">
      <c r="A1047"/>
      <c r="B1047"/>
      <c r="D1047" t="str">
        <f t="shared" si="16"/>
        <v/>
      </c>
    </row>
    <row r="1048" spans="1:4" x14ac:dyDescent="0.3">
      <c r="A1048"/>
      <c r="B1048"/>
      <c r="D1048" t="str">
        <f t="shared" si="16"/>
        <v/>
      </c>
    </row>
    <row r="1049" spans="1:4" x14ac:dyDescent="0.3">
      <c r="A1049"/>
      <c r="B1049"/>
      <c r="D1049" t="str">
        <f t="shared" si="16"/>
        <v/>
      </c>
    </row>
    <row r="1050" spans="1:4" x14ac:dyDescent="0.3">
      <c r="A1050"/>
      <c r="B1050"/>
      <c r="D1050" t="str">
        <f t="shared" si="16"/>
        <v/>
      </c>
    </row>
    <row r="1051" spans="1:4" x14ac:dyDescent="0.3">
      <c r="A1051"/>
      <c r="B1051"/>
      <c r="D1051" t="str">
        <f t="shared" si="16"/>
        <v/>
      </c>
    </row>
    <row r="1052" spans="1:4" x14ac:dyDescent="0.3">
      <c r="A1052"/>
      <c r="B1052"/>
      <c r="D1052" t="str">
        <f t="shared" si="16"/>
        <v/>
      </c>
    </row>
    <row r="1053" spans="1:4" x14ac:dyDescent="0.3">
      <c r="A1053"/>
      <c r="B1053"/>
      <c r="D1053" t="str">
        <f t="shared" si="16"/>
        <v/>
      </c>
    </row>
    <row r="1054" spans="1:4" x14ac:dyDescent="0.3">
      <c r="A1054"/>
      <c r="B1054"/>
      <c r="D1054" t="str">
        <f t="shared" si="16"/>
        <v/>
      </c>
    </row>
    <row r="1055" spans="1:4" x14ac:dyDescent="0.3">
      <c r="A1055"/>
      <c r="B1055"/>
      <c r="D1055" t="str">
        <f t="shared" si="16"/>
        <v/>
      </c>
    </row>
    <row r="1056" spans="1:4" x14ac:dyDescent="0.3">
      <c r="A1056"/>
      <c r="B1056"/>
      <c r="D1056" t="str">
        <f t="shared" si="16"/>
        <v/>
      </c>
    </row>
    <row r="1057" spans="1:4" x14ac:dyDescent="0.3">
      <c r="A1057"/>
      <c r="B1057"/>
      <c r="D1057" t="str">
        <f t="shared" si="16"/>
        <v/>
      </c>
    </row>
    <row r="1058" spans="1:4" x14ac:dyDescent="0.3">
      <c r="A1058"/>
      <c r="B1058"/>
      <c r="D1058" t="str">
        <f t="shared" si="16"/>
        <v/>
      </c>
    </row>
    <row r="1059" spans="1:4" x14ac:dyDescent="0.3">
      <c r="A1059"/>
      <c r="B1059"/>
      <c r="D1059" t="str">
        <f t="shared" si="16"/>
        <v/>
      </c>
    </row>
    <row r="1060" spans="1:4" x14ac:dyDescent="0.3">
      <c r="A1060"/>
      <c r="B1060"/>
      <c r="D1060" t="str">
        <f t="shared" si="16"/>
        <v/>
      </c>
    </row>
    <row r="1061" spans="1:4" x14ac:dyDescent="0.3">
      <c r="A1061"/>
      <c r="B1061"/>
      <c r="D1061" t="str">
        <f t="shared" si="16"/>
        <v/>
      </c>
    </row>
    <row r="1062" spans="1:4" x14ac:dyDescent="0.3">
      <c r="A1062"/>
      <c r="B1062"/>
      <c r="D1062" t="str">
        <f t="shared" si="16"/>
        <v/>
      </c>
    </row>
    <row r="1063" spans="1:4" x14ac:dyDescent="0.3">
      <c r="A1063"/>
      <c r="B1063"/>
      <c r="D1063" t="str">
        <f t="shared" si="16"/>
        <v/>
      </c>
    </row>
    <row r="1064" spans="1:4" x14ac:dyDescent="0.3">
      <c r="A1064"/>
      <c r="B1064"/>
      <c r="D1064" t="str">
        <f t="shared" si="16"/>
        <v/>
      </c>
    </row>
    <row r="1065" spans="1:4" x14ac:dyDescent="0.3">
      <c r="A1065"/>
      <c r="B1065"/>
      <c r="D1065" t="str">
        <f t="shared" si="16"/>
        <v/>
      </c>
    </row>
    <row r="1066" spans="1:4" x14ac:dyDescent="0.3">
      <c r="A1066"/>
      <c r="B1066"/>
      <c r="D1066" t="str">
        <f t="shared" si="16"/>
        <v/>
      </c>
    </row>
    <row r="1067" spans="1:4" x14ac:dyDescent="0.3">
      <c r="A1067"/>
      <c r="B1067"/>
      <c r="D1067" t="str">
        <f t="shared" si="16"/>
        <v/>
      </c>
    </row>
    <row r="1068" spans="1:4" x14ac:dyDescent="0.3">
      <c r="A1068"/>
      <c r="B1068"/>
      <c r="D1068" t="str">
        <f t="shared" si="16"/>
        <v/>
      </c>
    </row>
    <row r="1069" spans="1:4" x14ac:dyDescent="0.3">
      <c r="A1069"/>
      <c r="B1069"/>
      <c r="D1069" t="str">
        <f t="shared" si="16"/>
        <v/>
      </c>
    </row>
    <row r="1070" spans="1:4" x14ac:dyDescent="0.3">
      <c r="A1070"/>
      <c r="B1070"/>
      <c r="D1070" t="str">
        <f t="shared" si="16"/>
        <v/>
      </c>
    </row>
    <row r="1071" spans="1:4" x14ac:dyDescent="0.3">
      <c r="A1071"/>
      <c r="B1071"/>
      <c r="D1071" t="str">
        <f t="shared" si="16"/>
        <v/>
      </c>
    </row>
    <row r="1072" spans="1:4" x14ac:dyDescent="0.3">
      <c r="A1072"/>
      <c r="B1072"/>
      <c r="D1072" t="str">
        <f t="shared" si="16"/>
        <v/>
      </c>
    </row>
    <row r="1073" spans="1:4" x14ac:dyDescent="0.3">
      <c r="A1073"/>
      <c r="B1073"/>
      <c r="D1073" t="str">
        <f t="shared" si="16"/>
        <v/>
      </c>
    </row>
    <row r="1074" spans="1:4" x14ac:dyDescent="0.3">
      <c r="A1074"/>
      <c r="B1074"/>
      <c r="D1074" t="str">
        <f t="shared" si="16"/>
        <v/>
      </c>
    </row>
    <row r="1075" spans="1:4" x14ac:dyDescent="0.3">
      <c r="A1075"/>
      <c r="B1075"/>
      <c r="D1075" t="str">
        <f t="shared" si="16"/>
        <v/>
      </c>
    </row>
    <row r="1076" spans="1:4" x14ac:dyDescent="0.3">
      <c r="A1076"/>
      <c r="B1076"/>
      <c r="D1076" t="str">
        <f t="shared" si="16"/>
        <v/>
      </c>
    </row>
    <row r="1077" spans="1:4" x14ac:dyDescent="0.3">
      <c r="A1077"/>
      <c r="B1077"/>
      <c r="D1077" t="str">
        <f t="shared" si="16"/>
        <v/>
      </c>
    </row>
    <row r="1078" spans="1:4" x14ac:dyDescent="0.3">
      <c r="A1078"/>
      <c r="B1078"/>
      <c r="D1078" t="str">
        <f t="shared" si="16"/>
        <v/>
      </c>
    </row>
    <row r="1079" spans="1:4" x14ac:dyDescent="0.3">
      <c r="A1079"/>
      <c r="B1079"/>
      <c r="D1079" t="str">
        <f t="shared" si="16"/>
        <v/>
      </c>
    </row>
    <row r="1080" spans="1:4" x14ac:dyDescent="0.3">
      <c r="A1080"/>
      <c r="B1080"/>
      <c r="D1080" t="str">
        <f t="shared" si="16"/>
        <v/>
      </c>
    </row>
    <row r="1081" spans="1:4" x14ac:dyDescent="0.3">
      <c r="A1081"/>
      <c r="B1081"/>
      <c r="D1081" t="str">
        <f t="shared" si="16"/>
        <v/>
      </c>
    </row>
    <row r="1082" spans="1:4" x14ac:dyDescent="0.3">
      <c r="A1082"/>
      <c r="B1082"/>
      <c r="D1082" t="str">
        <f t="shared" si="16"/>
        <v/>
      </c>
    </row>
    <row r="1083" spans="1:4" x14ac:dyDescent="0.3">
      <c r="A1083"/>
      <c r="B1083"/>
      <c r="D1083" t="str">
        <f t="shared" si="16"/>
        <v/>
      </c>
    </row>
    <row r="1084" spans="1:4" x14ac:dyDescent="0.3">
      <c r="A1084"/>
      <c r="B1084"/>
      <c r="D1084" t="str">
        <f t="shared" si="16"/>
        <v/>
      </c>
    </row>
    <row r="1085" spans="1:4" x14ac:dyDescent="0.3">
      <c r="A1085"/>
      <c r="B1085"/>
      <c r="D1085" t="str">
        <f t="shared" si="16"/>
        <v/>
      </c>
    </row>
    <row r="1086" spans="1:4" x14ac:dyDescent="0.3">
      <c r="A1086"/>
      <c r="B1086"/>
      <c r="D1086" t="str">
        <f t="shared" si="16"/>
        <v/>
      </c>
    </row>
    <row r="1087" spans="1:4" x14ac:dyDescent="0.3">
      <c r="A1087"/>
      <c r="B1087"/>
      <c r="D1087" t="str">
        <f t="shared" si="16"/>
        <v/>
      </c>
    </row>
    <row r="1088" spans="1:4" x14ac:dyDescent="0.3">
      <c r="A1088"/>
      <c r="B1088"/>
      <c r="D1088" t="str">
        <f t="shared" si="16"/>
        <v/>
      </c>
    </row>
    <row r="1089" spans="1:4" x14ac:dyDescent="0.3">
      <c r="A1089"/>
      <c r="B1089"/>
      <c r="D1089" t="str">
        <f t="shared" si="16"/>
        <v/>
      </c>
    </row>
    <row r="1090" spans="1:4" x14ac:dyDescent="0.3">
      <c r="A1090"/>
      <c r="B1090"/>
      <c r="D1090" t="str">
        <f t="shared" si="16"/>
        <v/>
      </c>
    </row>
    <row r="1091" spans="1:4" x14ac:dyDescent="0.3">
      <c r="A1091"/>
      <c r="B1091"/>
      <c r="D1091" t="str">
        <f t="shared" ref="D1091:D1154" si="17">CONCATENATE(A1091,B1091,C1091)</f>
        <v/>
      </c>
    </row>
    <row r="1092" spans="1:4" x14ac:dyDescent="0.3">
      <c r="A1092"/>
      <c r="B1092"/>
      <c r="D1092" t="str">
        <f t="shared" si="17"/>
        <v/>
      </c>
    </row>
    <row r="1093" spans="1:4" x14ac:dyDescent="0.3">
      <c r="A1093"/>
      <c r="B1093"/>
      <c r="D1093" t="str">
        <f t="shared" si="17"/>
        <v/>
      </c>
    </row>
    <row r="1094" spans="1:4" x14ac:dyDescent="0.3">
      <c r="A1094"/>
      <c r="B1094"/>
      <c r="D1094" t="str">
        <f t="shared" si="17"/>
        <v/>
      </c>
    </row>
    <row r="1095" spans="1:4" x14ac:dyDescent="0.3">
      <c r="A1095"/>
      <c r="B1095"/>
      <c r="D1095" t="str">
        <f t="shared" si="17"/>
        <v/>
      </c>
    </row>
    <row r="1096" spans="1:4" x14ac:dyDescent="0.3">
      <c r="A1096"/>
      <c r="B1096"/>
      <c r="D1096" t="str">
        <f t="shared" si="17"/>
        <v/>
      </c>
    </row>
    <row r="1097" spans="1:4" x14ac:dyDescent="0.3">
      <c r="A1097"/>
      <c r="B1097"/>
      <c r="D1097" t="str">
        <f t="shared" si="17"/>
        <v/>
      </c>
    </row>
    <row r="1098" spans="1:4" x14ac:dyDescent="0.3">
      <c r="A1098"/>
      <c r="B1098"/>
      <c r="D1098" t="str">
        <f t="shared" si="17"/>
        <v/>
      </c>
    </row>
    <row r="1099" spans="1:4" x14ac:dyDescent="0.3">
      <c r="A1099"/>
      <c r="B1099"/>
      <c r="D1099" t="str">
        <f t="shared" si="17"/>
        <v/>
      </c>
    </row>
    <row r="1100" spans="1:4" x14ac:dyDescent="0.3">
      <c r="A1100"/>
      <c r="B1100"/>
      <c r="D1100" t="str">
        <f t="shared" si="17"/>
        <v/>
      </c>
    </row>
    <row r="1101" spans="1:4" x14ac:dyDescent="0.3">
      <c r="A1101"/>
      <c r="B1101"/>
      <c r="D1101" t="str">
        <f t="shared" si="17"/>
        <v/>
      </c>
    </row>
    <row r="1102" spans="1:4" x14ac:dyDescent="0.3">
      <c r="A1102"/>
      <c r="B1102"/>
      <c r="D1102" t="str">
        <f t="shared" si="17"/>
        <v/>
      </c>
    </row>
    <row r="1103" spans="1:4" x14ac:dyDescent="0.3">
      <c r="A1103"/>
      <c r="B1103"/>
      <c r="D1103" t="str">
        <f t="shared" si="17"/>
        <v/>
      </c>
    </row>
    <row r="1104" spans="1:4" x14ac:dyDescent="0.3">
      <c r="A1104"/>
      <c r="B1104"/>
      <c r="D1104" t="str">
        <f t="shared" si="17"/>
        <v/>
      </c>
    </row>
    <row r="1105" spans="1:4" x14ac:dyDescent="0.3">
      <c r="A1105"/>
      <c r="B1105"/>
      <c r="D1105" t="str">
        <f t="shared" si="17"/>
        <v/>
      </c>
    </row>
    <row r="1106" spans="1:4" x14ac:dyDescent="0.3">
      <c r="A1106"/>
      <c r="B1106"/>
      <c r="D1106" t="str">
        <f t="shared" si="17"/>
        <v/>
      </c>
    </row>
    <row r="1107" spans="1:4" x14ac:dyDescent="0.3">
      <c r="A1107"/>
      <c r="B1107"/>
      <c r="D1107" t="str">
        <f t="shared" si="17"/>
        <v/>
      </c>
    </row>
    <row r="1108" spans="1:4" x14ac:dyDescent="0.3">
      <c r="A1108"/>
      <c r="B1108"/>
      <c r="D1108" t="str">
        <f t="shared" si="17"/>
        <v/>
      </c>
    </row>
    <row r="1109" spans="1:4" x14ac:dyDescent="0.3">
      <c r="A1109"/>
      <c r="B1109"/>
      <c r="D1109" t="str">
        <f t="shared" si="17"/>
        <v/>
      </c>
    </row>
    <row r="1110" spans="1:4" x14ac:dyDescent="0.3">
      <c r="A1110"/>
      <c r="B1110"/>
      <c r="D1110" t="str">
        <f t="shared" si="17"/>
        <v/>
      </c>
    </row>
    <row r="1111" spans="1:4" x14ac:dyDescent="0.3">
      <c r="A1111"/>
      <c r="B1111"/>
      <c r="D1111" t="str">
        <f t="shared" si="17"/>
        <v/>
      </c>
    </row>
    <row r="1112" spans="1:4" x14ac:dyDescent="0.3">
      <c r="A1112"/>
      <c r="B1112"/>
      <c r="D1112" t="str">
        <f t="shared" si="17"/>
        <v/>
      </c>
    </row>
    <row r="1113" spans="1:4" x14ac:dyDescent="0.3">
      <c r="A1113"/>
      <c r="B1113"/>
      <c r="D1113" t="str">
        <f t="shared" si="17"/>
        <v/>
      </c>
    </row>
    <row r="1114" spans="1:4" x14ac:dyDescent="0.3">
      <c r="A1114"/>
      <c r="B1114"/>
      <c r="D1114" t="str">
        <f t="shared" si="17"/>
        <v/>
      </c>
    </row>
    <row r="1115" spans="1:4" x14ac:dyDescent="0.3">
      <c r="A1115"/>
      <c r="B1115"/>
      <c r="D1115" t="str">
        <f t="shared" si="17"/>
        <v/>
      </c>
    </row>
    <row r="1116" spans="1:4" x14ac:dyDescent="0.3">
      <c r="A1116"/>
      <c r="B1116"/>
      <c r="D1116" t="str">
        <f t="shared" si="17"/>
        <v/>
      </c>
    </row>
    <row r="1117" spans="1:4" x14ac:dyDescent="0.3">
      <c r="A1117"/>
      <c r="B1117"/>
      <c r="D1117" t="str">
        <f t="shared" si="17"/>
        <v/>
      </c>
    </row>
    <row r="1118" spans="1:4" x14ac:dyDescent="0.3">
      <c r="A1118"/>
      <c r="B1118"/>
      <c r="D1118" t="str">
        <f t="shared" si="17"/>
        <v/>
      </c>
    </row>
    <row r="1119" spans="1:4" x14ac:dyDescent="0.3">
      <c r="A1119"/>
      <c r="B1119"/>
      <c r="D1119" t="str">
        <f t="shared" si="17"/>
        <v/>
      </c>
    </row>
    <row r="1120" spans="1:4" x14ac:dyDescent="0.3">
      <c r="A1120"/>
      <c r="B1120"/>
      <c r="D1120" t="str">
        <f t="shared" si="17"/>
        <v/>
      </c>
    </row>
    <row r="1121" spans="1:4" x14ac:dyDescent="0.3">
      <c r="A1121"/>
      <c r="B1121"/>
      <c r="D1121" t="str">
        <f t="shared" si="17"/>
        <v/>
      </c>
    </row>
    <row r="1122" spans="1:4" x14ac:dyDescent="0.3">
      <c r="A1122"/>
      <c r="B1122"/>
      <c r="D1122" t="str">
        <f t="shared" si="17"/>
        <v/>
      </c>
    </row>
    <row r="1123" spans="1:4" x14ac:dyDescent="0.3">
      <c r="A1123"/>
      <c r="B1123"/>
      <c r="D1123" t="str">
        <f t="shared" si="17"/>
        <v/>
      </c>
    </row>
    <row r="1124" spans="1:4" x14ac:dyDescent="0.3">
      <c r="A1124"/>
      <c r="B1124"/>
      <c r="D1124" t="str">
        <f t="shared" si="17"/>
        <v/>
      </c>
    </row>
    <row r="1125" spans="1:4" x14ac:dyDescent="0.3">
      <c r="A1125"/>
      <c r="B1125"/>
      <c r="D1125" t="str">
        <f t="shared" si="17"/>
        <v/>
      </c>
    </row>
    <row r="1126" spans="1:4" x14ac:dyDescent="0.3">
      <c r="A1126"/>
      <c r="B1126"/>
      <c r="D1126" t="str">
        <f t="shared" si="17"/>
        <v/>
      </c>
    </row>
    <row r="1127" spans="1:4" x14ac:dyDescent="0.3">
      <c r="A1127"/>
      <c r="B1127"/>
      <c r="D1127" t="str">
        <f t="shared" si="17"/>
        <v/>
      </c>
    </row>
    <row r="1128" spans="1:4" x14ac:dyDescent="0.3">
      <c r="A1128"/>
      <c r="B1128"/>
      <c r="D1128" t="str">
        <f t="shared" si="17"/>
        <v/>
      </c>
    </row>
    <row r="1129" spans="1:4" x14ac:dyDescent="0.3">
      <c r="A1129"/>
      <c r="B1129"/>
      <c r="D1129" t="str">
        <f t="shared" si="17"/>
        <v/>
      </c>
    </row>
    <row r="1130" spans="1:4" x14ac:dyDescent="0.3">
      <c r="A1130"/>
      <c r="B1130"/>
      <c r="D1130" t="str">
        <f t="shared" si="17"/>
        <v/>
      </c>
    </row>
    <row r="1131" spans="1:4" x14ac:dyDescent="0.3">
      <c r="A1131"/>
      <c r="B1131"/>
      <c r="D1131" t="str">
        <f t="shared" si="17"/>
        <v/>
      </c>
    </row>
    <row r="1132" spans="1:4" x14ac:dyDescent="0.3">
      <c r="A1132"/>
      <c r="B1132"/>
      <c r="D1132" t="str">
        <f t="shared" si="17"/>
        <v/>
      </c>
    </row>
    <row r="1133" spans="1:4" x14ac:dyDescent="0.3">
      <c r="A1133"/>
      <c r="B1133"/>
      <c r="D1133" t="str">
        <f t="shared" si="17"/>
        <v/>
      </c>
    </row>
    <row r="1134" spans="1:4" x14ac:dyDescent="0.3">
      <c r="A1134"/>
      <c r="B1134"/>
      <c r="D1134" t="str">
        <f t="shared" si="17"/>
        <v/>
      </c>
    </row>
    <row r="1135" spans="1:4" x14ac:dyDescent="0.3">
      <c r="A1135"/>
      <c r="B1135"/>
      <c r="D1135" t="str">
        <f t="shared" si="17"/>
        <v/>
      </c>
    </row>
    <row r="1136" spans="1:4" x14ac:dyDescent="0.3">
      <c r="A1136"/>
      <c r="B1136"/>
      <c r="D1136" t="str">
        <f t="shared" si="17"/>
        <v/>
      </c>
    </row>
    <row r="1137" spans="1:4" x14ac:dyDescent="0.3">
      <c r="A1137"/>
      <c r="B1137"/>
      <c r="D1137" t="str">
        <f t="shared" si="17"/>
        <v/>
      </c>
    </row>
    <row r="1138" spans="1:4" x14ac:dyDescent="0.3">
      <c r="A1138"/>
      <c r="B1138"/>
      <c r="D1138" t="str">
        <f t="shared" si="17"/>
        <v/>
      </c>
    </row>
    <row r="1139" spans="1:4" x14ac:dyDescent="0.3">
      <c r="A1139"/>
      <c r="B1139"/>
      <c r="D1139" t="str">
        <f t="shared" si="17"/>
        <v/>
      </c>
    </row>
    <row r="1140" spans="1:4" x14ac:dyDescent="0.3">
      <c r="A1140"/>
      <c r="B1140"/>
      <c r="D1140" t="str">
        <f t="shared" si="17"/>
        <v/>
      </c>
    </row>
    <row r="1141" spans="1:4" x14ac:dyDescent="0.3">
      <c r="A1141"/>
      <c r="B1141"/>
      <c r="D1141" t="str">
        <f t="shared" si="17"/>
        <v/>
      </c>
    </row>
    <row r="1142" spans="1:4" x14ac:dyDescent="0.3">
      <c r="A1142"/>
      <c r="B1142"/>
      <c r="D1142" t="str">
        <f t="shared" si="17"/>
        <v/>
      </c>
    </row>
    <row r="1143" spans="1:4" x14ac:dyDescent="0.3">
      <c r="A1143"/>
      <c r="B1143"/>
      <c r="D1143" t="str">
        <f t="shared" si="17"/>
        <v/>
      </c>
    </row>
    <row r="1144" spans="1:4" x14ac:dyDescent="0.3">
      <c r="A1144"/>
      <c r="B1144"/>
      <c r="D1144" t="str">
        <f t="shared" si="17"/>
        <v/>
      </c>
    </row>
    <row r="1145" spans="1:4" x14ac:dyDescent="0.3">
      <c r="A1145"/>
      <c r="B1145"/>
      <c r="D1145" t="str">
        <f t="shared" si="17"/>
        <v/>
      </c>
    </row>
    <row r="1146" spans="1:4" x14ac:dyDescent="0.3">
      <c r="A1146"/>
      <c r="B1146"/>
      <c r="D1146" t="str">
        <f t="shared" si="17"/>
        <v/>
      </c>
    </row>
    <row r="1147" spans="1:4" x14ac:dyDescent="0.3">
      <c r="A1147"/>
      <c r="B1147"/>
      <c r="D1147" t="str">
        <f t="shared" si="17"/>
        <v/>
      </c>
    </row>
    <row r="1148" spans="1:4" x14ac:dyDescent="0.3">
      <c r="A1148"/>
      <c r="B1148"/>
      <c r="D1148" t="str">
        <f t="shared" si="17"/>
        <v/>
      </c>
    </row>
    <row r="1149" spans="1:4" x14ac:dyDescent="0.3">
      <c r="A1149"/>
      <c r="B1149"/>
      <c r="D1149" t="str">
        <f t="shared" si="17"/>
        <v/>
      </c>
    </row>
    <row r="1150" spans="1:4" x14ac:dyDescent="0.3">
      <c r="A1150"/>
      <c r="B1150"/>
      <c r="D1150" t="str">
        <f t="shared" si="17"/>
        <v/>
      </c>
    </row>
    <row r="1151" spans="1:4" x14ac:dyDescent="0.3">
      <c r="A1151"/>
      <c r="B1151"/>
      <c r="D1151" t="str">
        <f t="shared" si="17"/>
        <v/>
      </c>
    </row>
    <row r="1152" spans="1:4" x14ac:dyDescent="0.3">
      <c r="A1152"/>
      <c r="B1152"/>
      <c r="D1152" t="str">
        <f t="shared" si="17"/>
        <v/>
      </c>
    </row>
    <row r="1153" spans="1:4" x14ac:dyDescent="0.3">
      <c r="A1153"/>
      <c r="B1153"/>
      <c r="D1153" t="str">
        <f t="shared" si="17"/>
        <v/>
      </c>
    </row>
    <row r="1154" spans="1:4" x14ac:dyDescent="0.3">
      <c r="A1154"/>
      <c r="B1154"/>
      <c r="D1154" t="str">
        <f t="shared" si="17"/>
        <v/>
      </c>
    </row>
    <row r="1155" spans="1:4" x14ac:dyDescent="0.3">
      <c r="A1155"/>
      <c r="B1155"/>
      <c r="D1155" t="str">
        <f t="shared" ref="D1155:D1218" si="18">CONCATENATE(A1155,B1155,C1155)</f>
        <v/>
      </c>
    </row>
    <row r="1156" spans="1:4" x14ac:dyDescent="0.3">
      <c r="A1156"/>
      <c r="B1156"/>
      <c r="D1156" t="str">
        <f t="shared" si="18"/>
        <v/>
      </c>
    </row>
    <row r="1157" spans="1:4" x14ac:dyDescent="0.3">
      <c r="A1157"/>
      <c r="B1157"/>
      <c r="D1157" t="str">
        <f t="shared" si="18"/>
        <v/>
      </c>
    </row>
    <row r="1158" spans="1:4" x14ac:dyDescent="0.3">
      <c r="A1158"/>
      <c r="B1158"/>
      <c r="D1158" t="str">
        <f t="shared" si="18"/>
        <v/>
      </c>
    </row>
    <row r="1159" spans="1:4" x14ac:dyDescent="0.3">
      <c r="A1159"/>
      <c r="B1159"/>
      <c r="D1159" t="str">
        <f t="shared" si="18"/>
        <v/>
      </c>
    </row>
    <row r="1160" spans="1:4" x14ac:dyDescent="0.3">
      <c r="A1160"/>
      <c r="B1160"/>
      <c r="D1160" t="str">
        <f t="shared" si="18"/>
        <v/>
      </c>
    </row>
    <row r="1161" spans="1:4" x14ac:dyDescent="0.3">
      <c r="A1161"/>
      <c r="B1161"/>
      <c r="D1161" t="str">
        <f t="shared" si="18"/>
        <v/>
      </c>
    </row>
    <row r="1162" spans="1:4" x14ac:dyDescent="0.3">
      <c r="A1162"/>
      <c r="B1162"/>
      <c r="D1162" t="str">
        <f t="shared" si="18"/>
        <v/>
      </c>
    </row>
    <row r="1163" spans="1:4" x14ac:dyDescent="0.3">
      <c r="A1163"/>
      <c r="B1163"/>
      <c r="D1163" t="str">
        <f t="shared" si="18"/>
        <v/>
      </c>
    </row>
    <row r="1164" spans="1:4" x14ac:dyDescent="0.3">
      <c r="A1164"/>
      <c r="B1164"/>
      <c r="D1164" t="str">
        <f t="shared" si="18"/>
        <v/>
      </c>
    </row>
    <row r="1165" spans="1:4" x14ac:dyDescent="0.3">
      <c r="A1165"/>
      <c r="B1165"/>
      <c r="D1165" t="str">
        <f t="shared" si="18"/>
        <v/>
      </c>
    </row>
    <row r="1166" spans="1:4" x14ac:dyDescent="0.3">
      <c r="A1166"/>
      <c r="B1166"/>
      <c r="D1166" t="str">
        <f t="shared" si="18"/>
        <v/>
      </c>
    </row>
    <row r="1167" spans="1:4" x14ac:dyDescent="0.3">
      <c r="A1167"/>
      <c r="B1167"/>
      <c r="D1167" t="str">
        <f t="shared" si="18"/>
        <v/>
      </c>
    </row>
    <row r="1168" spans="1:4" x14ac:dyDescent="0.3">
      <c r="A1168"/>
      <c r="B1168"/>
      <c r="D1168" t="str">
        <f t="shared" si="18"/>
        <v/>
      </c>
    </row>
    <row r="1169" spans="1:4" x14ac:dyDescent="0.3">
      <c r="A1169"/>
      <c r="B1169"/>
      <c r="D1169" t="str">
        <f t="shared" si="18"/>
        <v/>
      </c>
    </row>
    <row r="1170" spans="1:4" x14ac:dyDescent="0.3">
      <c r="A1170"/>
      <c r="B1170"/>
      <c r="D1170" t="str">
        <f t="shared" si="18"/>
        <v/>
      </c>
    </row>
    <row r="1171" spans="1:4" x14ac:dyDescent="0.3">
      <c r="A1171"/>
      <c r="B1171"/>
      <c r="D1171" t="str">
        <f t="shared" si="18"/>
        <v/>
      </c>
    </row>
    <row r="1172" spans="1:4" x14ac:dyDescent="0.3">
      <c r="A1172"/>
      <c r="B1172"/>
      <c r="D1172" t="str">
        <f t="shared" si="18"/>
        <v/>
      </c>
    </row>
    <row r="1173" spans="1:4" x14ac:dyDescent="0.3">
      <c r="A1173"/>
      <c r="B1173"/>
      <c r="D1173" t="str">
        <f t="shared" si="18"/>
        <v/>
      </c>
    </row>
    <row r="1174" spans="1:4" x14ac:dyDescent="0.3">
      <c r="A1174"/>
      <c r="B1174"/>
      <c r="D1174" t="str">
        <f t="shared" si="18"/>
        <v/>
      </c>
    </row>
    <row r="1175" spans="1:4" x14ac:dyDescent="0.3">
      <c r="A1175"/>
      <c r="B1175"/>
      <c r="D1175" t="str">
        <f t="shared" si="18"/>
        <v/>
      </c>
    </row>
    <row r="1176" spans="1:4" x14ac:dyDescent="0.3">
      <c r="A1176"/>
      <c r="B1176"/>
      <c r="D1176" t="str">
        <f t="shared" si="18"/>
        <v/>
      </c>
    </row>
    <row r="1177" spans="1:4" x14ac:dyDescent="0.3">
      <c r="A1177"/>
      <c r="B1177"/>
      <c r="D1177" t="str">
        <f t="shared" si="18"/>
        <v/>
      </c>
    </row>
    <row r="1178" spans="1:4" x14ac:dyDescent="0.3">
      <c r="A1178"/>
      <c r="B1178"/>
      <c r="D1178" t="str">
        <f t="shared" si="18"/>
        <v/>
      </c>
    </row>
    <row r="1179" spans="1:4" x14ac:dyDescent="0.3">
      <c r="A1179"/>
      <c r="B1179"/>
      <c r="D1179" t="str">
        <f t="shared" si="18"/>
        <v/>
      </c>
    </row>
    <row r="1180" spans="1:4" x14ac:dyDescent="0.3">
      <c r="A1180"/>
      <c r="B1180"/>
      <c r="D1180" t="str">
        <f t="shared" si="18"/>
        <v/>
      </c>
    </row>
    <row r="1181" spans="1:4" x14ac:dyDescent="0.3">
      <c r="A1181"/>
      <c r="B1181"/>
      <c r="D1181" t="str">
        <f t="shared" si="18"/>
        <v/>
      </c>
    </row>
    <row r="1182" spans="1:4" x14ac:dyDescent="0.3">
      <c r="A1182"/>
      <c r="B1182"/>
      <c r="D1182" t="str">
        <f t="shared" si="18"/>
        <v/>
      </c>
    </row>
    <row r="1183" spans="1:4" x14ac:dyDescent="0.3">
      <c r="A1183"/>
      <c r="B1183"/>
      <c r="D1183" t="str">
        <f t="shared" si="18"/>
        <v/>
      </c>
    </row>
    <row r="1184" spans="1:4" x14ac:dyDescent="0.3">
      <c r="A1184"/>
      <c r="B1184"/>
      <c r="D1184" t="str">
        <f t="shared" si="18"/>
        <v/>
      </c>
    </row>
    <row r="1185" spans="1:4" x14ac:dyDescent="0.3">
      <c r="A1185"/>
      <c r="B1185"/>
      <c r="D1185" t="str">
        <f t="shared" si="18"/>
        <v/>
      </c>
    </row>
    <row r="1186" spans="1:4" x14ac:dyDescent="0.3">
      <c r="A1186"/>
      <c r="B1186"/>
      <c r="D1186" t="str">
        <f t="shared" si="18"/>
        <v/>
      </c>
    </row>
    <row r="1187" spans="1:4" x14ac:dyDescent="0.3">
      <c r="A1187"/>
      <c r="B1187"/>
      <c r="D1187" t="str">
        <f t="shared" si="18"/>
        <v/>
      </c>
    </row>
    <row r="1188" spans="1:4" x14ac:dyDescent="0.3">
      <c r="A1188"/>
      <c r="B1188"/>
      <c r="D1188" t="str">
        <f t="shared" si="18"/>
        <v/>
      </c>
    </row>
    <row r="1189" spans="1:4" x14ac:dyDescent="0.3">
      <c r="A1189"/>
      <c r="B1189"/>
      <c r="D1189" t="str">
        <f t="shared" si="18"/>
        <v/>
      </c>
    </row>
    <row r="1190" spans="1:4" x14ac:dyDescent="0.3">
      <c r="A1190"/>
      <c r="B1190"/>
      <c r="D1190" t="str">
        <f t="shared" si="18"/>
        <v/>
      </c>
    </row>
    <row r="1191" spans="1:4" x14ac:dyDescent="0.3">
      <c r="A1191"/>
      <c r="B1191"/>
      <c r="D1191" t="str">
        <f t="shared" si="18"/>
        <v/>
      </c>
    </row>
    <row r="1192" spans="1:4" x14ac:dyDescent="0.3">
      <c r="A1192"/>
      <c r="B1192"/>
      <c r="D1192" t="str">
        <f t="shared" si="18"/>
        <v/>
      </c>
    </row>
    <row r="1193" spans="1:4" x14ac:dyDescent="0.3">
      <c r="A1193"/>
      <c r="B1193"/>
      <c r="D1193" t="str">
        <f t="shared" si="18"/>
        <v/>
      </c>
    </row>
    <row r="1194" spans="1:4" x14ac:dyDescent="0.3">
      <c r="A1194"/>
      <c r="B1194"/>
      <c r="D1194" t="str">
        <f t="shared" si="18"/>
        <v/>
      </c>
    </row>
    <row r="1195" spans="1:4" x14ac:dyDescent="0.3">
      <c r="A1195"/>
      <c r="B1195"/>
      <c r="D1195" t="str">
        <f t="shared" si="18"/>
        <v/>
      </c>
    </row>
    <row r="1196" spans="1:4" x14ac:dyDescent="0.3">
      <c r="A1196"/>
      <c r="B1196"/>
      <c r="D1196" t="str">
        <f t="shared" si="18"/>
        <v/>
      </c>
    </row>
    <row r="1197" spans="1:4" x14ac:dyDescent="0.3">
      <c r="A1197"/>
      <c r="B1197"/>
      <c r="D1197" t="str">
        <f t="shared" si="18"/>
        <v/>
      </c>
    </row>
    <row r="1198" spans="1:4" x14ac:dyDescent="0.3">
      <c r="A1198"/>
      <c r="B1198"/>
      <c r="D1198" t="str">
        <f t="shared" si="18"/>
        <v/>
      </c>
    </row>
    <row r="1199" spans="1:4" x14ac:dyDescent="0.3">
      <c r="A1199"/>
      <c r="B1199"/>
      <c r="D1199" t="str">
        <f t="shared" si="18"/>
        <v/>
      </c>
    </row>
    <row r="1200" spans="1:4" x14ac:dyDescent="0.3">
      <c r="A1200"/>
      <c r="B1200"/>
      <c r="D1200" t="str">
        <f t="shared" si="18"/>
        <v/>
      </c>
    </row>
    <row r="1201" spans="1:4" x14ac:dyDescent="0.3">
      <c r="A1201"/>
      <c r="B1201"/>
      <c r="D1201" t="str">
        <f t="shared" si="18"/>
        <v/>
      </c>
    </row>
    <row r="1202" spans="1:4" x14ac:dyDescent="0.3">
      <c r="A1202"/>
      <c r="B1202"/>
      <c r="D1202" t="str">
        <f t="shared" si="18"/>
        <v/>
      </c>
    </row>
    <row r="1203" spans="1:4" x14ac:dyDescent="0.3">
      <c r="A1203"/>
      <c r="B1203"/>
      <c r="D1203" t="str">
        <f t="shared" si="18"/>
        <v/>
      </c>
    </row>
    <row r="1204" spans="1:4" x14ac:dyDescent="0.3">
      <c r="A1204"/>
      <c r="B1204"/>
      <c r="D1204" t="str">
        <f t="shared" si="18"/>
        <v/>
      </c>
    </row>
    <row r="1205" spans="1:4" x14ac:dyDescent="0.3">
      <c r="A1205"/>
      <c r="B1205"/>
      <c r="D1205" t="str">
        <f t="shared" si="18"/>
        <v/>
      </c>
    </row>
    <row r="1206" spans="1:4" x14ac:dyDescent="0.3">
      <c r="A1206"/>
      <c r="B1206"/>
      <c r="D1206" t="str">
        <f t="shared" si="18"/>
        <v/>
      </c>
    </row>
    <row r="1207" spans="1:4" x14ac:dyDescent="0.3">
      <c r="A1207"/>
      <c r="B1207"/>
      <c r="D1207" t="str">
        <f t="shared" si="18"/>
        <v/>
      </c>
    </row>
    <row r="1208" spans="1:4" x14ac:dyDescent="0.3">
      <c r="A1208"/>
      <c r="B1208"/>
      <c r="D1208" t="str">
        <f t="shared" si="18"/>
        <v/>
      </c>
    </row>
    <row r="1209" spans="1:4" x14ac:dyDescent="0.3">
      <c r="A1209"/>
      <c r="B1209"/>
      <c r="D1209" t="str">
        <f t="shared" si="18"/>
        <v/>
      </c>
    </row>
    <row r="1210" spans="1:4" x14ac:dyDescent="0.3">
      <c r="A1210"/>
      <c r="B1210"/>
      <c r="D1210" t="str">
        <f t="shared" si="18"/>
        <v/>
      </c>
    </row>
    <row r="1211" spans="1:4" x14ac:dyDescent="0.3">
      <c r="A1211"/>
      <c r="B1211"/>
      <c r="D1211" t="str">
        <f t="shared" si="18"/>
        <v/>
      </c>
    </row>
    <row r="1212" spans="1:4" x14ac:dyDescent="0.3">
      <c r="A1212"/>
      <c r="B1212"/>
      <c r="D1212" t="str">
        <f t="shared" si="18"/>
        <v/>
      </c>
    </row>
    <row r="1213" spans="1:4" x14ac:dyDescent="0.3">
      <c r="A1213"/>
      <c r="B1213"/>
      <c r="D1213" t="str">
        <f t="shared" si="18"/>
        <v/>
      </c>
    </row>
    <row r="1214" spans="1:4" x14ac:dyDescent="0.3">
      <c r="A1214"/>
      <c r="B1214"/>
      <c r="D1214" t="str">
        <f t="shared" si="18"/>
        <v/>
      </c>
    </row>
    <row r="1215" spans="1:4" x14ac:dyDescent="0.3">
      <c r="A1215"/>
      <c r="B1215"/>
      <c r="D1215" t="str">
        <f t="shared" si="18"/>
        <v/>
      </c>
    </row>
    <row r="1216" spans="1:4" x14ac:dyDescent="0.3">
      <c r="A1216"/>
      <c r="B1216"/>
      <c r="D1216" t="str">
        <f t="shared" si="18"/>
        <v/>
      </c>
    </row>
    <row r="1217" spans="1:4" x14ac:dyDescent="0.3">
      <c r="A1217"/>
      <c r="B1217"/>
      <c r="D1217" t="str">
        <f t="shared" si="18"/>
        <v/>
      </c>
    </row>
    <row r="1218" spans="1:4" x14ac:dyDescent="0.3">
      <c r="A1218"/>
      <c r="B1218"/>
      <c r="D1218" t="str">
        <f t="shared" si="18"/>
        <v/>
      </c>
    </row>
    <row r="1219" spans="1:4" x14ac:dyDescent="0.3">
      <c r="A1219"/>
      <c r="B1219"/>
      <c r="D1219" t="str">
        <f t="shared" ref="D1219:D1282" si="19">CONCATENATE(A1219,B1219,C1219)</f>
        <v/>
      </c>
    </row>
    <row r="1220" spans="1:4" x14ac:dyDescent="0.3">
      <c r="A1220"/>
      <c r="B1220"/>
      <c r="D1220" t="str">
        <f t="shared" si="19"/>
        <v/>
      </c>
    </row>
    <row r="1221" spans="1:4" x14ac:dyDescent="0.3">
      <c r="A1221"/>
      <c r="B1221"/>
      <c r="D1221" t="str">
        <f t="shared" si="19"/>
        <v/>
      </c>
    </row>
    <row r="1222" spans="1:4" x14ac:dyDescent="0.3">
      <c r="A1222"/>
      <c r="B1222"/>
      <c r="D1222" t="str">
        <f t="shared" si="19"/>
        <v/>
      </c>
    </row>
    <row r="1223" spans="1:4" x14ac:dyDescent="0.3">
      <c r="A1223"/>
      <c r="B1223"/>
      <c r="D1223" t="str">
        <f t="shared" si="19"/>
        <v/>
      </c>
    </row>
    <row r="1224" spans="1:4" x14ac:dyDescent="0.3">
      <c r="A1224"/>
      <c r="B1224"/>
      <c r="D1224" t="str">
        <f t="shared" si="19"/>
        <v/>
      </c>
    </row>
    <row r="1225" spans="1:4" x14ac:dyDescent="0.3">
      <c r="A1225"/>
      <c r="B1225"/>
      <c r="D1225" t="str">
        <f t="shared" si="19"/>
        <v/>
      </c>
    </row>
    <row r="1226" spans="1:4" x14ac:dyDescent="0.3">
      <c r="A1226"/>
      <c r="B1226"/>
      <c r="D1226" t="str">
        <f t="shared" si="19"/>
        <v/>
      </c>
    </row>
    <row r="1227" spans="1:4" x14ac:dyDescent="0.3">
      <c r="A1227"/>
      <c r="B1227"/>
      <c r="D1227" t="str">
        <f t="shared" si="19"/>
        <v/>
      </c>
    </row>
    <row r="1228" spans="1:4" x14ac:dyDescent="0.3">
      <c r="A1228"/>
      <c r="B1228"/>
      <c r="D1228" t="str">
        <f t="shared" si="19"/>
        <v/>
      </c>
    </row>
    <row r="1229" spans="1:4" x14ac:dyDescent="0.3">
      <c r="A1229"/>
      <c r="B1229"/>
      <c r="D1229" t="str">
        <f t="shared" si="19"/>
        <v/>
      </c>
    </row>
    <row r="1230" spans="1:4" x14ac:dyDescent="0.3">
      <c r="A1230"/>
      <c r="B1230"/>
      <c r="D1230" t="str">
        <f t="shared" si="19"/>
        <v/>
      </c>
    </row>
    <row r="1231" spans="1:4" x14ac:dyDescent="0.3">
      <c r="A1231"/>
      <c r="B1231"/>
      <c r="D1231" t="str">
        <f t="shared" si="19"/>
        <v/>
      </c>
    </row>
    <row r="1232" spans="1:4" x14ac:dyDescent="0.3">
      <c r="A1232"/>
      <c r="B1232"/>
      <c r="D1232" t="str">
        <f t="shared" si="19"/>
        <v/>
      </c>
    </row>
    <row r="1233" spans="1:4" x14ac:dyDescent="0.3">
      <c r="A1233"/>
      <c r="B1233"/>
      <c r="D1233" t="str">
        <f t="shared" si="19"/>
        <v/>
      </c>
    </row>
    <row r="1234" spans="1:4" x14ac:dyDescent="0.3">
      <c r="A1234"/>
      <c r="B1234"/>
      <c r="D1234" t="str">
        <f t="shared" si="19"/>
        <v/>
      </c>
    </row>
    <row r="1235" spans="1:4" x14ac:dyDescent="0.3">
      <c r="A1235"/>
      <c r="B1235"/>
      <c r="D1235" t="str">
        <f t="shared" si="19"/>
        <v/>
      </c>
    </row>
    <row r="1236" spans="1:4" x14ac:dyDescent="0.3">
      <c r="A1236"/>
      <c r="B1236"/>
      <c r="D1236" t="str">
        <f t="shared" si="19"/>
        <v/>
      </c>
    </row>
    <row r="1237" spans="1:4" x14ac:dyDescent="0.3">
      <c r="A1237"/>
      <c r="B1237"/>
      <c r="D1237" t="str">
        <f t="shared" si="19"/>
        <v/>
      </c>
    </row>
    <row r="1238" spans="1:4" x14ac:dyDescent="0.3">
      <c r="A1238"/>
      <c r="B1238"/>
      <c r="D1238" t="str">
        <f t="shared" si="19"/>
        <v/>
      </c>
    </row>
    <row r="1239" spans="1:4" x14ac:dyDescent="0.3">
      <c r="A1239"/>
      <c r="B1239"/>
      <c r="D1239" t="str">
        <f t="shared" si="19"/>
        <v/>
      </c>
    </row>
    <row r="1240" spans="1:4" x14ac:dyDescent="0.3">
      <c r="A1240"/>
      <c r="B1240"/>
      <c r="D1240" t="str">
        <f t="shared" si="19"/>
        <v/>
      </c>
    </row>
    <row r="1241" spans="1:4" x14ac:dyDescent="0.3">
      <c r="A1241"/>
      <c r="B1241"/>
      <c r="D1241" t="str">
        <f t="shared" si="19"/>
        <v/>
      </c>
    </row>
    <row r="1242" spans="1:4" x14ac:dyDescent="0.3">
      <c r="A1242"/>
      <c r="B1242"/>
      <c r="D1242" t="str">
        <f t="shared" si="19"/>
        <v/>
      </c>
    </row>
    <row r="1243" spans="1:4" x14ac:dyDescent="0.3">
      <c r="A1243"/>
      <c r="B1243"/>
      <c r="D1243" t="str">
        <f t="shared" si="19"/>
        <v/>
      </c>
    </row>
    <row r="1244" spans="1:4" x14ac:dyDescent="0.3">
      <c r="A1244"/>
      <c r="B1244"/>
      <c r="D1244" t="str">
        <f t="shared" si="19"/>
        <v/>
      </c>
    </row>
    <row r="1245" spans="1:4" x14ac:dyDescent="0.3">
      <c r="A1245"/>
      <c r="B1245"/>
      <c r="D1245" t="str">
        <f t="shared" si="19"/>
        <v/>
      </c>
    </row>
    <row r="1246" spans="1:4" x14ac:dyDescent="0.3">
      <c r="A1246"/>
      <c r="B1246"/>
      <c r="D1246" t="str">
        <f t="shared" si="19"/>
        <v/>
      </c>
    </row>
    <row r="1247" spans="1:4" x14ac:dyDescent="0.3">
      <c r="A1247"/>
      <c r="B1247"/>
      <c r="D1247" t="str">
        <f t="shared" si="19"/>
        <v/>
      </c>
    </row>
    <row r="1248" spans="1:4" x14ac:dyDescent="0.3">
      <c r="A1248"/>
      <c r="B1248"/>
      <c r="D1248" t="str">
        <f t="shared" si="19"/>
        <v/>
      </c>
    </row>
    <row r="1249" spans="1:4" x14ac:dyDescent="0.3">
      <c r="A1249"/>
      <c r="B1249"/>
      <c r="D1249" t="str">
        <f t="shared" si="19"/>
        <v/>
      </c>
    </row>
    <row r="1250" spans="1:4" x14ac:dyDescent="0.3">
      <c r="A1250"/>
      <c r="B1250"/>
      <c r="D1250" t="str">
        <f t="shared" si="19"/>
        <v/>
      </c>
    </row>
    <row r="1251" spans="1:4" x14ac:dyDescent="0.3">
      <c r="A1251"/>
      <c r="B1251"/>
      <c r="D1251" t="str">
        <f t="shared" si="19"/>
        <v/>
      </c>
    </row>
    <row r="1252" spans="1:4" x14ac:dyDescent="0.3">
      <c r="A1252"/>
      <c r="B1252"/>
      <c r="D1252" t="str">
        <f t="shared" si="19"/>
        <v/>
      </c>
    </row>
    <row r="1253" spans="1:4" x14ac:dyDescent="0.3">
      <c r="A1253"/>
      <c r="B1253"/>
      <c r="D1253" t="str">
        <f t="shared" si="19"/>
        <v/>
      </c>
    </row>
    <row r="1254" spans="1:4" x14ac:dyDescent="0.3">
      <c r="A1254"/>
      <c r="B1254"/>
      <c r="D1254" t="str">
        <f t="shared" si="19"/>
        <v/>
      </c>
    </row>
    <row r="1255" spans="1:4" x14ac:dyDescent="0.3">
      <c r="A1255"/>
      <c r="B1255"/>
      <c r="D1255" t="str">
        <f t="shared" si="19"/>
        <v/>
      </c>
    </row>
    <row r="1256" spans="1:4" x14ac:dyDescent="0.3">
      <c r="A1256"/>
      <c r="B1256"/>
      <c r="D1256" t="str">
        <f t="shared" si="19"/>
        <v/>
      </c>
    </row>
    <row r="1257" spans="1:4" x14ac:dyDescent="0.3">
      <c r="A1257"/>
      <c r="B1257"/>
      <c r="D1257" t="str">
        <f t="shared" si="19"/>
        <v/>
      </c>
    </row>
    <row r="1258" spans="1:4" x14ac:dyDescent="0.3">
      <c r="A1258"/>
      <c r="B1258"/>
      <c r="D1258" t="str">
        <f t="shared" si="19"/>
        <v/>
      </c>
    </row>
    <row r="1259" spans="1:4" x14ac:dyDescent="0.3">
      <c r="A1259"/>
      <c r="B1259"/>
      <c r="D1259" t="str">
        <f t="shared" si="19"/>
        <v/>
      </c>
    </row>
    <row r="1260" spans="1:4" x14ac:dyDescent="0.3">
      <c r="A1260"/>
      <c r="B1260"/>
      <c r="D1260" t="str">
        <f t="shared" si="19"/>
        <v/>
      </c>
    </row>
    <row r="1261" spans="1:4" x14ac:dyDescent="0.3">
      <c r="A1261"/>
      <c r="B1261"/>
      <c r="D1261" t="str">
        <f t="shared" si="19"/>
        <v/>
      </c>
    </row>
    <row r="1262" spans="1:4" x14ac:dyDescent="0.3">
      <c r="A1262"/>
      <c r="B1262"/>
      <c r="D1262" t="str">
        <f t="shared" si="19"/>
        <v/>
      </c>
    </row>
    <row r="1263" spans="1:4" x14ac:dyDescent="0.3">
      <c r="A1263"/>
      <c r="B1263"/>
      <c r="D1263" t="str">
        <f t="shared" si="19"/>
        <v/>
      </c>
    </row>
    <row r="1264" spans="1:4" x14ac:dyDescent="0.3">
      <c r="A1264"/>
      <c r="B1264"/>
      <c r="D1264" t="str">
        <f t="shared" si="19"/>
        <v/>
      </c>
    </row>
    <row r="1265" spans="1:4" x14ac:dyDescent="0.3">
      <c r="A1265"/>
      <c r="B1265"/>
      <c r="D1265" t="str">
        <f t="shared" si="19"/>
        <v/>
      </c>
    </row>
    <row r="1266" spans="1:4" x14ac:dyDescent="0.3">
      <c r="A1266"/>
      <c r="B1266"/>
      <c r="D1266" t="str">
        <f t="shared" si="19"/>
        <v/>
      </c>
    </row>
    <row r="1267" spans="1:4" x14ac:dyDescent="0.3">
      <c r="A1267"/>
      <c r="B1267"/>
      <c r="D1267" t="str">
        <f t="shared" si="19"/>
        <v/>
      </c>
    </row>
    <row r="1268" spans="1:4" x14ac:dyDescent="0.3">
      <c r="A1268"/>
      <c r="B1268"/>
      <c r="D1268" t="str">
        <f t="shared" si="19"/>
        <v/>
      </c>
    </row>
    <row r="1269" spans="1:4" x14ac:dyDescent="0.3">
      <c r="A1269"/>
      <c r="B1269"/>
      <c r="D1269" t="str">
        <f t="shared" si="19"/>
        <v/>
      </c>
    </row>
    <row r="1270" spans="1:4" x14ac:dyDescent="0.3">
      <c r="A1270"/>
      <c r="B1270"/>
      <c r="D1270" t="str">
        <f t="shared" si="19"/>
        <v/>
      </c>
    </row>
    <row r="1271" spans="1:4" x14ac:dyDescent="0.3">
      <c r="A1271"/>
      <c r="B1271"/>
      <c r="D1271" t="str">
        <f t="shared" si="19"/>
        <v/>
      </c>
    </row>
    <row r="1272" spans="1:4" x14ac:dyDescent="0.3">
      <c r="A1272"/>
      <c r="B1272"/>
      <c r="D1272" t="str">
        <f t="shared" si="19"/>
        <v/>
      </c>
    </row>
    <row r="1273" spans="1:4" x14ac:dyDescent="0.3">
      <c r="A1273"/>
      <c r="B1273"/>
      <c r="D1273" t="str">
        <f t="shared" si="19"/>
        <v/>
      </c>
    </row>
    <row r="1274" spans="1:4" x14ac:dyDescent="0.3">
      <c r="A1274"/>
      <c r="B1274"/>
      <c r="D1274" t="str">
        <f t="shared" si="19"/>
        <v/>
      </c>
    </row>
    <row r="1275" spans="1:4" x14ac:dyDescent="0.3">
      <c r="A1275"/>
      <c r="B1275"/>
      <c r="D1275" t="str">
        <f t="shared" si="19"/>
        <v/>
      </c>
    </row>
    <row r="1276" spans="1:4" x14ac:dyDescent="0.3">
      <c r="A1276"/>
      <c r="B1276"/>
      <c r="D1276" t="str">
        <f t="shared" si="19"/>
        <v/>
      </c>
    </row>
    <row r="1277" spans="1:4" x14ac:dyDescent="0.3">
      <c r="A1277"/>
      <c r="B1277"/>
      <c r="D1277" t="str">
        <f t="shared" si="19"/>
        <v/>
      </c>
    </row>
    <row r="1278" spans="1:4" x14ac:dyDescent="0.3">
      <c r="A1278"/>
      <c r="B1278"/>
      <c r="D1278" t="str">
        <f t="shared" si="19"/>
        <v/>
      </c>
    </row>
    <row r="1279" spans="1:4" x14ac:dyDescent="0.3">
      <c r="A1279"/>
      <c r="B1279"/>
      <c r="D1279" t="str">
        <f t="shared" si="19"/>
        <v/>
      </c>
    </row>
    <row r="1280" spans="1:4" x14ac:dyDescent="0.3">
      <c r="A1280"/>
      <c r="B1280"/>
      <c r="D1280" t="str">
        <f t="shared" si="19"/>
        <v/>
      </c>
    </row>
    <row r="1281" spans="1:4" x14ac:dyDescent="0.3">
      <c r="A1281"/>
      <c r="B1281"/>
      <c r="D1281" t="str">
        <f t="shared" si="19"/>
        <v/>
      </c>
    </row>
    <row r="1282" spans="1:4" x14ac:dyDescent="0.3">
      <c r="A1282"/>
      <c r="B1282"/>
      <c r="D1282" t="str">
        <f t="shared" si="19"/>
        <v/>
      </c>
    </row>
    <row r="1283" spans="1:4" x14ac:dyDescent="0.3">
      <c r="A1283"/>
      <c r="B1283"/>
      <c r="D1283" t="str">
        <f t="shared" ref="D1283:D1346" si="20">CONCATENATE(A1283,B1283,C1283)</f>
        <v/>
      </c>
    </row>
    <row r="1284" spans="1:4" x14ac:dyDescent="0.3">
      <c r="A1284"/>
      <c r="B1284"/>
      <c r="D1284" t="str">
        <f t="shared" si="20"/>
        <v/>
      </c>
    </row>
    <row r="1285" spans="1:4" x14ac:dyDescent="0.3">
      <c r="A1285"/>
      <c r="B1285"/>
      <c r="D1285" t="str">
        <f t="shared" si="20"/>
        <v/>
      </c>
    </row>
    <row r="1286" spans="1:4" x14ac:dyDescent="0.3">
      <c r="A1286"/>
      <c r="B1286"/>
      <c r="D1286" t="str">
        <f t="shared" si="20"/>
        <v/>
      </c>
    </row>
    <row r="1287" spans="1:4" x14ac:dyDescent="0.3">
      <c r="A1287"/>
      <c r="B1287"/>
      <c r="D1287" t="str">
        <f t="shared" si="20"/>
        <v/>
      </c>
    </row>
    <row r="1288" spans="1:4" x14ac:dyDescent="0.3">
      <c r="A1288"/>
      <c r="B1288"/>
      <c r="D1288" t="str">
        <f t="shared" si="20"/>
        <v/>
      </c>
    </row>
    <row r="1289" spans="1:4" x14ac:dyDescent="0.3">
      <c r="A1289"/>
      <c r="B1289"/>
      <c r="D1289" t="str">
        <f t="shared" si="20"/>
        <v/>
      </c>
    </row>
    <row r="1290" spans="1:4" x14ac:dyDescent="0.3">
      <c r="A1290"/>
      <c r="B1290"/>
      <c r="D1290" t="str">
        <f t="shared" si="20"/>
        <v/>
      </c>
    </row>
    <row r="1291" spans="1:4" x14ac:dyDescent="0.3">
      <c r="A1291"/>
      <c r="B1291"/>
      <c r="D1291" t="str">
        <f t="shared" si="20"/>
        <v/>
      </c>
    </row>
    <row r="1292" spans="1:4" x14ac:dyDescent="0.3">
      <c r="A1292"/>
      <c r="B1292"/>
      <c r="D1292" t="str">
        <f t="shared" si="20"/>
        <v/>
      </c>
    </row>
    <row r="1293" spans="1:4" x14ac:dyDescent="0.3">
      <c r="A1293"/>
      <c r="B1293"/>
      <c r="D1293" t="str">
        <f t="shared" si="20"/>
        <v/>
      </c>
    </row>
    <row r="1294" spans="1:4" x14ac:dyDescent="0.3">
      <c r="A1294"/>
      <c r="B1294"/>
      <c r="D1294" t="str">
        <f t="shared" si="20"/>
        <v/>
      </c>
    </row>
    <row r="1295" spans="1:4" x14ac:dyDescent="0.3">
      <c r="A1295"/>
      <c r="B1295"/>
      <c r="D1295" t="str">
        <f t="shared" si="20"/>
        <v/>
      </c>
    </row>
    <row r="1296" spans="1:4" x14ac:dyDescent="0.3">
      <c r="A1296"/>
      <c r="B1296"/>
      <c r="D1296" t="str">
        <f t="shared" si="20"/>
        <v/>
      </c>
    </row>
    <row r="1297" spans="1:4" x14ac:dyDescent="0.3">
      <c r="A1297"/>
      <c r="B1297"/>
      <c r="D1297" t="str">
        <f t="shared" si="20"/>
        <v/>
      </c>
    </row>
    <row r="1298" spans="1:4" x14ac:dyDescent="0.3">
      <c r="A1298"/>
      <c r="B1298"/>
      <c r="D1298" t="str">
        <f t="shared" si="20"/>
        <v/>
      </c>
    </row>
    <row r="1299" spans="1:4" x14ac:dyDescent="0.3">
      <c r="A1299"/>
      <c r="B1299"/>
      <c r="D1299" t="str">
        <f t="shared" si="20"/>
        <v/>
      </c>
    </row>
    <row r="1300" spans="1:4" x14ac:dyDescent="0.3">
      <c r="A1300"/>
      <c r="B1300"/>
      <c r="D1300" t="str">
        <f t="shared" si="20"/>
        <v/>
      </c>
    </row>
    <row r="1301" spans="1:4" x14ac:dyDescent="0.3">
      <c r="A1301"/>
      <c r="B1301"/>
      <c r="D1301" t="str">
        <f t="shared" si="20"/>
        <v/>
      </c>
    </row>
    <row r="1302" spans="1:4" x14ac:dyDescent="0.3">
      <c r="A1302"/>
      <c r="B1302"/>
      <c r="D1302" t="str">
        <f t="shared" si="20"/>
        <v/>
      </c>
    </row>
    <row r="1303" spans="1:4" x14ac:dyDescent="0.3">
      <c r="A1303"/>
      <c r="B1303"/>
      <c r="D1303" t="str">
        <f t="shared" si="20"/>
        <v/>
      </c>
    </row>
    <row r="1304" spans="1:4" x14ac:dyDescent="0.3">
      <c r="A1304"/>
      <c r="B1304"/>
      <c r="D1304" t="str">
        <f t="shared" si="20"/>
        <v/>
      </c>
    </row>
    <row r="1305" spans="1:4" x14ac:dyDescent="0.3">
      <c r="A1305"/>
      <c r="B1305"/>
      <c r="D1305" t="str">
        <f t="shared" si="20"/>
        <v/>
      </c>
    </row>
    <row r="1306" spans="1:4" x14ac:dyDescent="0.3">
      <c r="A1306"/>
      <c r="B1306"/>
      <c r="D1306" t="str">
        <f t="shared" si="20"/>
        <v/>
      </c>
    </row>
    <row r="1307" spans="1:4" x14ac:dyDescent="0.3">
      <c r="A1307"/>
      <c r="B1307"/>
      <c r="D1307" t="str">
        <f t="shared" si="20"/>
        <v/>
      </c>
    </row>
    <row r="1308" spans="1:4" x14ac:dyDescent="0.3">
      <c r="A1308"/>
      <c r="B1308"/>
      <c r="D1308" t="str">
        <f t="shared" si="20"/>
        <v/>
      </c>
    </row>
    <row r="1309" spans="1:4" x14ac:dyDescent="0.3">
      <c r="A1309"/>
      <c r="B1309"/>
      <c r="D1309" t="str">
        <f t="shared" si="20"/>
        <v/>
      </c>
    </row>
    <row r="1310" spans="1:4" x14ac:dyDescent="0.3">
      <c r="A1310"/>
      <c r="B1310"/>
      <c r="D1310" t="str">
        <f t="shared" si="20"/>
        <v/>
      </c>
    </row>
    <row r="1311" spans="1:4" x14ac:dyDescent="0.3">
      <c r="A1311"/>
      <c r="B1311"/>
      <c r="D1311" t="str">
        <f t="shared" si="20"/>
        <v/>
      </c>
    </row>
    <row r="1312" spans="1:4" x14ac:dyDescent="0.3">
      <c r="A1312"/>
      <c r="B1312"/>
      <c r="D1312" t="str">
        <f t="shared" si="20"/>
        <v/>
      </c>
    </row>
    <row r="1313" spans="1:4" x14ac:dyDescent="0.3">
      <c r="A1313"/>
      <c r="B1313"/>
      <c r="D1313" t="str">
        <f t="shared" si="20"/>
        <v/>
      </c>
    </row>
    <row r="1314" spans="1:4" x14ac:dyDescent="0.3">
      <c r="A1314"/>
      <c r="B1314"/>
      <c r="D1314" t="str">
        <f t="shared" si="20"/>
        <v/>
      </c>
    </row>
    <row r="1315" spans="1:4" x14ac:dyDescent="0.3">
      <c r="A1315"/>
      <c r="B1315"/>
      <c r="D1315" t="str">
        <f t="shared" si="20"/>
        <v/>
      </c>
    </row>
    <row r="1316" spans="1:4" x14ac:dyDescent="0.3">
      <c r="A1316"/>
      <c r="B1316"/>
      <c r="D1316" t="str">
        <f t="shared" si="20"/>
        <v/>
      </c>
    </row>
    <row r="1317" spans="1:4" x14ac:dyDescent="0.3">
      <c r="A1317"/>
      <c r="B1317"/>
      <c r="D1317" t="str">
        <f t="shared" si="20"/>
        <v/>
      </c>
    </row>
    <row r="1318" spans="1:4" x14ac:dyDescent="0.3">
      <c r="A1318"/>
      <c r="B1318"/>
      <c r="D1318" t="str">
        <f t="shared" si="20"/>
        <v/>
      </c>
    </row>
    <row r="1319" spans="1:4" x14ac:dyDescent="0.3">
      <c r="A1319"/>
      <c r="B1319"/>
      <c r="D1319" t="str">
        <f t="shared" si="20"/>
        <v/>
      </c>
    </row>
    <row r="1320" spans="1:4" x14ac:dyDescent="0.3">
      <c r="A1320"/>
      <c r="B1320"/>
      <c r="D1320" t="str">
        <f t="shared" si="20"/>
        <v/>
      </c>
    </row>
    <row r="1321" spans="1:4" x14ac:dyDescent="0.3">
      <c r="A1321"/>
      <c r="B1321"/>
      <c r="D1321" t="str">
        <f t="shared" si="20"/>
        <v/>
      </c>
    </row>
    <row r="1322" spans="1:4" x14ac:dyDescent="0.3">
      <c r="A1322"/>
      <c r="B1322"/>
      <c r="D1322" t="str">
        <f t="shared" si="20"/>
        <v/>
      </c>
    </row>
    <row r="1323" spans="1:4" x14ac:dyDescent="0.3">
      <c r="A1323"/>
      <c r="B1323"/>
      <c r="D1323" t="str">
        <f t="shared" si="20"/>
        <v/>
      </c>
    </row>
    <row r="1324" spans="1:4" x14ac:dyDescent="0.3">
      <c r="A1324"/>
      <c r="B1324"/>
      <c r="D1324" t="str">
        <f t="shared" si="20"/>
        <v/>
      </c>
    </row>
    <row r="1325" spans="1:4" x14ac:dyDescent="0.3">
      <c r="A1325"/>
      <c r="B1325"/>
      <c r="D1325" t="str">
        <f t="shared" si="20"/>
        <v/>
      </c>
    </row>
    <row r="1326" spans="1:4" x14ac:dyDescent="0.3">
      <c r="A1326"/>
      <c r="B1326"/>
      <c r="D1326" t="str">
        <f t="shared" si="20"/>
        <v/>
      </c>
    </row>
    <row r="1327" spans="1:4" x14ac:dyDescent="0.3">
      <c r="A1327"/>
      <c r="B1327"/>
      <c r="D1327" t="str">
        <f t="shared" si="20"/>
        <v/>
      </c>
    </row>
    <row r="1328" spans="1:4" x14ac:dyDescent="0.3">
      <c r="A1328"/>
      <c r="B1328"/>
      <c r="D1328" t="str">
        <f t="shared" si="20"/>
        <v/>
      </c>
    </row>
    <row r="1329" spans="1:4" x14ac:dyDescent="0.3">
      <c r="A1329"/>
      <c r="B1329"/>
      <c r="D1329" t="str">
        <f t="shared" si="20"/>
        <v/>
      </c>
    </row>
    <row r="1330" spans="1:4" x14ac:dyDescent="0.3">
      <c r="A1330"/>
      <c r="B1330"/>
      <c r="D1330" t="str">
        <f t="shared" si="20"/>
        <v/>
      </c>
    </row>
    <row r="1331" spans="1:4" x14ac:dyDescent="0.3">
      <c r="A1331"/>
      <c r="B1331"/>
      <c r="D1331" t="str">
        <f t="shared" si="20"/>
        <v/>
      </c>
    </row>
    <row r="1332" spans="1:4" x14ac:dyDescent="0.3">
      <c r="A1332"/>
      <c r="B1332"/>
      <c r="D1332" t="str">
        <f t="shared" si="20"/>
        <v/>
      </c>
    </row>
    <row r="1333" spans="1:4" x14ac:dyDescent="0.3">
      <c r="A1333"/>
      <c r="B1333"/>
      <c r="D1333" t="str">
        <f t="shared" si="20"/>
        <v/>
      </c>
    </row>
    <row r="1334" spans="1:4" x14ac:dyDescent="0.3">
      <c r="A1334"/>
      <c r="B1334"/>
      <c r="D1334" t="str">
        <f t="shared" si="20"/>
        <v/>
      </c>
    </row>
    <row r="1335" spans="1:4" x14ac:dyDescent="0.3">
      <c r="A1335"/>
      <c r="B1335"/>
      <c r="D1335" t="str">
        <f t="shared" si="20"/>
        <v/>
      </c>
    </row>
    <row r="1336" spans="1:4" x14ac:dyDescent="0.3">
      <c r="A1336"/>
      <c r="B1336"/>
      <c r="D1336" t="str">
        <f t="shared" si="20"/>
        <v/>
      </c>
    </row>
    <row r="1337" spans="1:4" x14ac:dyDescent="0.3">
      <c r="A1337"/>
      <c r="B1337"/>
      <c r="D1337" t="str">
        <f t="shared" si="20"/>
        <v/>
      </c>
    </row>
    <row r="1338" spans="1:4" x14ac:dyDescent="0.3">
      <c r="A1338"/>
      <c r="B1338"/>
      <c r="D1338" t="str">
        <f t="shared" si="20"/>
        <v/>
      </c>
    </row>
    <row r="1339" spans="1:4" x14ac:dyDescent="0.3">
      <c r="A1339"/>
      <c r="B1339"/>
      <c r="D1339" t="str">
        <f t="shared" si="20"/>
        <v/>
      </c>
    </row>
    <row r="1340" spans="1:4" x14ac:dyDescent="0.3">
      <c r="A1340"/>
      <c r="B1340"/>
      <c r="D1340" t="str">
        <f t="shared" si="20"/>
        <v/>
      </c>
    </row>
    <row r="1341" spans="1:4" x14ac:dyDescent="0.3">
      <c r="A1341"/>
      <c r="B1341"/>
      <c r="D1341" t="str">
        <f t="shared" si="20"/>
        <v/>
      </c>
    </row>
    <row r="1342" spans="1:4" x14ac:dyDescent="0.3">
      <c r="A1342"/>
      <c r="B1342"/>
      <c r="D1342" t="str">
        <f t="shared" si="20"/>
        <v/>
      </c>
    </row>
    <row r="1343" spans="1:4" x14ac:dyDescent="0.3">
      <c r="A1343"/>
      <c r="B1343"/>
      <c r="D1343" t="str">
        <f t="shared" si="20"/>
        <v/>
      </c>
    </row>
    <row r="1344" spans="1:4" x14ac:dyDescent="0.3">
      <c r="A1344"/>
      <c r="B1344"/>
      <c r="D1344" t="str">
        <f t="shared" si="20"/>
        <v/>
      </c>
    </row>
    <row r="1345" spans="1:4" x14ac:dyDescent="0.3">
      <c r="A1345"/>
      <c r="B1345"/>
      <c r="D1345" t="str">
        <f t="shared" si="20"/>
        <v/>
      </c>
    </row>
    <row r="1346" spans="1:4" x14ac:dyDescent="0.3">
      <c r="A1346"/>
      <c r="B1346"/>
      <c r="D1346" t="str">
        <f t="shared" si="20"/>
        <v/>
      </c>
    </row>
    <row r="1347" spans="1:4" x14ac:dyDescent="0.3">
      <c r="A1347"/>
      <c r="B1347"/>
      <c r="D1347" t="str">
        <f t="shared" ref="D1347:D1410" si="21">CONCATENATE(A1347,B1347,C1347)</f>
        <v/>
      </c>
    </row>
    <row r="1348" spans="1:4" x14ac:dyDescent="0.3">
      <c r="A1348"/>
      <c r="B1348"/>
      <c r="D1348" t="str">
        <f t="shared" si="21"/>
        <v/>
      </c>
    </row>
    <row r="1349" spans="1:4" x14ac:dyDescent="0.3">
      <c r="A1349"/>
      <c r="B1349"/>
      <c r="D1349" t="str">
        <f t="shared" si="21"/>
        <v/>
      </c>
    </row>
    <row r="1350" spans="1:4" x14ac:dyDescent="0.3">
      <c r="A1350"/>
      <c r="B1350"/>
      <c r="D1350" t="str">
        <f t="shared" si="21"/>
        <v/>
      </c>
    </row>
    <row r="1351" spans="1:4" x14ac:dyDescent="0.3">
      <c r="A1351"/>
      <c r="B1351"/>
      <c r="D1351" t="str">
        <f t="shared" si="21"/>
        <v/>
      </c>
    </row>
    <row r="1352" spans="1:4" x14ac:dyDescent="0.3">
      <c r="A1352"/>
      <c r="B1352"/>
      <c r="D1352" t="str">
        <f t="shared" si="21"/>
        <v/>
      </c>
    </row>
    <row r="1353" spans="1:4" x14ac:dyDescent="0.3">
      <c r="A1353"/>
      <c r="B1353"/>
      <c r="D1353" t="str">
        <f t="shared" si="21"/>
        <v/>
      </c>
    </row>
    <row r="1354" spans="1:4" x14ac:dyDescent="0.3">
      <c r="A1354"/>
      <c r="B1354"/>
      <c r="D1354" t="str">
        <f t="shared" si="21"/>
        <v/>
      </c>
    </row>
    <row r="1355" spans="1:4" x14ac:dyDescent="0.3">
      <c r="A1355"/>
      <c r="B1355"/>
      <c r="D1355" t="str">
        <f t="shared" si="21"/>
        <v/>
      </c>
    </row>
    <row r="1356" spans="1:4" x14ac:dyDescent="0.3">
      <c r="A1356"/>
      <c r="B1356"/>
      <c r="D1356" t="str">
        <f t="shared" si="21"/>
        <v/>
      </c>
    </row>
    <row r="1357" spans="1:4" x14ac:dyDescent="0.3">
      <c r="A1357"/>
      <c r="B1357"/>
      <c r="D1357" t="str">
        <f t="shared" si="21"/>
        <v/>
      </c>
    </row>
    <row r="1358" spans="1:4" x14ac:dyDescent="0.3">
      <c r="A1358"/>
      <c r="B1358"/>
      <c r="D1358" t="str">
        <f t="shared" si="21"/>
        <v/>
      </c>
    </row>
    <row r="1359" spans="1:4" x14ac:dyDescent="0.3">
      <c r="A1359"/>
      <c r="B1359"/>
      <c r="D1359" t="str">
        <f t="shared" si="21"/>
        <v/>
      </c>
    </row>
    <row r="1360" spans="1:4" x14ac:dyDescent="0.3">
      <c r="A1360"/>
      <c r="B1360"/>
      <c r="D1360" t="str">
        <f t="shared" si="21"/>
        <v/>
      </c>
    </row>
    <row r="1361" spans="1:4" x14ac:dyDescent="0.3">
      <c r="A1361"/>
      <c r="B1361"/>
      <c r="D1361" t="str">
        <f t="shared" si="21"/>
        <v/>
      </c>
    </row>
    <row r="1362" spans="1:4" x14ac:dyDescent="0.3">
      <c r="A1362"/>
      <c r="B1362"/>
      <c r="D1362" t="str">
        <f t="shared" si="21"/>
        <v/>
      </c>
    </row>
    <row r="1363" spans="1:4" x14ac:dyDescent="0.3">
      <c r="A1363"/>
      <c r="B1363"/>
      <c r="D1363" t="str">
        <f t="shared" si="21"/>
        <v/>
      </c>
    </row>
    <row r="1364" spans="1:4" x14ac:dyDescent="0.3">
      <c r="A1364"/>
      <c r="B1364"/>
      <c r="D1364" t="str">
        <f t="shared" si="21"/>
        <v/>
      </c>
    </row>
    <row r="1365" spans="1:4" x14ac:dyDescent="0.3">
      <c r="A1365"/>
      <c r="B1365"/>
      <c r="D1365" t="str">
        <f t="shared" si="21"/>
        <v/>
      </c>
    </row>
    <row r="1366" spans="1:4" x14ac:dyDescent="0.3">
      <c r="A1366"/>
      <c r="B1366"/>
      <c r="D1366" t="str">
        <f t="shared" si="21"/>
        <v/>
      </c>
    </row>
    <row r="1367" spans="1:4" x14ac:dyDescent="0.3">
      <c r="A1367"/>
      <c r="B1367"/>
      <c r="D1367" t="str">
        <f t="shared" si="21"/>
        <v/>
      </c>
    </row>
    <row r="1368" spans="1:4" x14ac:dyDescent="0.3">
      <c r="A1368"/>
      <c r="B1368"/>
      <c r="D1368" t="str">
        <f t="shared" si="21"/>
        <v/>
      </c>
    </row>
    <row r="1369" spans="1:4" x14ac:dyDescent="0.3">
      <c r="A1369"/>
      <c r="B1369"/>
      <c r="D1369" t="str">
        <f t="shared" si="21"/>
        <v/>
      </c>
    </row>
    <row r="1370" spans="1:4" x14ac:dyDescent="0.3">
      <c r="A1370"/>
      <c r="B1370"/>
      <c r="D1370" t="str">
        <f t="shared" si="21"/>
        <v/>
      </c>
    </row>
    <row r="1371" spans="1:4" x14ac:dyDescent="0.3">
      <c r="A1371"/>
      <c r="B1371"/>
      <c r="D1371" t="str">
        <f t="shared" si="21"/>
        <v/>
      </c>
    </row>
    <row r="1372" spans="1:4" x14ac:dyDescent="0.3">
      <c r="A1372"/>
      <c r="B1372"/>
      <c r="D1372" t="str">
        <f t="shared" si="21"/>
        <v/>
      </c>
    </row>
    <row r="1373" spans="1:4" x14ac:dyDescent="0.3">
      <c r="A1373"/>
      <c r="B1373"/>
      <c r="D1373" t="str">
        <f t="shared" si="21"/>
        <v/>
      </c>
    </row>
    <row r="1374" spans="1:4" x14ac:dyDescent="0.3">
      <c r="A1374"/>
      <c r="B1374"/>
      <c r="D1374" t="str">
        <f t="shared" si="21"/>
        <v/>
      </c>
    </row>
    <row r="1375" spans="1:4" x14ac:dyDescent="0.3">
      <c r="A1375"/>
      <c r="B1375"/>
      <c r="D1375" t="str">
        <f t="shared" si="21"/>
        <v/>
      </c>
    </row>
    <row r="1376" spans="1:4" x14ac:dyDescent="0.3">
      <c r="A1376"/>
      <c r="B1376"/>
      <c r="D1376" t="str">
        <f t="shared" si="21"/>
        <v/>
      </c>
    </row>
    <row r="1377" spans="1:4" x14ac:dyDescent="0.3">
      <c r="A1377"/>
      <c r="B1377"/>
      <c r="D1377" t="str">
        <f t="shared" si="21"/>
        <v/>
      </c>
    </row>
    <row r="1378" spans="1:4" x14ac:dyDescent="0.3">
      <c r="A1378"/>
      <c r="B1378"/>
      <c r="D1378" t="str">
        <f t="shared" si="21"/>
        <v/>
      </c>
    </row>
    <row r="1379" spans="1:4" x14ac:dyDescent="0.3">
      <c r="A1379"/>
      <c r="B1379"/>
      <c r="D1379" t="str">
        <f t="shared" si="21"/>
        <v/>
      </c>
    </row>
    <row r="1380" spans="1:4" x14ac:dyDescent="0.3">
      <c r="A1380"/>
      <c r="B1380"/>
      <c r="D1380" t="str">
        <f t="shared" si="21"/>
        <v/>
      </c>
    </row>
    <row r="1381" spans="1:4" x14ac:dyDescent="0.3">
      <c r="A1381"/>
      <c r="B1381"/>
      <c r="D1381" t="str">
        <f t="shared" si="21"/>
        <v/>
      </c>
    </row>
    <row r="1382" spans="1:4" x14ac:dyDescent="0.3">
      <c r="A1382"/>
      <c r="B1382"/>
      <c r="D1382" t="str">
        <f t="shared" si="21"/>
        <v/>
      </c>
    </row>
    <row r="1383" spans="1:4" x14ac:dyDescent="0.3">
      <c r="A1383"/>
      <c r="B1383"/>
      <c r="D1383" t="str">
        <f t="shared" si="21"/>
        <v/>
      </c>
    </row>
    <row r="1384" spans="1:4" x14ac:dyDescent="0.3">
      <c r="A1384"/>
      <c r="B1384"/>
      <c r="D1384" t="str">
        <f t="shared" si="21"/>
        <v/>
      </c>
    </row>
    <row r="1385" spans="1:4" x14ac:dyDescent="0.3">
      <c r="A1385"/>
      <c r="B1385"/>
      <c r="D1385" t="str">
        <f t="shared" si="21"/>
        <v/>
      </c>
    </row>
    <row r="1386" spans="1:4" x14ac:dyDescent="0.3">
      <c r="A1386"/>
      <c r="B1386"/>
      <c r="D1386" t="str">
        <f t="shared" si="21"/>
        <v/>
      </c>
    </row>
    <row r="1387" spans="1:4" x14ac:dyDescent="0.3">
      <c r="A1387"/>
      <c r="B1387"/>
      <c r="D1387" t="str">
        <f t="shared" si="21"/>
        <v/>
      </c>
    </row>
    <row r="1388" spans="1:4" x14ac:dyDescent="0.3">
      <c r="A1388"/>
      <c r="B1388"/>
      <c r="D1388" t="str">
        <f t="shared" si="21"/>
        <v/>
      </c>
    </row>
    <row r="1389" spans="1:4" x14ac:dyDescent="0.3">
      <c r="A1389"/>
      <c r="B1389"/>
      <c r="D1389" t="str">
        <f t="shared" si="21"/>
        <v/>
      </c>
    </row>
    <row r="1390" spans="1:4" x14ac:dyDescent="0.3">
      <c r="A1390"/>
      <c r="B1390"/>
      <c r="D1390" t="str">
        <f t="shared" si="21"/>
        <v/>
      </c>
    </row>
    <row r="1391" spans="1:4" x14ac:dyDescent="0.3">
      <c r="A1391"/>
      <c r="B1391"/>
      <c r="D1391" t="str">
        <f t="shared" si="21"/>
        <v/>
      </c>
    </row>
    <row r="1392" spans="1:4" x14ac:dyDescent="0.3">
      <c r="A1392"/>
      <c r="B1392"/>
      <c r="D1392" t="str">
        <f t="shared" si="21"/>
        <v/>
      </c>
    </row>
    <row r="1393" spans="1:4" x14ac:dyDescent="0.3">
      <c r="A1393"/>
      <c r="B1393"/>
      <c r="D1393" t="str">
        <f t="shared" si="21"/>
        <v/>
      </c>
    </row>
    <row r="1394" spans="1:4" x14ac:dyDescent="0.3">
      <c r="A1394"/>
      <c r="B1394"/>
      <c r="D1394" t="str">
        <f t="shared" si="21"/>
        <v/>
      </c>
    </row>
    <row r="1395" spans="1:4" x14ac:dyDescent="0.3">
      <c r="A1395"/>
      <c r="B1395"/>
      <c r="D1395" t="str">
        <f t="shared" si="21"/>
        <v/>
      </c>
    </row>
    <row r="1396" spans="1:4" x14ac:dyDescent="0.3">
      <c r="A1396"/>
      <c r="B1396"/>
      <c r="D1396" t="str">
        <f t="shared" si="21"/>
        <v/>
      </c>
    </row>
    <row r="1397" spans="1:4" x14ac:dyDescent="0.3">
      <c r="A1397"/>
      <c r="B1397"/>
      <c r="D1397" t="str">
        <f t="shared" si="21"/>
        <v/>
      </c>
    </row>
    <row r="1398" spans="1:4" x14ac:dyDescent="0.3">
      <c r="A1398"/>
      <c r="B1398"/>
      <c r="D1398" t="str">
        <f t="shared" si="21"/>
        <v/>
      </c>
    </row>
    <row r="1399" spans="1:4" x14ac:dyDescent="0.3">
      <c r="A1399"/>
      <c r="B1399"/>
      <c r="D1399" t="str">
        <f t="shared" si="21"/>
        <v/>
      </c>
    </row>
    <row r="1400" spans="1:4" x14ac:dyDescent="0.3">
      <c r="A1400"/>
      <c r="B1400"/>
      <c r="D1400" t="str">
        <f t="shared" si="21"/>
        <v/>
      </c>
    </row>
    <row r="1401" spans="1:4" x14ac:dyDescent="0.3">
      <c r="A1401"/>
      <c r="B1401"/>
      <c r="D1401" t="str">
        <f t="shared" si="21"/>
        <v/>
      </c>
    </row>
    <row r="1402" spans="1:4" x14ac:dyDescent="0.3">
      <c r="A1402"/>
      <c r="B1402"/>
      <c r="D1402" t="str">
        <f t="shared" si="21"/>
        <v/>
      </c>
    </row>
    <row r="1403" spans="1:4" x14ac:dyDescent="0.3">
      <c r="A1403"/>
      <c r="B1403"/>
      <c r="D1403" t="str">
        <f t="shared" si="21"/>
        <v/>
      </c>
    </row>
    <row r="1404" spans="1:4" x14ac:dyDescent="0.3">
      <c r="A1404"/>
      <c r="B1404"/>
      <c r="D1404" t="str">
        <f t="shared" si="21"/>
        <v/>
      </c>
    </row>
    <row r="1405" spans="1:4" x14ac:dyDescent="0.3">
      <c r="A1405"/>
      <c r="B1405"/>
      <c r="D1405" t="str">
        <f t="shared" si="21"/>
        <v/>
      </c>
    </row>
    <row r="1406" spans="1:4" x14ac:dyDescent="0.3">
      <c r="A1406"/>
      <c r="B1406"/>
      <c r="D1406" t="str">
        <f t="shared" si="21"/>
        <v/>
      </c>
    </row>
    <row r="1407" spans="1:4" x14ac:dyDescent="0.3">
      <c r="A1407"/>
      <c r="B1407"/>
      <c r="D1407" t="str">
        <f t="shared" si="21"/>
        <v/>
      </c>
    </row>
    <row r="1408" spans="1:4" x14ac:dyDescent="0.3">
      <c r="A1408"/>
      <c r="B1408"/>
      <c r="D1408" t="str">
        <f t="shared" si="21"/>
        <v/>
      </c>
    </row>
    <row r="1409" spans="1:4" x14ac:dyDescent="0.3">
      <c r="A1409"/>
      <c r="B1409"/>
      <c r="D1409" t="str">
        <f t="shared" si="21"/>
        <v/>
      </c>
    </row>
    <row r="1410" spans="1:4" x14ac:dyDescent="0.3">
      <c r="A1410"/>
      <c r="B1410"/>
      <c r="D1410" t="str">
        <f t="shared" si="21"/>
        <v/>
      </c>
    </row>
    <row r="1411" spans="1:4" x14ac:dyDescent="0.3">
      <c r="A1411"/>
      <c r="B1411"/>
      <c r="D1411" t="str">
        <f t="shared" ref="D1411:D1474" si="22">CONCATENATE(A1411,B1411,C1411)</f>
        <v/>
      </c>
    </row>
    <row r="1412" spans="1:4" x14ac:dyDescent="0.3">
      <c r="A1412"/>
      <c r="B1412"/>
      <c r="D1412" t="str">
        <f t="shared" si="22"/>
        <v/>
      </c>
    </row>
    <row r="1413" spans="1:4" x14ac:dyDescent="0.3">
      <c r="A1413"/>
      <c r="B1413"/>
      <c r="D1413" t="str">
        <f t="shared" si="22"/>
        <v/>
      </c>
    </row>
    <row r="1414" spans="1:4" x14ac:dyDescent="0.3">
      <c r="A1414"/>
      <c r="B1414"/>
      <c r="D1414" t="str">
        <f t="shared" si="22"/>
        <v/>
      </c>
    </row>
    <row r="1415" spans="1:4" x14ac:dyDescent="0.3">
      <c r="A1415"/>
      <c r="B1415"/>
      <c r="D1415" t="str">
        <f t="shared" si="22"/>
        <v/>
      </c>
    </row>
    <row r="1416" spans="1:4" x14ac:dyDescent="0.3">
      <c r="A1416"/>
      <c r="B1416"/>
      <c r="D1416" t="str">
        <f t="shared" si="22"/>
        <v/>
      </c>
    </row>
    <row r="1417" spans="1:4" x14ac:dyDescent="0.3">
      <c r="A1417"/>
      <c r="B1417"/>
      <c r="D1417" t="str">
        <f t="shared" si="22"/>
        <v/>
      </c>
    </row>
    <row r="1418" spans="1:4" x14ac:dyDescent="0.3">
      <c r="A1418"/>
      <c r="B1418"/>
      <c r="D1418" t="str">
        <f t="shared" si="22"/>
        <v/>
      </c>
    </row>
    <row r="1419" spans="1:4" x14ac:dyDescent="0.3">
      <c r="A1419"/>
      <c r="B1419"/>
      <c r="D1419" t="str">
        <f t="shared" si="22"/>
        <v/>
      </c>
    </row>
    <row r="1420" spans="1:4" x14ac:dyDescent="0.3">
      <c r="A1420"/>
      <c r="B1420"/>
      <c r="D1420" t="str">
        <f t="shared" si="22"/>
        <v/>
      </c>
    </row>
    <row r="1421" spans="1:4" x14ac:dyDescent="0.3">
      <c r="A1421"/>
      <c r="B1421"/>
      <c r="D1421" t="str">
        <f t="shared" si="22"/>
        <v/>
      </c>
    </row>
    <row r="1422" spans="1:4" x14ac:dyDescent="0.3">
      <c r="A1422"/>
      <c r="B1422"/>
      <c r="D1422" t="str">
        <f t="shared" si="22"/>
        <v/>
      </c>
    </row>
    <row r="1423" spans="1:4" x14ac:dyDescent="0.3">
      <c r="A1423"/>
      <c r="B1423"/>
      <c r="D1423" t="str">
        <f t="shared" si="22"/>
        <v/>
      </c>
    </row>
    <row r="1424" spans="1:4" x14ac:dyDescent="0.3">
      <c r="A1424"/>
      <c r="B1424"/>
      <c r="D1424" t="str">
        <f t="shared" si="22"/>
        <v/>
      </c>
    </row>
    <row r="1425" spans="1:4" x14ac:dyDescent="0.3">
      <c r="A1425"/>
      <c r="B1425"/>
      <c r="D1425" t="str">
        <f t="shared" si="22"/>
        <v/>
      </c>
    </row>
    <row r="1426" spans="1:4" x14ac:dyDescent="0.3">
      <c r="A1426"/>
      <c r="B1426"/>
      <c r="D1426" t="str">
        <f t="shared" si="22"/>
        <v/>
      </c>
    </row>
    <row r="1427" spans="1:4" x14ac:dyDescent="0.3">
      <c r="A1427"/>
      <c r="B1427"/>
      <c r="D1427" t="str">
        <f t="shared" si="22"/>
        <v/>
      </c>
    </row>
    <row r="1428" spans="1:4" x14ac:dyDescent="0.3">
      <c r="A1428"/>
      <c r="B1428"/>
      <c r="D1428" t="str">
        <f t="shared" si="22"/>
        <v/>
      </c>
    </row>
    <row r="1429" spans="1:4" x14ac:dyDescent="0.3">
      <c r="A1429"/>
      <c r="B1429"/>
      <c r="D1429" t="str">
        <f t="shared" si="22"/>
        <v/>
      </c>
    </row>
    <row r="1430" spans="1:4" x14ac:dyDescent="0.3">
      <c r="A1430"/>
      <c r="B1430"/>
      <c r="D1430" t="str">
        <f t="shared" si="22"/>
        <v/>
      </c>
    </row>
    <row r="1431" spans="1:4" x14ac:dyDescent="0.3">
      <c r="A1431"/>
      <c r="B1431"/>
      <c r="D1431" t="str">
        <f t="shared" si="22"/>
        <v/>
      </c>
    </row>
    <row r="1432" spans="1:4" x14ac:dyDescent="0.3">
      <c r="A1432"/>
      <c r="B1432"/>
      <c r="D1432" t="str">
        <f t="shared" si="22"/>
        <v/>
      </c>
    </row>
    <row r="1433" spans="1:4" x14ac:dyDescent="0.3">
      <c r="A1433"/>
      <c r="B1433"/>
      <c r="D1433" t="str">
        <f t="shared" si="22"/>
        <v/>
      </c>
    </row>
    <row r="1434" spans="1:4" x14ac:dyDescent="0.3">
      <c r="A1434"/>
      <c r="B1434"/>
      <c r="D1434" t="str">
        <f t="shared" si="22"/>
        <v/>
      </c>
    </row>
    <row r="1435" spans="1:4" x14ac:dyDescent="0.3">
      <c r="A1435"/>
      <c r="B1435"/>
      <c r="D1435" t="str">
        <f t="shared" si="22"/>
        <v/>
      </c>
    </row>
    <row r="1436" spans="1:4" x14ac:dyDescent="0.3">
      <c r="A1436"/>
      <c r="B1436"/>
      <c r="D1436" t="str">
        <f t="shared" si="22"/>
        <v/>
      </c>
    </row>
    <row r="1437" spans="1:4" x14ac:dyDescent="0.3">
      <c r="A1437"/>
      <c r="B1437"/>
      <c r="D1437" t="str">
        <f t="shared" si="22"/>
        <v/>
      </c>
    </row>
    <row r="1438" spans="1:4" x14ac:dyDescent="0.3">
      <c r="A1438"/>
      <c r="B1438"/>
      <c r="D1438" t="str">
        <f t="shared" si="22"/>
        <v/>
      </c>
    </row>
    <row r="1439" spans="1:4" x14ac:dyDescent="0.3">
      <c r="A1439"/>
      <c r="B1439"/>
      <c r="D1439" t="str">
        <f t="shared" si="22"/>
        <v/>
      </c>
    </row>
    <row r="1440" spans="1:4" x14ac:dyDescent="0.3">
      <c r="A1440"/>
      <c r="B1440"/>
      <c r="D1440" t="str">
        <f t="shared" si="22"/>
        <v/>
      </c>
    </row>
    <row r="1441" spans="1:4" x14ac:dyDescent="0.3">
      <c r="A1441"/>
      <c r="B1441"/>
      <c r="D1441" t="str">
        <f t="shared" si="22"/>
        <v/>
      </c>
    </row>
    <row r="1442" spans="1:4" x14ac:dyDescent="0.3">
      <c r="A1442"/>
      <c r="B1442"/>
      <c r="D1442" t="str">
        <f t="shared" si="22"/>
        <v/>
      </c>
    </row>
    <row r="1443" spans="1:4" x14ac:dyDescent="0.3">
      <c r="A1443"/>
      <c r="B1443"/>
      <c r="D1443" t="str">
        <f t="shared" si="22"/>
        <v/>
      </c>
    </row>
    <row r="1444" spans="1:4" x14ac:dyDescent="0.3">
      <c r="A1444"/>
      <c r="B1444"/>
      <c r="D1444" t="str">
        <f t="shared" si="22"/>
        <v/>
      </c>
    </row>
    <row r="1445" spans="1:4" x14ac:dyDescent="0.3">
      <c r="A1445"/>
      <c r="B1445"/>
      <c r="D1445" t="str">
        <f t="shared" si="22"/>
        <v/>
      </c>
    </row>
    <row r="1446" spans="1:4" x14ac:dyDescent="0.3">
      <c r="A1446"/>
      <c r="B1446"/>
      <c r="D1446" t="str">
        <f t="shared" si="22"/>
        <v/>
      </c>
    </row>
    <row r="1447" spans="1:4" x14ac:dyDescent="0.3">
      <c r="A1447"/>
      <c r="B1447"/>
      <c r="D1447" t="str">
        <f t="shared" si="22"/>
        <v/>
      </c>
    </row>
    <row r="1448" spans="1:4" x14ac:dyDescent="0.3">
      <c r="A1448"/>
      <c r="B1448"/>
      <c r="D1448" t="str">
        <f t="shared" si="22"/>
        <v/>
      </c>
    </row>
    <row r="1449" spans="1:4" x14ac:dyDescent="0.3">
      <c r="A1449"/>
      <c r="B1449"/>
      <c r="D1449" t="str">
        <f t="shared" si="22"/>
        <v/>
      </c>
    </row>
    <row r="1450" spans="1:4" x14ac:dyDescent="0.3">
      <c r="A1450"/>
      <c r="B1450"/>
      <c r="D1450" t="str">
        <f t="shared" si="22"/>
        <v/>
      </c>
    </row>
    <row r="1451" spans="1:4" x14ac:dyDescent="0.3">
      <c r="A1451"/>
      <c r="B1451"/>
      <c r="D1451" t="str">
        <f t="shared" si="22"/>
        <v/>
      </c>
    </row>
    <row r="1452" spans="1:4" x14ac:dyDescent="0.3">
      <c r="A1452"/>
      <c r="B1452"/>
      <c r="D1452" t="str">
        <f t="shared" si="22"/>
        <v/>
      </c>
    </row>
    <row r="1453" spans="1:4" x14ac:dyDescent="0.3">
      <c r="A1453"/>
      <c r="B1453"/>
      <c r="D1453" t="str">
        <f t="shared" si="22"/>
        <v/>
      </c>
    </row>
    <row r="1454" spans="1:4" x14ac:dyDescent="0.3">
      <c r="A1454"/>
      <c r="B1454"/>
      <c r="D1454" t="str">
        <f t="shared" si="22"/>
        <v/>
      </c>
    </row>
    <row r="1455" spans="1:4" x14ac:dyDescent="0.3">
      <c r="A1455"/>
      <c r="B1455"/>
      <c r="D1455" t="str">
        <f t="shared" si="22"/>
        <v/>
      </c>
    </row>
    <row r="1456" spans="1:4" x14ac:dyDescent="0.3">
      <c r="A1456"/>
      <c r="B1456"/>
      <c r="D1456" t="str">
        <f t="shared" si="22"/>
        <v/>
      </c>
    </row>
    <row r="1457" spans="1:4" x14ac:dyDescent="0.3">
      <c r="A1457"/>
      <c r="B1457"/>
      <c r="D1457" t="str">
        <f t="shared" si="22"/>
        <v/>
      </c>
    </row>
    <row r="1458" spans="1:4" x14ac:dyDescent="0.3">
      <c r="A1458"/>
      <c r="B1458"/>
      <c r="D1458" t="str">
        <f t="shared" si="22"/>
        <v/>
      </c>
    </row>
    <row r="1459" spans="1:4" x14ac:dyDescent="0.3">
      <c r="A1459"/>
      <c r="B1459"/>
      <c r="D1459" t="str">
        <f t="shared" si="22"/>
        <v/>
      </c>
    </row>
    <row r="1460" spans="1:4" x14ac:dyDescent="0.3">
      <c r="A1460"/>
      <c r="B1460"/>
      <c r="D1460" t="str">
        <f t="shared" si="22"/>
        <v/>
      </c>
    </row>
    <row r="1461" spans="1:4" x14ac:dyDescent="0.3">
      <c r="A1461"/>
      <c r="B1461"/>
      <c r="D1461" t="str">
        <f t="shared" si="22"/>
        <v/>
      </c>
    </row>
    <row r="1462" spans="1:4" x14ac:dyDescent="0.3">
      <c r="A1462"/>
      <c r="B1462"/>
      <c r="D1462" t="str">
        <f t="shared" si="22"/>
        <v/>
      </c>
    </row>
    <row r="1463" spans="1:4" x14ac:dyDescent="0.3">
      <c r="A1463"/>
      <c r="B1463"/>
      <c r="D1463" t="str">
        <f t="shared" si="22"/>
        <v/>
      </c>
    </row>
    <row r="1464" spans="1:4" x14ac:dyDescent="0.3">
      <c r="A1464"/>
      <c r="B1464"/>
      <c r="D1464" t="str">
        <f t="shared" si="22"/>
        <v/>
      </c>
    </row>
    <row r="1465" spans="1:4" x14ac:dyDescent="0.3">
      <c r="A1465"/>
      <c r="B1465"/>
      <c r="D1465" t="str">
        <f t="shared" si="22"/>
        <v/>
      </c>
    </row>
    <row r="1466" spans="1:4" x14ac:dyDescent="0.3">
      <c r="A1466"/>
      <c r="B1466"/>
      <c r="D1466" t="str">
        <f t="shared" si="22"/>
        <v/>
      </c>
    </row>
    <row r="1467" spans="1:4" x14ac:dyDescent="0.3">
      <c r="A1467"/>
      <c r="B1467"/>
      <c r="D1467" t="str">
        <f t="shared" si="22"/>
        <v/>
      </c>
    </row>
    <row r="1468" spans="1:4" x14ac:dyDescent="0.3">
      <c r="A1468"/>
      <c r="B1468"/>
      <c r="D1468" t="str">
        <f t="shared" si="22"/>
        <v/>
      </c>
    </row>
    <row r="1469" spans="1:4" x14ac:dyDescent="0.3">
      <c r="A1469"/>
      <c r="B1469"/>
      <c r="D1469" t="str">
        <f t="shared" si="22"/>
        <v/>
      </c>
    </row>
    <row r="1470" spans="1:4" x14ac:dyDescent="0.3">
      <c r="A1470"/>
      <c r="B1470"/>
      <c r="D1470" t="str">
        <f t="shared" si="22"/>
        <v/>
      </c>
    </row>
    <row r="1471" spans="1:4" x14ac:dyDescent="0.3">
      <c r="A1471"/>
      <c r="B1471"/>
      <c r="D1471" t="str">
        <f t="shared" si="22"/>
        <v/>
      </c>
    </row>
    <row r="1472" spans="1:4" x14ac:dyDescent="0.3">
      <c r="A1472"/>
      <c r="B1472"/>
      <c r="D1472" t="str">
        <f t="shared" si="22"/>
        <v/>
      </c>
    </row>
    <row r="1473" spans="1:4" x14ac:dyDescent="0.3">
      <c r="A1473"/>
      <c r="B1473"/>
      <c r="D1473" t="str">
        <f t="shared" si="22"/>
        <v/>
      </c>
    </row>
    <row r="1474" spans="1:4" x14ac:dyDescent="0.3">
      <c r="A1474"/>
      <c r="B1474"/>
      <c r="D1474" t="str">
        <f t="shared" si="22"/>
        <v/>
      </c>
    </row>
    <row r="1475" spans="1:4" x14ac:dyDescent="0.3">
      <c r="A1475"/>
      <c r="B1475"/>
      <c r="D1475" t="str">
        <f t="shared" ref="D1475:D1538" si="23">CONCATENATE(A1475,B1475,C1475)</f>
        <v/>
      </c>
    </row>
    <row r="1476" spans="1:4" x14ac:dyDescent="0.3">
      <c r="A1476"/>
      <c r="B1476"/>
      <c r="D1476" t="str">
        <f t="shared" si="23"/>
        <v/>
      </c>
    </row>
    <row r="1477" spans="1:4" x14ac:dyDescent="0.3">
      <c r="A1477"/>
      <c r="B1477"/>
      <c r="D1477" t="str">
        <f t="shared" si="23"/>
        <v/>
      </c>
    </row>
    <row r="1478" spans="1:4" x14ac:dyDescent="0.3">
      <c r="A1478"/>
      <c r="B1478"/>
      <c r="D1478" t="str">
        <f t="shared" si="23"/>
        <v/>
      </c>
    </row>
    <row r="1479" spans="1:4" x14ac:dyDescent="0.3">
      <c r="A1479"/>
      <c r="B1479"/>
      <c r="D1479" t="str">
        <f t="shared" si="23"/>
        <v/>
      </c>
    </row>
    <row r="1480" spans="1:4" x14ac:dyDescent="0.3">
      <c r="A1480"/>
      <c r="B1480"/>
      <c r="D1480" t="str">
        <f t="shared" si="23"/>
        <v/>
      </c>
    </row>
    <row r="1481" spans="1:4" x14ac:dyDescent="0.3">
      <c r="A1481"/>
      <c r="B1481"/>
      <c r="D1481" t="str">
        <f t="shared" si="23"/>
        <v/>
      </c>
    </row>
    <row r="1482" spans="1:4" x14ac:dyDescent="0.3">
      <c r="A1482"/>
      <c r="B1482"/>
      <c r="D1482" t="str">
        <f t="shared" si="23"/>
        <v/>
      </c>
    </row>
    <row r="1483" spans="1:4" x14ac:dyDescent="0.3">
      <c r="A1483"/>
      <c r="B1483"/>
      <c r="D1483" t="str">
        <f t="shared" si="23"/>
        <v/>
      </c>
    </row>
    <row r="1484" spans="1:4" x14ac:dyDescent="0.3">
      <c r="A1484"/>
      <c r="B1484"/>
      <c r="D1484" t="str">
        <f t="shared" si="23"/>
        <v/>
      </c>
    </row>
    <row r="1485" spans="1:4" x14ac:dyDescent="0.3">
      <c r="A1485"/>
      <c r="B1485"/>
      <c r="D1485" t="str">
        <f t="shared" si="23"/>
        <v/>
      </c>
    </row>
    <row r="1486" spans="1:4" x14ac:dyDescent="0.3">
      <c r="A1486"/>
      <c r="B1486"/>
      <c r="D1486" t="str">
        <f t="shared" si="23"/>
        <v/>
      </c>
    </row>
    <row r="1487" spans="1:4" x14ac:dyDescent="0.3">
      <c r="A1487"/>
      <c r="B1487"/>
      <c r="D1487" t="str">
        <f t="shared" si="23"/>
        <v/>
      </c>
    </row>
    <row r="1488" spans="1:4" x14ac:dyDescent="0.3">
      <c r="A1488"/>
      <c r="B1488"/>
      <c r="D1488" t="str">
        <f t="shared" si="23"/>
        <v/>
      </c>
    </row>
    <row r="1489" spans="1:4" x14ac:dyDescent="0.3">
      <c r="A1489"/>
      <c r="B1489"/>
      <c r="D1489" t="str">
        <f t="shared" si="23"/>
        <v/>
      </c>
    </row>
    <row r="1490" spans="1:4" x14ac:dyDescent="0.3">
      <c r="A1490"/>
      <c r="B1490"/>
      <c r="D1490" t="str">
        <f t="shared" si="23"/>
        <v/>
      </c>
    </row>
    <row r="1491" spans="1:4" x14ac:dyDescent="0.3">
      <c r="A1491"/>
      <c r="B1491"/>
      <c r="D1491" t="str">
        <f t="shared" si="23"/>
        <v/>
      </c>
    </row>
    <row r="1492" spans="1:4" x14ac:dyDescent="0.3">
      <c r="A1492"/>
      <c r="B1492"/>
      <c r="D1492" t="str">
        <f t="shared" si="23"/>
        <v/>
      </c>
    </row>
    <row r="1493" spans="1:4" x14ac:dyDescent="0.3">
      <c r="A1493"/>
      <c r="B1493"/>
      <c r="D1493" t="str">
        <f t="shared" si="23"/>
        <v/>
      </c>
    </row>
    <row r="1494" spans="1:4" x14ac:dyDescent="0.3">
      <c r="A1494"/>
      <c r="B1494"/>
      <c r="D1494" t="str">
        <f t="shared" si="23"/>
        <v/>
      </c>
    </row>
    <row r="1495" spans="1:4" x14ac:dyDescent="0.3">
      <c r="A1495"/>
      <c r="B1495"/>
      <c r="D1495" t="str">
        <f t="shared" si="23"/>
        <v/>
      </c>
    </row>
    <row r="1496" spans="1:4" x14ac:dyDescent="0.3">
      <c r="A1496"/>
      <c r="B1496"/>
      <c r="D1496" t="str">
        <f t="shared" si="23"/>
        <v/>
      </c>
    </row>
    <row r="1497" spans="1:4" x14ac:dyDescent="0.3">
      <c r="A1497"/>
      <c r="B1497"/>
      <c r="D1497" t="str">
        <f t="shared" si="23"/>
        <v/>
      </c>
    </row>
    <row r="1498" spans="1:4" x14ac:dyDescent="0.3">
      <c r="A1498"/>
      <c r="B1498"/>
      <c r="D1498" t="str">
        <f t="shared" si="23"/>
        <v/>
      </c>
    </row>
    <row r="1499" spans="1:4" x14ac:dyDescent="0.3">
      <c r="A1499"/>
      <c r="B1499"/>
      <c r="D1499" t="str">
        <f t="shared" si="23"/>
        <v/>
      </c>
    </row>
    <row r="1500" spans="1:4" x14ac:dyDescent="0.3">
      <c r="A1500"/>
      <c r="B1500"/>
      <c r="D1500" t="str">
        <f t="shared" si="23"/>
        <v/>
      </c>
    </row>
    <row r="1501" spans="1:4" x14ac:dyDescent="0.3">
      <c r="A1501"/>
      <c r="B1501"/>
      <c r="D1501" t="str">
        <f t="shared" si="23"/>
        <v/>
      </c>
    </row>
    <row r="1502" spans="1:4" x14ac:dyDescent="0.3">
      <c r="A1502"/>
      <c r="B1502"/>
      <c r="D1502" t="str">
        <f t="shared" si="23"/>
        <v/>
      </c>
    </row>
    <row r="1503" spans="1:4" x14ac:dyDescent="0.3">
      <c r="A1503"/>
      <c r="B1503"/>
      <c r="D1503" t="str">
        <f t="shared" si="23"/>
        <v/>
      </c>
    </row>
    <row r="1504" spans="1:4" x14ac:dyDescent="0.3">
      <c r="A1504"/>
      <c r="B1504"/>
      <c r="D1504" t="str">
        <f t="shared" si="23"/>
        <v/>
      </c>
    </row>
    <row r="1505" spans="1:4" x14ac:dyDescent="0.3">
      <c r="A1505"/>
      <c r="B1505"/>
      <c r="D1505" t="str">
        <f t="shared" si="23"/>
        <v/>
      </c>
    </row>
    <row r="1506" spans="1:4" x14ac:dyDescent="0.3">
      <c r="A1506"/>
      <c r="B1506"/>
      <c r="D1506" t="str">
        <f t="shared" si="23"/>
        <v/>
      </c>
    </row>
    <row r="1507" spans="1:4" x14ac:dyDescent="0.3">
      <c r="A1507"/>
      <c r="B1507"/>
      <c r="D1507" t="str">
        <f t="shared" si="23"/>
        <v/>
      </c>
    </row>
    <row r="1508" spans="1:4" x14ac:dyDescent="0.3">
      <c r="A1508"/>
      <c r="B1508"/>
      <c r="D1508" t="str">
        <f t="shared" si="23"/>
        <v/>
      </c>
    </row>
    <row r="1509" spans="1:4" x14ac:dyDescent="0.3">
      <c r="A1509"/>
      <c r="B1509"/>
      <c r="D1509" t="str">
        <f t="shared" si="23"/>
        <v/>
      </c>
    </row>
    <row r="1510" spans="1:4" x14ac:dyDescent="0.3">
      <c r="A1510"/>
      <c r="B1510"/>
      <c r="D1510" t="str">
        <f t="shared" si="23"/>
        <v/>
      </c>
    </row>
    <row r="1511" spans="1:4" x14ac:dyDescent="0.3">
      <c r="A1511"/>
      <c r="B1511"/>
      <c r="D1511" t="str">
        <f t="shared" si="23"/>
        <v/>
      </c>
    </row>
    <row r="1512" spans="1:4" x14ac:dyDescent="0.3">
      <c r="A1512"/>
      <c r="B1512"/>
      <c r="D1512" t="str">
        <f t="shared" si="23"/>
        <v/>
      </c>
    </row>
    <row r="1513" spans="1:4" x14ac:dyDescent="0.3">
      <c r="A1513"/>
      <c r="B1513"/>
      <c r="D1513" t="str">
        <f t="shared" si="23"/>
        <v/>
      </c>
    </row>
    <row r="1514" spans="1:4" x14ac:dyDescent="0.3">
      <c r="A1514"/>
      <c r="B1514"/>
      <c r="D1514" t="str">
        <f t="shared" si="23"/>
        <v/>
      </c>
    </row>
    <row r="1515" spans="1:4" x14ac:dyDescent="0.3">
      <c r="A1515"/>
      <c r="B1515"/>
      <c r="D1515" t="str">
        <f t="shared" si="23"/>
        <v/>
      </c>
    </row>
    <row r="1516" spans="1:4" x14ac:dyDescent="0.3">
      <c r="A1516"/>
      <c r="B1516"/>
      <c r="D1516" t="str">
        <f t="shared" si="23"/>
        <v/>
      </c>
    </row>
    <row r="1517" spans="1:4" x14ac:dyDescent="0.3">
      <c r="A1517"/>
      <c r="B1517"/>
      <c r="D1517" t="str">
        <f t="shared" si="23"/>
        <v/>
      </c>
    </row>
    <row r="1518" spans="1:4" x14ac:dyDescent="0.3">
      <c r="A1518"/>
      <c r="B1518"/>
      <c r="D1518" t="str">
        <f t="shared" si="23"/>
        <v/>
      </c>
    </row>
    <row r="1519" spans="1:4" x14ac:dyDescent="0.3">
      <c r="A1519"/>
      <c r="B1519"/>
      <c r="D1519" t="str">
        <f t="shared" si="23"/>
        <v/>
      </c>
    </row>
    <row r="1520" spans="1:4" x14ac:dyDescent="0.3">
      <c r="A1520"/>
      <c r="B1520"/>
      <c r="D1520" t="str">
        <f t="shared" si="23"/>
        <v/>
      </c>
    </row>
    <row r="1521" spans="1:4" x14ac:dyDescent="0.3">
      <c r="A1521"/>
      <c r="B1521"/>
      <c r="D1521" t="str">
        <f t="shared" si="23"/>
        <v/>
      </c>
    </row>
    <row r="1522" spans="1:4" x14ac:dyDescent="0.3">
      <c r="A1522"/>
      <c r="B1522"/>
      <c r="D1522" t="str">
        <f t="shared" si="23"/>
        <v/>
      </c>
    </row>
    <row r="1523" spans="1:4" x14ac:dyDescent="0.3">
      <c r="A1523"/>
      <c r="B1523"/>
      <c r="D1523" t="str">
        <f t="shared" si="23"/>
        <v/>
      </c>
    </row>
    <row r="1524" spans="1:4" x14ac:dyDescent="0.3">
      <c r="A1524"/>
      <c r="B1524"/>
      <c r="D1524" t="str">
        <f t="shared" si="23"/>
        <v/>
      </c>
    </row>
    <row r="1525" spans="1:4" x14ac:dyDescent="0.3">
      <c r="A1525"/>
      <c r="B1525"/>
      <c r="D1525" t="str">
        <f t="shared" si="23"/>
        <v/>
      </c>
    </row>
    <row r="1526" spans="1:4" x14ac:dyDescent="0.3">
      <c r="A1526"/>
      <c r="B1526"/>
      <c r="D1526" t="str">
        <f t="shared" si="23"/>
        <v/>
      </c>
    </row>
    <row r="1527" spans="1:4" x14ac:dyDescent="0.3">
      <c r="A1527"/>
      <c r="B1527"/>
      <c r="D1527" t="str">
        <f t="shared" si="23"/>
        <v/>
      </c>
    </row>
    <row r="1528" spans="1:4" x14ac:dyDescent="0.3">
      <c r="A1528"/>
      <c r="B1528"/>
      <c r="D1528" t="str">
        <f t="shared" si="23"/>
        <v/>
      </c>
    </row>
    <row r="1529" spans="1:4" x14ac:dyDescent="0.3">
      <c r="A1529"/>
      <c r="B1529"/>
      <c r="D1529" t="str">
        <f t="shared" si="23"/>
        <v/>
      </c>
    </row>
    <row r="1530" spans="1:4" x14ac:dyDescent="0.3">
      <c r="A1530"/>
      <c r="B1530"/>
      <c r="D1530" t="str">
        <f t="shared" si="23"/>
        <v/>
      </c>
    </row>
    <row r="1531" spans="1:4" x14ac:dyDescent="0.3">
      <c r="A1531"/>
      <c r="B1531"/>
      <c r="D1531" t="str">
        <f t="shared" si="23"/>
        <v/>
      </c>
    </row>
    <row r="1532" spans="1:4" x14ac:dyDescent="0.3">
      <c r="A1532"/>
      <c r="B1532"/>
      <c r="D1532" t="str">
        <f t="shared" si="23"/>
        <v/>
      </c>
    </row>
    <row r="1533" spans="1:4" x14ac:dyDescent="0.3">
      <c r="A1533"/>
      <c r="B1533"/>
      <c r="D1533" t="str">
        <f t="shared" si="23"/>
        <v/>
      </c>
    </row>
    <row r="1534" spans="1:4" x14ac:dyDescent="0.3">
      <c r="A1534"/>
      <c r="B1534"/>
      <c r="D1534" t="str">
        <f t="shared" si="23"/>
        <v/>
      </c>
    </row>
    <row r="1535" spans="1:4" x14ac:dyDescent="0.3">
      <c r="A1535"/>
      <c r="B1535"/>
      <c r="D1535" t="str">
        <f t="shared" si="23"/>
        <v/>
      </c>
    </row>
    <row r="1536" spans="1:4" x14ac:dyDescent="0.3">
      <c r="A1536"/>
      <c r="B1536"/>
      <c r="D1536" t="str">
        <f t="shared" si="23"/>
        <v/>
      </c>
    </row>
    <row r="1537" spans="1:4" x14ac:dyDescent="0.3">
      <c r="A1537"/>
      <c r="B1537"/>
      <c r="D1537" t="str">
        <f t="shared" si="23"/>
        <v/>
      </c>
    </row>
    <row r="1538" spans="1:4" x14ac:dyDescent="0.3">
      <c r="A1538"/>
      <c r="B1538"/>
      <c r="D1538" t="str">
        <f t="shared" si="23"/>
        <v/>
      </c>
    </row>
    <row r="1539" spans="1:4" x14ac:dyDescent="0.3">
      <c r="A1539"/>
      <c r="B1539"/>
      <c r="D1539" t="str">
        <f t="shared" ref="D1539:D1602" si="24">CONCATENATE(A1539,B1539,C1539)</f>
        <v/>
      </c>
    </row>
    <row r="1540" spans="1:4" x14ac:dyDescent="0.3">
      <c r="A1540"/>
      <c r="B1540"/>
      <c r="D1540" t="str">
        <f t="shared" si="24"/>
        <v/>
      </c>
    </row>
    <row r="1541" spans="1:4" x14ac:dyDescent="0.3">
      <c r="A1541"/>
      <c r="B1541"/>
      <c r="D1541" t="str">
        <f t="shared" si="24"/>
        <v/>
      </c>
    </row>
    <row r="1542" spans="1:4" x14ac:dyDescent="0.3">
      <c r="A1542"/>
      <c r="B1542"/>
      <c r="D1542" t="str">
        <f t="shared" si="24"/>
        <v/>
      </c>
    </row>
    <row r="1543" spans="1:4" x14ac:dyDescent="0.3">
      <c r="A1543"/>
      <c r="B1543"/>
      <c r="D1543" t="str">
        <f t="shared" si="24"/>
        <v/>
      </c>
    </row>
    <row r="1544" spans="1:4" x14ac:dyDescent="0.3">
      <c r="A1544"/>
      <c r="B1544"/>
      <c r="D1544" t="str">
        <f t="shared" si="24"/>
        <v/>
      </c>
    </row>
    <row r="1545" spans="1:4" x14ac:dyDescent="0.3">
      <c r="A1545"/>
      <c r="B1545"/>
      <c r="D1545" t="str">
        <f t="shared" si="24"/>
        <v/>
      </c>
    </row>
    <row r="1546" spans="1:4" x14ac:dyDescent="0.3">
      <c r="A1546"/>
      <c r="B1546"/>
      <c r="D1546" t="str">
        <f t="shared" si="24"/>
        <v/>
      </c>
    </row>
    <row r="1547" spans="1:4" x14ac:dyDescent="0.3">
      <c r="A1547"/>
      <c r="B1547"/>
      <c r="D1547" t="str">
        <f t="shared" si="24"/>
        <v/>
      </c>
    </row>
    <row r="1548" spans="1:4" x14ac:dyDescent="0.3">
      <c r="A1548"/>
      <c r="B1548"/>
      <c r="D1548" t="str">
        <f t="shared" si="24"/>
        <v/>
      </c>
    </row>
    <row r="1549" spans="1:4" x14ac:dyDescent="0.3">
      <c r="A1549"/>
      <c r="B1549"/>
      <c r="D1549" t="str">
        <f t="shared" si="24"/>
        <v/>
      </c>
    </row>
    <row r="1550" spans="1:4" x14ac:dyDescent="0.3">
      <c r="A1550"/>
      <c r="B1550"/>
      <c r="D1550" t="str">
        <f t="shared" si="24"/>
        <v/>
      </c>
    </row>
    <row r="1551" spans="1:4" x14ac:dyDescent="0.3">
      <c r="A1551"/>
      <c r="B1551"/>
      <c r="D1551" t="str">
        <f t="shared" si="24"/>
        <v/>
      </c>
    </row>
    <row r="1552" spans="1:4" x14ac:dyDescent="0.3">
      <c r="A1552"/>
      <c r="B1552"/>
      <c r="D1552" t="str">
        <f t="shared" si="24"/>
        <v/>
      </c>
    </row>
    <row r="1553" spans="1:4" x14ac:dyDescent="0.3">
      <c r="A1553"/>
      <c r="B1553"/>
      <c r="D1553" t="str">
        <f t="shared" si="24"/>
        <v/>
      </c>
    </row>
    <row r="1554" spans="1:4" x14ac:dyDescent="0.3">
      <c r="A1554"/>
      <c r="B1554"/>
      <c r="D1554" t="str">
        <f t="shared" si="24"/>
        <v/>
      </c>
    </row>
    <row r="1555" spans="1:4" x14ac:dyDescent="0.3">
      <c r="A1555"/>
      <c r="B1555"/>
      <c r="D1555" t="str">
        <f t="shared" si="24"/>
        <v/>
      </c>
    </row>
    <row r="1556" spans="1:4" x14ac:dyDescent="0.3">
      <c r="A1556"/>
      <c r="B1556"/>
      <c r="D1556" t="str">
        <f t="shared" si="24"/>
        <v/>
      </c>
    </row>
    <row r="1557" spans="1:4" x14ac:dyDescent="0.3">
      <c r="A1557"/>
      <c r="B1557"/>
      <c r="D1557" t="str">
        <f t="shared" si="24"/>
        <v/>
      </c>
    </row>
    <row r="1558" spans="1:4" x14ac:dyDescent="0.3">
      <c r="A1558"/>
      <c r="B1558"/>
      <c r="D1558" t="str">
        <f t="shared" si="24"/>
        <v/>
      </c>
    </row>
    <row r="1559" spans="1:4" x14ac:dyDescent="0.3">
      <c r="A1559"/>
      <c r="B1559"/>
      <c r="D1559" t="str">
        <f t="shared" si="24"/>
        <v/>
      </c>
    </row>
    <row r="1560" spans="1:4" x14ac:dyDescent="0.3">
      <c r="A1560"/>
      <c r="B1560"/>
      <c r="D1560" t="str">
        <f t="shared" si="24"/>
        <v/>
      </c>
    </row>
    <row r="1561" spans="1:4" x14ac:dyDescent="0.3">
      <c r="A1561"/>
      <c r="B1561"/>
      <c r="D1561" t="str">
        <f t="shared" si="24"/>
        <v/>
      </c>
    </row>
    <row r="1562" spans="1:4" x14ac:dyDescent="0.3">
      <c r="A1562"/>
      <c r="B1562"/>
      <c r="D1562" t="str">
        <f t="shared" si="24"/>
        <v/>
      </c>
    </row>
    <row r="1563" spans="1:4" x14ac:dyDescent="0.3">
      <c r="A1563"/>
      <c r="B1563"/>
      <c r="D1563" t="str">
        <f t="shared" si="24"/>
        <v/>
      </c>
    </row>
    <row r="1564" spans="1:4" x14ac:dyDescent="0.3">
      <c r="A1564"/>
      <c r="B1564"/>
      <c r="D1564" t="str">
        <f t="shared" si="24"/>
        <v/>
      </c>
    </row>
    <row r="1565" spans="1:4" x14ac:dyDescent="0.3">
      <c r="A1565"/>
      <c r="B1565"/>
      <c r="D1565" t="str">
        <f t="shared" si="24"/>
        <v/>
      </c>
    </row>
    <row r="1566" spans="1:4" x14ac:dyDescent="0.3">
      <c r="A1566"/>
      <c r="B1566"/>
      <c r="D1566" t="str">
        <f t="shared" si="24"/>
        <v/>
      </c>
    </row>
    <row r="1567" spans="1:4" x14ac:dyDescent="0.3">
      <c r="A1567"/>
      <c r="B1567"/>
      <c r="D1567" t="str">
        <f t="shared" si="24"/>
        <v/>
      </c>
    </row>
    <row r="1568" spans="1:4" x14ac:dyDescent="0.3">
      <c r="A1568"/>
      <c r="B1568"/>
      <c r="D1568" t="str">
        <f t="shared" si="24"/>
        <v/>
      </c>
    </row>
    <row r="1569" spans="1:4" x14ac:dyDescent="0.3">
      <c r="A1569"/>
      <c r="B1569"/>
      <c r="D1569" t="str">
        <f t="shared" si="24"/>
        <v/>
      </c>
    </row>
    <row r="1570" spans="1:4" x14ac:dyDescent="0.3">
      <c r="A1570"/>
      <c r="B1570"/>
      <c r="D1570" t="str">
        <f t="shared" si="24"/>
        <v/>
      </c>
    </row>
    <row r="1571" spans="1:4" x14ac:dyDescent="0.3">
      <c r="A1571"/>
      <c r="B1571"/>
      <c r="D1571" t="str">
        <f t="shared" si="24"/>
        <v/>
      </c>
    </row>
    <row r="1572" spans="1:4" x14ac:dyDescent="0.3">
      <c r="A1572"/>
      <c r="B1572"/>
      <c r="D1572" t="str">
        <f t="shared" si="24"/>
        <v/>
      </c>
    </row>
    <row r="1573" spans="1:4" x14ac:dyDescent="0.3">
      <c r="A1573"/>
      <c r="B1573"/>
      <c r="D1573" t="str">
        <f t="shared" si="24"/>
        <v/>
      </c>
    </row>
    <row r="1574" spans="1:4" x14ac:dyDescent="0.3">
      <c r="A1574"/>
      <c r="B1574"/>
      <c r="D1574" t="str">
        <f t="shared" si="24"/>
        <v/>
      </c>
    </row>
    <row r="1575" spans="1:4" x14ac:dyDescent="0.3">
      <c r="A1575"/>
      <c r="B1575"/>
      <c r="D1575" t="str">
        <f t="shared" si="24"/>
        <v/>
      </c>
    </row>
    <row r="1576" spans="1:4" x14ac:dyDescent="0.3">
      <c r="A1576"/>
      <c r="B1576"/>
      <c r="D1576" t="str">
        <f t="shared" si="24"/>
        <v/>
      </c>
    </row>
    <row r="1577" spans="1:4" x14ac:dyDescent="0.3">
      <c r="A1577"/>
      <c r="B1577"/>
      <c r="D1577" t="str">
        <f t="shared" si="24"/>
        <v/>
      </c>
    </row>
    <row r="1578" spans="1:4" x14ac:dyDescent="0.3">
      <c r="A1578"/>
      <c r="B1578"/>
      <c r="D1578" t="str">
        <f t="shared" si="24"/>
        <v/>
      </c>
    </row>
    <row r="1579" spans="1:4" x14ac:dyDescent="0.3">
      <c r="A1579"/>
      <c r="B1579"/>
      <c r="D1579" t="str">
        <f t="shared" si="24"/>
        <v/>
      </c>
    </row>
    <row r="1580" spans="1:4" x14ac:dyDescent="0.3">
      <c r="A1580"/>
      <c r="B1580"/>
      <c r="D1580" t="str">
        <f t="shared" si="24"/>
        <v/>
      </c>
    </row>
    <row r="1581" spans="1:4" x14ac:dyDescent="0.3">
      <c r="A1581"/>
      <c r="B1581"/>
      <c r="D1581" t="str">
        <f t="shared" si="24"/>
        <v/>
      </c>
    </row>
    <row r="1582" spans="1:4" x14ac:dyDescent="0.3">
      <c r="A1582"/>
      <c r="B1582"/>
      <c r="D1582" t="str">
        <f t="shared" si="24"/>
        <v/>
      </c>
    </row>
    <row r="1583" spans="1:4" x14ac:dyDescent="0.3">
      <c r="A1583"/>
      <c r="B1583"/>
      <c r="D1583" t="str">
        <f t="shared" si="24"/>
        <v/>
      </c>
    </row>
    <row r="1584" spans="1:4" x14ac:dyDescent="0.3">
      <c r="A1584"/>
      <c r="B1584"/>
      <c r="D1584" t="str">
        <f t="shared" si="24"/>
        <v/>
      </c>
    </row>
    <row r="1585" spans="1:4" x14ac:dyDescent="0.3">
      <c r="A1585"/>
      <c r="B1585"/>
      <c r="D1585" t="str">
        <f t="shared" si="24"/>
        <v/>
      </c>
    </row>
    <row r="1586" spans="1:4" x14ac:dyDescent="0.3">
      <c r="A1586"/>
      <c r="B1586"/>
      <c r="D1586" t="str">
        <f t="shared" si="24"/>
        <v/>
      </c>
    </row>
    <row r="1587" spans="1:4" x14ac:dyDescent="0.3">
      <c r="A1587"/>
      <c r="B1587"/>
      <c r="D1587" t="str">
        <f t="shared" si="24"/>
        <v/>
      </c>
    </row>
    <row r="1588" spans="1:4" x14ac:dyDescent="0.3">
      <c r="A1588"/>
      <c r="B1588"/>
      <c r="D1588" t="str">
        <f t="shared" si="24"/>
        <v/>
      </c>
    </row>
    <row r="1589" spans="1:4" x14ac:dyDescent="0.3">
      <c r="A1589"/>
      <c r="B1589"/>
      <c r="D1589" t="str">
        <f t="shared" si="24"/>
        <v/>
      </c>
    </row>
    <row r="1590" spans="1:4" x14ac:dyDescent="0.3">
      <c r="A1590"/>
      <c r="B1590"/>
      <c r="D1590" t="str">
        <f t="shared" si="24"/>
        <v/>
      </c>
    </row>
    <row r="1591" spans="1:4" x14ac:dyDescent="0.3">
      <c r="A1591"/>
      <c r="B1591"/>
      <c r="D1591" t="str">
        <f t="shared" si="24"/>
        <v/>
      </c>
    </row>
    <row r="1592" spans="1:4" x14ac:dyDescent="0.3">
      <c r="A1592"/>
      <c r="B1592"/>
      <c r="D1592" t="str">
        <f t="shared" si="24"/>
        <v/>
      </c>
    </row>
    <row r="1593" spans="1:4" x14ac:dyDescent="0.3">
      <c r="A1593"/>
      <c r="B1593"/>
      <c r="D1593" t="str">
        <f t="shared" si="24"/>
        <v/>
      </c>
    </row>
    <row r="1594" spans="1:4" x14ac:dyDescent="0.3">
      <c r="A1594"/>
      <c r="B1594"/>
      <c r="D1594" t="str">
        <f t="shared" si="24"/>
        <v/>
      </c>
    </row>
    <row r="1595" spans="1:4" x14ac:dyDescent="0.3">
      <c r="A1595"/>
      <c r="B1595"/>
      <c r="D1595" t="str">
        <f t="shared" si="24"/>
        <v/>
      </c>
    </row>
    <row r="1596" spans="1:4" x14ac:dyDescent="0.3">
      <c r="A1596"/>
      <c r="B1596"/>
      <c r="D1596" t="str">
        <f t="shared" si="24"/>
        <v/>
      </c>
    </row>
    <row r="1597" spans="1:4" x14ac:dyDescent="0.3">
      <c r="A1597"/>
      <c r="B1597"/>
      <c r="D1597" t="str">
        <f t="shared" si="24"/>
        <v/>
      </c>
    </row>
    <row r="1598" spans="1:4" x14ac:dyDescent="0.3">
      <c r="A1598"/>
      <c r="B1598"/>
      <c r="D1598" t="str">
        <f t="shared" si="24"/>
        <v/>
      </c>
    </row>
    <row r="1599" spans="1:4" x14ac:dyDescent="0.3">
      <c r="A1599"/>
      <c r="B1599"/>
      <c r="D1599" t="str">
        <f t="shared" si="24"/>
        <v/>
      </c>
    </row>
    <row r="1600" spans="1:4" x14ac:dyDescent="0.3">
      <c r="A1600"/>
      <c r="B1600"/>
      <c r="D1600" t="str">
        <f t="shared" si="24"/>
        <v/>
      </c>
    </row>
    <row r="1601" spans="1:4" x14ac:dyDescent="0.3">
      <c r="A1601"/>
      <c r="B1601"/>
      <c r="D1601" t="str">
        <f t="shared" si="24"/>
        <v/>
      </c>
    </row>
    <row r="1602" spans="1:4" x14ac:dyDescent="0.3">
      <c r="A1602"/>
      <c r="B1602"/>
      <c r="D1602" t="str">
        <f t="shared" si="24"/>
        <v/>
      </c>
    </row>
    <row r="1603" spans="1:4" x14ac:dyDescent="0.3">
      <c r="A1603"/>
      <c r="B1603"/>
      <c r="D1603" t="str">
        <f t="shared" ref="D1603:D1666" si="25">CONCATENATE(A1603,B1603,C1603)</f>
        <v/>
      </c>
    </row>
    <row r="1604" spans="1:4" x14ac:dyDescent="0.3">
      <c r="A1604"/>
      <c r="B1604"/>
      <c r="D1604" t="str">
        <f t="shared" si="25"/>
        <v/>
      </c>
    </row>
    <row r="1605" spans="1:4" x14ac:dyDescent="0.3">
      <c r="A1605"/>
      <c r="B1605"/>
      <c r="D1605" t="str">
        <f t="shared" si="25"/>
        <v/>
      </c>
    </row>
    <row r="1606" spans="1:4" x14ac:dyDescent="0.3">
      <c r="A1606"/>
      <c r="B1606"/>
      <c r="D1606" t="str">
        <f t="shared" si="25"/>
        <v/>
      </c>
    </row>
    <row r="1607" spans="1:4" x14ac:dyDescent="0.3">
      <c r="A1607"/>
      <c r="B1607"/>
      <c r="D1607" t="str">
        <f t="shared" si="25"/>
        <v/>
      </c>
    </row>
    <row r="1608" spans="1:4" x14ac:dyDescent="0.3">
      <c r="A1608"/>
      <c r="B1608"/>
      <c r="D1608" t="str">
        <f t="shared" si="25"/>
        <v/>
      </c>
    </row>
    <row r="1609" spans="1:4" x14ac:dyDescent="0.3">
      <c r="A1609"/>
      <c r="B1609"/>
      <c r="D1609" t="str">
        <f t="shared" si="25"/>
        <v/>
      </c>
    </row>
    <row r="1610" spans="1:4" x14ac:dyDescent="0.3">
      <c r="A1610"/>
      <c r="B1610"/>
      <c r="D1610" t="str">
        <f t="shared" si="25"/>
        <v/>
      </c>
    </row>
    <row r="1611" spans="1:4" x14ac:dyDescent="0.3">
      <c r="A1611"/>
      <c r="B1611"/>
      <c r="D1611" t="str">
        <f t="shared" si="25"/>
        <v/>
      </c>
    </row>
    <row r="1612" spans="1:4" x14ac:dyDescent="0.3">
      <c r="A1612"/>
      <c r="B1612"/>
      <c r="D1612" t="str">
        <f t="shared" si="25"/>
        <v/>
      </c>
    </row>
    <row r="1613" spans="1:4" x14ac:dyDescent="0.3">
      <c r="A1613"/>
      <c r="B1613"/>
      <c r="D1613" t="str">
        <f t="shared" si="25"/>
        <v/>
      </c>
    </row>
    <row r="1614" spans="1:4" x14ac:dyDescent="0.3">
      <c r="A1614"/>
      <c r="B1614"/>
      <c r="D1614" t="str">
        <f t="shared" si="25"/>
        <v/>
      </c>
    </row>
    <row r="1615" spans="1:4" x14ac:dyDescent="0.3">
      <c r="A1615"/>
      <c r="B1615"/>
      <c r="D1615" t="str">
        <f t="shared" si="25"/>
        <v/>
      </c>
    </row>
    <row r="1616" spans="1:4" x14ac:dyDescent="0.3">
      <c r="A1616"/>
      <c r="B1616"/>
      <c r="D1616" t="str">
        <f t="shared" si="25"/>
        <v/>
      </c>
    </row>
    <row r="1617" spans="1:4" x14ac:dyDescent="0.3">
      <c r="A1617"/>
      <c r="B1617"/>
      <c r="D1617" t="str">
        <f t="shared" si="25"/>
        <v/>
      </c>
    </row>
    <row r="1618" spans="1:4" x14ac:dyDescent="0.3">
      <c r="A1618"/>
      <c r="B1618"/>
      <c r="D1618" t="str">
        <f t="shared" si="25"/>
        <v/>
      </c>
    </row>
    <row r="1619" spans="1:4" x14ac:dyDescent="0.3">
      <c r="A1619"/>
      <c r="B1619"/>
      <c r="D1619" t="str">
        <f t="shared" si="25"/>
        <v/>
      </c>
    </row>
    <row r="1620" spans="1:4" x14ac:dyDescent="0.3">
      <c r="A1620"/>
      <c r="B1620"/>
      <c r="D1620" t="str">
        <f t="shared" si="25"/>
        <v/>
      </c>
    </row>
    <row r="1621" spans="1:4" x14ac:dyDescent="0.3">
      <c r="A1621"/>
      <c r="B1621"/>
      <c r="D1621" t="str">
        <f t="shared" si="25"/>
        <v/>
      </c>
    </row>
    <row r="1622" spans="1:4" x14ac:dyDescent="0.3">
      <c r="A1622"/>
      <c r="B1622"/>
      <c r="D1622" t="str">
        <f t="shared" si="25"/>
        <v/>
      </c>
    </row>
    <row r="1623" spans="1:4" x14ac:dyDescent="0.3">
      <c r="A1623"/>
      <c r="B1623"/>
      <c r="D1623" t="str">
        <f t="shared" si="25"/>
        <v/>
      </c>
    </row>
    <row r="1624" spans="1:4" x14ac:dyDescent="0.3">
      <c r="A1624"/>
      <c r="B1624"/>
      <c r="D1624" t="str">
        <f t="shared" si="25"/>
        <v/>
      </c>
    </row>
    <row r="1625" spans="1:4" x14ac:dyDescent="0.3">
      <c r="A1625"/>
      <c r="B1625"/>
      <c r="D1625" t="str">
        <f t="shared" si="25"/>
        <v/>
      </c>
    </row>
    <row r="1626" spans="1:4" x14ac:dyDescent="0.3">
      <c r="A1626"/>
      <c r="B1626"/>
      <c r="D1626" t="str">
        <f t="shared" si="25"/>
        <v/>
      </c>
    </row>
    <row r="1627" spans="1:4" x14ac:dyDescent="0.3">
      <c r="A1627"/>
      <c r="B1627"/>
      <c r="D1627" t="str">
        <f t="shared" si="25"/>
        <v/>
      </c>
    </row>
    <row r="1628" spans="1:4" x14ac:dyDescent="0.3">
      <c r="A1628"/>
      <c r="B1628"/>
      <c r="D1628" t="str">
        <f t="shared" si="25"/>
        <v/>
      </c>
    </row>
    <row r="1629" spans="1:4" x14ac:dyDescent="0.3">
      <c r="A1629"/>
      <c r="B1629"/>
      <c r="D1629" t="str">
        <f t="shared" si="25"/>
        <v/>
      </c>
    </row>
    <row r="1630" spans="1:4" x14ac:dyDescent="0.3">
      <c r="A1630"/>
      <c r="B1630"/>
      <c r="D1630" t="str">
        <f t="shared" si="25"/>
        <v/>
      </c>
    </row>
    <row r="1631" spans="1:4" x14ac:dyDescent="0.3">
      <c r="A1631"/>
      <c r="B1631"/>
      <c r="D1631" t="str">
        <f t="shared" si="25"/>
        <v/>
      </c>
    </row>
    <row r="1632" spans="1:4" x14ac:dyDescent="0.3">
      <c r="A1632"/>
      <c r="B1632"/>
      <c r="D1632" t="str">
        <f t="shared" si="25"/>
        <v/>
      </c>
    </row>
    <row r="1633" spans="1:4" x14ac:dyDescent="0.3">
      <c r="A1633"/>
      <c r="B1633"/>
      <c r="D1633" t="str">
        <f t="shared" si="25"/>
        <v/>
      </c>
    </row>
    <row r="1634" spans="1:4" x14ac:dyDescent="0.3">
      <c r="A1634"/>
      <c r="B1634"/>
      <c r="D1634" t="str">
        <f t="shared" si="25"/>
        <v/>
      </c>
    </row>
    <row r="1635" spans="1:4" x14ac:dyDescent="0.3">
      <c r="A1635"/>
      <c r="B1635"/>
      <c r="D1635" t="str">
        <f t="shared" si="25"/>
        <v/>
      </c>
    </row>
    <row r="1636" spans="1:4" x14ac:dyDescent="0.3">
      <c r="A1636"/>
      <c r="B1636"/>
      <c r="D1636" t="str">
        <f t="shared" si="25"/>
        <v/>
      </c>
    </row>
    <row r="1637" spans="1:4" x14ac:dyDescent="0.3">
      <c r="A1637"/>
      <c r="B1637"/>
      <c r="D1637" t="str">
        <f t="shared" si="25"/>
        <v/>
      </c>
    </row>
    <row r="1638" spans="1:4" x14ac:dyDescent="0.3">
      <c r="A1638"/>
      <c r="B1638"/>
      <c r="D1638" t="str">
        <f t="shared" si="25"/>
        <v/>
      </c>
    </row>
    <row r="1639" spans="1:4" x14ac:dyDescent="0.3">
      <c r="A1639"/>
      <c r="B1639"/>
      <c r="D1639" t="str">
        <f t="shared" si="25"/>
        <v/>
      </c>
    </row>
    <row r="1640" spans="1:4" x14ac:dyDescent="0.3">
      <c r="A1640"/>
      <c r="B1640"/>
      <c r="D1640" t="str">
        <f t="shared" si="25"/>
        <v/>
      </c>
    </row>
    <row r="1641" spans="1:4" x14ac:dyDescent="0.3">
      <c r="A1641"/>
      <c r="B1641"/>
      <c r="D1641" t="str">
        <f t="shared" si="25"/>
        <v/>
      </c>
    </row>
    <row r="1642" spans="1:4" x14ac:dyDescent="0.3">
      <c r="A1642"/>
      <c r="B1642"/>
      <c r="D1642" t="str">
        <f t="shared" si="25"/>
        <v/>
      </c>
    </row>
    <row r="1643" spans="1:4" x14ac:dyDescent="0.3">
      <c r="A1643"/>
      <c r="B1643"/>
      <c r="D1643" t="str">
        <f t="shared" si="25"/>
        <v/>
      </c>
    </row>
    <row r="1644" spans="1:4" x14ac:dyDescent="0.3">
      <c r="A1644"/>
      <c r="B1644"/>
      <c r="D1644" t="str">
        <f t="shared" si="25"/>
        <v/>
      </c>
    </row>
    <row r="1645" spans="1:4" x14ac:dyDescent="0.3">
      <c r="A1645"/>
      <c r="B1645"/>
      <c r="D1645" t="str">
        <f t="shared" si="25"/>
        <v/>
      </c>
    </row>
    <row r="1646" spans="1:4" x14ac:dyDescent="0.3">
      <c r="A1646"/>
      <c r="B1646"/>
      <c r="D1646" t="str">
        <f t="shared" si="25"/>
        <v/>
      </c>
    </row>
    <row r="1647" spans="1:4" x14ac:dyDescent="0.3">
      <c r="A1647"/>
      <c r="B1647"/>
      <c r="D1647" t="str">
        <f t="shared" si="25"/>
        <v/>
      </c>
    </row>
    <row r="1648" spans="1:4" x14ac:dyDescent="0.3">
      <c r="A1648"/>
      <c r="B1648"/>
      <c r="D1648" t="str">
        <f t="shared" si="25"/>
        <v/>
      </c>
    </row>
    <row r="1649" spans="1:4" x14ac:dyDescent="0.3">
      <c r="A1649"/>
      <c r="B1649"/>
      <c r="D1649" t="str">
        <f t="shared" si="25"/>
        <v/>
      </c>
    </row>
    <row r="1650" spans="1:4" x14ac:dyDescent="0.3">
      <c r="A1650"/>
      <c r="B1650"/>
      <c r="D1650" t="str">
        <f t="shared" si="25"/>
        <v/>
      </c>
    </row>
    <row r="1651" spans="1:4" x14ac:dyDescent="0.3">
      <c r="A1651"/>
      <c r="B1651"/>
      <c r="D1651" t="str">
        <f t="shared" si="25"/>
        <v/>
      </c>
    </row>
    <row r="1652" spans="1:4" x14ac:dyDescent="0.3">
      <c r="A1652"/>
      <c r="B1652"/>
      <c r="D1652" t="str">
        <f t="shared" si="25"/>
        <v/>
      </c>
    </row>
    <row r="1653" spans="1:4" x14ac:dyDescent="0.3">
      <c r="A1653"/>
      <c r="B1653"/>
      <c r="D1653" t="str">
        <f t="shared" si="25"/>
        <v/>
      </c>
    </row>
    <row r="1654" spans="1:4" x14ac:dyDescent="0.3">
      <c r="A1654"/>
      <c r="B1654"/>
      <c r="D1654" t="str">
        <f t="shared" si="25"/>
        <v/>
      </c>
    </row>
    <row r="1655" spans="1:4" x14ac:dyDescent="0.3">
      <c r="A1655"/>
      <c r="B1655"/>
      <c r="D1655" t="str">
        <f t="shared" si="25"/>
        <v/>
      </c>
    </row>
    <row r="1656" spans="1:4" x14ac:dyDescent="0.3">
      <c r="A1656"/>
      <c r="B1656"/>
      <c r="D1656" t="str">
        <f t="shared" si="25"/>
        <v/>
      </c>
    </row>
    <row r="1657" spans="1:4" x14ac:dyDescent="0.3">
      <c r="A1657"/>
      <c r="B1657"/>
      <c r="D1657" t="str">
        <f t="shared" si="25"/>
        <v/>
      </c>
    </row>
    <row r="1658" spans="1:4" x14ac:dyDescent="0.3">
      <c r="A1658"/>
      <c r="B1658"/>
      <c r="D1658" t="str">
        <f t="shared" si="25"/>
        <v/>
      </c>
    </row>
    <row r="1659" spans="1:4" x14ac:dyDescent="0.3">
      <c r="A1659"/>
      <c r="B1659"/>
      <c r="D1659" t="str">
        <f t="shared" si="25"/>
        <v/>
      </c>
    </row>
    <row r="1660" spans="1:4" x14ac:dyDescent="0.3">
      <c r="A1660"/>
      <c r="B1660"/>
      <c r="D1660" t="str">
        <f t="shared" si="25"/>
        <v/>
      </c>
    </row>
    <row r="1661" spans="1:4" x14ac:dyDescent="0.3">
      <c r="A1661"/>
      <c r="B1661"/>
      <c r="D1661" t="str">
        <f t="shared" si="25"/>
        <v/>
      </c>
    </row>
    <row r="1662" spans="1:4" x14ac:dyDescent="0.3">
      <c r="A1662"/>
      <c r="B1662"/>
      <c r="D1662" t="str">
        <f t="shared" si="25"/>
        <v/>
      </c>
    </row>
    <row r="1663" spans="1:4" x14ac:dyDescent="0.3">
      <c r="A1663"/>
      <c r="B1663"/>
      <c r="D1663" t="str">
        <f t="shared" si="25"/>
        <v/>
      </c>
    </row>
    <row r="1664" spans="1:4" x14ac:dyDescent="0.3">
      <c r="A1664"/>
      <c r="B1664"/>
      <c r="D1664" t="str">
        <f t="shared" si="25"/>
        <v/>
      </c>
    </row>
    <row r="1665" spans="1:4" x14ac:dyDescent="0.3">
      <c r="A1665"/>
      <c r="B1665"/>
      <c r="D1665" t="str">
        <f t="shared" si="25"/>
        <v/>
      </c>
    </row>
    <row r="1666" spans="1:4" x14ac:dyDescent="0.3">
      <c r="A1666"/>
      <c r="B1666"/>
      <c r="D1666" t="str">
        <f t="shared" si="25"/>
        <v/>
      </c>
    </row>
    <row r="1667" spans="1:4" x14ac:dyDescent="0.3">
      <c r="A1667"/>
      <c r="B1667"/>
      <c r="D1667" t="str">
        <f t="shared" ref="D1667:D1730" si="26">CONCATENATE(A1667,B1667,C1667)</f>
        <v/>
      </c>
    </row>
    <row r="1668" spans="1:4" x14ac:dyDescent="0.3">
      <c r="A1668"/>
      <c r="B1668"/>
      <c r="D1668" t="str">
        <f t="shared" si="26"/>
        <v/>
      </c>
    </row>
    <row r="1669" spans="1:4" x14ac:dyDescent="0.3">
      <c r="A1669"/>
      <c r="B1669"/>
      <c r="D1669" t="str">
        <f t="shared" si="26"/>
        <v/>
      </c>
    </row>
    <row r="1670" spans="1:4" x14ac:dyDescent="0.3">
      <c r="A1670"/>
      <c r="B1670"/>
      <c r="D1670" t="str">
        <f t="shared" si="26"/>
        <v/>
      </c>
    </row>
    <row r="1671" spans="1:4" x14ac:dyDescent="0.3">
      <c r="A1671"/>
      <c r="B1671"/>
      <c r="D1671" t="str">
        <f t="shared" si="26"/>
        <v/>
      </c>
    </row>
    <row r="1672" spans="1:4" x14ac:dyDescent="0.3">
      <c r="A1672"/>
      <c r="B1672"/>
      <c r="D1672" t="str">
        <f t="shared" si="26"/>
        <v/>
      </c>
    </row>
    <row r="1673" spans="1:4" x14ac:dyDescent="0.3">
      <c r="A1673"/>
      <c r="B1673"/>
      <c r="D1673" t="str">
        <f t="shared" si="26"/>
        <v/>
      </c>
    </row>
    <row r="1674" spans="1:4" x14ac:dyDescent="0.3">
      <c r="A1674"/>
      <c r="B1674"/>
      <c r="D1674" t="str">
        <f t="shared" si="26"/>
        <v/>
      </c>
    </row>
    <row r="1675" spans="1:4" x14ac:dyDescent="0.3">
      <c r="A1675"/>
      <c r="B1675"/>
      <c r="D1675" t="str">
        <f t="shared" si="26"/>
        <v/>
      </c>
    </row>
    <row r="1676" spans="1:4" x14ac:dyDescent="0.3">
      <c r="A1676"/>
      <c r="B1676"/>
      <c r="D1676" t="str">
        <f t="shared" si="26"/>
        <v/>
      </c>
    </row>
    <row r="1677" spans="1:4" x14ac:dyDescent="0.3">
      <c r="A1677"/>
      <c r="B1677"/>
      <c r="D1677" t="str">
        <f t="shared" si="26"/>
        <v/>
      </c>
    </row>
    <row r="1678" spans="1:4" x14ac:dyDescent="0.3">
      <c r="A1678"/>
      <c r="B1678"/>
      <c r="D1678" t="str">
        <f t="shared" si="26"/>
        <v/>
      </c>
    </row>
    <row r="1679" spans="1:4" x14ac:dyDescent="0.3">
      <c r="A1679"/>
      <c r="B1679"/>
      <c r="D1679" t="str">
        <f t="shared" si="26"/>
        <v/>
      </c>
    </row>
    <row r="1680" spans="1:4" x14ac:dyDescent="0.3">
      <c r="A1680"/>
      <c r="B1680"/>
      <c r="D1680" t="str">
        <f t="shared" si="26"/>
        <v/>
      </c>
    </row>
    <row r="1681" spans="1:4" x14ac:dyDescent="0.3">
      <c r="A1681"/>
      <c r="B1681"/>
      <c r="D1681" t="str">
        <f t="shared" si="26"/>
        <v/>
      </c>
    </row>
    <row r="1682" spans="1:4" x14ac:dyDescent="0.3">
      <c r="A1682"/>
      <c r="B1682"/>
      <c r="D1682" t="str">
        <f t="shared" si="26"/>
        <v/>
      </c>
    </row>
    <row r="1683" spans="1:4" x14ac:dyDescent="0.3">
      <c r="A1683"/>
      <c r="B1683"/>
      <c r="D1683" t="str">
        <f t="shared" si="26"/>
        <v/>
      </c>
    </row>
    <row r="1684" spans="1:4" x14ac:dyDescent="0.3">
      <c r="A1684"/>
      <c r="B1684"/>
      <c r="D1684" t="str">
        <f t="shared" si="26"/>
        <v/>
      </c>
    </row>
    <row r="1685" spans="1:4" x14ac:dyDescent="0.3">
      <c r="A1685"/>
      <c r="B1685"/>
      <c r="D1685" t="str">
        <f t="shared" si="26"/>
        <v/>
      </c>
    </row>
    <row r="1686" spans="1:4" x14ac:dyDescent="0.3">
      <c r="A1686"/>
      <c r="B1686"/>
      <c r="D1686" t="str">
        <f t="shared" si="26"/>
        <v/>
      </c>
    </row>
    <row r="1687" spans="1:4" x14ac:dyDescent="0.3">
      <c r="A1687"/>
      <c r="B1687"/>
      <c r="D1687" t="str">
        <f t="shared" si="26"/>
        <v/>
      </c>
    </row>
    <row r="1688" spans="1:4" x14ac:dyDescent="0.3">
      <c r="A1688"/>
      <c r="B1688"/>
      <c r="D1688" t="str">
        <f t="shared" si="26"/>
        <v/>
      </c>
    </row>
    <row r="1689" spans="1:4" x14ac:dyDescent="0.3">
      <c r="A1689"/>
      <c r="B1689"/>
      <c r="D1689" t="str">
        <f t="shared" si="26"/>
        <v/>
      </c>
    </row>
    <row r="1690" spans="1:4" x14ac:dyDescent="0.3">
      <c r="A1690"/>
      <c r="B1690"/>
      <c r="D1690" t="str">
        <f t="shared" si="26"/>
        <v/>
      </c>
    </row>
    <row r="1691" spans="1:4" x14ac:dyDescent="0.3">
      <c r="A1691"/>
      <c r="B1691"/>
      <c r="D1691" t="str">
        <f t="shared" si="26"/>
        <v/>
      </c>
    </row>
    <row r="1692" spans="1:4" x14ac:dyDescent="0.3">
      <c r="A1692"/>
      <c r="B1692"/>
      <c r="D1692" t="str">
        <f t="shared" si="26"/>
        <v/>
      </c>
    </row>
    <row r="1693" spans="1:4" x14ac:dyDescent="0.3">
      <c r="A1693"/>
      <c r="B1693"/>
      <c r="D1693" t="str">
        <f t="shared" si="26"/>
        <v/>
      </c>
    </row>
    <row r="1694" spans="1:4" x14ac:dyDescent="0.3">
      <c r="A1694"/>
      <c r="B1694"/>
      <c r="D1694" t="str">
        <f t="shared" si="26"/>
        <v/>
      </c>
    </row>
    <row r="1695" spans="1:4" x14ac:dyDescent="0.3">
      <c r="A1695"/>
      <c r="B1695"/>
      <c r="D1695" t="str">
        <f t="shared" si="26"/>
        <v/>
      </c>
    </row>
    <row r="1696" spans="1:4" x14ac:dyDescent="0.3">
      <c r="A1696"/>
      <c r="B1696"/>
      <c r="D1696" t="str">
        <f t="shared" si="26"/>
        <v/>
      </c>
    </row>
    <row r="1697" spans="1:4" x14ac:dyDescent="0.3">
      <c r="A1697"/>
      <c r="B1697"/>
      <c r="D1697" t="str">
        <f t="shared" si="26"/>
        <v/>
      </c>
    </row>
    <row r="1698" spans="1:4" x14ac:dyDescent="0.3">
      <c r="A1698"/>
      <c r="B1698"/>
      <c r="D1698" t="str">
        <f t="shared" si="26"/>
        <v/>
      </c>
    </row>
    <row r="1699" spans="1:4" x14ac:dyDescent="0.3">
      <c r="A1699"/>
      <c r="B1699"/>
      <c r="D1699" t="str">
        <f t="shared" si="26"/>
        <v/>
      </c>
    </row>
    <row r="1700" spans="1:4" x14ac:dyDescent="0.3">
      <c r="A1700"/>
      <c r="B1700"/>
      <c r="D1700" t="str">
        <f t="shared" si="26"/>
        <v/>
      </c>
    </row>
    <row r="1701" spans="1:4" x14ac:dyDescent="0.3">
      <c r="A1701"/>
      <c r="B1701"/>
      <c r="D1701" t="str">
        <f t="shared" si="26"/>
        <v/>
      </c>
    </row>
    <row r="1702" spans="1:4" x14ac:dyDescent="0.3">
      <c r="A1702"/>
      <c r="B1702"/>
      <c r="D1702" t="str">
        <f t="shared" si="26"/>
        <v/>
      </c>
    </row>
    <row r="1703" spans="1:4" x14ac:dyDescent="0.3">
      <c r="A1703"/>
      <c r="B1703"/>
      <c r="D1703" t="str">
        <f t="shared" si="26"/>
        <v/>
      </c>
    </row>
    <row r="1704" spans="1:4" x14ac:dyDescent="0.3">
      <c r="A1704"/>
      <c r="B1704"/>
      <c r="D1704" t="str">
        <f t="shared" si="26"/>
        <v/>
      </c>
    </row>
    <row r="1705" spans="1:4" x14ac:dyDescent="0.3">
      <c r="A1705"/>
      <c r="B1705"/>
      <c r="D1705" t="str">
        <f t="shared" si="26"/>
        <v/>
      </c>
    </row>
    <row r="1706" spans="1:4" x14ac:dyDescent="0.3">
      <c r="A1706"/>
      <c r="B1706"/>
      <c r="D1706" t="str">
        <f t="shared" si="26"/>
        <v/>
      </c>
    </row>
    <row r="1707" spans="1:4" x14ac:dyDescent="0.3">
      <c r="A1707"/>
      <c r="B1707"/>
      <c r="D1707" t="str">
        <f t="shared" si="26"/>
        <v/>
      </c>
    </row>
    <row r="1708" spans="1:4" x14ac:dyDescent="0.3">
      <c r="A1708"/>
      <c r="B1708"/>
      <c r="D1708" t="str">
        <f t="shared" si="26"/>
        <v/>
      </c>
    </row>
    <row r="1709" spans="1:4" x14ac:dyDescent="0.3">
      <c r="A1709"/>
      <c r="B1709"/>
      <c r="D1709" t="str">
        <f t="shared" si="26"/>
        <v/>
      </c>
    </row>
    <row r="1710" spans="1:4" x14ac:dyDescent="0.3">
      <c r="A1710"/>
      <c r="B1710"/>
      <c r="D1710" t="str">
        <f t="shared" si="26"/>
        <v/>
      </c>
    </row>
    <row r="1711" spans="1:4" x14ac:dyDescent="0.3">
      <c r="A1711"/>
      <c r="B1711"/>
      <c r="D1711" t="str">
        <f t="shared" si="26"/>
        <v/>
      </c>
    </row>
    <row r="1712" spans="1:4" x14ac:dyDescent="0.3">
      <c r="A1712"/>
      <c r="B1712"/>
      <c r="D1712" t="str">
        <f t="shared" si="26"/>
        <v/>
      </c>
    </row>
    <row r="1713" spans="1:4" x14ac:dyDescent="0.3">
      <c r="A1713"/>
      <c r="B1713"/>
      <c r="D1713" t="str">
        <f t="shared" si="26"/>
        <v/>
      </c>
    </row>
    <row r="1714" spans="1:4" x14ac:dyDescent="0.3">
      <c r="A1714"/>
      <c r="B1714"/>
      <c r="D1714" t="str">
        <f t="shared" si="26"/>
        <v/>
      </c>
    </row>
    <row r="1715" spans="1:4" x14ac:dyDescent="0.3">
      <c r="A1715"/>
      <c r="B1715"/>
      <c r="D1715" t="str">
        <f t="shared" si="26"/>
        <v/>
      </c>
    </row>
    <row r="1716" spans="1:4" x14ac:dyDescent="0.3">
      <c r="A1716"/>
      <c r="B1716"/>
      <c r="D1716" t="str">
        <f t="shared" si="26"/>
        <v/>
      </c>
    </row>
    <row r="1717" spans="1:4" x14ac:dyDescent="0.3">
      <c r="A1717"/>
      <c r="B1717"/>
      <c r="D1717" t="str">
        <f t="shared" si="26"/>
        <v/>
      </c>
    </row>
    <row r="1718" spans="1:4" x14ac:dyDescent="0.3">
      <c r="A1718"/>
      <c r="B1718"/>
      <c r="D1718" t="str">
        <f t="shared" si="26"/>
        <v/>
      </c>
    </row>
    <row r="1719" spans="1:4" x14ac:dyDescent="0.3">
      <c r="A1719"/>
      <c r="B1719"/>
      <c r="D1719" t="str">
        <f t="shared" si="26"/>
        <v/>
      </c>
    </row>
    <row r="1720" spans="1:4" x14ac:dyDescent="0.3">
      <c r="A1720"/>
      <c r="B1720"/>
      <c r="D1720" t="str">
        <f t="shared" si="26"/>
        <v/>
      </c>
    </row>
    <row r="1721" spans="1:4" x14ac:dyDescent="0.3">
      <c r="A1721"/>
      <c r="B1721"/>
      <c r="D1721" t="str">
        <f t="shared" si="26"/>
        <v/>
      </c>
    </row>
    <row r="1722" spans="1:4" x14ac:dyDescent="0.3">
      <c r="A1722"/>
      <c r="B1722"/>
      <c r="D1722" t="str">
        <f t="shared" si="26"/>
        <v/>
      </c>
    </row>
    <row r="1723" spans="1:4" x14ac:dyDescent="0.3">
      <c r="A1723"/>
      <c r="B1723"/>
      <c r="D1723" t="str">
        <f t="shared" si="26"/>
        <v/>
      </c>
    </row>
    <row r="1724" spans="1:4" x14ac:dyDescent="0.3">
      <c r="A1724"/>
      <c r="B1724"/>
      <c r="D1724" t="str">
        <f t="shared" si="26"/>
        <v/>
      </c>
    </row>
    <row r="1725" spans="1:4" x14ac:dyDescent="0.3">
      <c r="A1725"/>
      <c r="B1725"/>
      <c r="D1725" t="str">
        <f t="shared" si="26"/>
        <v/>
      </c>
    </row>
    <row r="1726" spans="1:4" x14ac:dyDescent="0.3">
      <c r="A1726"/>
      <c r="B1726"/>
      <c r="D1726" t="str">
        <f t="shared" si="26"/>
        <v/>
      </c>
    </row>
    <row r="1727" spans="1:4" x14ac:dyDescent="0.3">
      <c r="A1727"/>
      <c r="B1727"/>
      <c r="D1727" t="str">
        <f t="shared" si="26"/>
        <v/>
      </c>
    </row>
    <row r="1728" spans="1:4" x14ac:dyDescent="0.3">
      <c r="A1728"/>
      <c r="B1728"/>
      <c r="D1728" t="str">
        <f t="shared" si="26"/>
        <v/>
      </c>
    </row>
    <row r="1729" spans="1:4" x14ac:dyDescent="0.3">
      <c r="A1729"/>
      <c r="B1729"/>
      <c r="D1729" t="str">
        <f t="shared" si="26"/>
        <v/>
      </c>
    </row>
    <row r="1730" spans="1:4" x14ac:dyDescent="0.3">
      <c r="A1730"/>
      <c r="B1730"/>
      <c r="D1730" t="str">
        <f t="shared" si="26"/>
        <v/>
      </c>
    </row>
    <row r="1731" spans="1:4" x14ac:dyDescent="0.3">
      <c r="A1731"/>
      <c r="B1731"/>
      <c r="D1731" t="str">
        <f t="shared" ref="D1731:D1794" si="27">CONCATENATE(A1731,B1731,C1731)</f>
        <v/>
      </c>
    </row>
    <row r="1732" spans="1:4" x14ac:dyDescent="0.3">
      <c r="A1732"/>
      <c r="B1732"/>
      <c r="D1732" t="str">
        <f t="shared" si="27"/>
        <v/>
      </c>
    </row>
    <row r="1733" spans="1:4" x14ac:dyDescent="0.3">
      <c r="A1733"/>
      <c r="B1733"/>
      <c r="D1733" t="str">
        <f t="shared" si="27"/>
        <v/>
      </c>
    </row>
    <row r="1734" spans="1:4" x14ac:dyDescent="0.3">
      <c r="A1734"/>
      <c r="B1734"/>
      <c r="D1734" t="str">
        <f t="shared" si="27"/>
        <v/>
      </c>
    </row>
    <row r="1735" spans="1:4" x14ac:dyDescent="0.3">
      <c r="A1735"/>
      <c r="B1735"/>
      <c r="D1735" t="str">
        <f t="shared" si="27"/>
        <v/>
      </c>
    </row>
    <row r="1736" spans="1:4" x14ac:dyDescent="0.3">
      <c r="A1736"/>
      <c r="B1736"/>
      <c r="D1736" t="str">
        <f t="shared" si="27"/>
        <v/>
      </c>
    </row>
    <row r="1737" spans="1:4" x14ac:dyDescent="0.3">
      <c r="A1737"/>
      <c r="B1737"/>
      <c r="D1737" t="str">
        <f t="shared" si="27"/>
        <v/>
      </c>
    </row>
    <row r="1738" spans="1:4" x14ac:dyDescent="0.3">
      <c r="A1738"/>
      <c r="B1738"/>
      <c r="D1738" t="str">
        <f t="shared" si="27"/>
        <v/>
      </c>
    </row>
    <row r="1739" spans="1:4" x14ac:dyDescent="0.3">
      <c r="A1739"/>
      <c r="B1739"/>
      <c r="D1739" t="str">
        <f t="shared" si="27"/>
        <v/>
      </c>
    </row>
    <row r="1740" spans="1:4" x14ac:dyDescent="0.3">
      <c r="A1740"/>
      <c r="B1740"/>
      <c r="D1740" t="str">
        <f t="shared" si="27"/>
        <v/>
      </c>
    </row>
    <row r="1741" spans="1:4" x14ac:dyDescent="0.3">
      <c r="A1741"/>
      <c r="B1741"/>
      <c r="D1741" t="str">
        <f t="shared" si="27"/>
        <v/>
      </c>
    </row>
    <row r="1742" spans="1:4" x14ac:dyDescent="0.3">
      <c r="A1742"/>
      <c r="B1742"/>
      <c r="D1742" t="str">
        <f t="shared" si="27"/>
        <v/>
      </c>
    </row>
    <row r="1743" spans="1:4" x14ac:dyDescent="0.3">
      <c r="A1743"/>
      <c r="B1743"/>
      <c r="D1743" t="str">
        <f t="shared" si="27"/>
        <v/>
      </c>
    </row>
    <row r="1744" spans="1:4" x14ac:dyDescent="0.3">
      <c r="A1744"/>
      <c r="B1744"/>
      <c r="D1744" t="str">
        <f t="shared" si="27"/>
        <v/>
      </c>
    </row>
    <row r="1745" spans="1:4" x14ac:dyDescent="0.3">
      <c r="A1745"/>
      <c r="B1745"/>
      <c r="D1745" t="str">
        <f t="shared" si="27"/>
        <v/>
      </c>
    </row>
    <row r="1746" spans="1:4" x14ac:dyDescent="0.3">
      <c r="A1746"/>
      <c r="B1746"/>
      <c r="D1746" t="str">
        <f t="shared" si="27"/>
        <v/>
      </c>
    </row>
    <row r="1747" spans="1:4" x14ac:dyDescent="0.3">
      <c r="A1747"/>
      <c r="B1747"/>
      <c r="D1747" t="str">
        <f t="shared" si="27"/>
        <v/>
      </c>
    </row>
    <row r="1748" spans="1:4" x14ac:dyDescent="0.3">
      <c r="A1748"/>
      <c r="B1748"/>
      <c r="D1748" t="str">
        <f t="shared" si="27"/>
        <v/>
      </c>
    </row>
    <row r="1749" spans="1:4" x14ac:dyDescent="0.3">
      <c r="A1749"/>
      <c r="B1749"/>
      <c r="D1749" t="str">
        <f t="shared" si="27"/>
        <v/>
      </c>
    </row>
    <row r="1750" spans="1:4" x14ac:dyDescent="0.3">
      <c r="A1750"/>
      <c r="B1750"/>
      <c r="D1750" t="str">
        <f t="shared" si="27"/>
        <v/>
      </c>
    </row>
    <row r="1751" spans="1:4" x14ac:dyDescent="0.3">
      <c r="A1751"/>
      <c r="B1751"/>
      <c r="D1751" t="str">
        <f t="shared" si="27"/>
        <v/>
      </c>
    </row>
    <row r="1752" spans="1:4" x14ac:dyDescent="0.3">
      <c r="A1752"/>
      <c r="B1752"/>
      <c r="D1752" t="str">
        <f t="shared" si="27"/>
        <v/>
      </c>
    </row>
    <row r="1753" spans="1:4" x14ac:dyDescent="0.3">
      <c r="A1753"/>
      <c r="B1753"/>
      <c r="D1753" t="str">
        <f t="shared" si="27"/>
        <v/>
      </c>
    </row>
    <row r="1754" spans="1:4" x14ac:dyDescent="0.3">
      <c r="A1754"/>
      <c r="B1754"/>
      <c r="D1754" t="str">
        <f t="shared" si="27"/>
        <v/>
      </c>
    </row>
    <row r="1755" spans="1:4" x14ac:dyDescent="0.3">
      <c r="A1755"/>
      <c r="B1755"/>
      <c r="D1755" t="str">
        <f t="shared" si="27"/>
        <v/>
      </c>
    </row>
    <row r="1756" spans="1:4" x14ac:dyDescent="0.3">
      <c r="A1756"/>
      <c r="B1756"/>
      <c r="D1756" t="str">
        <f t="shared" si="27"/>
        <v/>
      </c>
    </row>
    <row r="1757" spans="1:4" x14ac:dyDescent="0.3">
      <c r="A1757"/>
      <c r="B1757"/>
      <c r="D1757" t="str">
        <f t="shared" si="27"/>
        <v/>
      </c>
    </row>
    <row r="1758" spans="1:4" x14ac:dyDescent="0.3">
      <c r="A1758"/>
      <c r="B1758"/>
      <c r="D1758" t="str">
        <f t="shared" si="27"/>
        <v/>
      </c>
    </row>
    <row r="1759" spans="1:4" x14ac:dyDescent="0.3">
      <c r="A1759"/>
      <c r="B1759"/>
      <c r="D1759" t="str">
        <f t="shared" si="27"/>
        <v/>
      </c>
    </row>
    <row r="1760" spans="1:4" x14ac:dyDescent="0.3">
      <c r="A1760"/>
      <c r="B1760"/>
      <c r="D1760" t="str">
        <f t="shared" si="27"/>
        <v/>
      </c>
    </row>
    <row r="1761" spans="1:4" x14ac:dyDescent="0.3">
      <c r="A1761"/>
      <c r="B1761"/>
      <c r="D1761" t="str">
        <f t="shared" si="27"/>
        <v/>
      </c>
    </row>
    <row r="1762" spans="1:4" x14ac:dyDescent="0.3">
      <c r="A1762"/>
      <c r="B1762"/>
      <c r="D1762" t="str">
        <f t="shared" si="27"/>
        <v/>
      </c>
    </row>
    <row r="1763" spans="1:4" x14ac:dyDescent="0.3">
      <c r="A1763"/>
      <c r="B1763"/>
      <c r="D1763" t="str">
        <f t="shared" si="27"/>
        <v/>
      </c>
    </row>
    <row r="1764" spans="1:4" x14ac:dyDescent="0.3">
      <c r="A1764"/>
      <c r="B1764"/>
      <c r="D1764" t="str">
        <f t="shared" si="27"/>
        <v/>
      </c>
    </row>
    <row r="1765" spans="1:4" x14ac:dyDescent="0.3">
      <c r="A1765"/>
      <c r="B1765"/>
      <c r="D1765" t="str">
        <f t="shared" si="27"/>
        <v/>
      </c>
    </row>
    <row r="1766" spans="1:4" x14ac:dyDescent="0.3">
      <c r="A1766"/>
      <c r="B1766"/>
      <c r="D1766" t="str">
        <f t="shared" si="27"/>
        <v/>
      </c>
    </row>
    <row r="1767" spans="1:4" x14ac:dyDescent="0.3">
      <c r="A1767"/>
      <c r="B1767"/>
      <c r="D1767" t="str">
        <f t="shared" si="27"/>
        <v/>
      </c>
    </row>
    <row r="1768" spans="1:4" x14ac:dyDescent="0.3">
      <c r="A1768"/>
      <c r="B1768"/>
      <c r="D1768" t="str">
        <f t="shared" si="27"/>
        <v/>
      </c>
    </row>
    <row r="1769" spans="1:4" x14ac:dyDescent="0.3">
      <c r="A1769"/>
      <c r="B1769"/>
      <c r="D1769" t="str">
        <f t="shared" si="27"/>
        <v/>
      </c>
    </row>
    <row r="1770" spans="1:4" x14ac:dyDescent="0.3">
      <c r="A1770"/>
      <c r="B1770"/>
      <c r="D1770" t="str">
        <f t="shared" si="27"/>
        <v/>
      </c>
    </row>
    <row r="1771" spans="1:4" x14ac:dyDescent="0.3">
      <c r="A1771"/>
      <c r="B1771"/>
      <c r="D1771" t="str">
        <f t="shared" si="27"/>
        <v/>
      </c>
    </row>
    <row r="1772" spans="1:4" x14ac:dyDescent="0.3">
      <c r="A1772"/>
      <c r="B1772"/>
      <c r="D1772" t="str">
        <f t="shared" si="27"/>
        <v/>
      </c>
    </row>
    <row r="1773" spans="1:4" x14ac:dyDescent="0.3">
      <c r="A1773"/>
      <c r="B1773"/>
      <c r="D1773" t="str">
        <f t="shared" si="27"/>
        <v/>
      </c>
    </row>
    <row r="1774" spans="1:4" x14ac:dyDescent="0.3">
      <c r="A1774"/>
      <c r="B1774"/>
      <c r="D1774" t="str">
        <f t="shared" si="27"/>
        <v/>
      </c>
    </row>
    <row r="1775" spans="1:4" x14ac:dyDescent="0.3">
      <c r="A1775"/>
      <c r="B1775"/>
      <c r="D1775" t="str">
        <f t="shared" si="27"/>
        <v/>
      </c>
    </row>
    <row r="1776" spans="1:4" x14ac:dyDescent="0.3">
      <c r="A1776"/>
      <c r="B1776"/>
      <c r="D1776" t="str">
        <f t="shared" si="27"/>
        <v/>
      </c>
    </row>
    <row r="1777" spans="1:4" x14ac:dyDescent="0.3">
      <c r="A1777"/>
      <c r="B1777"/>
      <c r="D1777" t="str">
        <f t="shared" si="27"/>
        <v/>
      </c>
    </row>
    <row r="1778" spans="1:4" x14ac:dyDescent="0.3">
      <c r="A1778"/>
      <c r="B1778"/>
      <c r="D1778" t="str">
        <f t="shared" si="27"/>
        <v/>
      </c>
    </row>
    <row r="1779" spans="1:4" x14ac:dyDescent="0.3">
      <c r="A1779"/>
      <c r="B1779"/>
      <c r="D1779" t="str">
        <f t="shared" si="27"/>
        <v/>
      </c>
    </row>
    <row r="1780" spans="1:4" x14ac:dyDescent="0.3">
      <c r="A1780"/>
      <c r="B1780"/>
      <c r="D1780" t="str">
        <f t="shared" si="27"/>
        <v/>
      </c>
    </row>
    <row r="1781" spans="1:4" x14ac:dyDescent="0.3">
      <c r="A1781"/>
      <c r="B1781"/>
      <c r="D1781" t="str">
        <f t="shared" si="27"/>
        <v/>
      </c>
    </row>
    <row r="1782" spans="1:4" x14ac:dyDescent="0.3">
      <c r="A1782"/>
      <c r="B1782"/>
      <c r="D1782" t="str">
        <f t="shared" si="27"/>
        <v/>
      </c>
    </row>
    <row r="1783" spans="1:4" x14ac:dyDescent="0.3">
      <c r="A1783"/>
      <c r="B1783"/>
      <c r="D1783" t="str">
        <f t="shared" si="27"/>
        <v/>
      </c>
    </row>
    <row r="1784" spans="1:4" x14ac:dyDescent="0.3">
      <c r="A1784"/>
      <c r="B1784"/>
      <c r="D1784" t="str">
        <f t="shared" si="27"/>
        <v/>
      </c>
    </row>
    <row r="1785" spans="1:4" x14ac:dyDescent="0.3">
      <c r="A1785"/>
      <c r="B1785"/>
      <c r="D1785" t="str">
        <f t="shared" si="27"/>
        <v/>
      </c>
    </row>
    <row r="1786" spans="1:4" x14ac:dyDescent="0.3">
      <c r="A1786"/>
      <c r="B1786"/>
      <c r="D1786" t="str">
        <f t="shared" si="27"/>
        <v/>
      </c>
    </row>
    <row r="1787" spans="1:4" x14ac:dyDescent="0.3">
      <c r="A1787"/>
      <c r="B1787"/>
      <c r="D1787" t="str">
        <f t="shared" si="27"/>
        <v/>
      </c>
    </row>
    <row r="1788" spans="1:4" x14ac:dyDescent="0.3">
      <c r="A1788"/>
      <c r="B1788"/>
      <c r="D1788" t="str">
        <f t="shared" si="27"/>
        <v/>
      </c>
    </row>
    <row r="1789" spans="1:4" x14ac:dyDescent="0.3">
      <c r="A1789"/>
      <c r="B1789"/>
      <c r="D1789" t="str">
        <f t="shared" si="27"/>
        <v/>
      </c>
    </row>
    <row r="1790" spans="1:4" x14ac:dyDescent="0.3">
      <c r="A1790"/>
      <c r="B1790"/>
      <c r="D1790" t="str">
        <f t="shared" si="27"/>
        <v/>
      </c>
    </row>
    <row r="1791" spans="1:4" x14ac:dyDescent="0.3">
      <c r="A1791"/>
      <c r="B1791"/>
      <c r="D1791" t="str">
        <f t="shared" si="27"/>
        <v/>
      </c>
    </row>
    <row r="1792" spans="1:4" x14ac:dyDescent="0.3">
      <c r="A1792"/>
      <c r="B1792"/>
      <c r="D1792" t="str">
        <f t="shared" si="27"/>
        <v/>
      </c>
    </row>
    <row r="1793" spans="1:4" x14ac:dyDescent="0.3">
      <c r="A1793"/>
      <c r="B1793"/>
      <c r="D1793" t="str">
        <f t="shared" si="27"/>
        <v/>
      </c>
    </row>
    <row r="1794" spans="1:4" x14ac:dyDescent="0.3">
      <c r="A1794"/>
      <c r="B1794"/>
      <c r="D1794" t="str">
        <f t="shared" si="27"/>
        <v/>
      </c>
    </row>
    <row r="1795" spans="1:4" x14ac:dyDescent="0.3">
      <c r="A1795"/>
      <c r="B1795"/>
      <c r="D1795" t="str">
        <f t="shared" ref="D1795:D1832" si="28">CONCATENATE(A1795,B1795,C1795)</f>
        <v/>
      </c>
    </row>
    <row r="1796" spans="1:4" x14ac:dyDescent="0.3">
      <c r="A1796"/>
      <c r="B1796"/>
      <c r="D1796" t="str">
        <f t="shared" si="28"/>
        <v/>
      </c>
    </row>
    <row r="1797" spans="1:4" x14ac:dyDescent="0.3">
      <c r="A1797"/>
      <c r="B1797"/>
      <c r="D1797" t="str">
        <f t="shared" si="28"/>
        <v/>
      </c>
    </row>
    <row r="1798" spans="1:4" x14ac:dyDescent="0.3">
      <c r="A1798"/>
      <c r="B1798"/>
      <c r="D1798" t="str">
        <f t="shared" si="28"/>
        <v/>
      </c>
    </row>
    <row r="1799" spans="1:4" x14ac:dyDescent="0.3">
      <c r="A1799"/>
      <c r="B1799"/>
      <c r="D1799" t="str">
        <f t="shared" si="28"/>
        <v/>
      </c>
    </row>
    <row r="1800" spans="1:4" x14ac:dyDescent="0.3">
      <c r="A1800"/>
      <c r="B1800"/>
      <c r="D1800" t="str">
        <f t="shared" si="28"/>
        <v/>
      </c>
    </row>
    <row r="1801" spans="1:4" x14ac:dyDescent="0.3">
      <c r="A1801"/>
      <c r="B1801"/>
      <c r="D1801" t="str">
        <f t="shared" si="28"/>
        <v/>
      </c>
    </row>
    <row r="1802" spans="1:4" x14ac:dyDescent="0.3">
      <c r="A1802"/>
      <c r="B1802"/>
      <c r="D1802" t="str">
        <f t="shared" si="28"/>
        <v/>
      </c>
    </row>
    <row r="1803" spans="1:4" x14ac:dyDescent="0.3">
      <c r="A1803"/>
      <c r="B1803"/>
      <c r="D1803" t="str">
        <f t="shared" si="28"/>
        <v/>
      </c>
    </row>
    <row r="1804" spans="1:4" x14ac:dyDescent="0.3">
      <c r="A1804"/>
      <c r="B1804"/>
      <c r="D1804" t="str">
        <f t="shared" si="28"/>
        <v/>
      </c>
    </row>
    <row r="1805" spans="1:4" x14ac:dyDescent="0.3">
      <c r="A1805"/>
      <c r="B1805"/>
      <c r="D1805" t="str">
        <f t="shared" si="28"/>
        <v/>
      </c>
    </row>
    <row r="1806" spans="1:4" x14ac:dyDescent="0.3">
      <c r="A1806"/>
      <c r="B1806"/>
      <c r="D1806" t="str">
        <f t="shared" si="28"/>
        <v/>
      </c>
    </row>
    <row r="1807" spans="1:4" x14ac:dyDescent="0.3">
      <c r="A1807"/>
      <c r="B1807"/>
      <c r="D1807" t="str">
        <f t="shared" si="28"/>
        <v/>
      </c>
    </row>
    <row r="1808" spans="1:4" x14ac:dyDescent="0.3">
      <c r="A1808"/>
      <c r="B1808"/>
      <c r="D1808" t="str">
        <f t="shared" si="28"/>
        <v/>
      </c>
    </row>
    <row r="1809" spans="1:4" x14ac:dyDescent="0.3">
      <c r="A1809"/>
      <c r="B1809"/>
      <c r="D1809" t="str">
        <f t="shared" si="28"/>
        <v/>
      </c>
    </row>
    <row r="1810" spans="1:4" x14ac:dyDescent="0.3">
      <c r="A1810"/>
      <c r="B1810"/>
      <c r="D1810" t="str">
        <f t="shared" si="28"/>
        <v/>
      </c>
    </row>
    <row r="1811" spans="1:4" x14ac:dyDescent="0.3">
      <c r="A1811"/>
      <c r="B1811"/>
      <c r="D1811" t="str">
        <f t="shared" si="28"/>
        <v/>
      </c>
    </row>
    <row r="1812" spans="1:4" x14ac:dyDescent="0.3">
      <c r="A1812"/>
      <c r="B1812"/>
      <c r="D1812" t="str">
        <f t="shared" si="28"/>
        <v/>
      </c>
    </row>
    <row r="1813" spans="1:4" x14ac:dyDescent="0.3">
      <c r="A1813"/>
      <c r="B1813"/>
      <c r="D1813" t="str">
        <f t="shared" si="28"/>
        <v/>
      </c>
    </row>
    <row r="1814" spans="1:4" x14ac:dyDescent="0.3">
      <c r="A1814"/>
      <c r="B1814"/>
      <c r="D1814" t="str">
        <f t="shared" si="28"/>
        <v/>
      </c>
    </row>
    <row r="1815" spans="1:4" x14ac:dyDescent="0.3">
      <c r="A1815"/>
      <c r="B1815"/>
      <c r="D1815" t="str">
        <f t="shared" si="28"/>
        <v/>
      </c>
    </row>
    <row r="1816" spans="1:4" x14ac:dyDescent="0.3">
      <c r="A1816"/>
      <c r="B1816"/>
      <c r="D1816" t="str">
        <f t="shared" si="28"/>
        <v/>
      </c>
    </row>
    <row r="1817" spans="1:4" x14ac:dyDescent="0.3">
      <c r="A1817"/>
      <c r="B1817"/>
      <c r="D1817" t="str">
        <f t="shared" si="28"/>
        <v/>
      </c>
    </row>
    <row r="1818" spans="1:4" x14ac:dyDescent="0.3">
      <c r="A1818"/>
      <c r="B1818"/>
      <c r="D1818" t="str">
        <f t="shared" si="28"/>
        <v/>
      </c>
    </row>
    <row r="1819" spans="1:4" x14ac:dyDescent="0.3">
      <c r="A1819"/>
      <c r="B1819"/>
      <c r="D1819" t="str">
        <f t="shared" si="28"/>
        <v/>
      </c>
    </row>
    <row r="1820" spans="1:4" x14ac:dyDescent="0.3">
      <c r="A1820"/>
      <c r="B1820"/>
      <c r="D1820" t="str">
        <f t="shared" si="28"/>
        <v/>
      </c>
    </row>
    <row r="1821" spans="1:4" x14ac:dyDescent="0.3">
      <c r="A1821"/>
      <c r="B1821"/>
      <c r="D1821" t="str">
        <f t="shared" si="28"/>
        <v/>
      </c>
    </row>
    <row r="1822" spans="1:4" x14ac:dyDescent="0.3">
      <c r="A1822"/>
      <c r="B1822"/>
      <c r="D1822" t="str">
        <f t="shared" si="28"/>
        <v/>
      </c>
    </row>
    <row r="1823" spans="1:4" x14ac:dyDescent="0.3">
      <c r="A1823"/>
      <c r="B1823"/>
      <c r="D1823" t="str">
        <f t="shared" si="28"/>
        <v/>
      </c>
    </row>
    <row r="1824" spans="1:4" x14ac:dyDescent="0.3">
      <c r="A1824"/>
      <c r="B1824"/>
      <c r="D1824" t="str">
        <f t="shared" si="28"/>
        <v/>
      </c>
    </row>
    <row r="1825" spans="1:4" x14ac:dyDescent="0.3">
      <c r="A1825"/>
      <c r="B1825"/>
      <c r="D1825" t="str">
        <f t="shared" si="28"/>
        <v/>
      </c>
    </row>
    <row r="1826" spans="1:4" x14ac:dyDescent="0.3">
      <c r="A1826"/>
      <c r="B1826"/>
      <c r="D1826" t="str">
        <f t="shared" si="28"/>
        <v/>
      </c>
    </row>
    <row r="1827" spans="1:4" x14ac:dyDescent="0.3">
      <c r="A1827"/>
      <c r="B1827"/>
      <c r="D1827" t="str">
        <f t="shared" si="28"/>
        <v/>
      </c>
    </row>
    <row r="1828" spans="1:4" x14ac:dyDescent="0.3">
      <c r="A1828"/>
      <c r="B1828"/>
      <c r="D1828" t="str">
        <f t="shared" si="28"/>
        <v/>
      </c>
    </row>
    <row r="1829" spans="1:4" x14ac:dyDescent="0.3">
      <c r="A1829"/>
      <c r="B1829"/>
      <c r="D1829" t="str">
        <f t="shared" si="28"/>
        <v/>
      </c>
    </row>
    <row r="1830" spans="1:4" x14ac:dyDescent="0.3">
      <c r="A1830"/>
      <c r="B1830"/>
      <c r="D1830" t="str">
        <f t="shared" si="28"/>
        <v/>
      </c>
    </row>
    <row r="1831" spans="1:4" x14ac:dyDescent="0.3">
      <c r="A1831"/>
      <c r="B1831"/>
      <c r="D1831" t="str">
        <f t="shared" si="28"/>
        <v/>
      </c>
    </row>
    <row r="1832" spans="1:4" x14ac:dyDescent="0.3">
      <c r="A1832" s="209"/>
      <c r="B1832" s="209"/>
      <c r="D1832" t="str">
        <f t="shared" si="28"/>
        <v/>
      </c>
    </row>
  </sheetData>
  <autoFilter ref="A1:C1832" xr:uid="{EDA02D15-CA01-450B-BBC3-83955A0BD801}">
    <sortState xmlns:xlrd2="http://schemas.microsoft.com/office/spreadsheetml/2017/richdata2" ref="A2:C1832">
      <sortCondition ref="B1:B1832"/>
    </sortState>
  </autoFilter>
  <phoneticPr fontId="1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Sheet1</vt:lpstr>
      <vt:lpstr>Sheet2</vt:lpstr>
      <vt:lpstr>Dataset</vt:lpstr>
      <vt:lpstr>ID</vt:lpstr>
      <vt:lpstr>Sheet1!_edn1</vt:lpstr>
      <vt:lpstr>Sheet1!_ednref1</vt:lpstr>
      <vt:lpstr>Sheet1!Print_Area</vt:lpstr>
    </vt:vector>
  </TitlesOfParts>
  <Company>University of Stirling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Graeme Acheson</dc:creator>
  <cp:lastModifiedBy>Bautheac</cp:lastModifiedBy>
  <cp:lastPrinted>2015-03-29T12:32:10Z</cp:lastPrinted>
  <dcterms:created xsi:type="dcterms:W3CDTF">2015-03-23T15:56:35Z</dcterms:created>
  <dcterms:modified xsi:type="dcterms:W3CDTF">2022-07-26T15:05:03Z</dcterms:modified>
</cp:coreProperties>
</file>